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\\wsl$\Ubuntu\home\cx\cky\Geo IA\section3\"/>
    </mc:Choice>
  </mc:AlternateContent>
  <xr:revisionPtr revIDLastSave="0" documentId="8_{69984A1B-DFD2-4119-B633-DFFA5585F3ED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info" sheetId="1" r:id="rId1"/>
    <sheet name="Summary" sheetId="2" r:id="rId2"/>
    <sheet name="N" sheetId="3" r:id="rId3"/>
    <sheet name="N_analysis" sheetId="4" r:id="rId4"/>
    <sheet name="E" sheetId="5" r:id="rId5"/>
    <sheet name="NE_bmis" sheetId="6" state="hidden" r:id="rId6"/>
    <sheet name="E_analysis" sheetId="7" r:id="rId7"/>
    <sheet name="S" sheetId="8" r:id="rId8"/>
    <sheet name="S_original" sheetId="9" state="hidden" r:id="rId9"/>
    <sheet name="S_lookup" sheetId="10" state="hidden" r:id="rId10"/>
    <sheet name="S_analysis" sheetId="11" r:id="rId11"/>
    <sheet name="W_original" sheetId="12" state="hidden" r:id="rId12"/>
    <sheet name="W" sheetId="13" r:id="rId13"/>
    <sheet name="W_analysis" sheetId="14" r:id="rId14"/>
    <sheet name="C" sheetId="15" r:id="rId15"/>
    <sheet name="W_lookup" sheetId="16" state="hidden" r:id="rId16"/>
    <sheet name="C_analysis" sheetId="17" r:id="rId17"/>
    <sheet name="addr" sheetId="18" r:id="rId18"/>
    <sheet name="combined_old" sheetId="19" r:id="rId19"/>
  </sheets>
  <definedNames>
    <definedName name="C_all">'C'!$D$3:$Y$370</definedName>
    <definedName name="C_d2">C_analysis!$K$2:$K$43</definedName>
    <definedName name="C_mean">C_analysis!$N$4</definedName>
    <definedName name="C_sd">C_analysis!$N$5</definedName>
    <definedName name="E_all">E!$A$3:$Y$142</definedName>
    <definedName name="E_d2">E_analysis!$K$2:$K$36</definedName>
    <definedName name="E_mean">E_analysis!$N$4</definedName>
    <definedName name="E_sd">E_analysis!$N$5</definedName>
    <definedName name="Google_Sheet_Link_1285135825" hidden="1">N_d2</definedName>
    <definedName name="Google_Sheet_Link_353140034" hidden="1">N_all</definedName>
    <definedName name="Google_Sheet_Link_44313908" hidden="1">C_all</definedName>
    <definedName name="Google_Sheet_Link_555020134" hidden="1">W_d2</definedName>
    <definedName name="Google_Sheet_Link_578681856" hidden="1">C_d2</definedName>
    <definedName name="Google_Sheet_Link_700608418" hidden="1">S_d2</definedName>
    <definedName name="Google_Sheet_Link_815537451" hidden="1">E_d2</definedName>
    <definedName name="Google_Sheet_Link_82361928" hidden="1">E_all</definedName>
    <definedName name="Google_Sheet_Link_887039706" hidden="1">S_all</definedName>
    <definedName name="Google_Sheet_Link_994080588" hidden="1">W_all</definedName>
    <definedName name="N_all">N!$A$3:$Y$138</definedName>
    <definedName name="N_d2">N_analysis!$K$2:$K$35</definedName>
    <definedName name="N_mean">N_analysis!$N$4</definedName>
    <definedName name="N_sd">N_analysis!$N$5</definedName>
    <definedName name="S_all">S!$A$3:$Y$26</definedName>
    <definedName name="S_d2">S_analysis!$K$2:$K$7</definedName>
    <definedName name="S_mean">S_analysis!$N$4</definedName>
    <definedName name="S_sd">S_analysis!$N$5</definedName>
    <definedName name="W_all">W!$A$3:$Y$70</definedName>
    <definedName name="W_d2">W_analysis!$K$2:$K$18</definedName>
    <definedName name="W_mean">W_analysis!$N$4</definedName>
    <definedName name="W_sd">W_analysis!$N$5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3" roundtripDataSignature="AMtx7mh9h/eJc+gn7yd2t0AYzolMvPQ59g=="/>
    </ext>
  </extLst>
</workbook>
</file>

<file path=xl/calcChain.xml><?xml version="1.0" encoding="utf-8"?>
<calcChain xmlns="http://schemas.openxmlformats.org/spreadsheetml/2006/main">
  <c r="I151" i="19" l="1"/>
  <c r="K147" i="19"/>
  <c r="L147" i="19" s="1"/>
  <c r="H147" i="19"/>
  <c r="K143" i="19"/>
  <c r="L143" i="19" s="1"/>
  <c r="H143" i="19"/>
  <c r="L139" i="19"/>
  <c r="K139" i="19"/>
  <c r="H139" i="19"/>
  <c r="K135" i="19"/>
  <c r="L135" i="19" s="1"/>
  <c r="H135" i="19"/>
  <c r="K131" i="19"/>
  <c r="L131" i="19" s="1"/>
  <c r="H131" i="19"/>
  <c r="K127" i="19"/>
  <c r="L127" i="19" s="1"/>
  <c r="H127" i="19"/>
  <c r="L123" i="19"/>
  <c r="K123" i="19"/>
  <c r="H123" i="19"/>
  <c r="K119" i="19"/>
  <c r="L119" i="19" s="1"/>
  <c r="H119" i="19"/>
  <c r="L115" i="19"/>
  <c r="K115" i="19"/>
  <c r="H115" i="19"/>
  <c r="K111" i="19"/>
  <c r="L111" i="19" s="1"/>
  <c r="H111" i="19"/>
  <c r="L107" i="19"/>
  <c r="K107" i="19"/>
  <c r="H107" i="19"/>
  <c r="K103" i="19"/>
  <c r="L103" i="19" s="1"/>
  <c r="H103" i="19"/>
  <c r="L99" i="19"/>
  <c r="K99" i="19"/>
  <c r="H99" i="19"/>
  <c r="L95" i="19"/>
  <c r="K95" i="19"/>
  <c r="H95" i="19"/>
  <c r="L91" i="19"/>
  <c r="K91" i="19"/>
  <c r="H91" i="19"/>
  <c r="K87" i="19"/>
  <c r="L87" i="19" s="1"/>
  <c r="H87" i="19"/>
  <c r="L83" i="19"/>
  <c r="K83" i="19"/>
  <c r="H83" i="19"/>
  <c r="K79" i="19"/>
  <c r="L79" i="19" s="1"/>
  <c r="H79" i="19"/>
  <c r="L75" i="19"/>
  <c r="K75" i="19"/>
  <c r="H75" i="19"/>
  <c r="K71" i="19"/>
  <c r="L71" i="19" s="1"/>
  <c r="H71" i="19"/>
  <c r="L67" i="19"/>
  <c r="K67" i="19"/>
  <c r="H67" i="19"/>
  <c r="L63" i="19"/>
  <c r="K63" i="19"/>
  <c r="H63" i="19"/>
  <c r="L59" i="19"/>
  <c r="K59" i="19"/>
  <c r="H59" i="19"/>
  <c r="K55" i="19"/>
  <c r="L55" i="19" s="1"/>
  <c r="H55" i="19"/>
  <c r="L51" i="19"/>
  <c r="K51" i="19"/>
  <c r="H51" i="19"/>
  <c r="K47" i="19"/>
  <c r="L47" i="19" s="1"/>
  <c r="H47" i="19"/>
  <c r="L43" i="19"/>
  <c r="K43" i="19"/>
  <c r="H43" i="19"/>
  <c r="K39" i="19"/>
  <c r="L39" i="19" s="1"/>
  <c r="H39" i="19"/>
  <c r="L35" i="19"/>
  <c r="K35" i="19"/>
  <c r="H35" i="19"/>
  <c r="L31" i="19"/>
  <c r="K31" i="19"/>
  <c r="H31" i="19"/>
  <c r="L27" i="19"/>
  <c r="K27" i="19"/>
  <c r="H27" i="19"/>
  <c r="K23" i="19"/>
  <c r="L23" i="19" s="1"/>
  <c r="H23" i="19"/>
  <c r="L19" i="19"/>
  <c r="K19" i="19"/>
  <c r="H19" i="19"/>
  <c r="K15" i="19"/>
  <c r="L15" i="19" s="1"/>
  <c r="H15" i="19"/>
  <c r="L11" i="19"/>
  <c r="K11" i="19"/>
  <c r="H11" i="19"/>
  <c r="K7" i="19"/>
  <c r="L7" i="19" s="1"/>
  <c r="H7" i="19"/>
  <c r="L3" i="19"/>
  <c r="K3" i="19"/>
  <c r="H3" i="19"/>
  <c r="H151" i="19" s="1"/>
  <c r="I43" i="17"/>
  <c r="H43" i="17"/>
  <c r="G43" i="17"/>
  <c r="F43" i="17"/>
  <c r="E43" i="17"/>
  <c r="D43" i="17"/>
  <c r="C43" i="17"/>
  <c r="B43" i="17"/>
  <c r="I42" i="17"/>
  <c r="H42" i="17"/>
  <c r="G42" i="17"/>
  <c r="K42" i="17" s="1"/>
  <c r="F42" i="17"/>
  <c r="E42" i="17"/>
  <c r="D42" i="17"/>
  <c r="C42" i="17"/>
  <c r="B42" i="17"/>
  <c r="I41" i="17"/>
  <c r="H41" i="17"/>
  <c r="G41" i="17"/>
  <c r="K41" i="17" s="1"/>
  <c r="F41" i="17"/>
  <c r="E41" i="17"/>
  <c r="D41" i="17"/>
  <c r="C41" i="17"/>
  <c r="B41" i="17"/>
  <c r="I40" i="17"/>
  <c r="H40" i="17"/>
  <c r="G40" i="17"/>
  <c r="K40" i="17" s="1"/>
  <c r="F40" i="17"/>
  <c r="E40" i="17"/>
  <c r="D40" i="17"/>
  <c r="C40" i="17"/>
  <c r="B40" i="17"/>
  <c r="K39" i="17"/>
  <c r="I39" i="17"/>
  <c r="H39" i="17"/>
  <c r="G39" i="17"/>
  <c r="F39" i="17"/>
  <c r="E39" i="17"/>
  <c r="D39" i="17"/>
  <c r="C39" i="17"/>
  <c r="B39" i="17"/>
  <c r="I38" i="17"/>
  <c r="H38" i="17"/>
  <c r="G38" i="17"/>
  <c r="K38" i="17" s="1"/>
  <c r="F38" i="17"/>
  <c r="E38" i="17"/>
  <c r="D38" i="17"/>
  <c r="C38" i="17"/>
  <c r="B38" i="17"/>
  <c r="I37" i="17"/>
  <c r="H37" i="17"/>
  <c r="G37" i="17"/>
  <c r="K37" i="17" s="1"/>
  <c r="F37" i="17"/>
  <c r="E37" i="17"/>
  <c r="D37" i="17"/>
  <c r="C37" i="17"/>
  <c r="B37" i="17"/>
  <c r="I36" i="17"/>
  <c r="H36" i="17"/>
  <c r="G36" i="17"/>
  <c r="K36" i="17" s="1"/>
  <c r="F36" i="17"/>
  <c r="E36" i="17"/>
  <c r="D36" i="17"/>
  <c r="C36" i="17"/>
  <c r="B36" i="17"/>
  <c r="I35" i="17"/>
  <c r="H35" i="17"/>
  <c r="G35" i="17"/>
  <c r="K35" i="17" s="1"/>
  <c r="F35" i="17"/>
  <c r="E35" i="17"/>
  <c r="D35" i="17"/>
  <c r="C35" i="17"/>
  <c r="B35" i="17"/>
  <c r="I34" i="17"/>
  <c r="H34" i="17"/>
  <c r="G34" i="17"/>
  <c r="F34" i="17"/>
  <c r="E34" i="17"/>
  <c r="D34" i="17"/>
  <c r="C34" i="17"/>
  <c r="B34" i="17"/>
  <c r="I33" i="17"/>
  <c r="H33" i="17"/>
  <c r="G33" i="17"/>
  <c r="K33" i="17" s="1"/>
  <c r="F33" i="17"/>
  <c r="E33" i="17"/>
  <c r="D33" i="17"/>
  <c r="C33" i="17"/>
  <c r="B33" i="17"/>
  <c r="I32" i="17"/>
  <c r="H32" i="17"/>
  <c r="G32" i="17"/>
  <c r="K32" i="17" s="1"/>
  <c r="F32" i="17"/>
  <c r="E32" i="17"/>
  <c r="D32" i="17"/>
  <c r="C32" i="17"/>
  <c r="B32" i="17"/>
  <c r="I31" i="17"/>
  <c r="H31" i="17"/>
  <c r="G31" i="17"/>
  <c r="K31" i="17" s="1"/>
  <c r="F31" i="17"/>
  <c r="E31" i="17"/>
  <c r="D31" i="17"/>
  <c r="C31" i="17"/>
  <c r="B31" i="17"/>
  <c r="I30" i="17"/>
  <c r="H30" i="17"/>
  <c r="G30" i="17"/>
  <c r="K30" i="17" s="1"/>
  <c r="F30" i="17"/>
  <c r="E30" i="17"/>
  <c r="D30" i="17"/>
  <c r="C30" i="17"/>
  <c r="B30" i="17"/>
  <c r="I29" i="17"/>
  <c r="H29" i="17"/>
  <c r="G29" i="17"/>
  <c r="K29" i="17" s="1"/>
  <c r="F29" i="17"/>
  <c r="E29" i="17"/>
  <c r="D29" i="17"/>
  <c r="C29" i="17"/>
  <c r="B29" i="17"/>
  <c r="I28" i="17"/>
  <c r="H28" i="17"/>
  <c r="G28" i="17"/>
  <c r="F28" i="17"/>
  <c r="E28" i="17"/>
  <c r="D28" i="17"/>
  <c r="C28" i="17"/>
  <c r="B28" i="17"/>
  <c r="I27" i="17"/>
  <c r="K27" i="17" s="1"/>
  <c r="H27" i="17"/>
  <c r="G27" i="17"/>
  <c r="F27" i="17"/>
  <c r="E27" i="17"/>
  <c r="D27" i="17"/>
  <c r="C27" i="17"/>
  <c r="B27" i="17"/>
  <c r="I26" i="17"/>
  <c r="H26" i="17"/>
  <c r="G26" i="17"/>
  <c r="F26" i="17"/>
  <c r="E26" i="17"/>
  <c r="D26" i="17"/>
  <c r="C26" i="17"/>
  <c r="B26" i="17"/>
  <c r="I25" i="17"/>
  <c r="H25" i="17"/>
  <c r="G25" i="17"/>
  <c r="F25" i="17"/>
  <c r="E25" i="17"/>
  <c r="D25" i="17"/>
  <c r="C25" i="17"/>
  <c r="B25" i="17"/>
  <c r="I24" i="17"/>
  <c r="H24" i="17"/>
  <c r="G24" i="17"/>
  <c r="F24" i="17"/>
  <c r="E24" i="17"/>
  <c r="D24" i="17"/>
  <c r="C24" i="17"/>
  <c r="B24" i="17"/>
  <c r="I23" i="17"/>
  <c r="H23" i="17"/>
  <c r="G23" i="17"/>
  <c r="K23" i="17" s="1"/>
  <c r="F23" i="17"/>
  <c r="E23" i="17"/>
  <c r="D23" i="17"/>
  <c r="C23" i="17"/>
  <c r="B23" i="17"/>
  <c r="I22" i="17"/>
  <c r="H22" i="17"/>
  <c r="G22" i="17"/>
  <c r="K22" i="17" s="1"/>
  <c r="F22" i="17"/>
  <c r="E22" i="17"/>
  <c r="D22" i="17"/>
  <c r="C22" i="17"/>
  <c r="B22" i="17"/>
  <c r="I21" i="17"/>
  <c r="H21" i="17"/>
  <c r="G21" i="17"/>
  <c r="K21" i="17" s="1"/>
  <c r="F21" i="17"/>
  <c r="E21" i="17"/>
  <c r="D21" i="17"/>
  <c r="C21" i="17"/>
  <c r="B21" i="17"/>
  <c r="I20" i="17"/>
  <c r="H20" i="17"/>
  <c r="G20" i="17"/>
  <c r="F20" i="17"/>
  <c r="E20" i="17"/>
  <c r="D20" i="17"/>
  <c r="C20" i="17"/>
  <c r="B20" i="17"/>
  <c r="K19" i="17"/>
  <c r="I19" i="17"/>
  <c r="H19" i="17"/>
  <c r="G19" i="17"/>
  <c r="F19" i="17"/>
  <c r="E19" i="17"/>
  <c r="D19" i="17"/>
  <c r="C19" i="17"/>
  <c r="B19" i="17"/>
  <c r="I18" i="17"/>
  <c r="H18" i="17"/>
  <c r="G18" i="17"/>
  <c r="F18" i="17"/>
  <c r="E18" i="17"/>
  <c r="D18" i="17"/>
  <c r="C18" i="17"/>
  <c r="B18" i="17"/>
  <c r="I17" i="17"/>
  <c r="H17" i="17"/>
  <c r="G17" i="17"/>
  <c r="F17" i="17"/>
  <c r="E17" i="17"/>
  <c r="D17" i="17"/>
  <c r="C17" i="17"/>
  <c r="B17" i="17"/>
  <c r="I16" i="17"/>
  <c r="H16" i="17"/>
  <c r="G16" i="17"/>
  <c r="F16" i="17"/>
  <c r="E16" i="17"/>
  <c r="D16" i="17"/>
  <c r="C16" i="17"/>
  <c r="B16" i="17"/>
  <c r="I15" i="17"/>
  <c r="K15" i="17" s="1"/>
  <c r="H15" i="17"/>
  <c r="G15" i="17"/>
  <c r="F15" i="17"/>
  <c r="E15" i="17"/>
  <c r="D15" i="17"/>
  <c r="C15" i="17"/>
  <c r="B15" i="17"/>
  <c r="I14" i="17"/>
  <c r="H14" i="17"/>
  <c r="G14" i="17"/>
  <c r="F14" i="17"/>
  <c r="E14" i="17"/>
  <c r="D14" i="17"/>
  <c r="C14" i="17"/>
  <c r="B14" i="17"/>
  <c r="K13" i="17"/>
  <c r="I13" i="17"/>
  <c r="H13" i="17"/>
  <c r="G13" i="17"/>
  <c r="F13" i="17"/>
  <c r="E13" i="17"/>
  <c r="D13" i="17"/>
  <c r="C13" i="17"/>
  <c r="B13" i="17"/>
  <c r="I12" i="17"/>
  <c r="H12" i="17"/>
  <c r="G12" i="17"/>
  <c r="K12" i="17" s="1"/>
  <c r="F12" i="17"/>
  <c r="E12" i="17"/>
  <c r="D12" i="17"/>
  <c r="C12" i="17"/>
  <c r="B12" i="17"/>
  <c r="I11" i="17"/>
  <c r="H11" i="17"/>
  <c r="G11" i="17"/>
  <c r="K11" i="17" s="1"/>
  <c r="F11" i="17"/>
  <c r="E11" i="17"/>
  <c r="D11" i="17"/>
  <c r="C11" i="17"/>
  <c r="B11" i="17"/>
  <c r="I10" i="17"/>
  <c r="H10" i="17"/>
  <c r="G10" i="17"/>
  <c r="K10" i="17" s="1"/>
  <c r="F10" i="17"/>
  <c r="E10" i="17"/>
  <c r="D10" i="17"/>
  <c r="C10" i="17"/>
  <c r="B10" i="17"/>
  <c r="I9" i="17"/>
  <c r="H9" i="17"/>
  <c r="G9" i="17"/>
  <c r="K9" i="17" s="1"/>
  <c r="F9" i="17"/>
  <c r="E9" i="17"/>
  <c r="D9" i="17"/>
  <c r="C9" i="17"/>
  <c r="B9" i="17"/>
  <c r="I8" i="17"/>
  <c r="H8" i="17"/>
  <c r="G8" i="17"/>
  <c r="K8" i="17" s="1"/>
  <c r="F8" i="17"/>
  <c r="E8" i="17"/>
  <c r="D8" i="17"/>
  <c r="C8" i="17"/>
  <c r="B8" i="17"/>
  <c r="N7" i="17"/>
  <c r="I7" i="17"/>
  <c r="H7" i="17"/>
  <c r="G7" i="17"/>
  <c r="F7" i="17"/>
  <c r="E7" i="17"/>
  <c r="D7" i="17"/>
  <c r="C7" i="17"/>
  <c r="B7" i="17"/>
  <c r="N6" i="17"/>
  <c r="N9" i="17" s="1"/>
  <c r="I6" i="17"/>
  <c r="H6" i="17"/>
  <c r="G6" i="17"/>
  <c r="F6" i="17"/>
  <c r="E6" i="17"/>
  <c r="D6" i="17"/>
  <c r="C6" i="17"/>
  <c r="B6" i="17"/>
  <c r="N5" i="17"/>
  <c r="K5" i="17"/>
  <c r="I5" i="17"/>
  <c r="H5" i="17"/>
  <c r="G5" i="17"/>
  <c r="F5" i="17"/>
  <c r="E5" i="17"/>
  <c r="D5" i="17"/>
  <c r="C5" i="17"/>
  <c r="B5" i="17"/>
  <c r="N4" i="17"/>
  <c r="I4" i="17"/>
  <c r="H4" i="17"/>
  <c r="G4" i="17"/>
  <c r="F4" i="17"/>
  <c r="E4" i="17"/>
  <c r="D4" i="17"/>
  <c r="C4" i="17"/>
  <c r="B4" i="17"/>
  <c r="N3" i="17"/>
  <c r="G4" i="2" s="1"/>
  <c r="I3" i="17"/>
  <c r="H3" i="17"/>
  <c r="G3" i="17"/>
  <c r="F3" i="17"/>
  <c r="E3" i="17"/>
  <c r="D3" i="17"/>
  <c r="C3" i="17"/>
  <c r="B3" i="17"/>
  <c r="N2" i="17"/>
  <c r="I2" i="17"/>
  <c r="H2" i="17"/>
  <c r="G2" i="17"/>
  <c r="K2" i="17" s="1"/>
  <c r="F2" i="17"/>
  <c r="E2" i="17"/>
  <c r="D2" i="17"/>
  <c r="C2" i="17"/>
  <c r="B2" i="17"/>
  <c r="Y370" i="15"/>
  <c r="X370" i="15"/>
  <c r="W370" i="15"/>
  <c r="V370" i="15"/>
  <c r="U370" i="15"/>
  <c r="S370" i="15"/>
  <c r="R370" i="15"/>
  <c r="Q370" i="15"/>
  <c r="O370" i="15"/>
  <c r="N370" i="15"/>
  <c r="M370" i="15"/>
  <c r="L370" i="15"/>
  <c r="K370" i="15"/>
  <c r="J370" i="15"/>
  <c r="I370" i="15"/>
  <c r="H370" i="15"/>
  <c r="G370" i="15"/>
  <c r="F370" i="15"/>
  <c r="E370" i="15"/>
  <c r="D370" i="15"/>
  <c r="C370" i="15"/>
  <c r="B370" i="15"/>
  <c r="A370" i="15"/>
  <c r="Y369" i="15"/>
  <c r="X369" i="15"/>
  <c r="W369" i="15"/>
  <c r="V369" i="15"/>
  <c r="U369" i="15"/>
  <c r="S369" i="15"/>
  <c r="R369" i="15"/>
  <c r="Q369" i="15"/>
  <c r="O369" i="15"/>
  <c r="N369" i="15"/>
  <c r="M369" i="15"/>
  <c r="L369" i="15"/>
  <c r="K369" i="15"/>
  <c r="J369" i="15"/>
  <c r="I369" i="15"/>
  <c r="H369" i="15"/>
  <c r="G369" i="15"/>
  <c r="F369" i="15"/>
  <c r="E369" i="15"/>
  <c r="D369" i="15"/>
  <c r="C369" i="15"/>
  <c r="B369" i="15"/>
  <c r="A369" i="15"/>
  <c r="Y368" i="15"/>
  <c r="X368" i="15"/>
  <c r="W368" i="15"/>
  <c r="U368" i="15"/>
  <c r="S368" i="15"/>
  <c r="R368" i="15"/>
  <c r="Q368" i="15"/>
  <c r="O368" i="15"/>
  <c r="N368" i="15"/>
  <c r="M368" i="15"/>
  <c r="L368" i="15"/>
  <c r="K368" i="15"/>
  <c r="J368" i="15"/>
  <c r="I368" i="15"/>
  <c r="H368" i="15"/>
  <c r="G368" i="15"/>
  <c r="F368" i="15"/>
  <c r="E368" i="15"/>
  <c r="D368" i="15"/>
  <c r="C368" i="15"/>
  <c r="B368" i="15"/>
  <c r="A368" i="15"/>
  <c r="Y367" i="15"/>
  <c r="X367" i="15"/>
  <c r="W367" i="15"/>
  <c r="V367" i="15"/>
  <c r="U367" i="15"/>
  <c r="S367" i="15"/>
  <c r="R367" i="15"/>
  <c r="Q367" i="15"/>
  <c r="O367" i="15"/>
  <c r="N367" i="15"/>
  <c r="M367" i="15"/>
  <c r="L367" i="15"/>
  <c r="K367" i="15"/>
  <c r="J367" i="15"/>
  <c r="I367" i="15"/>
  <c r="H367" i="15"/>
  <c r="G367" i="15"/>
  <c r="F367" i="15"/>
  <c r="E367" i="15"/>
  <c r="D367" i="15"/>
  <c r="C367" i="15"/>
  <c r="B367" i="15"/>
  <c r="A367" i="15"/>
  <c r="Y366" i="15"/>
  <c r="X366" i="15"/>
  <c r="W366" i="15"/>
  <c r="V366" i="15"/>
  <c r="U366" i="15"/>
  <c r="S366" i="15"/>
  <c r="R366" i="15"/>
  <c r="Q366" i="15"/>
  <c r="O366" i="15"/>
  <c r="N366" i="15"/>
  <c r="M366" i="15"/>
  <c r="L366" i="15"/>
  <c r="K366" i="15"/>
  <c r="J366" i="15"/>
  <c r="I366" i="15"/>
  <c r="H366" i="15"/>
  <c r="G366" i="15"/>
  <c r="F366" i="15"/>
  <c r="E366" i="15"/>
  <c r="D366" i="15"/>
  <c r="C366" i="15"/>
  <c r="B366" i="15"/>
  <c r="A366" i="15"/>
  <c r="Y365" i="15"/>
  <c r="X365" i="15"/>
  <c r="W365" i="15"/>
  <c r="V365" i="15"/>
  <c r="U365" i="15"/>
  <c r="S365" i="15"/>
  <c r="R365" i="15"/>
  <c r="Q365" i="15"/>
  <c r="O365" i="15"/>
  <c r="N365" i="15"/>
  <c r="M365" i="15"/>
  <c r="L365" i="15"/>
  <c r="K365" i="15"/>
  <c r="J365" i="15"/>
  <c r="I365" i="15"/>
  <c r="H365" i="15"/>
  <c r="G365" i="15"/>
  <c r="F365" i="15"/>
  <c r="E365" i="15"/>
  <c r="D365" i="15"/>
  <c r="C365" i="15"/>
  <c r="B365" i="15"/>
  <c r="A365" i="15"/>
  <c r="Y364" i="15"/>
  <c r="X364" i="15"/>
  <c r="W364" i="15"/>
  <c r="V364" i="15"/>
  <c r="U364" i="15"/>
  <c r="S364" i="15"/>
  <c r="R364" i="15"/>
  <c r="Q364" i="15"/>
  <c r="O364" i="15"/>
  <c r="N364" i="15"/>
  <c r="M364" i="15"/>
  <c r="L364" i="15"/>
  <c r="K364" i="15"/>
  <c r="J364" i="15"/>
  <c r="I364" i="15"/>
  <c r="H364" i="15"/>
  <c r="G364" i="15"/>
  <c r="F364" i="15"/>
  <c r="E364" i="15"/>
  <c r="D364" i="15"/>
  <c r="C364" i="15"/>
  <c r="B364" i="15"/>
  <c r="A364" i="15"/>
  <c r="Y363" i="15"/>
  <c r="X363" i="15"/>
  <c r="W363" i="15"/>
  <c r="V363" i="15"/>
  <c r="U363" i="15"/>
  <c r="S363" i="15"/>
  <c r="R363" i="15"/>
  <c r="Q363" i="15"/>
  <c r="O363" i="15"/>
  <c r="N363" i="15"/>
  <c r="M363" i="15"/>
  <c r="L363" i="15"/>
  <c r="K363" i="15"/>
  <c r="J363" i="15"/>
  <c r="I363" i="15"/>
  <c r="H363" i="15"/>
  <c r="G363" i="15"/>
  <c r="F363" i="15"/>
  <c r="E363" i="15"/>
  <c r="D363" i="15"/>
  <c r="C363" i="15"/>
  <c r="B363" i="15"/>
  <c r="A363" i="15"/>
  <c r="Y362" i="15"/>
  <c r="X362" i="15"/>
  <c r="W362" i="15"/>
  <c r="V362" i="15"/>
  <c r="U362" i="15"/>
  <c r="S362" i="15"/>
  <c r="R362" i="15"/>
  <c r="Q362" i="15"/>
  <c r="O362" i="15"/>
  <c r="N362" i="15"/>
  <c r="M362" i="15"/>
  <c r="L362" i="15"/>
  <c r="K362" i="15"/>
  <c r="J362" i="15"/>
  <c r="I362" i="15"/>
  <c r="H362" i="15"/>
  <c r="G362" i="15"/>
  <c r="F362" i="15"/>
  <c r="E362" i="15"/>
  <c r="D362" i="15"/>
  <c r="C362" i="15"/>
  <c r="B362" i="15"/>
  <c r="A362" i="15"/>
  <c r="Y361" i="15"/>
  <c r="X361" i="15"/>
  <c r="W361" i="15"/>
  <c r="U361" i="15"/>
  <c r="S361" i="15"/>
  <c r="R361" i="15"/>
  <c r="Q361" i="15"/>
  <c r="O361" i="15"/>
  <c r="N361" i="15"/>
  <c r="M361" i="15"/>
  <c r="L361" i="15"/>
  <c r="K361" i="15"/>
  <c r="J361" i="15"/>
  <c r="I361" i="15"/>
  <c r="H361" i="15"/>
  <c r="G361" i="15"/>
  <c r="F361" i="15"/>
  <c r="E361" i="15"/>
  <c r="D361" i="15"/>
  <c r="C361" i="15"/>
  <c r="B361" i="15"/>
  <c r="A361" i="15"/>
  <c r="Y360" i="15"/>
  <c r="X360" i="15"/>
  <c r="W360" i="15"/>
  <c r="V360" i="15"/>
  <c r="U360" i="15"/>
  <c r="S360" i="15"/>
  <c r="R360" i="15"/>
  <c r="Q360" i="15"/>
  <c r="O360" i="15"/>
  <c r="N360" i="15"/>
  <c r="M360" i="15"/>
  <c r="L360" i="15"/>
  <c r="K360" i="15"/>
  <c r="J360" i="15"/>
  <c r="I360" i="15"/>
  <c r="H360" i="15"/>
  <c r="G360" i="15"/>
  <c r="F360" i="15"/>
  <c r="E360" i="15"/>
  <c r="D360" i="15"/>
  <c r="C360" i="15"/>
  <c r="B360" i="15"/>
  <c r="A360" i="15"/>
  <c r="Y359" i="15"/>
  <c r="X359" i="15"/>
  <c r="W359" i="15"/>
  <c r="V359" i="15"/>
  <c r="U359" i="15"/>
  <c r="S359" i="15"/>
  <c r="R359" i="15"/>
  <c r="Q359" i="15"/>
  <c r="O359" i="15"/>
  <c r="N359" i="15"/>
  <c r="M359" i="15"/>
  <c r="L359" i="15"/>
  <c r="K359" i="15"/>
  <c r="J359" i="15"/>
  <c r="I359" i="15"/>
  <c r="H359" i="15"/>
  <c r="G359" i="15"/>
  <c r="F359" i="15"/>
  <c r="E359" i="15"/>
  <c r="D359" i="15"/>
  <c r="C359" i="15"/>
  <c r="B359" i="15"/>
  <c r="A359" i="15"/>
  <c r="Y358" i="15"/>
  <c r="X358" i="15"/>
  <c r="W358" i="15"/>
  <c r="V358" i="15"/>
  <c r="U358" i="15"/>
  <c r="S358" i="15"/>
  <c r="R358" i="15"/>
  <c r="Q358" i="15"/>
  <c r="O358" i="15"/>
  <c r="N358" i="15"/>
  <c r="M358" i="15"/>
  <c r="L358" i="15"/>
  <c r="K358" i="15"/>
  <c r="J358" i="15"/>
  <c r="I358" i="15"/>
  <c r="H358" i="15"/>
  <c r="G358" i="15"/>
  <c r="F358" i="15"/>
  <c r="E358" i="15"/>
  <c r="D358" i="15"/>
  <c r="C358" i="15"/>
  <c r="B358" i="15"/>
  <c r="A358" i="15"/>
  <c r="Y357" i="15"/>
  <c r="X357" i="15"/>
  <c r="W357" i="15"/>
  <c r="U357" i="15"/>
  <c r="S357" i="15"/>
  <c r="R357" i="15"/>
  <c r="Q357" i="15"/>
  <c r="O357" i="15"/>
  <c r="N357" i="15"/>
  <c r="M357" i="15"/>
  <c r="L357" i="15"/>
  <c r="K357" i="15"/>
  <c r="J357" i="15"/>
  <c r="I357" i="15"/>
  <c r="H357" i="15"/>
  <c r="G357" i="15"/>
  <c r="F357" i="15"/>
  <c r="E357" i="15"/>
  <c r="D357" i="15"/>
  <c r="C357" i="15"/>
  <c r="B357" i="15"/>
  <c r="A357" i="15"/>
  <c r="Y356" i="15"/>
  <c r="X356" i="15"/>
  <c r="W356" i="15"/>
  <c r="V356" i="15"/>
  <c r="U356" i="15"/>
  <c r="S356" i="15"/>
  <c r="R356" i="15"/>
  <c r="Q356" i="15"/>
  <c r="O356" i="15"/>
  <c r="N356" i="15"/>
  <c r="M356" i="15"/>
  <c r="L356" i="15"/>
  <c r="K356" i="15"/>
  <c r="J356" i="15"/>
  <c r="I356" i="15"/>
  <c r="H356" i="15"/>
  <c r="G356" i="15"/>
  <c r="F356" i="15"/>
  <c r="E356" i="15"/>
  <c r="D356" i="15"/>
  <c r="C356" i="15"/>
  <c r="B356" i="15"/>
  <c r="A356" i="15"/>
  <c r="Y355" i="15"/>
  <c r="X355" i="15"/>
  <c r="W355" i="15"/>
  <c r="V355" i="15"/>
  <c r="U355" i="15"/>
  <c r="S355" i="15"/>
  <c r="R355" i="15"/>
  <c r="Q355" i="15"/>
  <c r="O355" i="15"/>
  <c r="N355" i="15"/>
  <c r="M355" i="15"/>
  <c r="L355" i="15"/>
  <c r="K355" i="15"/>
  <c r="J355" i="15"/>
  <c r="I355" i="15"/>
  <c r="H355" i="15"/>
  <c r="G355" i="15"/>
  <c r="F355" i="15"/>
  <c r="E355" i="15"/>
  <c r="D355" i="15"/>
  <c r="C355" i="15"/>
  <c r="B355" i="15"/>
  <c r="A355" i="15"/>
  <c r="Y354" i="15"/>
  <c r="X354" i="15"/>
  <c r="W354" i="15"/>
  <c r="V354" i="15"/>
  <c r="U354" i="15"/>
  <c r="S354" i="15"/>
  <c r="R354" i="15"/>
  <c r="Q354" i="15"/>
  <c r="O354" i="15"/>
  <c r="N354" i="15"/>
  <c r="M354" i="15"/>
  <c r="L354" i="15"/>
  <c r="K354" i="15"/>
  <c r="J354" i="15"/>
  <c r="I354" i="15"/>
  <c r="G354" i="15"/>
  <c r="F354" i="15"/>
  <c r="E354" i="15"/>
  <c r="D354" i="15"/>
  <c r="C354" i="15"/>
  <c r="B354" i="15"/>
  <c r="A354" i="15"/>
  <c r="Y353" i="15"/>
  <c r="X353" i="15"/>
  <c r="W353" i="15"/>
  <c r="V353" i="15"/>
  <c r="U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D353" i="15"/>
  <c r="C353" i="15"/>
  <c r="B353" i="15"/>
  <c r="A353" i="15"/>
  <c r="Y352" i="15"/>
  <c r="X352" i="15"/>
  <c r="W352" i="15"/>
  <c r="V352" i="15"/>
  <c r="U352" i="15"/>
  <c r="S352" i="15"/>
  <c r="R352" i="15"/>
  <c r="Q352" i="15"/>
  <c r="O352" i="15"/>
  <c r="N352" i="15"/>
  <c r="M352" i="15"/>
  <c r="L352" i="15"/>
  <c r="K352" i="15"/>
  <c r="J352" i="15"/>
  <c r="I352" i="15"/>
  <c r="H352" i="15"/>
  <c r="G352" i="15"/>
  <c r="F352" i="15"/>
  <c r="E352" i="15"/>
  <c r="D352" i="15"/>
  <c r="C352" i="15"/>
  <c r="B352" i="15"/>
  <c r="A352" i="15"/>
  <c r="Y351" i="15"/>
  <c r="X351" i="15"/>
  <c r="W351" i="15"/>
  <c r="V351" i="15"/>
  <c r="U351" i="15"/>
  <c r="S351" i="15"/>
  <c r="R351" i="15"/>
  <c r="Q351" i="15"/>
  <c r="O351" i="15"/>
  <c r="N351" i="15"/>
  <c r="M351" i="15"/>
  <c r="L351" i="15"/>
  <c r="K351" i="15"/>
  <c r="J351" i="15"/>
  <c r="I351" i="15"/>
  <c r="H351" i="15"/>
  <c r="G351" i="15"/>
  <c r="F351" i="15"/>
  <c r="E351" i="15"/>
  <c r="D351" i="15"/>
  <c r="C351" i="15"/>
  <c r="B351" i="15"/>
  <c r="A351" i="15"/>
  <c r="Y350" i="15"/>
  <c r="X350" i="15"/>
  <c r="W350" i="15"/>
  <c r="U350" i="15"/>
  <c r="S350" i="15"/>
  <c r="R350" i="15"/>
  <c r="Q350" i="15"/>
  <c r="O350" i="15"/>
  <c r="N350" i="15"/>
  <c r="M350" i="15"/>
  <c r="L350" i="15"/>
  <c r="K350" i="15"/>
  <c r="J350" i="15"/>
  <c r="I350" i="15"/>
  <c r="H350" i="15"/>
  <c r="G350" i="15"/>
  <c r="F350" i="15"/>
  <c r="E350" i="15"/>
  <c r="D350" i="15"/>
  <c r="C350" i="15"/>
  <c r="B350" i="15"/>
  <c r="A350" i="15"/>
  <c r="Y349" i="15"/>
  <c r="X349" i="15"/>
  <c r="W349" i="15"/>
  <c r="V349" i="15"/>
  <c r="U349" i="15"/>
  <c r="S349" i="15"/>
  <c r="R349" i="15"/>
  <c r="Q349" i="15"/>
  <c r="O349" i="15"/>
  <c r="N349" i="15"/>
  <c r="M349" i="15"/>
  <c r="L349" i="15"/>
  <c r="K349" i="15"/>
  <c r="J349" i="15"/>
  <c r="I349" i="15"/>
  <c r="H349" i="15"/>
  <c r="G349" i="15"/>
  <c r="F349" i="15"/>
  <c r="E349" i="15"/>
  <c r="D349" i="15"/>
  <c r="C349" i="15"/>
  <c r="B349" i="15"/>
  <c r="A349" i="15"/>
  <c r="Y348" i="15"/>
  <c r="X348" i="15"/>
  <c r="W348" i="15"/>
  <c r="V348" i="15"/>
  <c r="U348" i="15"/>
  <c r="S348" i="15"/>
  <c r="R348" i="15"/>
  <c r="Q348" i="15"/>
  <c r="O348" i="15"/>
  <c r="N348" i="15"/>
  <c r="M348" i="15"/>
  <c r="L348" i="15"/>
  <c r="K348" i="15"/>
  <c r="J348" i="15"/>
  <c r="I348" i="15"/>
  <c r="H348" i="15"/>
  <c r="G348" i="15"/>
  <c r="F348" i="15"/>
  <c r="E348" i="15"/>
  <c r="D348" i="15"/>
  <c r="C348" i="15"/>
  <c r="B348" i="15"/>
  <c r="A348" i="15"/>
  <c r="Y347" i="15"/>
  <c r="X347" i="15"/>
  <c r="W347" i="15"/>
  <c r="V347" i="15"/>
  <c r="U347" i="15"/>
  <c r="S347" i="15"/>
  <c r="R347" i="15"/>
  <c r="Q347" i="15"/>
  <c r="O347" i="15"/>
  <c r="N347" i="15"/>
  <c r="M347" i="15"/>
  <c r="L347" i="15"/>
  <c r="K347" i="15"/>
  <c r="J347" i="15"/>
  <c r="I347" i="15"/>
  <c r="H347" i="15"/>
  <c r="G347" i="15"/>
  <c r="F347" i="15"/>
  <c r="E347" i="15"/>
  <c r="D347" i="15"/>
  <c r="C347" i="15"/>
  <c r="B347" i="15"/>
  <c r="A347" i="15"/>
  <c r="Y346" i="15"/>
  <c r="X346" i="15"/>
  <c r="W346" i="15"/>
  <c r="V346" i="15"/>
  <c r="U346" i="15"/>
  <c r="S346" i="15"/>
  <c r="R346" i="15"/>
  <c r="Q346" i="15"/>
  <c r="O346" i="15"/>
  <c r="N346" i="15"/>
  <c r="M346" i="15"/>
  <c r="L346" i="15"/>
  <c r="K346" i="15"/>
  <c r="J346" i="15"/>
  <c r="I346" i="15"/>
  <c r="H346" i="15"/>
  <c r="G346" i="15"/>
  <c r="F346" i="15"/>
  <c r="E346" i="15"/>
  <c r="D346" i="15"/>
  <c r="C346" i="15"/>
  <c r="B346" i="15"/>
  <c r="A346" i="15"/>
  <c r="Y345" i="15"/>
  <c r="X345" i="15"/>
  <c r="W345" i="15"/>
  <c r="V345" i="15"/>
  <c r="U345" i="15"/>
  <c r="S345" i="15"/>
  <c r="R345" i="15"/>
  <c r="Q345" i="15"/>
  <c r="O345" i="15"/>
  <c r="N345" i="15"/>
  <c r="M345" i="15"/>
  <c r="L345" i="15"/>
  <c r="K345" i="15"/>
  <c r="J345" i="15"/>
  <c r="I345" i="15"/>
  <c r="G345" i="15"/>
  <c r="F345" i="15"/>
  <c r="E345" i="15"/>
  <c r="D345" i="15"/>
  <c r="C345" i="15"/>
  <c r="B345" i="15"/>
  <c r="A345" i="15"/>
  <c r="Y344" i="15"/>
  <c r="X344" i="15"/>
  <c r="W344" i="15"/>
  <c r="V344" i="15"/>
  <c r="U344" i="15"/>
  <c r="S344" i="15"/>
  <c r="R344" i="15"/>
  <c r="Q344" i="15"/>
  <c r="O344" i="15"/>
  <c r="N344" i="15"/>
  <c r="M344" i="15"/>
  <c r="L344" i="15"/>
  <c r="K344" i="15"/>
  <c r="J344" i="15"/>
  <c r="I344" i="15"/>
  <c r="H344" i="15"/>
  <c r="G344" i="15"/>
  <c r="F344" i="15"/>
  <c r="E344" i="15"/>
  <c r="D344" i="15"/>
  <c r="C344" i="15"/>
  <c r="B344" i="15"/>
  <c r="A344" i="15"/>
  <c r="Y343" i="15"/>
  <c r="X343" i="15"/>
  <c r="W343" i="15"/>
  <c r="V343" i="15"/>
  <c r="U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D343" i="15"/>
  <c r="C343" i="15"/>
  <c r="B343" i="15"/>
  <c r="A343" i="15"/>
  <c r="Y342" i="15"/>
  <c r="X342" i="15"/>
  <c r="U342" i="15"/>
  <c r="T342" i="15"/>
  <c r="S342" i="15"/>
  <c r="R342" i="15"/>
  <c r="Q342" i="15"/>
  <c r="O342" i="15"/>
  <c r="N342" i="15"/>
  <c r="M342" i="15"/>
  <c r="L342" i="15"/>
  <c r="K342" i="15"/>
  <c r="J342" i="15"/>
  <c r="I342" i="15"/>
  <c r="G342" i="15"/>
  <c r="F342" i="15"/>
  <c r="E342" i="15"/>
  <c r="D342" i="15"/>
  <c r="C342" i="15"/>
  <c r="B342" i="15"/>
  <c r="A342" i="15"/>
  <c r="Y341" i="15"/>
  <c r="X341" i="15"/>
  <c r="W341" i="15"/>
  <c r="V341" i="15"/>
  <c r="U341" i="15"/>
  <c r="T341" i="15"/>
  <c r="S341" i="15"/>
  <c r="R341" i="15"/>
  <c r="Q341" i="15"/>
  <c r="O341" i="15"/>
  <c r="N341" i="15"/>
  <c r="M341" i="15"/>
  <c r="L341" i="15"/>
  <c r="K341" i="15"/>
  <c r="J341" i="15"/>
  <c r="I341" i="15"/>
  <c r="H341" i="15"/>
  <c r="G341" i="15"/>
  <c r="F341" i="15"/>
  <c r="E341" i="15"/>
  <c r="D341" i="15"/>
  <c r="C341" i="15"/>
  <c r="B341" i="15"/>
  <c r="A341" i="15"/>
  <c r="Y340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G340" i="15"/>
  <c r="F340" i="15"/>
  <c r="E340" i="15"/>
  <c r="D340" i="15"/>
  <c r="C340" i="15"/>
  <c r="B340" i="15"/>
  <c r="A340" i="15"/>
  <c r="Y339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D339" i="15"/>
  <c r="C339" i="15"/>
  <c r="B339" i="15"/>
  <c r="A339" i="15"/>
  <c r="Y338" i="15"/>
  <c r="X338" i="15"/>
  <c r="W338" i="15"/>
  <c r="V338" i="15"/>
  <c r="U338" i="15"/>
  <c r="S338" i="15"/>
  <c r="R338" i="15"/>
  <c r="Q338" i="15"/>
  <c r="O338" i="15"/>
  <c r="N338" i="15"/>
  <c r="M338" i="15"/>
  <c r="L338" i="15"/>
  <c r="K338" i="15"/>
  <c r="J338" i="15"/>
  <c r="I338" i="15"/>
  <c r="G338" i="15"/>
  <c r="F338" i="15"/>
  <c r="E338" i="15"/>
  <c r="D338" i="15"/>
  <c r="C338" i="15"/>
  <c r="B338" i="15"/>
  <c r="A338" i="15"/>
  <c r="Y337" i="15"/>
  <c r="X337" i="15"/>
  <c r="W337" i="15"/>
  <c r="V337" i="15"/>
  <c r="U337" i="15"/>
  <c r="S337" i="15"/>
  <c r="R337" i="15"/>
  <c r="Q337" i="15"/>
  <c r="O337" i="15"/>
  <c r="N337" i="15"/>
  <c r="M337" i="15"/>
  <c r="L337" i="15"/>
  <c r="K337" i="15"/>
  <c r="J337" i="15"/>
  <c r="I337" i="15"/>
  <c r="G337" i="15"/>
  <c r="F337" i="15"/>
  <c r="E337" i="15"/>
  <c r="D337" i="15"/>
  <c r="C337" i="15"/>
  <c r="B337" i="15"/>
  <c r="A337" i="15"/>
  <c r="Y336" i="15"/>
  <c r="X336" i="15"/>
  <c r="W336" i="15"/>
  <c r="V336" i="15"/>
  <c r="U336" i="15"/>
  <c r="S336" i="15"/>
  <c r="R336" i="15"/>
  <c r="Q336" i="15"/>
  <c r="O336" i="15"/>
  <c r="N336" i="15"/>
  <c r="M336" i="15"/>
  <c r="L336" i="15"/>
  <c r="K336" i="15"/>
  <c r="J336" i="15"/>
  <c r="I336" i="15"/>
  <c r="G336" i="15"/>
  <c r="F336" i="15"/>
  <c r="E336" i="15"/>
  <c r="D336" i="15"/>
  <c r="C336" i="15"/>
  <c r="B336" i="15"/>
  <c r="A336" i="15"/>
  <c r="Y335" i="15"/>
  <c r="X335" i="15"/>
  <c r="W335" i="15"/>
  <c r="V335" i="15"/>
  <c r="U335" i="15"/>
  <c r="S335" i="15"/>
  <c r="R335" i="15"/>
  <c r="Q335" i="15"/>
  <c r="O335" i="15"/>
  <c r="N335" i="15"/>
  <c r="M335" i="15"/>
  <c r="L335" i="15"/>
  <c r="K335" i="15"/>
  <c r="J335" i="15"/>
  <c r="I335" i="15"/>
  <c r="G335" i="15"/>
  <c r="F335" i="15"/>
  <c r="E335" i="15"/>
  <c r="D335" i="15"/>
  <c r="C335" i="15"/>
  <c r="B335" i="15"/>
  <c r="A335" i="15"/>
  <c r="Y334" i="15"/>
  <c r="X334" i="15"/>
  <c r="W334" i="15"/>
  <c r="V334" i="15"/>
  <c r="U334" i="15"/>
  <c r="T334" i="15"/>
  <c r="S334" i="15"/>
  <c r="R334" i="15"/>
  <c r="Q334" i="15"/>
  <c r="O334" i="15"/>
  <c r="N334" i="15"/>
  <c r="M334" i="15"/>
  <c r="L334" i="15"/>
  <c r="K334" i="15"/>
  <c r="J334" i="15"/>
  <c r="I334" i="15"/>
  <c r="H334" i="15"/>
  <c r="G334" i="15"/>
  <c r="F334" i="15"/>
  <c r="E334" i="15"/>
  <c r="D334" i="15"/>
  <c r="C334" i="15"/>
  <c r="B334" i="15"/>
  <c r="A334" i="15"/>
  <c r="Y333" i="15"/>
  <c r="X333" i="15"/>
  <c r="W333" i="15"/>
  <c r="U333" i="15"/>
  <c r="T333" i="15"/>
  <c r="S333" i="15"/>
  <c r="R333" i="15"/>
  <c r="Q333" i="15"/>
  <c r="O333" i="15"/>
  <c r="N333" i="15"/>
  <c r="M333" i="15"/>
  <c r="L333" i="15"/>
  <c r="K333" i="15"/>
  <c r="J333" i="15"/>
  <c r="I333" i="15"/>
  <c r="H333" i="15"/>
  <c r="G333" i="15"/>
  <c r="F333" i="15"/>
  <c r="E333" i="15"/>
  <c r="D333" i="15"/>
  <c r="C333" i="15"/>
  <c r="B333" i="15"/>
  <c r="A333" i="15"/>
  <c r="Y332" i="15"/>
  <c r="X332" i="15"/>
  <c r="W332" i="15"/>
  <c r="V332" i="15"/>
  <c r="U332" i="15"/>
  <c r="T332" i="15"/>
  <c r="S332" i="15"/>
  <c r="R332" i="15"/>
  <c r="Q332" i="15"/>
  <c r="O332" i="15"/>
  <c r="N332" i="15"/>
  <c r="M332" i="15"/>
  <c r="L332" i="15"/>
  <c r="K332" i="15"/>
  <c r="J332" i="15"/>
  <c r="I332" i="15"/>
  <c r="H332" i="15"/>
  <c r="G332" i="15"/>
  <c r="F332" i="15"/>
  <c r="E332" i="15"/>
  <c r="D332" i="15"/>
  <c r="C332" i="15"/>
  <c r="B332" i="15"/>
  <c r="A332" i="15"/>
  <c r="Y331" i="15"/>
  <c r="X331" i="15"/>
  <c r="W331" i="15"/>
  <c r="V331" i="15"/>
  <c r="U331" i="15"/>
  <c r="T331" i="15"/>
  <c r="S331" i="15"/>
  <c r="R331" i="15"/>
  <c r="Q331" i="15"/>
  <c r="O331" i="15"/>
  <c r="N331" i="15"/>
  <c r="M331" i="15"/>
  <c r="L331" i="15"/>
  <c r="K331" i="15"/>
  <c r="J331" i="15"/>
  <c r="I331" i="15"/>
  <c r="G331" i="15"/>
  <c r="F331" i="15"/>
  <c r="E331" i="15"/>
  <c r="D331" i="15"/>
  <c r="C331" i="15"/>
  <c r="B331" i="15"/>
  <c r="A331" i="15"/>
  <c r="Y330" i="15"/>
  <c r="X330" i="15"/>
  <c r="W330" i="15"/>
  <c r="V330" i="15"/>
  <c r="U330" i="15"/>
  <c r="S330" i="15"/>
  <c r="R330" i="15"/>
  <c r="Q330" i="15"/>
  <c r="P330" i="15"/>
  <c r="O330" i="15"/>
  <c r="N330" i="15"/>
  <c r="M330" i="15"/>
  <c r="L330" i="15"/>
  <c r="K330" i="15"/>
  <c r="J330" i="15"/>
  <c r="I330" i="15"/>
  <c r="G330" i="15"/>
  <c r="F330" i="15"/>
  <c r="E330" i="15"/>
  <c r="D330" i="15"/>
  <c r="C330" i="15"/>
  <c r="B330" i="15"/>
  <c r="A330" i="15"/>
  <c r="Y329" i="15"/>
  <c r="X329" i="15"/>
  <c r="W329" i="15"/>
  <c r="V329" i="15"/>
  <c r="U329" i="15"/>
  <c r="S329" i="15"/>
  <c r="R329" i="15"/>
  <c r="Q329" i="15"/>
  <c r="O329" i="15"/>
  <c r="N329" i="15"/>
  <c r="M329" i="15"/>
  <c r="L329" i="15"/>
  <c r="K329" i="15"/>
  <c r="J329" i="15"/>
  <c r="I329" i="15"/>
  <c r="H329" i="15"/>
  <c r="G329" i="15"/>
  <c r="F329" i="15"/>
  <c r="E329" i="15"/>
  <c r="D329" i="15"/>
  <c r="C329" i="15"/>
  <c r="B329" i="15"/>
  <c r="A329" i="15"/>
  <c r="Y328" i="15"/>
  <c r="X328" i="15"/>
  <c r="W328" i="15"/>
  <c r="V328" i="15"/>
  <c r="U328" i="15"/>
  <c r="S328" i="15"/>
  <c r="R328" i="15"/>
  <c r="Q328" i="15"/>
  <c r="O328" i="15"/>
  <c r="N328" i="15"/>
  <c r="M328" i="15"/>
  <c r="L328" i="15"/>
  <c r="K328" i="15"/>
  <c r="J328" i="15"/>
  <c r="I328" i="15"/>
  <c r="H328" i="15"/>
  <c r="G328" i="15"/>
  <c r="F328" i="15"/>
  <c r="E328" i="15"/>
  <c r="D328" i="15"/>
  <c r="C328" i="15"/>
  <c r="B328" i="15"/>
  <c r="A328" i="15"/>
  <c r="Y327" i="15"/>
  <c r="X327" i="15"/>
  <c r="W327" i="15"/>
  <c r="V327" i="15"/>
  <c r="U327" i="15"/>
  <c r="S327" i="15"/>
  <c r="R327" i="15"/>
  <c r="Q327" i="15"/>
  <c r="O327" i="15"/>
  <c r="N327" i="15"/>
  <c r="M327" i="15"/>
  <c r="L327" i="15"/>
  <c r="K327" i="15"/>
  <c r="J327" i="15"/>
  <c r="I327" i="15"/>
  <c r="H327" i="15"/>
  <c r="G327" i="15"/>
  <c r="F327" i="15"/>
  <c r="E327" i="15"/>
  <c r="D327" i="15"/>
  <c r="C327" i="15"/>
  <c r="B327" i="15"/>
  <c r="A327" i="15"/>
  <c r="Y326" i="15"/>
  <c r="X326" i="15"/>
  <c r="W326" i="15"/>
  <c r="V326" i="15"/>
  <c r="U326" i="15"/>
  <c r="T326" i="15"/>
  <c r="S326" i="15"/>
  <c r="R326" i="15"/>
  <c r="Q326" i="15"/>
  <c r="O326" i="15"/>
  <c r="N326" i="15"/>
  <c r="M326" i="15"/>
  <c r="L326" i="15"/>
  <c r="K326" i="15"/>
  <c r="J326" i="15"/>
  <c r="I326" i="15"/>
  <c r="H326" i="15"/>
  <c r="G326" i="15"/>
  <c r="F326" i="15"/>
  <c r="E326" i="15"/>
  <c r="D326" i="15"/>
  <c r="C326" i="15"/>
  <c r="B326" i="15"/>
  <c r="A326" i="15"/>
  <c r="Y325" i="15"/>
  <c r="X325" i="15"/>
  <c r="W325" i="15"/>
  <c r="V325" i="15"/>
  <c r="U325" i="15"/>
  <c r="T325" i="15"/>
  <c r="S325" i="15"/>
  <c r="R325" i="15"/>
  <c r="Q325" i="15"/>
  <c r="O325" i="15"/>
  <c r="N325" i="15"/>
  <c r="M325" i="15"/>
  <c r="L325" i="15"/>
  <c r="K325" i="15"/>
  <c r="J325" i="15"/>
  <c r="I325" i="15"/>
  <c r="H325" i="15"/>
  <c r="G325" i="15"/>
  <c r="F325" i="15"/>
  <c r="E325" i="15"/>
  <c r="D325" i="15"/>
  <c r="C325" i="15"/>
  <c r="B325" i="15"/>
  <c r="A325" i="15"/>
  <c r="Y324" i="15"/>
  <c r="X324" i="15"/>
  <c r="W324" i="15"/>
  <c r="U324" i="15"/>
  <c r="T324" i="15"/>
  <c r="S324" i="15"/>
  <c r="R324" i="15"/>
  <c r="Q324" i="15"/>
  <c r="O324" i="15"/>
  <c r="N324" i="15"/>
  <c r="M324" i="15"/>
  <c r="L324" i="15"/>
  <c r="K324" i="15"/>
  <c r="J324" i="15"/>
  <c r="I324" i="15"/>
  <c r="H324" i="15"/>
  <c r="G324" i="15"/>
  <c r="F324" i="15"/>
  <c r="E324" i="15"/>
  <c r="D324" i="15"/>
  <c r="C324" i="15"/>
  <c r="B324" i="15"/>
  <c r="A324" i="15"/>
  <c r="Y323" i="15"/>
  <c r="X323" i="15"/>
  <c r="W323" i="15"/>
  <c r="V323" i="15"/>
  <c r="U323" i="15"/>
  <c r="T323" i="15"/>
  <c r="S323" i="15"/>
  <c r="R323" i="15"/>
  <c r="Q323" i="15"/>
  <c r="O323" i="15"/>
  <c r="N323" i="15"/>
  <c r="M323" i="15"/>
  <c r="L323" i="15"/>
  <c r="K323" i="15"/>
  <c r="J323" i="15"/>
  <c r="I323" i="15"/>
  <c r="H323" i="15"/>
  <c r="G323" i="15"/>
  <c r="F323" i="15"/>
  <c r="E323" i="15"/>
  <c r="D323" i="15"/>
  <c r="C323" i="15"/>
  <c r="B323" i="15"/>
  <c r="A323" i="15"/>
  <c r="Y322" i="15"/>
  <c r="X322" i="15"/>
  <c r="W322" i="15"/>
  <c r="V322" i="15"/>
  <c r="U322" i="15"/>
  <c r="S322" i="15"/>
  <c r="R322" i="15"/>
  <c r="Q322" i="15"/>
  <c r="P322" i="15"/>
  <c r="O322" i="15"/>
  <c r="N322" i="15"/>
  <c r="M322" i="15"/>
  <c r="L322" i="15"/>
  <c r="K322" i="15"/>
  <c r="J322" i="15"/>
  <c r="I322" i="15"/>
  <c r="G322" i="15"/>
  <c r="F322" i="15"/>
  <c r="E322" i="15"/>
  <c r="D322" i="15"/>
  <c r="C322" i="15"/>
  <c r="B322" i="15"/>
  <c r="A322" i="15"/>
  <c r="Y321" i="15"/>
  <c r="X321" i="15"/>
  <c r="W321" i="15"/>
  <c r="V321" i="15"/>
  <c r="U321" i="15"/>
  <c r="S321" i="15"/>
  <c r="R321" i="15"/>
  <c r="Q321" i="15"/>
  <c r="O321" i="15"/>
  <c r="N321" i="15"/>
  <c r="M321" i="15"/>
  <c r="L321" i="15"/>
  <c r="K321" i="15"/>
  <c r="J321" i="15"/>
  <c r="I321" i="15"/>
  <c r="H321" i="15"/>
  <c r="G321" i="15"/>
  <c r="F321" i="15"/>
  <c r="E321" i="15"/>
  <c r="D321" i="15"/>
  <c r="C321" i="15"/>
  <c r="B321" i="15"/>
  <c r="A321" i="15"/>
  <c r="Y320" i="15"/>
  <c r="X320" i="15"/>
  <c r="W320" i="15"/>
  <c r="V320" i="15"/>
  <c r="U320" i="15"/>
  <c r="S320" i="15"/>
  <c r="R320" i="15"/>
  <c r="Q320" i="15"/>
  <c r="O320" i="15"/>
  <c r="N320" i="15"/>
  <c r="M320" i="15"/>
  <c r="L320" i="15"/>
  <c r="K320" i="15"/>
  <c r="J320" i="15"/>
  <c r="I320" i="15"/>
  <c r="H320" i="15"/>
  <c r="G320" i="15"/>
  <c r="F320" i="15"/>
  <c r="E320" i="15"/>
  <c r="D320" i="15"/>
  <c r="C320" i="15"/>
  <c r="B320" i="15"/>
  <c r="A320" i="15"/>
  <c r="Y319" i="15"/>
  <c r="X319" i="15"/>
  <c r="W319" i="15"/>
  <c r="V319" i="15"/>
  <c r="U319" i="15"/>
  <c r="S319" i="15"/>
  <c r="R319" i="15"/>
  <c r="Q319" i="15"/>
  <c r="O319" i="15"/>
  <c r="N319" i="15"/>
  <c r="M319" i="15"/>
  <c r="L319" i="15"/>
  <c r="K319" i="15"/>
  <c r="J319" i="15"/>
  <c r="I319" i="15"/>
  <c r="G319" i="15"/>
  <c r="F319" i="15"/>
  <c r="E319" i="15"/>
  <c r="D319" i="15"/>
  <c r="C319" i="15"/>
  <c r="B319" i="15"/>
  <c r="A319" i="15"/>
  <c r="Y318" i="15"/>
  <c r="X318" i="15"/>
  <c r="U318" i="15"/>
  <c r="T318" i="15"/>
  <c r="S318" i="15"/>
  <c r="R318" i="15"/>
  <c r="Q318" i="15"/>
  <c r="O318" i="15"/>
  <c r="N318" i="15"/>
  <c r="M318" i="15"/>
  <c r="L318" i="15"/>
  <c r="K318" i="15"/>
  <c r="J318" i="15"/>
  <c r="I318" i="15"/>
  <c r="G318" i="15"/>
  <c r="F318" i="15"/>
  <c r="E318" i="15"/>
  <c r="D318" i="15"/>
  <c r="C318" i="15"/>
  <c r="B318" i="15"/>
  <c r="A318" i="15"/>
  <c r="Y317" i="15"/>
  <c r="X317" i="15"/>
  <c r="W317" i="15"/>
  <c r="V317" i="15"/>
  <c r="U317" i="15"/>
  <c r="T317" i="15"/>
  <c r="S317" i="15"/>
  <c r="R317" i="15"/>
  <c r="Q317" i="15"/>
  <c r="O317" i="15"/>
  <c r="N317" i="15"/>
  <c r="M317" i="15"/>
  <c r="L317" i="15"/>
  <c r="K317" i="15"/>
  <c r="J317" i="15"/>
  <c r="I317" i="15"/>
  <c r="G317" i="15"/>
  <c r="F317" i="15"/>
  <c r="E317" i="15"/>
  <c r="D317" i="15"/>
  <c r="C317" i="15"/>
  <c r="B317" i="15"/>
  <c r="A317" i="15"/>
  <c r="Y316" i="15"/>
  <c r="X316" i="15"/>
  <c r="W316" i="15"/>
  <c r="U316" i="15"/>
  <c r="T316" i="15"/>
  <c r="S316" i="15"/>
  <c r="R316" i="15"/>
  <c r="Q316" i="15"/>
  <c r="O316" i="15"/>
  <c r="N316" i="15"/>
  <c r="M316" i="15"/>
  <c r="L316" i="15"/>
  <c r="K316" i="15"/>
  <c r="J316" i="15"/>
  <c r="I316" i="15"/>
  <c r="H316" i="15"/>
  <c r="G316" i="15"/>
  <c r="F316" i="15"/>
  <c r="E316" i="15"/>
  <c r="D316" i="15"/>
  <c r="C316" i="15"/>
  <c r="B316" i="15"/>
  <c r="A316" i="15"/>
  <c r="Y315" i="15"/>
  <c r="X315" i="15"/>
  <c r="W315" i="15"/>
  <c r="U315" i="15"/>
  <c r="T315" i="15"/>
  <c r="S315" i="15"/>
  <c r="R315" i="15"/>
  <c r="Q315" i="15"/>
  <c r="O315" i="15"/>
  <c r="N315" i="15"/>
  <c r="M315" i="15"/>
  <c r="L315" i="15"/>
  <c r="K315" i="15"/>
  <c r="J315" i="15"/>
  <c r="I315" i="15"/>
  <c r="H315" i="15"/>
  <c r="G315" i="15"/>
  <c r="F315" i="15"/>
  <c r="E315" i="15"/>
  <c r="D315" i="15"/>
  <c r="C315" i="15"/>
  <c r="B315" i="15"/>
  <c r="A315" i="15"/>
  <c r="Y314" i="15"/>
  <c r="U314" i="15"/>
  <c r="S314" i="15"/>
  <c r="R314" i="15"/>
  <c r="Q314" i="15"/>
  <c r="P314" i="15"/>
  <c r="O314" i="15"/>
  <c r="N314" i="15"/>
  <c r="M314" i="15"/>
  <c r="L314" i="15"/>
  <c r="K314" i="15"/>
  <c r="J314" i="15"/>
  <c r="I314" i="15"/>
  <c r="G314" i="15"/>
  <c r="F314" i="15"/>
  <c r="E314" i="15"/>
  <c r="D314" i="15"/>
  <c r="C314" i="15"/>
  <c r="B314" i="15"/>
  <c r="A314" i="15"/>
  <c r="Y313" i="15"/>
  <c r="U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D313" i="15"/>
  <c r="C313" i="15"/>
  <c r="B313" i="15"/>
  <c r="A313" i="15"/>
  <c r="Y312" i="15"/>
  <c r="X312" i="15"/>
  <c r="W312" i="15"/>
  <c r="V312" i="15"/>
  <c r="U312" i="15"/>
  <c r="S312" i="15"/>
  <c r="R312" i="15"/>
  <c r="Q312" i="15"/>
  <c r="O312" i="15"/>
  <c r="N312" i="15"/>
  <c r="M312" i="15"/>
  <c r="L312" i="15"/>
  <c r="K312" i="15"/>
  <c r="J312" i="15"/>
  <c r="I312" i="15"/>
  <c r="H312" i="15"/>
  <c r="G312" i="15"/>
  <c r="F312" i="15"/>
  <c r="E312" i="15"/>
  <c r="D312" i="15"/>
  <c r="C312" i="15"/>
  <c r="B312" i="15"/>
  <c r="A312" i="15"/>
  <c r="Y311" i="15"/>
  <c r="X311" i="15"/>
  <c r="W311" i="15"/>
  <c r="V311" i="15"/>
  <c r="U311" i="15"/>
  <c r="S311" i="15"/>
  <c r="R311" i="15"/>
  <c r="Q311" i="15"/>
  <c r="O311" i="15"/>
  <c r="N311" i="15"/>
  <c r="M311" i="15"/>
  <c r="L311" i="15"/>
  <c r="K311" i="15"/>
  <c r="J311" i="15"/>
  <c r="I311" i="15"/>
  <c r="H311" i="15"/>
  <c r="G311" i="15"/>
  <c r="F311" i="15"/>
  <c r="E311" i="15"/>
  <c r="D311" i="15"/>
  <c r="C311" i="15"/>
  <c r="B311" i="15"/>
  <c r="A311" i="15"/>
  <c r="U310" i="15"/>
  <c r="T310" i="15"/>
  <c r="S310" i="15"/>
  <c r="R310" i="15"/>
  <c r="Q310" i="15"/>
  <c r="P310" i="15"/>
  <c r="G310" i="15"/>
  <c r="D310" i="15"/>
  <c r="C310" i="15"/>
  <c r="B310" i="15"/>
  <c r="A310" i="15"/>
  <c r="U309" i="15"/>
  <c r="T309" i="15"/>
  <c r="S309" i="15"/>
  <c r="R309" i="15"/>
  <c r="Q309" i="15"/>
  <c r="P309" i="15"/>
  <c r="G309" i="15"/>
  <c r="D309" i="15"/>
  <c r="C309" i="15"/>
  <c r="B309" i="15"/>
  <c r="A309" i="15"/>
  <c r="Y308" i="15"/>
  <c r="X308" i="15"/>
  <c r="W308" i="15"/>
  <c r="V308" i="15"/>
  <c r="U308" i="15"/>
  <c r="T308" i="15"/>
  <c r="S308" i="15"/>
  <c r="R308" i="15"/>
  <c r="Q308" i="15"/>
  <c r="O308" i="15"/>
  <c r="N308" i="15"/>
  <c r="M308" i="15"/>
  <c r="L308" i="15"/>
  <c r="K308" i="15"/>
  <c r="J308" i="15"/>
  <c r="I308" i="15"/>
  <c r="H308" i="15"/>
  <c r="G308" i="15"/>
  <c r="F308" i="15"/>
  <c r="E308" i="15"/>
  <c r="D308" i="15"/>
  <c r="C308" i="15"/>
  <c r="B308" i="15"/>
  <c r="A308" i="15"/>
  <c r="Y307" i="15"/>
  <c r="X307" i="15"/>
  <c r="W307" i="15"/>
  <c r="V307" i="15"/>
  <c r="U307" i="15"/>
  <c r="T307" i="15"/>
  <c r="S307" i="15"/>
  <c r="R307" i="15"/>
  <c r="Q307" i="15"/>
  <c r="O307" i="15"/>
  <c r="N307" i="15"/>
  <c r="M307" i="15"/>
  <c r="L307" i="15"/>
  <c r="K307" i="15"/>
  <c r="J307" i="15"/>
  <c r="I307" i="15"/>
  <c r="H307" i="15"/>
  <c r="G307" i="15"/>
  <c r="F307" i="15"/>
  <c r="E307" i="15"/>
  <c r="D307" i="15"/>
  <c r="C307" i="15"/>
  <c r="B307" i="15"/>
  <c r="A307" i="15"/>
  <c r="Y306" i="15"/>
  <c r="X306" i="15"/>
  <c r="W306" i="15"/>
  <c r="V306" i="15"/>
  <c r="U306" i="15"/>
  <c r="S306" i="15"/>
  <c r="R306" i="15"/>
  <c r="Q306" i="15"/>
  <c r="O306" i="15"/>
  <c r="N306" i="15"/>
  <c r="M306" i="15"/>
  <c r="L306" i="15"/>
  <c r="K306" i="15"/>
  <c r="J306" i="15"/>
  <c r="I306" i="15"/>
  <c r="H306" i="15"/>
  <c r="G306" i="15"/>
  <c r="F306" i="15"/>
  <c r="E306" i="15"/>
  <c r="D306" i="15"/>
  <c r="C306" i="15"/>
  <c r="B306" i="15"/>
  <c r="A306" i="15"/>
  <c r="Y305" i="15"/>
  <c r="X305" i="15"/>
  <c r="W305" i="15"/>
  <c r="V305" i="15"/>
  <c r="U305" i="15"/>
  <c r="S305" i="15"/>
  <c r="R305" i="15"/>
  <c r="Q305" i="15"/>
  <c r="O305" i="15"/>
  <c r="N305" i="15"/>
  <c r="M305" i="15"/>
  <c r="L305" i="15"/>
  <c r="K305" i="15"/>
  <c r="J305" i="15"/>
  <c r="I305" i="15"/>
  <c r="H305" i="15"/>
  <c r="G305" i="15"/>
  <c r="F305" i="15"/>
  <c r="E305" i="15"/>
  <c r="D305" i="15"/>
  <c r="C305" i="15"/>
  <c r="B305" i="15"/>
  <c r="A305" i="15"/>
  <c r="U304" i="15"/>
  <c r="S304" i="15"/>
  <c r="R304" i="15"/>
  <c r="Q304" i="15"/>
  <c r="P304" i="15"/>
  <c r="D304" i="15"/>
  <c r="C304" i="15"/>
  <c r="B304" i="15"/>
  <c r="A304" i="15"/>
  <c r="U303" i="15"/>
  <c r="S303" i="15"/>
  <c r="R303" i="15"/>
  <c r="Q303" i="15"/>
  <c r="P303" i="15"/>
  <c r="D303" i="15"/>
  <c r="C303" i="15"/>
  <c r="B303" i="15"/>
  <c r="A303" i="15"/>
  <c r="Y302" i="15"/>
  <c r="U302" i="15"/>
  <c r="T302" i="15"/>
  <c r="S302" i="15"/>
  <c r="R302" i="15"/>
  <c r="Q302" i="15"/>
  <c r="O302" i="15"/>
  <c r="N302" i="15"/>
  <c r="M302" i="15"/>
  <c r="L302" i="15"/>
  <c r="K302" i="15"/>
  <c r="J302" i="15"/>
  <c r="I302" i="15"/>
  <c r="H302" i="15"/>
  <c r="G302" i="15"/>
  <c r="F302" i="15"/>
  <c r="E302" i="15"/>
  <c r="D302" i="15"/>
  <c r="C302" i="15"/>
  <c r="B302" i="15"/>
  <c r="A302" i="15"/>
  <c r="Y301" i="15"/>
  <c r="X301" i="15"/>
  <c r="W301" i="15"/>
  <c r="V301" i="15"/>
  <c r="U301" i="15"/>
  <c r="T301" i="15"/>
  <c r="S301" i="15"/>
  <c r="R301" i="15"/>
  <c r="Q301" i="15"/>
  <c r="O301" i="15"/>
  <c r="N301" i="15"/>
  <c r="M301" i="15"/>
  <c r="L301" i="15"/>
  <c r="K301" i="15"/>
  <c r="J301" i="15"/>
  <c r="I301" i="15"/>
  <c r="H301" i="15"/>
  <c r="G301" i="15"/>
  <c r="F301" i="15"/>
  <c r="E301" i="15"/>
  <c r="D301" i="15"/>
  <c r="C301" i="15"/>
  <c r="B301" i="15"/>
  <c r="A301" i="15"/>
  <c r="Y300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D300" i="15"/>
  <c r="C300" i="15"/>
  <c r="B300" i="15"/>
  <c r="A300" i="15"/>
  <c r="Y299" i="15"/>
  <c r="X299" i="15"/>
  <c r="W299" i="15"/>
  <c r="V299" i="15"/>
  <c r="U299" i="15"/>
  <c r="T299" i="15"/>
  <c r="S299" i="15"/>
  <c r="R299" i="15"/>
  <c r="Q299" i="15"/>
  <c r="O299" i="15"/>
  <c r="N299" i="15"/>
  <c r="M299" i="15"/>
  <c r="L299" i="15"/>
  <c r="K299" i="15"/>
  <c r="J299" i="15"/>
  <c r="I299" i="15"/>
  <c r="H299" i="15"/>
  <c r="G299" i="15"/>
  <c r="F299" i="15"/>
  <c r="E299" i="15"/>
  <c r="D299" i="15"/>
  <c r="C299" i="15"/>
  <c r="B299" i="15"/>
  <c r="A299" i="15"/>
  <c r="Y298" i="15"/>
  <c r="X298" i="15"/>
  <c r="W298" i="15"/>
  <c r="V298" i="15"/>
  <c r="U298" i="15"/>
  <c r="S298" i="15"/>
  <c r="R298" i="15"/>
  <c r="Q298" i="15"/>
  <c r="O298" i="15"/>
  <c r="N298" i="15"/>
  <c r="M298" i="15"/>
  <c r="L298" i="15"/>
  <c r="K298" i="15"/>
  <c r="J298" i="15"/>
  <c r="I298" i="15"/>
  <c r="H298" i="15"/>
  <c r="G298" i="15"/>
  <c r="F298" i="15"/>
  <c r="E298" i="15"/>
  <c r="D298" i="15"/>
  <c r="C298" i="15"/>
  <c r="B298" i="15"/>
  <c r="A298" i="15"/>
  <c r="Y297" i="15"/>
  <c r="X297" i="15"/>
  <c r="W297" i="15"/>
  <c r="V297" i="15"/>
  <c r="U297" i="15"/>
  <c r="S297" i="15"/>
  <c r="R297" i="15"/>
  <c r="Q297" i="15"/>
  <c r="O297" i="15"/>
  <c r="N297" i="15"/>
  <c r="M297" i="15"/>
  <c r="L297" i="15"/>
  <c r="K297" i="15"/>
  <c r="J297" i="15"/>
  <c r="I297" i="15"/>
  <c r="H297" i="15"/>
  <c r="G297" i="15"/>
  <c r="F297" i="15"/>
  <c r="E297" i="15"/>
  <c r="D297" i="15"/>
  <c r="C297" i="15"/>
  <c r="B297" i="15"/>
  <c r="A297" i="15"/>
  <c r="Y296" i="15"/>
  <c r="X296" i="15"/>
  <c r="W296" i="15"/>
  <c r="V296" i="15"/>
  <c r="U296" i="15"/>
  <c r="S296" i="15"/>
  <c r="R296" i="15"/>
  <c r="Q296" i="15"/>
  <c r="O296" i="15"/>
  <c r="N296" i="15"/>
  <c r="M296" i="15"/>
  <c r="L296" i="15"/>
  <c r="K296" i="15"/>
  <c r="J296" i="15"/>
  <c r="I296" i="15"/>
  <c r="H296" i="15"/>
  <c r="G296" i="15"/>
  <c r="F296" i="15"/>
  <c r="E296" i="15"/>
  <c r="D296" i="15"/>
  <c r="C296" i="15"/>
  <c r="B296" i="15"/>
  <c r="A296" i="15"/>
  <c r="Y295" i="15"/>
  <c r="X295" i="15"/>
  <c r="W295" i="15"/>
  <c r="V295" i="15"/>
  <c r="U295" i="15"/>
  <c r="S295" i="15"/>
  <c r="R295" i="15"/>
  <c r="Q295" i="15"/>
  <c r="O295" i="15"/>
  <c r="N295" i="15"/>
  <c r="M295" i="15"/>
  <c r="L295" i="15"/>
  <c r="K295" i="15"/>
  <c r="J295" i="15"/>
  <c r="I295" i="15"/>
  <c r="H295" i="15"/>
  <c r="G295" i="15"/>
  <c r="F295" i="15"/>
  <c r="E295" i="15"/>
  <c r="D295" i="15"/>
  <c r="C295" i="15"/>
  <c r="B295" i="15"/>
  <c r="A295" i="15"/>
  <c r="Y294" i="15"/>
  <c r="X294" i="15"/>
  <c r="W294" i="15"/>
  <c r="V294" i="15"/>
  <c r="U294" i="15"/>
  <c r="T294" i="15"/>
  <c r="S294" i="15"/>
  <c r="R294" i="15"/>
  <c r="Q294" i="15"/>
  <c r="O294" i="15"/>
  <c r="N294" i="15"/>
  <c r="M294" i="15"/>
  <c r="L294" i="15"/>
  <c r="K294" i="15"/>
  <c r="J294" i="15"/>
  <c r="I294" i="15"/>
  <c r="H294" i="15"/>
  <c r="G294" i="15"/>
  <c r="F294" i="15"/>
  <c r="E294" i="15"/>
  <c r="D294" i="15"/>
  <c r="C294" i="15"/>
  <c r="B294" i="15"/>
  <c r="A294" i="15"/>
  <c r="Y293" i="15"/>
  <c r="X293" i="15"/>
  <c r="W293" i="15"/>
  <c r="V293" i="15"/>
  <c r="U293" i="15"/>
  <c r="T293" i="15"/>
  <c r="S293" i="15"/>
  <c r="R293" i="15"/>
  <c r="Q293" i="15"/>
  <c r="O293" i="15"/>
  <c r="N293" i="15"/>
  <c r="M293" i="15"/>
  <c r="L293" i="15"/>
  <c r="K293" i="15"/>
  <c r="J293" i="15"/>
  <c r="I293" i="15"/>
  <c r="H293" i="15"/>
  <c r="G293" i="15"/>
  <c r="F293" i="15"/>
  <c r="E293" i="15"/>
  <c r="D293" i="15"/>
  <c r="C293" i="15"/>
  <c r="B293" i="15"/>
  <c r="A293" i="15"/>
  <c r="Y292" i="15"/>
  <c r="X292" i="15"/>
  <c r="W292" i="15"/>
  <c r="V292" i="15"/>
  <c r="U292" i="15"/>
  <c r="T292" i="15"/>
  <c r="S292" i="15"/>
  <c r="R292" i="15"/>
  <c r="Q292" i="15"/>
  <c r="O292" i="15"/>
  <c r="N292" i="15"/>
  <c r="M292" i="15"/>
  <c r="L292" i="15"/>
  <c r="K292" i="15"/>
  <c r="J292" i="15"/>
  <c r="I292" i="15"/>
  <c r="H292" i="15"/>
  <c r="G292" i="15"/>
  <c r="F292" i="15"/>
  <c r="E292" i="15"/>
  <c r="D292" i="15"/>
  <c r="C292" i="15"/>
  <c r="B292" i="15"/>
  <c r="A292" i="15"/>
  <c r="Y291" i="15"/>
  <c r="X291" i="15"/>
  <c r="W291" i="15"/>
  <c r="U291" i="15"/>
  <c r="T291" i="15"/>
  <c r="S291" i="15"/>
  <c r="R291" i="15"/>
  <c r="Q291" i="15"/>
  <c r="O291" i="15"/>
  <c r="N291" i="15"/>
  <c r="M291" i="15"/>
  <c r="L291" i="15"/>
  <c r="K291" i="15"/>
  <c r="J291" i="15"/>
  <c r="I291" i="15"/>
  <c r="H291" i="15"/>
  <c r="G291" i="15"/>
  <c r="F291" i="15"/>
  <c r="E291" i="15"/>
  <c r="D291" i="15"/>
  <c r="C291" i="15"/>
  <c r="B291" i="15"/>
  <c r="A291" i="15"/>
  <c r="Y290" i="15"/>
  <c r="X290" i="15"/>
  <c r="W290" i="15"/>
  <c r="V290" i="15"/>
  <c r="U290" i="15"/>
  <c r="S290" i="15"/>
  <c r="R290" i="15"/>
  <c r="Q290" i="15"/>
  <c r="P290" i="15"/>
  <c r="O290" i="15"/>
  <c r="N290" i="15"/>
  <c r="M290" i="15"/>
  <c r="L290" i="15"/>
  <c r="K290" i="15"/>
  <c r="J290" i="15"/>
  <c r="I290" i="15"/>
  <c r="G290" i="15"/>
  <c r="F290" i="15"/>
  <c r="E290" i="15"/>
  <c r="D290" i="15"/>
  <c r="C290" i="15"/>
  <c r="B290" i="15"/>
  <c r="A290" i="15"/>
  <c r="Y289" i="15"/>
  <c r="X289" i="15"/>
  <c r="W289" i="15"/>
  <c r="V289" i="15"/>
  <c r="U289" i="15"/>
  <c r="S289" i="15"/>
  <c r="R289" i="15"/>
  <c r="Q289" i="15"/>
  <c r="P289" i="15"/>
  <c r="O289" i="15"/>
  <c r="N289" i="15"/>
  <c r="M289" i="15"/>
  <c r="L289" i="15"/>
  <c r="K289" i="15"/>
  <c r="J289" i="15"/>
  <c r="I289" i="15"/>
  <c r="G289" i="15"/>
  <c r="F289" i="15"/>
  <c r="E289" i="15"/>
  <c r="D289" i="15"/>
  <c r="C289" i="15"/>
  <c r="B289" i="15"/>
  <c r="A289" i="15"/>
  <c r="Y288" i="15"/>
  <c r="X288" i="15"/>
  <c r="W288" i="15"/>
  <c r="V288" i="15"/>
  <c r="U288" i="15"/>
  <c r="S288" i="15"/>
  <c r="R288" i="15"/>
  <c r="Q288" i="15"/>
  <c r="O288" i="15"/>
  <c r="N288" i="15"/>
  <c r="M288" i="15"/>
  <c r="L288" i="15"/>
  <c r="K288" i="15"/>
  <c r="J288" i="15"/>
  <c r="I288" i="15"/>
  <c r="H288" i="15"/>
  <c r="G288" i="15"/>
  <c r="F288" i="15"/>
  <c r="E288" i="15"/>
  <c r="D288" i="15"/>
  <c r="C288" i="15"/>
  <c r="B288" i="15"/>
  <c r="A288" i="15"/>
  <c r="Y287" i="15"/>
  <c r="X287" i="15"/>
  <c r="W287" i="15"/>
  <c r="V287" i="15"/>
  <c r="U287" i="15"/>
  <c r="S287" i="15"/>
  <c r="R287" i="15"/>
  <c r="Q287" i="15"/>
  <c r="O287" i="15"/>
  <c r="N287" i="15"/>
  <c r="M287" i="15"/>
  <c r="L287" i="15"/>
  <c r="K287" i="15"/>
  <c r="J287" i="15"/>
  <c r="I287" i="15"/>
  <c r="H287" i="15"/>
  <c r="G287" i="15"/>
  <c r="F287" i="15"/>
  <c r="E287" i="15"/>
  <c r="D287" i="15"/>
  <c r="C287" i="15"/>
  <c r="B287" i="15"/>
  <c r="A287" i="15"/>
  <c r="Y286" i="15"/>
  <c r="X286" i="15"/>
  <c r="W286" i="15"/>
  <c r="V286" i="15"/>
  <c r="U286" i="15"/>
  <c r="T286" i="15"/>
  <c r="S286" i="15"/>
  <c r="R286" i="15"/>
  <c r="Q286" i="15"/>
  <c r="O286" i="15"/>
  <c r="N286" i="15"/>
  <c r="M286" i="15"/>
  <c r="L286" i="15"/>
  <c r="K286" i="15"/>
  <c r="J286" i="15"/>
  <c r="I286" i="15"/>
  <c r="H286" i="15"/>
  <c r="G286" i="15"/>
  <c r="F286" i="15"/>
  <c r="E286" i="15"/>
  <c r="D286" i="15"/>
  <c r="C286" i="15"/>
  <c r="B286" i="15"/>
  <c r="A286" i="15"/>
  <c r="Y285" i="15"/>
  <c r="X285" i="15"/>
  <c r="W285" i="15"/>
  <c r="V285" i="15"/>
  <c r="U285" i="15"/>
  <c r="T285" i="15"/>
  <c r="S285" i="15"/>
  <c r="R285" i="15"/>
  <c r="Q285" i="15"/>
  <c r="O285" i="15"/>
  <c r="N285" i="15"/>
  <c r="M285" i="15"/>
  <c r="L285" i="15"/>
  <c r="K285" i="15"/>
  <c r="J285" i="15"/>
  <c r="I285" i="15"/>
  <c r="H285" i="15"/>
  <c r="G285" i="15"/>
  <c r="F285" i="15"/>
  <c r="E285" i="15"/>
  <c r="D285" i="15"/>
  <c r="C285" i="15"/>
  <c r="B285" i="15"/>
  <c r="A285" i="15"/>
  <c r="Y284" i="15"/>
  <c r="X284" i="15"/>
  <c r="W284" i="15"/>
  <c r="V284" i="15"/>
  <c r="U284" i="15"/>
  <c r="T284" i="15"/>
  <c r="S284" i="15"/>
  <c r="R284" i="15"/>
  <c r="Q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C284" i="15"/>
  <c r="B284" i="15"/>
  <c r="A284" i="15"/>
  <c r="Y283" i="15"/>
  <c r="X283" i="15"/>
  <c r="W283" i="15"/>
  <c r="V283" i="15"/>
  <c r="U283" i="15"/>
  <c r="T283" i="15"/>
  <c r="S283" i="15"/>
  <c r="R283" i="15"/>
  <c r="Q283" i="15"/>
  <c r="O283" i="15"/>
  <c r="N283" i="15"/>
  <c r="M283" i="15"/>
  <c r="L283" i="15"/>
  <c r="K283" i="15"/>
  <c r="J283" i="15"/>
  <c r="I283" i="15"/>
  <c r="H283" i="15"/>
  <c r="G283" i="15"/>
  <c r="F283" i="15"/>
  <c r="E283" i="15"/>
  <c r="D283" i="15"/>
  <c r="C283" i="15"/>
  <c r="B283" i="15"/>
  <c r="A283" i="15"/>
  <c r="Y282" i="15"/>
  <c r="X282" i="15"/>
  <c r="W282" i="15"/>
  <c r="V282" i="15"/>
  <c r="U282" i="15"/>
  <c r="S282" i="15"/>
  <c r="R282" i="15"/>
  <c r="Q282" i="15"/>
  <c r="O282" i="15"/>
  <c r="N282" i="15"/>
  <c r="M282" i="15"/>
  <c r="L282" i="15"/>
  <c r="K282" i="15"/>
  <c r="J282" i="15"/>
  <c r="I282" i="15"/>
  <c r="H282" i="15"/>
  <c r="G282" i="15"/>
  <c r="F282" i="15"/>
  <c r="E282" i="15"/>
  <c r="D282" i="15"/>
  <c r="C282" i="15"/>
  <c r="B282" i="15"/>
  <c r="A282" i="15"/>
  <c r="Y281" i="15"/>
  <c r="X281" i="15"/>
  <c r="W281" i="15"/>
  <c r="V281" i="15"/>
  <c r="U281" i="15"/>
  <c r="S281" i="15"/>
  <c r="R281" i="15"/>
  <c r="Q281" i="15"/>
  <c r="O281" i="15"/>
  <c r="N281" i="15"/>
  <c r="M281" i="15"/>
  <c r="L281" i="15"/>
  <c r="K281" i="15"/>
  <c r="J281" i="15"/>
  <c r="I281" i="15"/>
  <c r="G281" i="15"/>
  <c r="F281" i="15"/>
  <c r="E281" i="15"/>
  <c r="D281" i="15"/>
  <c r="C281" i="15"/>
  <c r="B281" i="15"/>
  <c r="A281" i="15"/>
  <c r="Y280" i="15"/>
  <c r="X280" i="15"/>
  <c r="W280" i="15"/>
  <c r="V280" i="15"/>
  <c r="U280" i="15"/>
  <c r="S280" i="15"/>
  <c r="R280" i="15"/>
  <c r="Q280" i="15"/>
  <c r="O280" i="15"/>
  <c r="N280" i="15"/>
  <c r="M280" i="15"/>
  <c r="L280" i="15"/>
  <c r="K280" i="15"/>
  <c r="J280" i="15"/>
  <c r="I280" i="15"/>
  <c r="H280" i="15"/>
  <c r="G280" i="15"/>
  <c r="F280" i="15"/>
  <c r="E280" i="15"/>
  <c r="D280" i="15"/>
  <c r="C280" i="15"/>
  <c r="B280" i="15"/>
  <c r="A280" i="15"/>
  <c r="Y279" i="15"/>
  <c r="X279" i="15"/>
  <c r="W279" i="15"/>
  <c r="V279" i="15"/>
  <c r="U279" i="15"/>
  <c r="S279" i="15"/>
  <c r="R279" i="15"/>
  <c r="Q279" i="15"/>
  <c r="O279" i="15"/>
  <c r="N279" i="15"/>
  <c r="M279" i="15"/>
  <c r="L279" i="15"/>
  <c r="K279" i="15"/>
  <c r="J279" i="15"/>
  <c r="I279" i="15"/>
  <c r="H279" i="15"/>
  <c r="G279" i="15"/>
  <c r="F279" i="15"/>
  <c r="E279" i="15"/>
  <c r="D279" i="15"/>
  <c r="C279" i="15"/>
  <c r="B279" i="15"/>
  <c r="A279" i="15"/>
  <c r="Y278" i="15"/>
  <c r="X278" i="15"/>
  <c r="W278" i="15"/>
  <c r="V278" i="15"/>
  <c r="U278" i="15"/>
  <c r="T278" i="15"/>
  <c r="S278" i="15"/>
  <c r="R278" i="15"/>
  <c r="Q278" i="15"/>
  <c r="O278" i="15"/>
  <c r="N278" i="15"/>
  <c r="M278" i="15"/>
  <c r="L278" i="15"/>
  <c r="K278" i="15"/>
  <c r="J278" i="15"/>
  <c r="I278" i="15"/>
  <c r="H278" i="15"/>
  <c r="G278" i="15"/>
  <c r="F278" i="15"/>
  <c r="E278" i="15"/>
  <c r="D278" i="15"/>
  <c r="C278" i="15"/>
  <c r="B278" i="15"/>
  <c r="A278" i="15"/>
  <c r="Y277" i="15"/>
  <c r="X277" i="15"/>
  <c r="W277" i="15"/>
  <c r="V277" i="15"/>
  <c r="U277" i="15"/>
  <c r="T277" i="15"/>
  <c r="S277" i="15"/>
  <c r="R277" i="15"/>
  <c r="Q277" i="15"/>
  <c r="O277" i="15"/>
  <c r="N277" i="15"/>
  <c r="M277" i="15"/>
  <c r="L277" i="15"/>
  <c r="K277" i="15"/>
  <c r="J277" i="15"/>
  <c r="I277" i="15"/>
  <c r="H277" i="15"/>
  <c r="G277" i="15"/>
  <c r="F277" i="15"/>
  <c r="E277" i="15"/>
  <c r="D277" i="15"/>
  <c r="C277" i="15"/>
  <c r="B277" i="15"/>
  <c r="A277" i="15"/>
  <c r="Y276" i="15"/>
  <c r="X276" i="15"/>
  <c r="W276" i="15"/>
  <c r="U276" i="15"/>
  <c r="T276" i="15"/>
  <c r="S276" i="15"/>
  <c r="R276" i="15"/>
  <c r="Q276" i="15"/>
  <c r="O276" i="15"/>
  <c r="N276" i="15"/>
  <c r="M276" i="15"/>
  <c r="L276" i="15"/>
  <c r="K276" i="15"/>
  <c r="J276" i="15"/>
  <c r="I276" i="15"/>
  <c r="H276" i="15"/>
  <c r="G276" i="15"/>
  <c r="F276" i="15"/>
  <c r="E276" i="15"/>
  <c r="D276" i="15"/>
  <c r="C276" i="15"/>
  <c r="B276" i="15"/>
  <c r="A276" i="15"/>
  <c r="Y275" i="15"/>
  <c r="X275" i="15"/>
  <c r="W275" i="15"/>
  <c r="U275" i="15"/>
  <c r="T275" i="15"/>
  <c r="S275" i="15"/>
  <c r="R275" i="15"/>
  <c r="Q275" i="15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C275" i="15"/>
  <c r="B275" i="15"/>
  <c r="A275" i="15"/>
  <c r="Y274" i="15"/>
  <c r="X274" i="15"/>
  <c r="W274" i="15"/>
  <c r="V274" i="15"/>
  <c r="U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B274" i="15"/>
  <c r="A274" i="15"/>
  <c r="Y273" i="15"/>
  <c r="X273" i="15"/>
  <c r="W273" i="15"/>
  <c r="V273" i="15"/>
  <c r="U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C273" i="15"/>
  <c r="B273" i="15"/>
  <c r="A273" i="15"/>
  <c r="Y272" i="15"/>
  <c r="X272" i="15"/>
  <c r="W272" i="15"/>
  <c r="U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C272" i="15"/>
  <c r="B272" i="15"/>
  <c r="A272" i="15"/>
  <c r="Y271" i="15"/>
  <c r="X271" i="15"/>
  <c r="W271" i="15"/>
  <c r="V271" i="15"/>
  <c r="U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B271" i="15"/>
  <c r="A271" i="15"/>
  <c r="Y270" i="15"/>
  <c r="X270" i="15"/>
  <c r="W270" i="15"/>
  <c r="U270" i="15"/>
  <c r="T270" i="15"/>
  <c r="S270" i="15"/>
  <c r="R270" i="15"/>
  <c r="Q270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C270" i="15"/>
  <c r="B270" i="15"/>
  <c r="A270" i="15"/>
  <c r="Y269" i="15"/>
  <c r="X269" i="15"/>
  <c r="W269" i="15"/>
  <c r="V269" i="15"/>
  <c r="U269" i="15"/>
  <c r="T269" i="15"/>
  <c r="S269" i="15"/>
  <c r="R269" i="15"/>
  <c r="Q269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C269" i="15"/>
  <c r="B269" i="15"/>
  <c r="A269" i="15"/>
  <c r="Y268" i="15"/>
  <c r="X268" i="15"/>
  <c r="W268" i="15"/>
  <c r="U268" i="15"/>
  <c r="T268" i="15"/>
  <c r="S268" i="15"/>
  <c r="R268" i="15"/>
  <c r="Q268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C268" i="15"/>
  <c r="B268" i="15"/>
  <c r="A268" i="15"/>
  <c r="Y267" i="15"/>
  <c r="X267" i="15"/>
  <c r="W267" i="15"/>
  <c r="U267" i="15"/>
  <c r="T267" i="15"/>
  <c r="S267" i="15"/>
  <c r="R267" i="15"/>
  <c r="Q267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C267" i="15"/>
  <c r="B267" i="15"/>
  <c r="A267" i="15"/>
  <c r="Y266" i="15"/>
  <c r="X266" i="15"/>
  <c r="W266" i="15"/>
  <c r="V266" i="15"/>
  <c r="U266" i="15"/>
  <c r="S266" i="15"/>
  <c r="R266" i="15"/>
  <c r="Q266" i="15"/>
  <c r="O266" i="15"/>
  <c r="N266" i="15"/>
  <c r="M266" i="15"/>
  <c r="L266" i="15"/>
  <c r="K266" i="15"/>
  <c r="J266" i="15"/>
  <c r="I266" i="15"/>
  <c r="H266" i="15"/>
  <c r="G266" i="15"/>
  <c r="F266" i="15"/>
  <c r="E266" i="15"/>
  <c r="D266" i="15"/>
  <c r="C266" i="15"/>
  <c r="B266" i="15"/>
  <c r="A266" i="15"/>
  <c r="Y265" i="15"/>
  <c r="X265" i="15"/>
  <c r="W265" i="15"/>
  <c r="V265" i="15"/>
  <c r="U265" i="15"/>
  <c r="S265" i="15"/>
  <c r="R265" i="15"/>
  <c r="Q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B265" i="15"/>
  <c r="A265" i="15"/>
  <c r="Y264" i="15"/>
  <c r="X264" i="15"/>
  <c r="W264" i="15"/>
  <c r="V264" i="15"/>
  <c r="U264" i="15"/>
  <c r="S264" i="15"/>
  <c r="R264" i="15"/>
  <c r="Q264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C264" i="15"/>
  <c r="B264" i="15"/>
  <c r="A264" i="15"/>
  <c r="Y263" i="15"/>
  <c r="X263" i="15"/>
  <c r="W263" i="15"/>
  <c r="V263" i="15"/>
  <c r="U263" i="15"/>
  <c r="S263" i="15"/>
  <c r="R263" i="15"/>
  <c r="Q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C263" i="15"/>
  <c r="B263" i="15"/>
  <c r="A263" i="15"/>
  <c r="Y262" i="15"/>
  <c r="X262" i="15"/>
  <c r="W262" i="15"/>
  <c r="U262" i="15"/>
  <c r="T262" i="15"/>
  <c r="S262" i="15"/>
  <c r="R262" i="15"/>
  <c r="Q262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C262" i="15"/>
  <c r="B262" i="15"/>
  <c r="A262" i="15"/>
  <c r="Y261" i="15"/>
  <c r="X261" i="15"/>
  <c r="W261" i="15"/>
  <c r="V261" i="15"/>
  <c r="U261" i="15"/>
  <c r="T261" i="15"/>
  <c r="S261" i="15"/>
  <c r="R261" i="15"/>
  <c r="Q261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C261" i="15"/>
  <c r="B261" i="15"/>
  <c r="A261" i="15"/>
  <c r="Y260" i="15"/>
  <c r="X260" i="15"/>
  <c r="W260" i="15"/>
  <c r="V260" i="15"/>
  <c r="U260" i="15"/>
  <c r="T260" i="15"/>
  <c r="S260" i="15"/>
  <c r="R260" i="15"/>
  <c r="Q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A260" i="15"/>
  <c r="Y259" i="15"/>
  <c r="X259" i="15"/>
  <c r="W259" i="15"/>
  <c r="V259" i="15"/>
  <c r="U259" i="15"/>
  <c r="T259" i="15"/>
  <c r="S259" i="15"/>
  <c r="R259" i="15"/>
  <c r="Q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A259" i="15"/>
  <c r="Y258" i="15"/>
  <c r="X258" i="15"/>
  <c r="W258" i="15"/>
  <c r="V258" i="15"/>
  <c r="U258" i="15"/>
  <c r="S258" i="15"/>
  <c r="R258" i="15"/>
  <c r="Q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A258" i="15"/>
  <c r="Y257" i="15"/>
  <c r="X257" i="15"/>
  <c r="W257" i="15"/>
  <c r="V257" i="15"/>
  <c r="U257" i="15"/>
  <c r="S257" i="15"/>
  <c r="R257" i="15"/>
  <c r="Q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A257" i="15"/>
  <c r="Y256" i="15"/>
  <c r="X256" i="15"/>
  <c r="W256" i="15"/>
  <c r="V256" i="15"/>
  <c r="U256" i="15"/>
  <c r="S256" i="15"/>
  <c r="R256" i="15"/>
  <c r="Q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A256" i="15"/>
  <c r="Y255" i="15"/>
  <c r="U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A255" i="15"/>
  <c r="Y254" i="15"/>
  <c r="X254" i="15"/>
  <c r="W254" i="15"/>
  <c r="V254" i="15"/>
  <c r="U254" i="15"/>
  <c r="T254" i="15"/>
  <c r="S254" i="15"/>
  <c r="R254" i="15"/>
  <c r="Q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A254" i="15"/>
  <c r="Y253" i="15"/>
  <c r="X253" i="15"/>
  <c r="W253" i="15"/>
  <c r="V253" i="15"/>
  <c r="U253" i="15"/>
  <c r="T253" i="15"/>
  <c r="S253" i="15"/>
  <c r="R253" i="15"/>
  <c r="Q253" i="15"/>
  <c r="O253" i="15"/>
  <c r="N253" i="15"/>
  <c r="M253" i="15"/>
  <c r="L253" i="15"/>
  <c r="K253" i="15"/>
  <c r="J253" i="15"/>
  <c r="I253" i="15"/>
  <c r="H253" i="15"/>
  <c r="G253" i="15"/>
  <c r="F253" i="15"/>
  <c r="E253" i="15"/>
  <c r="D253" i="15"/>
  <c r="C253" i="15"/>
  <c r="B253" i="15"/>
  <c r="A253" i="15"/>
  <c r="Y252" i="15"/>
  <c r="X252" i="15"/>
  <c r="W252" i="15"/>
  <c r="U252" i="15"/>
  <c r="T252" i="15"/>
  <c r="S252" i="15"/>
  <c r="R252" i="15"/>
  <c r="Q252" i="15"/>
  <c r="O252" i="15"/>
  <c r="N252" i="15"/>
  <c r="M252" i="15"/>
  <c r="L252" i="15"/>
  <c r="K252" i="15"/>
  <c r="J252" i="15"/>
  <c r="I252" i="15"/>
  <c r="G252" i="15"/>
  <c r="F252" i="15"/>
  <c r="E252" i="15"/>
  <c r="D252" i="15"/>
  <c r="C252" i="15"/>
  <c r="B252" i="15"/>
  <c r="A252" i="15"/>
  <c r="T251" i="15"/>
  <c r="S251" i="15"/>
  <c r="R251" i="15"/>
  <c r="Q251" i="15"/>
  <c r="P251" i="15"/>
  <c r="G251" i="15"/>
  <c r="D251" i="15"/>
  <c r="C251" i="15"/>
  <c r="B251" i="15"/>
  <c r="A251" i="15"/>
  <c r="Y250" i="15"/>
  <c r="X250" i="15"/>
  <c r="W250" i="15"/>
  <c r="V250" i="15"/>
  <c r="U250" i="15"/>
  <c r="S250" i="15"/>
  <c r="R250" i="15"/>
  <c r="Q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A250" i="15"/>
  <c r="Y249" i="15"/>
  <c r="X249" i="15"/>
  <c r="W249" i="15"/>
  <c r="V249" i="15"/>
  <c r="U249" i="15"/>
  <c r="S249" i="15"/>
  <c r="R249" i="15"/>
  <c r="Q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A249" i="15"/>
  <c r="Y248" i="15"/>
  <c r="X248" i="15"/>
  <c r="W248" i="15"/>
  <c r="V248" i="15"/>
  <c r="U248" i="15"/>
  <c r="S248" i="15"/>
  <c r="R248" i="15"/>
  <c r="Q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A248" i="15"/>
  <c r="Y247" i="15"/>
  <c r="X247" i="15"/>
  <c r="U247" i="15"/>
  <c r="S247" i="15"/>
  <c r="R247" i="15"/>
  <c r="Q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A247" i="15"/>
  <c r="Y246" i="15"/>
  <c r="X246" i="15"/>
  <c r="W246" i="15"/>
  <c r="V246" i="15"/>
  <c r="U246" i="15"/>
  <c r="T246" i="15"/>
  <c r="S246" i="15"/>
  <c r="R246" i="15"/>
  <c r="Q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A246" i="15"/>
  <c r="Y245" i="15"/>
  <c r="X245" i="15"/>
  <c r="W245" i="15"/>
  <c r="U245" i="15"/>
  <c r="T245" i="15"/>
  <c r="S245" i="15"/>
  <c r="R245" i="15"/>
  <c r="Q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A245" i="15"/>
  <c r="Y244" i="15"/>
  <c r="X244" i="15"/>
  <c r="W244" i="15"/>
  <c r="U244" i="15"/>
  <c r="T244" i="15"/>
  <c r="S244" i="15"/>
  <c r="R244" i="15"/>
  <c r="Q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A244" i="15"/>
  <c r="Y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A243" i="15"/>
  <c r="Y242" i="15"/>
  <c r="X242" i="15"/>
  <c r="W242" i="15"/>
  <c r="V242" i="15"/>
  <c r="U242" i="15"/>
  <c r="S242" i="15"/>
  <c r="R242" i="15"/>
  <c r="Q242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C242" i="15"/>
  <c r="B242" i="15"/>
  <c r="A242" i="15"/>
  <c r="Y241" i="15"/>
  <c r="X241" i="15"/>
  <c r="W241" i="15"/>
  <c r="V241" i="15"/>
  <c r="U241" i="15"/>
  <c r="S241" i="15"/>
  <c r="R241" i="15"/>
  <c r="Q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B241" i="15"/>
  <c r="A241" i="15"/>
  <c r="Y240" i="15"/>
  <c r="X240" i="15"/>
  <c r="W240" i="15"/>
  <c r="V240" i="15"/>
  <c r="U240" i="15"/>
  <c r="S240" i="15"/>
  <c r="R240" i="15"/>
  <c r="Q240" i="15"/>
  <c r="O240" i="15"/>
  <c r="N240" i="15"/>
  <c r="M240" i="15"/>
  <c r="L240" i="15"/>
  <c r="K240" i="15"/>
  <c r="J240" i="15"/>
  <c r="I240" i="15"/>
  <c r="G240" i="15"/>
  <c r="F240" i="15"/>
  <c r="E240" i="15"/>
  <c r="D240" i="15"/>
  <c r="C240" i="15"/>
  <c r="B240" i="15"/>
  <c r="A240" i="15"/>
  <c r="Y239" i="15"/>
  <c r="X239" i="15"/>
  <c r="W239" i="15"/>
  <c r="V239" i="15"/>
  <c r="U239" i="15"/>
  <c r="S239" i="15"/>
  <c r="R239" i="15"/>
  <c r="Q239" i="15"/>
  <c r="O239" i="15"/>
  <c r="N239" i="15"/>
  <c r="M239" i="15"/>
  <c r="L239" i="15"/>
  <c r="K239" i="15"/>
  <c r="J239" i="15"/>
  <c r="I239" i="15"/>
  <c r="G239" i="15"/>
  <c r="F239" i="15"/>
  <c r="E239" i="15"/>
  <c r="D239" i="15"/>
  <c r="C239" i="15"/>
  <c r="B239" i="15"/>
  <c r="A239" i="15"/>
  <c r="Y238" i="15"/>
  <c r="X238" i="15"/>
  <c r="W238" i="15"/>
  <c r="V238" i="15"/>
  <c r="U238" i="15"/>
  <c r="T238" i="15"/>
  <c r="S238" i="15"/>
  <c r="R238" i="15"/>
  <c r="Q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A238" i="15"/>
  <c r="Y237" i="15"/>
  <c r="X237" i="15"/>
  <c r="W237" i="15"/>
  <c r="V237" i="15"/>
  <c r="U237" i="15"/>
  <c r="T237" i="15"/>
  <c r="S237" i="15"/>
  <c r="R237" i="15"/>
  <c r="Q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A237" i="15"/>
  <c r="Y236" i="15"/>
  <c r="X236" i="15"/>
  <c r="W236" i="15"/>
  <c r="V236" i="15"/>
  <c r="U236" i="15"/>
  <c r="T236" i="15"/>
  <c r="S236" i="15"/>
  <c r="R236" i="15"/>
  <c r="Q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A236" i="15"/>
  <c r="Y235" i="15"/>
  <c r="W235" i="15"/>
  <c r="U235" i="15"/>
  <c r="T235" i="15"/>
  <c r="S235" i="15"/>
  <c r="R235" i="15"/>
  <c r="Q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A235" i="15"/>
  <c r="Y234" i="15"/>
  <c r="X234" i="15"/>
  <c r="U234" i="15"/>
  <c r="S234" i="15"/>
  <c r="R234" i="15"/>
  <c r="Q234" i="15"/>
  <c r="O234" i="15"/>
  <c r="N234" i="15"/>
  <c r="M234" i="15"/>
  <c r="L234" i="15"/>
  <c r="K234" i="15"/>
  <c r="J234" i="15"/>
  <c r="I234" i="15"/>
  <c r="G234" i="15"/>
  <c r="F234" i="15"/>
  <c r="E234" i="15"/>
  <c r="D234" i="15"/>
  <c r="C234" i="15"/>
  <c r="B234" i="15"/>
  <c r="A234" i="15"/>
  <c r="Y233" i="15"/>
  <c r="X233" i="15"/>
  <c r="W233" i="15"/>
  <c r="V233" i="15"/>
  <c r="U233" i="15"/>
  <c r="S233" i="15"/>
  <c r="R233" i="15"/>
  <c r="Q233" i="15"/>
  <c r="O233" i="15"/>
  <c r="N233" i="15"/>
  <c r="M233" i="15"/>
  <c r="L233" i="15"/>
  <c r="K233" i="15"/>
  <c r="J233" i="15"/>
  <c r="I233" i="15"/>
  <c r="H233" i="15"/>
  <c r="G233" i="15"/>
  <c r="F233" i="15"/>
  <c r="E233" i="15"/>
  <c r="D233" i="15"/>
  <c r="C233" i="15"/>
  <c r="B233" i="15"/>
  <c r="A233" i="15"/>
  <c r="Y232" i="15"/>
  <c r="X232" i="15"/>
  <c r="W232" i="15"/>
  <c r="V232" i="15"/>
  <c r="U232" i="15"/>
  <c r="S232" i="15"/>
  <c r="R232" i="15"/>
  <c r="Q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B232" i="15"/>
  <c r="A232" i="15"/>
  <c r="Y231" i="15"/>
  <c r="X231" i="15"/>
  <c r="W231" i="15"/>
  <c r="V231" i="15"/>
  <c r="U231" i="15"/>
  <c r="S231" i="15"/>
  <c r="R231" i="15"/>
  <c r="Q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A231" i="15"/>
  <c r="Y230" i="15"/>
  <c r="X230" i="15"/>
  <c r="W230" i="15"/>
  <c r="V230" i="15"/>
  <c r="U230" i="15"/>
  <c r="T230" i="15"/>
  <c r="S230" i="15"/>
  <c r="R230" i="15"/>
  <c r="Q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A230" i="15"/>
  <c r="U229" i="15"/>
  <c r="T229" i="15"/>
  <c r="S229" i="15"/>
  <c r="R229" i="15"/>
  <c r="Q229" i="15"/>
  <c r="P229" i="15"/>
  <c r="G229" i="15"/>
  <c r="D229" i="15"/>
  <c r="C229" i="15"/>
  <c r="B229" i="15"/>
  <c r="A229" i="15"/>
  <c r="Y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A228" i="15"/>
  <c r="U227" i="15"/>
  <c r="T227" i="15"/>
  <c r="S227" i="15"/>
  <c r="R227" i="15"/>
  <c r="Q227" i="15"/>
  <c r="P227" i="15"/>
  <c r="G227" i="15"/>
  <c r="D227" i="15"/>
  <c r="C227" i="15"/>
  <c r="B227" i="15"/>
  <c r="A227" i="15"/>
  <c r="Y226" i="15"/>
  <c r="X226" i="15"/>
  <c r="W226" i="15"/>
  <c r="V226" i="15"/>
  <c r="U226" i="15"/>
  <c r="S226" i="15"/>
  <c r="R226" i="15"/>
  <c r="Q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A226" i="15"/>
  <c r="Y225" i="15"/>
  <c r="X225" i="15"/>
  <c r="W225" i="15"/>
  <c r="V225" i="15"/>
  <c r="U225" i="15"/>
  <c r="S225" i="15"/>
  <c r="R225" i="15"/>
  <c r="Q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A225" i="15"/>
  <c r="Y224" i="15"/>
  <c r="X224" i="15"/>
  <c r="W224" i="15"/>
  <c r="V224" i="15"/>
  <c r="U224" i="15"/>
  <c r="S224" i="15"/>
  <c r="R224" i="15"/>
  <c r="Q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A224" i="15"/>
  <c r="Y223" i="15"/>
  <c r="X223" i="15"/>
  <c r="W223" i="15"/>
  <c r="V223" i="15"/>
  <c r="U223" i="15"/>
  <c r="S223" i="15"/>
  <c r="R223" i="15"/>
  <c r="Q223" i="15"/>
  <c r="O223" i="15"/>
  <c r="N223" i="15"/>
  <c r="M223" i="15"/>
  <c r="L223" i="15"/>
  <c r="K223" i="15"/>
  <c r="J223" i="15"/>
  <c r="I223" i="15"/>
  <c r="H223" i="15"/>
  <c r="G223" i="15"/>
  <c r="F223" i="15"/>
  <c r="E223" i="15"/>
  <c r="D223" i="15"/>
  <c r="C223" i="15"/>
  <c r="B223" i="15"/>
  <c r="A223" i="15"/>
  <c r="U222" i="15"/>
  <c r="T222" i="15"/>
  <c r="S222" i="15"/>
  <c r="R222" i="15"/>
  <c r="Q222" i="15"/>
  <c r="P222" i="15"/>
  <c r="G222" i="15"/>
  <c r="D222" i="15"/>
  <c r="C222" i="15"/>
  <c r="B222" i="15"/>
  <c r="A222" i="15"/>
  <c r="U221" i="15"/>
  <c r="T221" i="15"/>
  <c r="S221" i="15"/>
  <c r="R221" i="15"/>
  <c r="Q221" i="15"/>
  <c r="P221" i="15"/>
  <c r="G221" i="15"/>
  <c r="D221" i="15"/>
  <c r="C221" i="15"/>
  <c r="B221" i="15"/>
  <c r="A221" i="15"/>
  <c r="Y220" i="15"/>
  <c r="X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A220" i="15"/>
  <c r="U219" i="15"/>
  <c r="T219" i="15"/>
  <c r="S219" i="15"/>
  <c r="R219" i="15"/>
  <c r="Q219" i="15"/>
  <c r="P219" i="15"/>
  <c r="G219" i="15"/>
  <c r="D219" i="15"/>
  <c r="C219" i="15"/>
  <c r="B219" i="15"/>
  <c r="A219" i="15"/>
  <c r="Y218" i="15"/>
  <c r="U218" i="15"/>
  <c r="S218" i="15"/>
  <c r="R218" i="15"/>
  <c r="Q218" i="15"/>
  <c r="O218" i="15"/>
  <c r="N218" i="15"/>
  <c r="M218" i="15"/>
  <c r="L218" i="15"/>
  <c r="K218" i="15"/>
  <c r="J218" i="15"/>
  <c r="I218" i="15"/>
  <c r="G218" i="15"/>
  <c r="F218" i="15"/>
  <c r="E218" i="15"/>
  <c r="D218" i="15"/>
  <c r="C218" i="15"/>
  <c r="B218" i="15"/>
  <c r="A218" i="15"/>
  <c r="Y217" i="15"/>
  <c r="X217" i="15"/>
  <c r="W217" i="15"/>
  <c r="V217" i="15"/>
  <c r="U217" i="15"/>
  <c r="S217" i="15"/>
  <c r="R217" i="15"/>
  <c r="Q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A217" i="15"/>
  <c r="Y216" i="15"/>
  <c r="X216" i="15"/>
  <c r="W216" i="15"/>
  <c r="V216" i="15"/>
  <c r="U216" i="15"/>
  <c r="S216" i="15"/>
  <c r="R216" i="15"/>
  <c r="Q216" i="15"/>
  <c r="O216" i="15"/>
  <c r="N216" i="15"/>
  <c r="M216" i="15"/>
  <c r="L216" i="15"/>
  <c r="K216" i="15"/>
  <c r="J216" i="15"/>
  <c r="I216" i="15"/>
  <c r="H216" i="15"/>
  <c r="G216" i="15"/>
  <c r="F216" i="15"/>
  <c r="E216" i="15"/>
  <c r="D216" i="15"/>
  <c r="C216" i="15"/>
  <c r="B216" i="15"/>
  <c r="A216" i="15"/>
  <c r="Y215" i="15"/>
  <c r="X215" i="15"/>
  <c r="W215" i="15"/>
  <c r="V215" i="15"/>
  <c r="U215" i="15"/>
  <c r="S215" i="15"/>
  <c r="R215" i="15"/>
  <c r="Q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A215" i="15"/>
  <c r="U214" i="15"/>
  <c r="T214" i="15"/>
  <c r="S214" i="15"/>
  <c r="R214" i="15"/>
  <c r="Q214" i="15"/>
  <c r="P214" i="15"/>
  <c r="G214" i="15"/>
  <c r="D214" i="15"/>
  <c r="C214" i="15"/>
  <c r="B214" i="15"/>
  <c r="A214" i="15"/>
  <c r="U213" i="15"/>
  <c r="T213" i="15"/>
  <c r="S213" i="15"/>
  <c r="R213" i="15"/>
  <c r="Q213" i="15"/>
  <c r="P213" i="15"/>
  <c r="G213" i="15"/>
  <c r="D213" i="15"/>
  <c r="C213" i="15"/>
  <c r="B213" i="15"/>
  <c r="A213" i="15"/>
  <c r="Y212" i="15"/>
  <c r="X212" i="15"/>
  <c r="W212" i="15"/>
  <c r="V212" i="15"/>
  <c r="U212" i="15"/>
  <c r="T212" i="15"/>
  <c r="S212" i="15"/>
  <c r="R212" i="15"/>
  <c r="Q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A212" i="15"/>
  <c r="Y211" i="15"/>
  <c r="X211" i="15"/>
  <c r="W211" i="15"/>
  <c r="V211" i="15"/>
  <c r="U211" i="15"/>
  <c r="T211" i="15"/>
  <c r="S211" i="15"/>
  <c r="R211" i="15"/>
  <c r="Q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211" i="15"/>
  <c r="A211" i="15"/>
  <c r="Y210" i="15"/>
  <c r="X210" i="15"/>
  <c r="W210" i="15"/>
  <c r="V210" i="15"/>
  <c r="U210" i="15"/>
  <c r="S210" i="15"/>
  <c r="R210" i="15"/>
  <c r="Q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A210" i="15"/>
  <c r="Y209" i="15"/>
  <c r="X209" i="15"/>
  <c r="W209" i="15"/>
  <c r="V209" i="15"/>
  <c r="U209" i="15"/>
  <c r="S209" i="15"/>
  <c r="R209" i="15"/>
  <c r="Q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A209" i="15"/>
  <c r="Y208" i="15"/>
  <c r="X208" i="15"/>
  <c r="W208" i="15"/>
  <c r="V208" i="15"/>
  <c r="U208" i="15"/>
  <c r="S208" i="15"/>
  <c r="R208" i="15"/>
  <c r="Q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A208" i="15"/>
  <c r="Y207" i="15"/>
  <c r="X207" i="15"/>
  <c r="W207" i="15"/>
  <c r="U207" i="15"/>
  <c r="S207" i="15"/>
  <c r="R207" i="15"/>
  <c r="Q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A207" i="15"/>
  <c r="Y206" i="15"/>
  <c r="X206" i="15"/>
  <c r="W206" i="15"/>
  <c r="V206" i="15"/>
  <c r="U206" i="15"/>
  <c r="T206" i="15"/>
  <c r="S206" i="15"/>
  <c r="R206" i="15"/>
  <c r="Q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A206" i="15"/>
  <c r="Y205" i="15"/>
  <c r="X205" i="15"/>
  <c r="W205" i="15"/>
  <c r="U205" i="15"/>
  <c r="T205" i="15"/>
  <c r="S205" i="15"/>
  <c r="R205" i="15"/>
  <c r="Q205" i="15"/>
  <c r="O205" i="15"/>
  <c r="N205" i="15"/>
  <c r="M205" i="15"/>
  <c r="L205" i="15"/>
  <c r="K205" i="15"/>
  <c r="J205" i="15"/>
  <c r="I205" i="15"/>
  <c r="G205" i="15"/>
  <c r="F205" i="15"/>
  <c r="E205" i="15"/>
  <c r="D205" i="15"/>
  <c r="C205" i="15"/>
  <c r="B205" i="15"/>
  <c r="A205" i="15"/>
  <c r="Y204" i="15"/>
  <c r="X204" i="15"/>
  <c r="W204" i="15"/>
  <c r="V204" i="15"/>
  <c r="U204" i="15"/>
  <c r="T204" i="15"/>
  <c r="S204" i="15"/>
  <c r="R204" i="15"/>
  <c r="Q204" i="15"/>
  <c r="O204" i="15"/>
  <c r="N204" i="15"/>
  <c r="M204" i="15"/>
  <c r="L204" i="15"/>
  <c r="K204" i="15"/>
  <c r="J204" i="15"/>
  <c r="I204" i="15"/>
  <c r="H204" i="15"/>
  <c r="G204" i="15"/>
  <c r="F204" i="15"/>
  <c r="E204" i="15"/>
  <c r="D204" i="15"/>
  <c r="C204" i="15"/>
  <c r="B204" i="15"/>
  <c r="A204" i="15"/>
  <c r="Y203" i="15"/>
  <c r="X203" i="15"/>
  <c r="W203" i="15"/>
  <c r="V203" i="15"/>
  <c r="U203" i="15"/>
  <c r="T203" i="15"/>
  <c r="S203" i="15"/>
  <c r="R203" i="15"/>
  <c r="Q203" i="15"/>
  <c r="O203" i="15"/>
  <c r="N203" i="15"/>
  <c r="M203" i="15"/>
  <c r="L203" i="15"/>
  <c r="K203" i="15"/>
  <c r="J203" i="15"/>
  <c r="I203" i="15"/>
  <c r="G203" i="15"/>
  <c r="F203" i="15"/>
  <c r="E203" i="15"/>
  <c r="D203" i="15"/>
  <c r="C203" i="15"/>
  <c r="B203" i="15"/>
  <c r="A203" i="15"/>
  <c r="Y202" i="15"/>
  <c r="U202" i="15"/>
  <c r="S202" i="15"/>
  <c r="R202" i="15"/>
  <c r="Q202" i="15"/>
  <c r="O202" i="15"/>
  <c r="N202" i="15"/>
  <c r="M202" i="15"/>
  <c r="L202" i="15"/>
  <c r="K202" i="15"/>
  <c r="J202" i="15"/>
  <c r="I202" i="15"/>
  <c r="G202" i="15"/>
  <c r="F202" i="15"/>
  <c r="E202" i="15"/>
  <c r="D202" i="15"/>
  <c r="C202" i="15"/>
  <c r="B202" i="15"/>
  <c r="A202" i="15"/>
  <c r="Y201" i="15"/>
  <c r="U201" i="15"/>
  <c r="S201" i="15"/>
  <c r="R201" i="15"/>
  <c r="Q201" i="15"/>
  <c r="O201" i="15"/>
  <c r="N201" i="15"/>
  <c r="M201" i="15"/>
  <c r="L201" i="15"/>
  <c r="K201" i="15"/>
  <c r="J201" i="15"/>
  <c r="I201" i="15"/>
  <c r="G201" i="15"/>
  <c r="F201" i="15"/>
  <c r="E201" i="15"/>
  <c r="D201" i="15"/>
  <c r="C201" i="15"/>
  <c r="B201" i="15"/>
  <c r="A201" i="15"/>
  <c r="Y200" i="15"/>
  <c r="X200" i="15"/>
  <c r="W200" i="15"/>
  <c r="V200" i="15"/>
  <c r="U200" i="15"/>
  <c r="S200" i="15"/>
  <c r="R200" i="15"/>
  <c r="Q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A200" i="15"/>
  <c r="Y199" i="15"/>
  <c r="X199" i="15"/>
  <c r="W199" i="15"/>
  <c r="V199" i="15"/>
  <c r="U199" i="15"/>
  <c r="S199" i="15"/>
  <c r="R199" i="15"/>
  <c r="Q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C199" i="15"/>
  <c r="B199" i="15"/>
  <c r="A199" i="15"/>
  <c r="U198" i="15"/>
  <c r="T198" i="15"/>
  <c r="S198" i="15"/>
  <c r="R198" i="15"/>
  <c r="Q198" i="15"/>
  <c r="D198" i="15"/>
  <c r="C198" i="15"/>
  <c r="B198" i="15"/>
  <c r="A198" i="15"/>
  <c r="U197" i="15"/>
  <c r="T197" i="15"/>
  <c r="S197" i="15"/>
  <c r="R197" i="15"/>
  <c r="Q197" i="15"/>
  <c r="D197" i="15"/>
  <c r="C197" i="15"/>
  <c r="B197" i="15"/>
  <c r="A197" i="15"/>
  <c r="Y196" i="15"/>
  <c r="U196" i="15"/>
  <c r="T196" i="15"/>
  <c r="S196" i="15"/>
  <c r="R196" i="15"/>
  <c r="Q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A196" i="15"/>
  <c r="Y195" i="15"/>
  <c r="U195" i="15"/>
  <c r="T195" i="15"/>
  <c r="S195" i="15"/>
  <c r="R195" i="15"/>
  <c r="Q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A195" i="15"/>
  <c r="Y194" i="15"/>
  <c r="X194" i="15"/>
  <c r="U194" i="15"/>
  <c r="T194" i="15"/>
  <c r="S194" i="15"/>
  <c r="R194" i="15"/>
  <c r="Q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A194" i="15"/>
  <c r="Y193" i="15"/>
  <c r="X193" i="15"/>
  <c r="W193" i="15"/>
  <c r="V193" i="15"/>
  <c r="U193" i="15"/>
  <c r="T193" i="15"/>
  <c r="S193" i="15"/>
  <c r="R193" i="15"/>
  <c r="Q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A193" i="15"/>
  <c r="Y192" i="15"/>
  <c r="X192" i="15"/>
  <c r="V192" i="15"/>
  <c r="U192" i="15"/>
  <c r="T192" i="15"/>
  <c r="S192" i="15"/>
  <c r="R192" i="15"/>
  <c r="Q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A192" i="15"/>
  <c r="Y191" i="15"/>
  <c r="X191" i="15"/>
  <c r="W191" i="15"/>
  <c r="V191" i="15"/>
  <c r="U191" i="15"/>
  <c r="T191" i="15"/>
  <c r="S191" i="15"/>
  <c r="R191" i="15"/>
  <c r="Q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A191" i="15"/>
  <c r="Y190" i="15"/>
  <c r="U190" i="15"/>
  <c r="S190" i="15"/>
  <c r="R190" i="15"/>
  <c r="Q190" i="15"/>
  <c r="P190" i="15"/>
  <c r="O190" i="15"/>
  <c r="N190" i="15"/>
  <c r="M190" i="15"/>
  <c r="L190" i="15"/>
  <c r="K190" i="15"/>
  <c r="J190" i="15"/>
  <c r="I190" i="15"/>
  <c r="G190" i="15"/>
  <c r="F190" i="15"/>
  <c r="E190" i="15"/>
  <c r="D190" i="15"/>
  <c r="C190" i="15"/>
  <c r="B190" i="15"/>
  <c r="A190" i="15"/>
  <c r="Y189" i="15"/>
  <c r="U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A189" i="15"/>
  <c r="Y188" i="15"/>
  <c r="X188" i="15"/>
  <c r="W188" i="15"/>
  <c r="V188" i="15"/>
  <c r="U188" i="15"/>
  <c r="S188" i="15"/>
  <c r="R188" i="15"/>
  <c r="Q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A188" i="15"/>
  <c r="Y187" i="15"/>
  <c r="X187" i="15"/>
  <c r="W187" i="15"/>
  <c r="V187" i="15"/>
  <c r="U187" i="15"/>
  <c r="S187" i="15"/>
  <c r="R187" i="15"/>
  <c r="Q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C187" i="15"/>
  <c r="B187" i="15"/>
  <c r="A187" i="15"/>
  <c r="U186" i="15"/>
  <c r="T186" i="15"/>
  <c r="S186" i="15"/>
  <c r="R186" i="15"/>
  <c r="Q186" i="15"/>
  <c r="D186" i="15"/>
  <c r="C186" i="15"/>
  <c r="B186" i="15"/>
  <c r="A186" i="15"/>
  <c r="Y185" i="15"/>
  <c r="U185" i="15"/>
  <c r="T185" i="15"/>
  <c r="S185" i="15"/>
  <c r="R185" i="15"/>
  <c r="Q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A185" i="15"/>
  <c r="Y184" i="15"/>
  <c r="U184" i="15"/>
  <c r="T184" i="15"/>
  <c r="S184" i="15"/>
  <c r="R184" i="15"/>
  <c r="Q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A184" i="15"/>
  <c r="U183" i="15"/>
  <c r="T183" i="15"/>
  <c r="S183" i="15"/>
  <c r="R183" i="15"/>
  <c r="Q183" i="15"/>
  <c r="D183" i="15"/>
  <c r="C183" i="15"/>
  <c r="B183" i="15"/>
  <c r="A183" i="15"/>
  <c r="Y182" i="15"/>
  <c r="X182" i="15"/>
  <c r="W182" i="15"/>
  <c r="V182" i="15"/>
  <c r="U182" i="15"/>
  <c r="T182" i="15"/>
  <c r="S182" i="15"/>
  <c r="R182" i="15"/>
  <c r="Q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A182" i="15"/>
  <c r="Y181" i="15"/>
  <c r="X181" i="15"/>
  <c r="W181" i="15"/>
  <c r="V181" i="15"/>
  <c r="U181" i="15"/>
  <c r="T181" i="15"/>
  <c r="S181" i="15"/>
  <c r="R181" i="15"/>
  <c r="Q181" i="15"/>
  <c r="O181" i="15"/>
  <c r="N181" i="15"/>
  <c r="M181" i="15"/>
  <c r="L181" i="15"/>
  <c r="K181" i="15"/>
  <c r="J181" i="15"/>
  <c r="I181" i="15"/>
  <c r="G181" i="15"/>
  <c r="F181" i="15"/>
  <c r="E181" i="15"/>
  <c r="D181" i="15"/>
  <c r="C181" i="15"/>
  <c r="B181" i="15"/>
  <c r="A181" i="15"/>
  <c r="Y180" i="15"/>
  <c r="X180" i="15"/>
  <c r="W180" i="15"/>
  <c r="V180" i="15"/>
  <c r="U180" i="15"/>
  <c r="T180" i="15"/>
  <c r="S180" i="15"/>
  <c r="R180" i="15"/>
  <c r="Q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A180" i="15"/>
  <c r="Y179" i="15"/>
  <c r="X179" i="15"/>
  <c r="W179" i="15"/>
  <c r="V179" i="15"/>
  <c r="U179" i="15"/>
  <c r="T179" i="15"/>
  <c r="S179" i="15"/>
  <c r="R179" i="15"/>
  <c r="Q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A179" i="15"/>
  <c r="Y178" i="15"/>
  <c r="X178" i="15"/>
  <c r="W178" i="15"/>
  <c r="V178" i="15"/>
  <c r="U178" i="15"/>
  <c r="S178" i="15"/>
  <c r="R178" i="15"/>
  <c r="Q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A178" i="15"/>
  <c r="Y177" i="15"/>
  <c r="U177" i="15"/>
  <c r="S177" i="15"/>
  <c r="R177" i="15"/>
  <c r="Q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A177" i="15"/>
  <c r="Y176" i="15"/>
  <c r="X176" i="15"/>
  <c r="W176" i="15"/>
  <c r="V176" i="15"/>
  <c r="U176" i="15"/>
  <c r="S176" i="15"/>
  <c r="R176" i="15"/>
  <c r="Q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A176" i="15"/>
  <c r="Y175" i="15"/>
  <c r="X175" i="15"/>
  <c r="W175" i="15"/>
  <c r="V175" i="15"/>
  <c r="U175" i="15"/>
  <c r="S175" i="15"/>
  <c r="R175" i="15"/>
  <c r="Q175" i="15"/>
  <c r="O175" i="15"/>
  <c r="N175" i="15"/>
  <c r="M175" i="15"/>
  <c r="L175" i="15"/>
  <c r="K175" i="15"/>
  <c r="J175" i="15"/>
  <c r="I175" i="15"/>
  <c r="G175" i="15"/>
  <c r="F175" i="15"/>
  <c r="E175" i="15"/>
  <c r="D175" i="15"/>
  <c r="C175" i="15"/>
  <c r="B175" i="15"/>
  <c r="A175" i="15"/>
  <c r="Y174" i="15"/>
  <c r="U174" i="15"/>
  <c r="T174" i="15"/>
  <c r="S174" i="15"/>
  <c r="R174" i="15"/>
  <c r="Q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A174" i="15"/>
  <c r="Y173" i="15"/>
  <c r="U173" i="15"/>
  <c r="T173" i="15"/>
  <c r="S173" i="15"/>
  <c r="R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A173" i="15"/>
  <c r="Y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F172" i="15"/>
  <c r="E172" i="15"/>
  <c r="D172" i="15"/>
  <c r="C172" i="15"/>
  <c r="B172" i="15"/>
  <c r="A172" i="15"/>
  <c r="Y171" i="15"/>
  <c r="U171" i="15"/>
  <c r="T171" i="15"/>
  <c r="S171" i="15"/>
  <c r="R171" i="15"/>
  <c r="Q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B171" i="15"/>
  <c r="A171" i="15"/>
  <c r="Y170" i="15"/>
  <c r="X170" i="15"/>
  <c r="W170" i="15"/>
  <c r="V170" i="15"/>
  <c r="U170" i="15"/>
  <c r="T170" i="15"/>
  <c r="S170" i="15"/>
  <c r="R170" i="15"/>
  <c r="Q170" i="15"/>
  <c r="O170" i="15"/>
  <c r="N170" i="15"/>
  <c r="M170" i="15"/>
  <c r="L170" i="15"/>
  <c r="K170" i="15"/>
  <c r="J170" i="15"/>
  <c r="I170" i="15"/>
  <c r="H170" i="15"/>
  <c r="G170" i="15"/>
  <c r="F170" i="15"/>
  <c r="E170" i="15"/>
  <c r="D170" i="15"/>
  <c r="C170" i="15"/>
  <c r="B170" i="15"/>
  <c r="A170" i="15"/>
  <c r="Y169" i="15"/>
  <c r="X169" i="15"/>
  <c r="W169" i="15"/>
  <c r="V169" i="15"/>
  <c r="U169" i="15"/>
  <c r="T169" i="15"/>
  <c r="S169" i="15"/>
  <c r="R169" i="15"/>
  <c r="Q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A169" i="15"/>
  <c r="Y168" i="15"/>
  <c r="X168" i="15"/>
  <c r="W168" i="15"/>
  <c r="V168" i="15"/>
  <c r="U168" i="15"/>
  <c r="T168" i="15"/>
  <c r="S168" i="15"/>
  <c r="R168" i="15"/>
  <c r="Q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A168" i="15"/>
  <c r="Y167" i="15"/>
  <c r="X167" i="15"/>
  <c r="W167" i="15"/>
  <c r="V167" i="15"/>
  <c r="U167" i="15"/>
  <c r="T167" i="15"/>
  <c r="S167" i="15"/>
  <c r="R167" i="15"/>
  <c r="Q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A167" i="15"/>
  <c r="Y166" i="15"/>
  <c r="X166" i="15"/>
  <c r="W166" i="15"/>
  <c r="V166" i="15"/>
  <c r="U166" i="15"/>
  <c r="S166" i="15"/>
  <c r="R166" i="15"/>
  <c r="Q166" i="15"/>
  <c r="O166" i="15"/>
  <c r="N166" i="15"/>
  <c r="M166" i="15"/>
  <c r="L166" i="15"/>
  <c r="K166" i="15"/>
  <c r="J166" i="15"/>
  <c r="I166" i="15"/>
  <c r="G166" i="15"/>
  <c r="F166" i="15"/>
  <c r="E166" i="15"/>
  <c r="D166" i="15"/>
  <c r="C166" i="15"/>
  <c r="B166" i="15"/>
  <c r="A166" i="15"/>
  <c r="Y165" i="15"/>
  <c r="X165" i="15"/>
  <c r="W165" i="15"/>
  <c r="V165" i="15"/>
  <c r="U165" i="15"/>
  <c r="S165" i="15"/>
  <c r="R165" i="15"/>
  <c r="Q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A165" i="15"/>
  <c r="Y164" i="15"/>
  <c r="X164" i="15"/>
  <c r="W164" i="15"/>
  <c r="V164" i="15"/>
  <c r="U164" i="15"/>
  <c r="S164" i="15"/>
  <c r="R164" i="15"/>
  <c r="Q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A164" i="15"/>
  <c r="Y163" i="15"/>
  <c r="X163" i="15"/>
  <c r="W163" i="15"/>
  <c r="V163" i="15"/>
  <c r="U163" i="15"/>
  <c r="S163" i="15"/>
  <c r="R163" i="15"/>
  <c r="Q163" i="15"/>
  <c r="O163" i="15"/>
  <c r="N163" i="15"/>
  <c r="M163" i="15"/>
  <c r="L163" i="15"/>
  <c r="K163" i="15"/>
  <c r="J163" i="15"/>
  <c r="I163" i="15"/>
  <c r="G163" i="15"/>
  <c r="F163" i="15"/>
  <c r="E163" i="15"/>
  <c r="D163" i="15"/>
  <c r="C163" i="15"/>
  <c r="B163" i="15"/>
  <c r="A163" i="15"/>
  <c r="Y162" i="15"/>
  <c r="U162" i="15"/>
  <c r="T162" i="15"/>
  <c r="S162" i="15"/>
  <c r="R162" i="15"/>
  <c r="Q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C162" i="15"/>
  <c r="B162" i="15"/>
  <c r="A162" i="15"/>
  <c r="Y161" i="15"/>
  <c r="U161" i="15"/>
  <c r="T161" i="15"/>
  <c r="S161" i="15"/>
  <c r="R161" i="15"/>
  <c r="Q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C161" i="15"/>
  <c r="B161" i="15"/>
  <c r="A161" i="15"/>
  <c r="Y160" i="15"/>
  <c r="U160" i="15"/>
  <c r="T160" i="15"/>
  <c r="S160" i="15"/>
  <c r="R160" i="15"/>
  <c r="Q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C160" i="15"/>
  <c r="B160" i="15"/>
  <c r="A160" i="15"/>
  <c r="Y159" i="15"/>
  <c r="U159" i="15"/>
  <c r="T159" i="15"/>
  <c r="S159" i="15"/>
  <c r="R159" i="15"/>
  <c r="Q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C159" i="15"/>
  <c r="B159" i="15"/>
  <c r="A159" i="15"/>
  <c r="Y158" i="15"/>
  <c r="X158" i="15"/>
  <c r="W158" i="15"/>
  <c r="V158" i="15"/>
  <c r="U158" i="15"/>
  <c r="T158" i="15"/>
  <c r="S158" i="15"/>
  <c r="R158" i="15"/>
  <c r="Q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C158" i="15"/>
  <c r="B158" i="15"/>
  <c r="A158" i="15"/>
  <c r="Y157" i="15"/>
  <c r="X157" i="15"/>
  <c r="W157" i="15"/>
  <c r="V157" i="15"/>
  <c r="U157" i="15"/>
  <c r="T157" i="15"/>
  <c r="S157" i="15"/>
  <c r="R157" i="15"/>
  <c r="Q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C157" i="15"/>
  <c r="B157" i="15"/>
  <c r="A157" i="15"/>
  <c r="Y156" i="15"/>
  <c r="X156" i="15"/>
  <c r="W156" i="15"/>
  <c r="V156" i="15"/>
  <c r="U156" i="15"/>
  <c r="T156" i="15"/>
  <c r="S156" i="15"/>
  <c r="R156" i="15"/>
  <c r="Q156" i="15"/>
  <c r="O156" i="15"/>
  <c r="N156" i="15"/>
  <c r="M156" i="15"/>
  <c r="L156" i="15"/>
  <c r="K156" i="15"/>
  <c r="J156" i="15"/>
  <c r="I156" i="15"/>
  <c r="G156" i="15"/>
  <c r="F156" i="15"/>
  <c r="E156" i="15"/>
  <c r="D156" i="15"/>
  <c r="C156" i="15"/>
  <c r="B156" i="15"/>
  <c r="A156" i="15"/>
  <c r="Y155" i="15"/>
  <c r="X155" i="15"/>
  <c r="W155" i="15"/>
  <c r="V155" i="15"/>
  <c r="U155" i="15"/>
  <c r="T155" i="15"/>
  <c r="S155" i="15"/>
  <c r="R155" i="15"/>
  <c r="Q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B155" i="15"/>
  <c r="A155" i="15"/>
  <c r="Y154" i="15"/>
  <c r="X154" i="15"/>
  <c r="W154" i="15"/>
  <c r="V154" i="15"/>
  <c r="U154" i="15"/>
  <c r="S154" i="15"/>
  <c r="R154" i="15"/>
  <c r="Q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C154" i="15"/>
  <c r="B154" i="15"/>
  <c r="A154" i="15"/>
  <c r="Y153" i="15"/>
  <c r="U153" i="15"/>
  <c r="S153" i="15"/>
  <c r="R153" i="15"/>
  <c r="Q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C153" i="15"/>
  <c r="B153" i="15"/>
  <c r="A153" i="15"/>
  <c r="Y152" i="15"/>
  <c r="X152" i="15"/>
  <c r="W152" i="15"/>
  <c r="V152" i="15"/>
  <c r="U152" i="15"/>
  <c r="S152" i="15"/>
  <c r="R152" i="15"/>
  <c r="Q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B152" i="15"/>
  <c r="A152" i="15"/>
  <c r="Y151" i="15"/>
  <c r="X151" i="15"/>
  <c r="W151" i="15"/>
  <c r="V151" i="15"/>
  <c r="U151" i="15"/>
  <c r="S151" i="15"/>
  <c r="R151" i="15"/>
  <c r="Q151" i="15"/>
  <c r="O151" i="15"/>
  <c r="N151" i="15"/>
  <c r="M151" i="15"/>
  <c r="L151" i="15"/>
  <c r="K151" i="15"/>
  <c r="J151" i="15"/>
  <c r="I151" i="15"/>
  <c r="G151" i="15"/>
  <c r="F151" i="15"/>
  <c r="E151" i="15"/>
  <c r="D151" i="15"/>
  <c r="C151" i="15"/>
  <c r="B151" i="15"/>
  <c r="A151" i="15"/>
  <c r="Y150" i="15"/>
  <c r="U150" i="15"/>
  <c r="T150" i="15"/>
  <c r="S150" i="15"/>
  <c r="R150" i="15"/>
  <c r="Q150" i="15"/>
  <c r="O150" i="15"/>
  <c r="N150" i="15"/>
  <c r="M150" i="15"/>
  <c r="L150" i="15"/>
  <c r="K150" i="15"/>
  <c r="J150" i="15"/>
  <c r="I150" i="15"/>
  <c r="G150" i="15"/>
  <c r="F150" i="15"/>
  <c r="E150" i="15"/>
  <c r="D150" i="15"/>
  <c r="C150" i="15"/>
  <c r="B150" i="15"/>
  <c r="A150" i="15"/>
  <c r="Y149" i="15"/>
  <c r="U149" i="15"/>
  <c r="T149" i="15"/>
  <c r="S149" i="15"/>
  <c r="R149" i="15"/>
  <c r="Q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C149" i="15"/>
  <c r="B149" i="15"/>
  <c r="A149" i="15"/>
  <c r="Y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C148" i="15"/>
  <c r="B148" i="15"/>
  <c r="A148" i="15"/>
  <c r="Y147" i="15"/>
  <c r="U147" i="15"/>
  <c r="T147" i="15"/>
  <c r="S147" i="15"/>
  <c r="R147" i="15"/>
  <c r="Q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C147" i="15"/>
  <c r="B147" i="15"/>
  <c r="A147" i="15"/>
  <c r="Y146" i="15"/>
  <c r="X146" i="15"/>
  <c r="W146" i="15"/>
  <c r="V146" i="15"/>
  <c r="U146" i="15"/>
  <c r="T146" i="15"/>
  <c r="S146" i="15"/>
  <c r="R146" i="15"/>
  <c r="Q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C146" i="15"/>
  <c r="B146" i="15"/>
  <c r="A146" i="15"/>
  <c r="Y145" i="15"/>
  <c r="X145" i="15"/>
  <c r="W145" i="15"/>
  <c r="V145" i="15"/>
  <c r="U145" i="15"/>
  <c r="T145" i="15"/>
  <c r="S145" i="15"/>
  <c r="R145" i="15"/>
  <c r="Q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B145" i="15"/>
  <c r="A145" i="15"/>
  <c r="Y144" i="15"/>
  <c r="X144" i="15"/>
  <c r="W144" i="15"/>
  <c r="V144" i="15"/>
  <c r="U144" i="15"/>
  <c r="T144" i="15"/>
  <c r="S144" i="15"/>
  <c r="R144" i="15"/>
  <c r="Q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C144" i="15"/>
  <c r="B144" i="15"/>
  <c r="A144" i="15"/>
  <c r="Y143" i="15"/>
  <c r="X143" i="15"/>
  <c r="W143" i="15"/>
  <c r="V143" i="15"/>
  <c r="U143" i="15"/>
  <c r="T143" i="15"/>
  <c r="S143" i="15"/>
  <c r="R143" i="15"/>
  <c r="Q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B143" i="15"/>
  <c r="A143" i="15"/>
  <c r="Y142" i="15"/>
  <c r="U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C142" i="15"/>
  <c r="B142" i="15"/>
  <c r="A142" i="15"/>
  <c r="Y141" i="15"/>
  <c r="U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C141" i="15"/>
  <c r="B141" i="15"/>
  <c r="A141" i="15"/>
  <c r="Y140" i="15"/>
  <c r="X140" i="15"/>
  <c r="W140" i="15"/>
  <c r="V140" i="15"/>
  <c r="U140" i="15"/>
  <c r="S140" i="15"/>
  <c r="R140" i="15"/>
  <c r="Q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C140" i="15"/>
  <c r="B140" i="15"/>
  <c r="A140" i="15"/>
  <c r="Y139" i="15"/>
  <c r="X139" i="15"/>
  <c r="W139" i="15"/>
  <c r="V139" i="15"/>
  <c r="U139" i="15"/>
  <c r="S139" i="15"/>
  <c r="R139" i="15"/>
  <c r="Q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C139" i="15"/>
  <c r="B139" i="15"/>
  <c r="A139" i="15"/>
  <c r="Y138" i="15"/>
  <c r="U138" i="15"/>
  <c r="T138" i="15"/>
  <c r="S138" i="15"/>
  <c r="R138" i="15"/>
  <c r="Q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C138" i="15"/>
  <c r="B138" i="15"/>
  <c r="A138" i="15"/>
  <c r="Y137" i="15"/>
  <c r="U137" i="15"/>
  <c r="T137" i="15"/>
  <c r="S137" i="15"/>
  <c r="R137" i="15"/>
  <c r="Q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C137" i="15"/>
  <c r="B137" i="15"/>
  <c r="A137" i="15"/>
  <c r="Y136" i="15"/>
  <c r="U136" i="15"/>
  <c r="T136" i="15"/>
  <c r="S136" i="15"/>
  <c r="R136" i="15"/>
  <c r="Q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C136" i="15"/>
  <c r="B136" i="15"/>
  <c r="A136" i="15"/>
  <c r="Y135" i="15"/>
  <c r="U135" i="15"/>
  <c r="T135" i="15"/>
  <c r="S135" i="15"/>
  <c r="R135" i="15"/>
  <c r="Q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C135" i="15"/>
  <c r="B135" i="15"/>
  <c r="A135" i="15"/>
  <c r="Y134" i="15"/>
  <c r="X134" i="15"/>
  <c r="W134" i="15"/>
  <c r="V134" i="15"/>
  <c r="U134" i="15"/>
  <c r="T134" i="15"/>
  <c r="S134" i="15"/>
  <c r="R134" i="15"/>
  <c r="Q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C134" i="15"/>
  <c r="B134" i="15"/>
  <c r="A134" i="15"/>
  <c r="Y133" i="15"/>
  <c r="X133" i="15"/>
  <c r="W133" i="15"/>
  <c r="V133" i="15"/>
  <c r="U133" i="15"/>
  <c r="T133" i="15"/>
  <c r="S133" i="15"/>
  <c r="R133" i="15"/>
  <c r="Q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C133" i="15"/>
  <c r="B133" i="15"/>
  <c r="A133" i="15"/>
  <c r="Y132" i="15"/>
  <c r="X132" i="15"/>
  <c r="U132" i="15"/>
  <c r="T132" i="15"/>
  <c r="S132" i="15"/>
  <c r="R132" i="15"/>
  <c r="Q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C132" i="15"/>
  <c r="B132" i="15"/>
  <c r="A132" i="15"/>
  <c r="Y131" i="15"/>
  <c r="X131" i="15"/>
  <c r="W131" i="15"/>
  <c r="V131" i="15"/>
  <c r="U131" i="15"/>
  <c r="T131" i="15"/>
  <c r="S131" i="15"/>
  <c r="R131" i="15"/>
  <c r="Q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C131" i="15"/>
  <c r="B131" i="15"/>
  <c r="A131" i="15"/>
  <c r="Y130" i="15"/>
  <c r="U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C130" i="15"/>
  <c r="B130" i="15"/>
  <c r="A130" i="15"/>
  <c r="U129" i="15"/>
  <c r="S129" i="15"/>
  <c r="R129" i="15"/>
  <c r="Q129" i="15"/>
  <c r="P129" i="15"/>
  <c r="D129" i="15"/>
  <c r="C129" i="15"/>
  <c r="B129" i="15"/>
  <c r="A129" i="15"/>
  <c r="Y128" i="15"/>
  <c r="U128" i="15"/>
  <c r="S128" i="15"/>
  <c r="R128" i="15"/>
  <c r="Q128" i="15"/>
  <c r="O128" i="15"/>
  <c r="N128" i="15"/>
  <c r="M128" i="15"/>
  <c r="L128" i="15"/>
  <c r="K128" i="15"/>
  <c r="J128" i="15"/>
  <c r="I128" i="15"/>
  <c r="G128" i="15"/>
  <c r="F128" i="15"/>
  <c r="E128" i="15"/>
  <c r="D128" i="15"/>
  <c r="C128" i="15"/>
  <c r="B128" i="15"/>
  <c r="A128" i="15"/>
  <c r="Y127" i="15"/>
  <c r="X127" i="15"/>
  <c r="W127" i="15"/>
  <c r="U127" i="15"/>
  <c r="S127" i="15"/>
  <c r="R127" i="15"/>
  <c r="Q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C127" i="15"/>
  <c r="B127" i="15"/>
  <c r="A127" i="15"/>
  <c r="Y126" i="15"/>
  <c r="U126" i="15"/>
  <c r="T126" i="15"/>
  <c r="S126" i="15"/>
  <c r="R126" i="15"/>
  <c r="Q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C126" i="15"/>
  <c r="B126" i="15"/>
  <c r="A126" i="15"/>
  <c r="Y125" i="15"/>
  <c r="U125" i="15"/>
  <c r="T125" i="15"/>
  <c r="S125" i="15"/>
  <c r="R125" i="15"/>
  <c r="Q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C125" i="15"/>
  <c r="B125" i="15"/>
  <c r="A125" i="15"/>
  <c r="Y124" i="15"/>
  <c r="U124" i="15"/>
  <c r="T124" i="15"/>
  <c r="S124" i="15"/>
  <c r="R124" i="15"/>
  <c r="Q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C124" i="15"/>
  <c r="B124" i="15"/>
  <c r="A124" i="15"/>
  <c r="Y123" i="15"/>
  <c r="U123" i="15"/>
  <c r="T123" i="15"/>
  <c r="S123" i="15"/>
  <c r="R123" i="15"/>
  <c r="Q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C123" i="15"/>
  <c r="B123" i="15"/>
  <c r="A123" i="15"/>
  <c r="Y122" i="15"/>
  <c r="X122" i="15"/>
  <c r="W122" i="15"/>
  <c r="V122" i="15"/>
  <c r="U122" i="15"/>
  <c r="T122" i="15"/>
  <c r="S122" i="15"/>
  <c r="R122" i="15"/>
  <c r="Q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C122" i="15"/>
  <c r="B122" i="15"/>
  <c r="A122" i="15"/>
  <c r="Y121" i="15"/>
  <c r="X121" i="15"/>
  <c r="W121" i="15"/>
  <c r="V121" i="15"/>
  <c r="U121" i="15"/>
  <c r="T121" i="15"/>
  <c r="S121" i="15"/>
  <c r="R121" i="15"/>
  <c r="Q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C121" i="15"/>
  <c r="B121" i="15"/>
  <c r="A121" i="15"/>
  <c r="Y120" i="15"/>
  <c r="X120" i="15"/>
  <c r="W120" i="15"/>
  <c r="V120" i="15"/>
  <c r="U120" i="15"/>
  <c r="T120" i="15"/>
  <c r="S120" i="15"/>
  <c r="R120" i="15"/>
  <c r="Q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C120" i="15"/>
  <c r="B120" i="15"/>
  <c r="A120" i="15"/>
  <c r="Y119" i="15"/>
  <c r="X119" i="15"/>
  <c r="W119" i="15"/>
  <c r="U119" i="15"/>
  <c r="T119" i="15"/>
  <c r="S119" i="15"/>
  <c r="R119" i="15"/>
  <c r="Q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C119" i="15"/>
  <c r="B119" i="15"/>
  <c r="A119" i="15"/>
  <c r="Y118" i="15"/>
  <c r="X118" i="15"/>
  <c r="W118" i="15"/>
  <c r="U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C118" i="15"/>
  <c r="B118" i="15"/>
  <c r="A118" i="15"/>
  <c r="Y117" i="15"/>
  <c r="U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C117" i="15"/>
  <c r="B117" i="15"/>
  <c r="A117" i="15"/>
  <c r="Y116" i="15"/>
  <c r="U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C116" i="15"/>
  <c r="B116" i="15"/>
  <c r="A116" i="15"/>
  <c r="Y115" i="15"/>
  <c r="X115" i="15"/>
  <c r="W115" i="15"/>
  <c r="V115" i="15"/>
  <c r="U115" i="15"/>
  <c r="S115" i="15"/>
  <c r="R115" i="15"/>
  <c r="Q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C115" i="15"/>
  <c r="B115" i="15"/>
  <c r="A115" i="15"/>
  <c r="Y114" i="15"/>
  <c r="X114" i="15"/>
  <c r="W114" i="15"/>
  <c r="V114" i="15"/>
  <c r="U114" i="15"/>
  <c r="T114" i="15"/>
  <c r="S114" i="15"/>
  <c r="R114" i="15"/>
  <c r="Q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C114" i="15"/>
  <c r="B114" i="15"/>
  <c r="A114" i="15"/>
  <c r="Y113" i="15"/>
  <c r="U113" i="15"/>
  <c r="T113" i="15"/>
  <c r="S113" i="15"/>
  <c r="R113" i="15"/>
  <c r="Q113" i="15"/>
  <c r="O113" i="15"/>
  <c r="N113" i="15"/>
  <c r="M113" i="15"/>
  <c r="L113" i="15"/>
  <c r="K113" i="15"/>
  <c r="J113" i="15"/>
  <c r="I113" i="15"/>
  <c r="G113" i="15"/>
  <c r="F113" i="15"/>
  <c r="E113" i="15"/>
  <c r="D113" i="15"/>
  <c r="C113" i="15"/>
  <c r="B113" i="15"/>
  <c r="A113" i="15"/>
  <c r="Y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C112" i="15"/>
  <c r="B112" i="15"/>
  <c r="A112" i="15"/>
  <c r="Y111" i="15"/>
  <c r="U111" i="15"/>
  <c r="T111" i="15"/>
  <c r="S111" i="15"/>
  <c r="R111" i="15"/>
  <c r="Q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C111" i="15"/>
  <c r="B111" i="15"/>
  <c r="A111" i="15"/>
  <c r="Y110" i="15"/>
  <c r="X110" i="15"/>
  <c r="W110" i="15"/>
  <c r="V110" i="15"/>
  <c r="U110" i="15"/>
  <c r="T110" i="15"/>
  <c r="S110" i="15"/>
  <c r="R110" i="15"/>
  <c r="Q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C110" i="15"/>
  <c r="B110" i="15"/>
  <c r="A110" i="15"/>
  <c r="Y109" i="15"/>
  <c r="X109" i="15"/>
  <c r="W109" i="15"/>
  <c r="V109" i="15"/>
  <c r="U109" i="15"/>
  <c r="T109" i="15"/>
  <c r="S109" i="15"/>
  <c r="R109" i="15"/>
  <c r="Q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C109" i="15"/>
  <c r="B109" i="15"/>
  <c r="A109" i="15"/>
  <c r="Y108" i="15"/>
  <c r="X108" i="15"/>
  <c r="W108" i="15"/>
  <c r="V108" i="15"/>
  <c r="U108" i="15"/>
  <c r="T108" i="15"/>
  <c r="S108" i="15"/>
  <c r="R108" i="15"/>
  <c r="Q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C108" i="15"/>
  <c r="B108" i="15"/>
  <c r="A108" i="15"/>
  <c r="Y107" i="15"/>
  <c r="X107" i="15"/>
  <c r="W107" i="15"/>
  <c r="V107" i="15"/>
  <c r="U107" i="15"/>
  <c r="T107" i="15"/>
  <c r="S107" i="15"/>
  <c r="R107" i="15"/>
  <c r="Q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C107" i="15"/>
  <c r="B107" i="15"/>
  <c r="A107" i="15"/>
  <c r="Y106" i="15"/>
  <c r="X106" i="15"/>
  <c r="W106" i="15"/>
  <c r="V106" i="15"/>
  <c r="U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C106" i="15"/>
  <c r="B106" i="15"/>
  <c r="A106" i="15"/>
  <c r="Y105" i="15"/>
  <c r="X105" i="15"/>
  <c r="U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C105" i="15"/>
  <c r="B105" i="15"/>
  <c r="A105" i="15"/>
  <c r="Y104" i="15"/>
  <c r="X104" i="15"/>
  <c r="W104" i="15"/>
  <c r="V104" i="15"/>
  <c r="U104" i="15"/>
  <c r="S104" i="15"/>
  <c r="R104" i="15"/>
  <c r="Q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104" i="15"/>
  <c r="A104" i="15"/>
  <c r="Y103" i="15"/>
  <c r="U103" i="15"/>
  <c r="S103" i="15"/>
  <c r="R103" i="15"/>
  <c r="Q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103" i="15"/>
  <c r="A103" i="15"/>
  <c r="Y102" i="15"/>
  <c r="U102" i="15"/>
  <c r="T102" i="15"/>
  <c r="S102" i="15"/>
  <c r="R102" i="15"/>
  <c r="Q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102" i="15"/>
  <c r="A102" i="15"/>
  <c r="Y101" i="15"/>
  <c r="U101" i="15"/>
  <c r="T101" i="15"/>
  <c r="S101" i="15"/>
  <c r="R101" i="15"/>
  <c r="Q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101" i="15"/>
  <c r="A101" i="15"/>
  <c r="Y100" i="15"/>
  <c r="U100" i="15"/>
  <c r="T100" i="15"/>
  <c r="S100" i="15"/>
  <c r="R100" i="15"/>
  <c r="Q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100" i="15"/>
  <c r="A100" i="15"/>
  <c r="Y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99" i="15"/>
  <c r="A99" i="15"/>
  <c r="Y98" i="15"/>
  <c r="U98" i="15"/>
  <c r="T98" i="15"/>
  <c r="S98" i="15"/>
  <c r="R98" i="15"/>
  <c r="Q98" i="15"/>
  <c r="O98" i="15"/>
  <c r="N98" i="15"/>
  <c r="M98" i="15"/>
  <c r="L98" i="15"/>
  <c r="K98" i="15"/>
  <c r="J98" i="15"/>
  <c r="I98" i="15"/>
  <c r="G98" i="15"/>
  <c r="F98" i="15"/>
  <c r="E98" i="15"/>
  <c r="D98" i="15"/>
  <c r="C98" i="15"/>
  <c r="B98" i="15"/>
  <c r="A98" i="15"/>
  <c r="Y97" i="15"/>
  <c r="X97" i="15"/>
  <c r="V97" i="15"/>
  <c r="U97" i="15"/>
  <c r="T97" i="15"/>
  <c r="S97" i="15"/>
  <c r="R97" i="15"/>
  <c r="Q97" i="15"/>
  <c r="O97" i="15"/>
  <c r="N97" i="15"/>
  <c r="M97" i="15"/>
  <c r="L97" i="15"/>
  <c r="K97" i="15"/>
  <c r="J97" i="15"/>
  <c r="I97" i="15"/>
  <c r="G97" i="15"/>
  <c r="F97" i="15"/>
  <c r="E97" i="15"/>
  <c r="D97" i="15"/>
  <c r="C97" i="15"/>
  <c r="B97" i="15"/>
  <c r="A97" i="15"/>
  <c r="Y96" i="15"/>
  <c r="X96" i="15"/>
  <c r="W96" i="15"/>
  <c r="V96" i="15"/>
  <c r="U96" i="15"/>
  <c r="T96" i="15"/>
  <c r="S96" i="15"/>
  <c r="R96" i="15"/>
  <c r="Q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96" i="15"/>
  <c r="A96" i="15"/>
  <c r="Y95" i="15"/>
  <c r="X95" i="15"/>
  <c r="W95" i="15"/>
  <c r="U95" i="15"/>
  <c r="T95" i="15"/>
  <c r="S95" i="15"/>
  <c r="R95" i="15"/>
  <c r="Q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95" i="15"/>
  <c r="A95" i="15"/>
  <c r="Y94" i="15"/>
  <c r="U94" i="15"/>
  <c r="S94" i="15"/>
  <c r="R94" i="15"/>
  <c r="Q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94" i="15"/>
  <c r="A94" i="15"/>
  <c r="Y93" i="15"/>
  <c r="U93" i="15"/>
  <c r="S93" i="15"/>
  <c r="R93" i="15"/>
  <c r="Q93" i="15"/>
  <c r="O93" i="15"/>
  <c r="N93" i="15"/>
  <c r="M93" i="15"/>
  <c r="L93" i="15"/>
  <c r="K93" i="15"/>
  <c r="J93" i="15"/>
  <c r="I93" i="15"/>
  <c r="H93" i="15"/>
  <c r="G93" i="15"/>
  <c r="E93" i="15"/>
  <c r="D93" i="15"/>
  <c r="C93" i="15"/>
  <c r="B93" i="15"/>
  <c r="A93" i="15"/>
  <c r="Y92" i="15"/>
  <c r="U92" i="15"/>
  <c r="S92" i="15"/>
  <c r="R92" i="15"/>
  <c r="Q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92" i="15"/>
  <c r="A92" i="15"/>
  <c r="Y91" i="15"/>
  <c r="X91" i="15"/>
  <c r="W91" i="15"/>
  <c r="V91" i="15"/>
  <c r="U91" i="15"/>
  <c r="S91" i="15"/>
  <c r="R91" i="15"/>
  <c r="Q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91" i="15"/>
  <c r="A91" i="15"/>
  <c r="U90" i="15"/>
  <c r="T90" i="15"/>
  <c r="S90" i="15"/>
  <c r="R90" i="15"/>
  <c r="Q90" i="15"/>
  <c r="D90" i="15"/>
  <c r="C90" i="15"/>
  <c r="B90" i="15"/>
  <c r="A90" i="15"/>
  <c r="Y89" i="15"/>
  <c r="U89" i="15"/>
  <c r="T89" i="15"/>
  <c r="S89" i="15"/>
  <c r="R89" i="15"/>
  <c r="Q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89" i="15"/>
  <c r="A89" i="15"/>
  <c r="Y88" i="15"/>
  <c r="U88" i="15"/>
  <c r="T88" i="15"/>
  <c r="S88" i="15"/>
  <c r="R88" i="15"/>
  <c r="Q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A88" i="15"/>
  <c r="U87" i="15"/>
  <c r="T87" i="15"/>
  <c r="S87" i="15"/>
  <c r="R87" i="15"/>
  <c r="Q87" i="15"/>
  <c r="D87" i="15"/>
  <c r="C87" i="15"/>
  <c r="B87" i="15"/>
  <c r="A87" i="15"/>
  <c r="Y86" i="15"/>
  <c r="X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86" i="15"/>
  <c r="A86" i="15"/>
  <c r="U85" i="15"/>
  <c r="T85" i="15"/>
  <c r="S85" i="15"/>
  <c r="R85" i="15"/>
  <c r="Q85" i="15"/>
  <c r="P85" i="15"/>
  <c r="G85" i="15"/>
  <c r="D85" i="15"/>
  <c r="C85" i="15"/>
  <c r="B85" i="15"/>
  <c r="A85" i="15"/>
  <c r="Y84" i="15"/>
  <c r="X84" i="15"/>
  <c r="W84" i="15"/>
  <c r="V84" i="15"/>
  <c r="U84" i="15"/>
  <c r="T84" i="15"/>
  <c r="S84" i="15"/>
  <c r="R84" i="15"/>
  <c r="Q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A84" i="15"/>
  <c r="U83" i="15"/>
  <c r="T83" i="15"/>
  <c r="S83" i="15"/>
  <c r="R83" i="15"/>
  <c r="Q83" i="15"/>
  <c r="P83" i="15"/>
  <c r="G83" i="15"/>
  <c r="D83" i="15"/>
  <c r="C83" i="15"/>
  <c r="B83" i="15"/>
  <c r="A83" i="15"/>
  <c r="Y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A82" i="15"/>
  <c r="Y81" i="15"/>
  <c r="U81" i="15"/>
  <c r="T81" i="15"/>
  <c r="S81" i="15"/>
  <c r="R81" i="15"/>
  <c r="Q81" i="15"/>
  <c r="O81" i="15"/>
  <c r="N81" i="15"/>
  <c r="M81" i="15"/>
  <c r="L81" i="15"/>
  <c r="K81" i="15"/>
  <c r="J81" i="15"/>
  <c r="I81" i="15"/>
  <c r="G81" i="15"/>
  <c r="F81" i="15"/>
  <c r="E81" i="15"/>
  <c r="D81" i="15"/>
  <c r="C81" i="15"/>
  <c r="B81" i="15"/>
  <c r="A81" i="15"/>
  <c r="Y80" i="15"/>
  <c r="X80" i="15"/>
  <c r="W80" i="15"/>
  <c r="V80" i="15"/>
  <c r="U80" i="15"/>
  <c r="T80" i="15"/>
  <c r="S80" i="15"/>
  <c r="R80" i="15"/>
  <c r="Q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A80" i="15"/>
  <c r="Y79" i="15"/>
  <c r="U79" i="15"/>
  <c r="T79" i="15"/>
  <c r="S79" i="15"/>
  <c r="R79" i="15"/>
  <c r="Q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A79" i="15"/>
  <c r="U78" i="15"/>
  <c r="T78" i="15"/>
  <c r="S78" i="15"/>
  <c r="R78" i="15"/>
  <c r="Q78" i="15"/>
  <c r="P78" i="15"/>
  <c r="G78" i="15"/>
  <c r="D78" i="15"/>
  <c r="C78" i="15"/>
  <c r="B78" i="15"/>
  <c r="A78" i="15"/>
  <c r="Y77" i="15"/>
  <c r="X77" i="15"/>
  <c r="W77" i="15"/>
  <c r="V77" i="15"/>
  <c r="U77" i="15"/>
  <c r="T77" i="15"/>
  <c r="S77" i="15"/>
  <c r="R77" i="15"/>
  <c r="Q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A77" i="15"/>
  <c r="U76" i="15"/>
  <c r="T76" i="15"/>
  <c r="S76" i="15"/>
  <c r="R76" i="15"/>
  <c r="Q76" i="15"/>
  <c r="P76" i="15"/>
  <c r="G76" i="15"/>
  <c r="D76" i="15"/>
  <c r="C76" i="15"/>
  <c r="B76" i="15"/>
  <c r="A76" i="15"/>
  <c r="Y75" i="15"/>
  <c r="X75" i="15"/>
  <c r="W75" i="15"/>
  <c r="V75" i="15"/>
  <c r="U75" i="15"/>
  <c r="T75" i="15"/>
  <c r="S75" i="15"/>
  <c r="R75" i="15"/>
  <c r="Q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A75" i="15"/>
  <c r="Y74" i="15"/>
  <c r="U74" i="15"/>
  <c r="T74" i="15"/>
  <c r="S74" i="15"/>
  <c r="R74" i="15"/>
  <c r="Q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A74" i="15"/>
  <c r="Y73" i="15"/>
  <c r="U73" i="15"/>
  <c r="T73" i="15"/>
  <c r="S73" i="15"/>
  <c r="R73" i="15"/>
  <c r="Q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A73" i="15"/>
  <c r="Y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G72" i="15"/>
  <c r="F72" i="15"/>
  <c r="E72" i="15"/>
  <c r="D72" i="15"/>
  <c r="C72" i="15"/>
  <c r="B72" i="15"/>
  <c r="A72" i="15"/>
  <c r="Y71" i="15"/>
  <c r="U71" i="15"/>
  <c r="T71" i="15"/>
  <c r="S71" i="15"/>
  <c r="R71" i="15"/>
  <c r="Q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A71" i="15"/>
  <c r="Y70" i="15"/>
  <c r="X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A70" i="15"/>
  <c r="Y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69" i="15"/>
  <c r="Y68" i="15"/>
  <c r="U68" i="15"/>
  <c r="T68" i="15"/>
  <c r="S68" i="15"/>
  <c r="R68" i="15"/>
  <c r="Q68" i="15"/>
  <c r="P68" i="15"/>
  <c r="D68" i="15"/>
  <c r="C68" i="15"/>
  <c r="B68" i="15"/>
  <c r="A68" i="15"/>
  <c r="Y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67" i="15"/>
  <c r="Y66" i="15"/>
  <c r="X66" i="15"/>
  <c r="W66" i="15"/>
  <c r="V66" i="15"/>
  <c r="U66" i="15"/>
  <c r="T66" i="15"/>
  <c r="S66" i="15"/>
  <c r="R66" i="15"/>
  <c r="Q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66" i="15"/>
  <c r="Y65" i="15"/>
  <c r="X65" i="15"/>
  <c r="W65" i="15"/>
  <c r="V65" i="15"/>
  <c r="U65" i="15"/>
  <c r="T65" i="15"/>
  <c r="S65" i="15"/>
  <c r="R65" i="15"/>
  <c r="Q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65" i="15"/>
  <c r="U64" i="15"/>
  <c r="T64" i="15"/>
  <c r="S64" i="15"/>
  <c r="R64" i="15"/>
  <c r="Q64" i="15"/>
  <c r="P64" i="15"/>
  <c r="G64" i="15"/>
  <c r="D64" i="15"/>
  <c r="C64" i="15"/>
  <c r="B64" i="15"/>
  <c r="A64" i="15"/>
  <c r="Y63" i="15"/>
  <c r="X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63" i="15"/>
  <c r="Y62" i="15"/>
  <c r="U62" i="15"/>
  <c r="T62" i="15"/>
  <c r="S62" i="15"/>
  <c r="R62" i="15"/>
  <c r="Q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62" i="15"/>
  <c r="Y61" i="15"/>
  <c r="U61" i="15"/>
  <c r="T61" i="15"/>
  <c r="S61" i="15"/>
  <c r="R61" i="15"/>
  <c r="Q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61" i="15"/>
  <c r="U60" i="15"/>
  <c r="T60" i="15"/>
  <c r="S60" i="15"/>
  <c r="R60" i="15"/>
  <c r="Q60" i="15"/>
  <c r="D60" i="15"/>
  <c r="C60" i="15"/>
  <c r="B60" i="15"/>
  <c r="A60" i="15"/>
  <c r="Y59" i="15"/>
  <c r="U59" i="15"/>
  <c r="T59" i="15"/>
  <c r="S59" i="15"/>
  <c r="R59" i="15"/>
  <c r="Q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59" i="15"/>
  <c r="Y58" i="15"/>
  <c r="X58" i="15"/>
  <c r="U58" i="15"/>
  <c r="T58" i="15"/>
  <c r="S58" i="15"/>
  <c r="R58" i="15"/>
  <c r="Q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58" i="15"/>
  <c r="Y57" i="15"/>
  <c r="X57" i="15"/>
  <c r="W57" i="15"/>
  <c r="V57" i="15"/>
  <c r="U57" i="15"/>
  <c r="T57" i="15"/>
  <c r="S57" i="15"/>
  <c r="R57" i="15"/>
  <c r="Q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57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56" i="15"/>
  <c r="Y55" i="15"/>
  <c r="U55" i="15"/>
  <c r="T55" i="15"/>
  <c r="S55" i="15"/>
  <c r="R55" i="15"/>
  <c r="Q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55" i="15"/>
  <c r="U54" i="15"/>
  <c r="T54" i="15"/>
  <c r="S54" i="15"/>
  <c r="R54" i="15"/>
  <c r="Q54" i="15"/>
  <c r="P54" i="15"/>
  <c r="G54" i="15"/>
  <c r="D54" i="15"/>
  <c r="C54" i="15"/>
  <c r="B54" i="15"/>
  <c r="A54" i="15"/>
  <c r="U53" i="15"/>
  <c r="T53" i="15"/>
  <c r="S53" i="15"/>
  <c r="R53" i="15"/>
  <c r="Q53" i="15"/>
  <c r="P53" i="15"/>
  <c r="G53" i="15"/>
  <c r="D53" i="15"/>
  <c r="C53" i="15"/>
  <c r="B53" i="15"/>
  <c r="A53" i="15"/>
  <c r="Y52" i="15"/>
  <c r="X52" i="15"/>
  <c r="W52" i="15"/>
  <c r="V52" i="15"/>
  <c r="U52" i="15"/>
  <c r="T52" i="15"/>
  <c r="S52" i="15"/>
  <c r="R52" i="15"/>
  <c r="Q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52" i="15"/>
  <c r="U51" i="15"/>
  <c r="T51" i="15"/>
  <c r="S51" i="15"/>
  <c r="R51" i="15"/>
  <c r="Q51" i="15"/>
  <c r="P51" i="15"/>
  <c r="G51" i="15"/>
  <c r="D51" i="15"/>
  <c r="C51" i="15"/>
  <c r="B51" i="15"/>
  <c r="A51" i="15"/>
  <c r="Y50" i="15"/>
  <c r="U50" i="15"/>
  <c r="T50" i="15"/>
  <c r="S50" i="15"/>
  <c r="R50" i="15"/>
  <c r="Q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50" i="15"/>
  <c r="Y49" i="15"/>
  <c r="U49" i="15"/>
  <c r="T49" i="15"/>
  <c r="S49" i="15"/>
  <c r="R49" i="15"/>
  <c r="Q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49" i="15"/>
  <c r="Y48" i="15"/>
  <c r="U48" i="15"/>
  <c r="T48" i="15"/>
  <c r="S48" i="15"/>
  <c r="R48" i="15"/>
  <c r="Q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48" i="15"/>
  <c r="A48" i="15"/>
  <c r="Y47" i="15"/>
  <c r="X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47" i="15"/>
  <c r="A47" i="15"/>
  <c r="Y46" i="15"/>
  <c r="X46" i="15"/>
  <c r="W46" i="15"/>
  <c r="V46" i="15"/>
  <c r="U46" i="15"/>
  <c r="T46" i="15"/>
  <c r="S46" i="15"/>
  <c r="R46" i="15"/>
  <c r="Q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46" i="15"/>
  <c r="A46" i="15"/>
  <c r="Y45" i="15"/>
  <c r="X45" i="15"/>
  <c r="W45" i="15"/>
  <c r="V45" i="15"/>
  <c r="U45" i="15"/>
  <c r="T45" i="15"/>
  <c r="S45" i="15"/>
  <c r="R45" i="15"/>
  <c r="Q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45" i="15"/>
  <c r="A45" i="15"/>
  <c r="Y44" i="15"/>
  <c r="X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B44" i="15"/>
  <c r="A44" i="15"/>
  <c r="Y43" i="15"/>
  <c r="X43" i="15"/>
  <c r="W43" i="15"/>
  <c r="V43" i="15"/>
  <c r="U43" i="15"/>
  <c r="T43" i="15"/>
  <c r="S43" i="15"/>
  <c r="R43" i="15"/>
  <c r="Q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43" i="15"/>
  <c r="A43" i="15"/>
  <c r="Y42" i="15"/>
  <c r="X42" i="15"/>
  <c r="W42" i="15"/>
  <c r="U42" i="15"/>
  <c r="T42" i="15"/>
  <c r="S42" i="15"/>
  <c r="R42" i="15"/>
  <c r="Q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42" i="15"/>
  <c r="Y41" i="15"/>
  <c r="X41" i="15"/>
  <c r="V41" i="15"/>
  <c r="U41" i="15"/>
  <c r="T41" i="15"/>
  <c r="S41" i="15"/>
  <c r="R41" i="15"/>
  <c r="Q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41" i="15"/>
  <c r="U40" i="15"/>
  <c r="T40" i="15"/>
  <c r="S40" i="15"/>
  <c r="R40" i="15"/>
  <c r="Q40" i="15"/>
  <c r="P40" i="15"/>
  <c r="G40" i="15"/>
  <c r="D40" i="15"/>
  <c r="C40" i="15"/>
  <c r="B40" i="15"/>
  <c r="A40" i="15"/>
  <c r="U39" i="15"/>
  <c r="T39" i="15"/>
  <c r="S39" i="15"/>
  <c r="R39" i="15"/>
  <c r="Q39" i="15"/>
  <c r="P39" i="15"/>
  <c r="G39" i="15"/>
  <c r="D39" i="15"/>
  <c r="C39" i="15"/>
  <c r="B39" i="15"/>
  <c r="A39" i="15"/>
  <c r="Y38" i="15"/>
  <c r="U38" i="15"/>
  <c r="T38" i="15"/>
  <c r="S38" i="15"/>
  <c r="R38" i="15"/>
  <c r="Q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38" i="15"/>
  <c r="Y37" i="15"/>
  <c r="U37" i="15"/>
  <c r="T37" i="15"/>
  <c r="S37" i="15"/>
  <c r="R37" i="15"/>
  <c r="Q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37" i="15"/>
  <c r="Y36" i="15"/>
  <c r="X36" i="15"/>
  <c r="U36" i="15"/>
  <c r="T36" i="15"/>
  <c r="S36" i="15"/>
  <c r="R36" i="15"/>
  <c r="Q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36" i="15"/>
  <c r="Y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35" i="15"/>
  <c r="Y34" i="15"/>
  <c r="X34" i="15"/>
  <c r="W34" i="15"/>
  <c r="V34" i="15"/>
  <c r="U34" i="15"/>
  <c r="T34" i="15"/>
  <c r="S34" i="15"/>
  <c r="R34" i="15"/>
  <c r="Q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A34" i="15"/>
  <c r="U33" i="15"/>
  <c r="T33" i="15"/>
  <c r="S33" i="15"/>
  <c r="R33" i="15"/>
  <c r="Q33" i="15"/>
  <c r="P33" i="15"/>
  <c r="D33" i="15"/>
  <c r="C33" i="15"/>
  <c r="B33" i="15"/>
  <c r="A33" i="15"/>
  <c r="Y32" i="15"/>
  <c r="X32" i="15"/>
  <c r="W32" i="15"/>
  <c r="V32" i="15"/>
  <c r="U32" i="15"/>
  <c r="T32" i="15"/>
  <c r="S32" i="15"/>
  <c r="R32" i="15"/>
  <c r="Q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A32" i="15"/>
  <c r="Y31" i="15"/>
  <c r="X31" i="15"/>
  <c r="V31" i="15"/>
  <c r="U31" i="15"/>
  <c r="T31" i="15"/>
  <c r="S31" i="15"/>
  <c r="R31" i="15"/>
  <c r="Q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A31" i="15"/>
  <c r="U30" i="15"/>
  <c r="T30" i="15"/>
  <c r="S30" i="15"/>
  <c r="R30" i="15"/>
  <c r="Q30" i="15"/>
  <c r="P30" i="15"/>
  <c r="G30" i="15"/>
  <c r="D30" i="15"/>
  <c r="C30" i="15"/>
  <c r="B30" i="15"/>
  <c r="A30" i="15"/>
  <c r="Y29" i="15"/>
  <c r="X29" i="15"/>
  <c r="W29" i="15"/>
  <c r="V29" i="15"/>
  <c r="U29" i="15"/>
  <c r="T29" i="15"/>
  <c r="S29" i="15"/>
  <c r="R29" i="15"/>
  <c r="Q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29" i="15"/>
  <c r="Y28" i="15"/>
  <c r="X28" i="15"/>
  <c r="W28" i="15"/>
  <c r="V28" i="15"/>
  <c r="U28" i="15"/>
  <c r="T28" i="15"/>
  <c r="S28" i="15"/>
  <c r="R28" i="15"/>
  <c r="Q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A28" i="15"/>
  <c r="U27" i="15"/>
  <c r="T27" i="15"/>
  <c r="S27" i="15"/>
  <c r="R27" i="15"/>
  <c r="Q27" i="15"/>
  <c r="P27" i="15"/>
  <c r="G27" i="15"/>
  <c r="D27" i="15"/>
  <c r="C27" i="15"/>
  <c r="B27" i="15"/>
  <c r="A27" i="15"/>
  <c r="Y26" i="15"/>
  <c r="U26" i="15"/>
  <c r="T26" i="15"/>
  <c r="S26" i="15"/>
  <c r="R26" i="15"/>
  <c r="Q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26" i="15"/>
  <c r="A26" i="15"/>
  <c r="U25" i="15"/>
  <c r="T25" i="15"/>
  <c r="S25" i="15"/>
  <c r="R25" i="15"/>
  <c r="Q25" i="15"/>
  <c r="D25" i="15"/>
  <c r="C25" i="15"/>
  <c r="B25" i="15"/>
  <c r="A25" i="15"/>
  <c r="Y24" i="15"/>
  <c r="U24" i="15"/>
  <c r="T24" i="15"/>
  <c r="S24" i="15"/>
  <c r="R24" i="15"/>
  <c r="Q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A24" i="15"/>
  <c r="U23" i="15"/>
  <c r="T23" i="15"/>
  <c r="S23" i="15"/>
  <c r="R23" i="15"/>
  <c r="Q23" i="15"/>
  <c r="D23" i="15"/>
  <c r="C23" i="15"/>
  <c r="B23" i="15"/>
  <c r="A23" i="15"/>
  <c r="Y22" i="15"/>
  <c r="X22" i="15"/>
  <c r="W22" i="15"/>
  <c r="V22" i="15"/>
  <c r="U22" i="15"/>
  <c r="T22" i="15"/>
  <c r="S22" i="15"/>
  <c r="R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A22" i="15"/>
  <c r="Y21" i="15"/>
  <c r="X21" i="15"/>
  <c r="W21" i="15"/>
  <c r="V21" i="15"/>
  <c r="U21" i="15"/>
  <c r="T21" i="15"/>
  <c r="S21" i="15"/>
  <c r="R21" i="15"/>
  <c r="Q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21" i="15"/>
  <c r="Y20" i="15"/>
  <c r="X20" i="15"/>
  <c r="W20" i="15"/>
  <c r="V20" i="15"/>
  <c r="U20" i="15"/>
  <c r="T20" i="15"/>
  <c r="S20" i="15"/>
  <c r="R20" i="15"/>
  <c r="Q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A20" i="15"/>
  <c r="Y19" i="15"/>
  <c r="X19" i="15"/>
  <c r="W19" i="15"/>
  <c r="V19" i="15"/>
  <c r="U19" i="15"/>
  <c r="T19" i="15"/>
  <c r="S19" i="15"/>
  <c r="R19" i="15"/>
  <c r="Q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A19" i="15"/>
  <c r="Y18" i="15"/>
  <c r="X18" i="15"/>
  <c r="W18" i="15"/>
  <c r="V18" i="15"/>
  <c r="U18" i="15"/>
  <c r="T18" i="15"/>
  <c r="S18" i="15"/>
  <c r="R18" i="15"/>
  <c r="Q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A18" i="15"/>
  <c r="U17" i="15"/>
  <c r="T17" i="15"/>
  <c r="S17" i="15"/>
  <c r="R17" i="15"/>
  <c r="Q17" i="15"/>
  <c r="P17" i="15"/>
  <c r="G17" i="15"/>
  <c r="D17" i="15"/>
  <c r="C17" i="15"/>
  <c r="B17" i="15"/>
  <c r="A17" i="15"/>
  <c r="U16" i="15"/>
  <c r="T16" i="15"/>
  <c r="S16" i="15"/>
  <c r="R16" i="15"/>
  <c r="Q16" i="15"/>
  <c r="P16" i="15"/>
  <c r="G16" i="15"/>
  <c r="D16" i="15"/>
  <c r="C16" i="15"/>
  <c r="B16" i="15"/>
  <c r="A16" i="15"/>
  <c r="Y15" i="15"/>
  <c r="X15" i="15"/>
  <c r="W15" i="15"/>
  <c r="V15" i="15"/>
  <c r="U15" i="15"/>
  <c r="T15" i="15"/>
  <c r="S15" i="15"/>
  <c r="R15" i="15"/>
  <c r="Q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A15" i="15"/>
  <c r="Y14" i="15"/>
  <c r="U14" i="15"/>
  <c r="T14" i="15"/>
  <c r="S14" i="15"/>
  <c r="R14" i="15"/>
  <c r="Q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A14" i="15"/>
  <c r="Y13" i="15"/>
  <c r="U13" i="15"/>
  <c r="T13" i="15"/>
  <c r="S13" i="15"/>
  <c r="R13" i="15"/>
  <c r="Q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13" i="15"/>
  <c r="Y12" i="15"/>
  <c r="U12" i="15"/>
  <c r="T12" i="15"/>
  <c r="S12" i="15"/>
  <c r="R12" i="15"/>
  <c r="Q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A12" i="15"/>
  <c r="Y11" i="15"/>
  <c r="U11" i="15"/>
  <c r="T11" i="15"/>
  <c r="S11" i="15"/>
  <c r="R11" i="15"/>
  <c r="Q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A11" i="15"/>
  <c r="Y10" i="15"/>
  <c r="X10" i="15"/>
  <c r="W10" i="15"/>
  <c r="V10" i="15"/>
  <c r="U10" i="15"/>
  <c r="T10" i="15"/>
  <c r="S10" i="15"/>
  <c r="R10" i="15"/>
  <c r="Q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10" i="15"/>
  <c r="Y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9" i="15"/>
  <c r="Y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8" i="15"/>
  <c r="Y7" i="15"/>
  <c r="X7" i="15"/>
  <c r="W7" i="15"/>
  <c r="V7" i="15"/>
  <c r="U7" i="15"/>
  <c r="T7" i="15"/>
  <c r="S7" i="15"/>
  <c r="R7" i="15"/>
  <c r="Q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7" i="15"/>
  <c r="Y6" i="15"/>
  <c r="X6" i="15"/>
  <c r="W6" i="15"/>
  <c r="V6" i="15"/>
  <c r="U6" i="15"/>
  <c r="T6" i="15"/>
  <c r="S6" i="15"/>
  <c r="R6" i="15"/>
  <c r="Q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6" i="15"/>
  <c r="Y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5" i="15"/>
  <c r="Y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4" i="15"/>
  <c r="Y3" i="15"/>
  <c r="X3" i="15"/>
  <c r="W3" i="15"/>
  <c r="V3" i="15"/>
  <c r="U3" i="15"/>
  <c r="T3" i="15"/>
  <c r="S3" i="15"/>
  <c r="R3" i="15"/>
  <c r="Q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3" i="15"/>
  <c r="I18" i="14"/>
  <c r="H18" i="14"/>
  <c r="G18" i="14"/>
  <c r="K18" i="14" s="1"/>
  <c r="F18" i="14"/>
  <c r="T69" i="13" s="1"/>
  <c r="E18" i="14"/>
  <c r="D18" i="14"/>
  <c r="C18" i="14"/>
  <c r="I17" i="14"/>
  <c r="H17" i="14"/>
  <c r="G17" i="14"/>
  <c r="F17" i="14"/>
  <c r="E17" i="14"/>
  <c r="T63" i="13" s="1"/>
  <c r="D17" i="14"/>
  <c r="C17" i="14"/>
  <c r="I16" i="14"/>
  <c r="H16" i="14"/>
  <c r="G16" i="14"/>
  <c r="K16" i="14" s="1"/>
  <c r="F16" i="14"/>
  <c r="E16" i="14"/>
  <c r="T62" i="13" s="1"/>
  <c r="D16" i="14"/>
  <c r="C16" i="14"/>
  <c r="I15" i="14"/>
  <c r="H15" i="14"/>
  <c r="G15" i="14"/>
  <c r="F15" i="14"/>
  <c r="E15" i="14"/>
  <c r="D15" i="14"/>
  <c r="C15" i="14"/>
  <c r="I14" i="14"/>
  <c r="K14" i="14" s="1"/>
  <c r="H14" i="14"/>
  <c r="G14" i="14"/>
  <c r="F14" i="14"/>
  <c r="E14" i="14"/>
  <c r="T54" i="13" s="1"/>
  <c r="D14" i="14"/>
  <c r="C14" i="14"/>
  <c r="I13" i="14"/>
  <c r="H13" i="14"/>
  <c r="G13" i="14"/>
  <c r="F13" i="14"/>
  <c r="E13" i="14"/>
  <c r="D13" i="14"/>
  <c r="C13" i="14"/>
  <c r="I12" i="14"/>
  <c r="H12" i="14"/>
  <c r="G12" i="14"/>
  <c r="F12" i="14"/>
  <c r="E12" i="14"/>
  <c r="D12" i="14"/>
  <c r="C12" i="14"/>
  <c r="K11" i="14"/>
  <c r="I11" i="14"/>
  <c r="H11" i="14"/>
  <c r="G11" i="14"/>
  <c r="F11" i="14"/>
  <c r="E11" i="14"/>
  <c r="D11" i="14"/>
  <c r="C11" i="14"/>
  <c r="K10" i="14"/>
  <c r="I10" i="14"/>
  <c r="H10" i="14"/>
  <c r="G10" i="14"/>
  <c r="F10" i="14"/>
  <c r="E10" i="14"/>
  <c r="D10" i="14"/>
  <c r="C10" i="14"/>
  <c r="N9" i="14"/>
  <c r="F8" i="2" s="1"/>
  <c r="I9" i="14"/>
  <c r="H9" i="14"/>
  <c r="G9" i="14"/>
  <c r="K9" i="14" s="1"/>
  <c r="F9" i="14"/>
  <c r="E9" i="14"/>
  <c r="D9" i="14"/>
  <c r="C9" i="14"/>
  <c r="N8" i="14"/>
  <c r="F7" i="2" s="1"/>
  <c r="I8" i="14"/>
  <c r="H8" i="14"/>
  <c r="G8" i="14"/>
  <c r="K8" i="14" s="1"/>
  <c r="F8" i="14"/>
  <c r="E8" i="14"/>
  <c r="D8" i="14"/>
  <c r="C8" i="14"/>
  <c r="N7" i="14"/>
  <c r="F10" i="2" s="1"/>
  <c r="I7" i="14"/>
  <c r="H7" i="14"/>
  <c r="G7" i="14"/>
  <c r="F7" i="14"/>
  <c r="E7" i="14"/>
  <c r="D7" i="14"/>
  <c r="C7" i="14"/>
  <c r="N6" i="14"/>
  <c r="F9" i="2" s="1"/>
  <c r="K6" i="14"/>
  <c r="I6" i="14"/>
  <c r="H6" i="14"/>
  <c r="G6" i="14"/>
  <c r="F6" i="14"/>
  <c r="E6" i="14"/>
  <c r="T20" i="13" s="1"/>
  <c r="D6" i="14"/>
  <c r="C6" i="14"/>
  <c r="N5" i="14"/>
  <c r="I5" i="14"/>
  <c r="H5" i="14"/>
  <c r="G5" i="14"/>
  <c r="F5" i="14"/>
  <c r="E5" i="14"/>
  <c r="T15" i="13" s="1"/>
  <c r="D5" i="14"/>
  <c r="C5" i="14"/>
  <c r="N4" i="14"/>
  <c r="I4" i="14"/>
  <c r="H4" i="14"/>
  <c r="G4" i="14"/>
  <c r="F4" i="14"/>
  <c r="E4" i="14"/>
  <c r="T11" i="13" s="1"/>
  <c r="D4" i="14"/>
  <c r="C4" i="14"/>
  <c r="N3" i="14"/>
  <c r="I3" i="14"/>
  <c r="K3" i="14" s="1"/>
  <c r="H3" i="14"/>
  <c r="G3" i="14"/>
  <c r="F3" i="14"/>
  <c r="E3" i="14"/>
  <c r="T7" i="13" s="1"/>
  <c r="D3" i="14"/>
  <c r="C3" i="14"/>
  <c r="N2" i="14"/>
  <c r="I2" i="14"/>
  <c r="K2" i="14" s="1"/>
  <c r="H2" i="14"/>
  <c r="G2" i="14"/>
  <c r="F2" i="14"/>
  <c r="T6" i="13" s="1"/>
  <c r="E2" i="14"/>
  <c r="D2" i="14"/>
  <c r="C2" i="14"/>
  <c r="B2" i="14"/>
  <c r="AC70" i="13"/>
  <c r="AA70" i="13"/>
  <c r="D70" i="13"/>
  <c r="A70" i="13"/>
  <c r="AC69" i="13"/>
  <c r="AA69" i="13"/>
  <c r="D69" i="13"/>
  <c r="A69" i="13"/>
  <c r="AC68" i="13"/>
  <c r="AA68" i="13"/>
  <c r="U68" i="13"/>
  <c r="T68" i="13" s="1"/>
  <c r="D68" i="13"/>
  <c r="A68" i="13"/>
  <c r="AC67" i="13"/>
  <c r="AA67" i="13"/>
  <c r="U67" i="13"/>
  <c r="D67" i="13"/>
  <c r="B18" i="14" s="1"/>
  <c r="A67" i="13"/>
  <c r="AC66" i="13"/>
  <c r="AA66" i="13"/>
  <c r="D66" i="13"/>
  <c r="A66" i="13"/>
  <c r="AC65" i="13"/>
  <c r="AA65" i="13"/>
  <c r="U65" i="13"/>
  <c r="D65" i="13"/>
  <c r="A65" i="13"/>
  <c r="AC64" i="13"/>
  <c r="U64" i="13" s="1"/>
  <c r="AA64" i="13"/>
  <c r="D64" i="13"/>
  <c r="A64" i="13"/>
  <c r="AC63" i="13"/>
  <c r="AA63" i="13"/>
  <c r="D63" i="13"/>
  <c r="B17" i="14" s="1"/>
  <c r="A63" i="13"/>
  <c r="AC62" i="13"/>
  <c r="U62" i="13" s="1"/>
  <c r="AA62" i="13"/>
  <c r="D62" i="13"/>
  <c r="A62" i="13"/>
  <c r="AC61" i="13"/>
  <c r="U61" i="13" s="1"/>
  <c r="AA61" i="13"/>
  <c r="D61" i="13"/>
  <c r="A61" i="13"/>
  <c r="AC60" i="13"/>
  <c r="AA60" i="13"/>
  <c r="U60" i="13"/>
  <c r="D60" i="13"/>
  <c r="A60" i="13"/>
  <c r="AC59" i="13"/>
  <c r="U59" i="13" s="1"/>
  <c r="T59" i="13" s="1"/>
  <c r="AA59" i="13"/>
  <c r="D59" i="13"/>
  <c r="B16" i="14" s="1"/>
  <c r="A59" i="13"/>
  <c r="AC58" i="13"/>
  <c r="U58" i="13" s="1"/>
  <c r="AA58" i="13"/>
  <c r="D58" i="13"/>
  <c r="A58" i="13"/>
  <c r="AC57" i="13"/>
  <c r="U57" i="13" s="1"/>
  <c r="T57" i="13" s="1"/>
  <c r="AA57" i="13"/>
  <c r="D57" i="13"/>
  <c r="A57" i="13"/>
  <c r="AC56" i="13"/>
  <c r="AA56" i="13"/>
  <c r="U56" i="13"/>
  <c r="D56" i="13"/>
  <c r="A56" i="13"/>
  <c r="AC55" i="13"/>
  <c r="U55" i="13" s="1"/>
  <c r="AA55" i="13"/>
  <c r="D55" i="13"/>
  <c r="B15" i="14" s="1"/>
  <c r="A55" i="13"/>
  <c r="AC54" i="13"/>
  <c r="U54" i="13" s="1"/>
  <c r="AA54" i="13"/>
  <c r="D54" i="13"/>
  <c r="A54" i="13"/>
  <c r="AC53" i="13"/>
  <c r="U53" i="13" s="1"/>
  <c r="AA53" i="13"/>
  <c r="D53" i="13"/>
  <c r="A53" i="13"/>
  <c r="AC52" i="13"/>
  <c r="AA52" i="13"/>
  <c r="U52" i="13"/>
  <c r="T52" i="13" s="1"/>
  <c r="D52" i="13"/>
  <c r="A52" i="13"/>
  <c r="AC51" i="13"/>
  <c r="U51" i="13" s="1"/>
  <c r="AA51" i="13"/>
  <c r="D51" i="13"/>
  <c r="B14" i="14" s="1"/>
  <c r="A51" i="13"/>
  <c r="AC50" i="13"/>
  <c r="U50" i="13" s="1"/>
  <c r="AA50" i="13"/>
  <c r="D50" i="13"/>
  <c r="A50" i="13"/>
  <c r="AC49" i="13"/>
  <c r="U49" i="13" s="1"/>
  <c r="AA49" i="13"/>
  <c r="D49" i="13"/>
  <c r="A49" i="13"/>
  <c r="AC48" i="13"/>
  <c r="AA48" i="13"/>
  <c r="U48" i="13"/>
  <c r="D48" i="13"/>
  <c r="A48" i="13"/>
  <c r="AC47" i="13"/>
  <c r="U47" i="13" s="1"/>
  <c r="AA47" i="13"/>
  <c r="D47" i="13"/>
  <c r="B13" i="14" s="1"/>
  <c r="A47" i="13"/>
  <c r="AC46" i="13"/>
  <c r="U46" i="13" s="1"/>
  <c r="AA46" i="13"/>
  <c r="T46" i="13"/>
  <c r="D46" i="13"/>
  <c r="A46" i="13"/>
  <c r="AC45" i="13"/>
  <c r="U45" i="13" s="1"/>
  <c r="T45" i="13" s="1"/>
  <c r="AA45" i="13"/>
  <c r="D45" i="13"/>
  <c r="A45" i="13"/>
  <c r="AC44" i="13"/>
  <c r="AA44" i="13"/>
  <c r="U44" i="13"/>
  <c r="T44" i="13" s="1"/>
  <c r="D44" i="13"/>
  <c r="A44" i="13"/>
  <c r="AC43" i="13"/>
  <c r="U43" i="13" s="1"/>
  <c r="T43" i="13" s="1"/>
  <c r="AA43" i="13"/>
  <c r="D43" i="13"/>
  <c r="B12" i="14" s="1"/>
  <c r="A43" i="13"/>
  <c r="AC42" i="13"/>
  <c r="AA42" i="13"/>
  <c r="T42" i="13"/>
  <c r="D42" i="13"/>
  <c r="A42" i="13"/>
  <c r="AC41" i="13"/>
  <c r="U41" i="13" s="1"/>
  <c r="T41" i="13" s="1"/>
  <c r="AA41" i="13"/>
  <c r="D41" i="13"/>
  <c r="A41" i="13"/>
  <c r="AC40" i="13"/>
  <c r="U40" i="13" s="1"/>
  <c r="T40" i="13" s="1"/>
  <c r="AA40" i="13"/>
  <c r="D40" i="13"/>
  <c r="A40" i="13"/>
  <c r="AC39" i="13"/>
  <c r="AA39" i="13"/>
  <c r="U39" i="13"/>
  <c r="T39" i="13" s="1"/>
  <c r="D39" i="13"/>
  <c r="B11" i="14" s="1"/>
  <c r="A39" i="13"/>
  <c r="AC38" i="13"/>
  <c r="AA38" i="13"/>
  <c r="U38" i="13"/>
  <c r="T38" i="13"/>
  <c r="D38" i="13"/>
  <c r="A38" i="13"/>
  <c r="AC37" i="13"/>
  <c r="U37" i="13" s="1"/>
  <c r="T37" i="13" s="1"/>
  <c r="AA37" i="13"/>
  <c r="D37" i="13"/>
  <c r="A37" i="13"/>
  <c r="AC36" i="13"/>
  <c r="U36" i="13" s="1"/>
  <c r="T36" i="13" s="1"/>
  <c r="AA36" i="13"/>
  <c r="D36" i="13"/>
  <c r="A36" i="13"/>
  <c r="AC35" i="13"/>
  <c r="AA35" i="13"/>
  <c r="U35" i="13"/>
  <c r="T35" i="13" s="1"/>
  <c r="D35" i="13"/>
  <c r="B10" i="14" s="1"/>
  <c r="A35" i="13"/>
  <c r="AC34" i="13"/>
  <c r="AA34" i="13"/>
  <c r="T34" i="13"/>
  <c r="D34" i="13"/>
  <c r="A34" i="13"/>
  <c r="AC33" i="13"/>
  <c r="AA33" i="13"/>
  <c r="U33" i="13"/>
  <c r="T33" i="13" s="1"/>
  <c r="D33" i="13"/>
  <c r="A33" i="13"/>
  <c r="AC32" i="13"/>
  <c r="U32" i="13" s="1"/>
  <c r="T32" i="13" s="1"/>
  <c r="AA32" i="13"/>
  <c r="D32" i="13"/>
  <c r="A32" i="13"/>
  <c r="AC31" i="13"/>
  <c r="AA31" i="13"/>
  <c r="T31" i="13"/>
  <c r="D31" i="13"/>
  <c r="B9" i="14" s="1"/>
  <c r="A31" i="13"/>
  <c r="AC30" i="13"/>
  <c r="AA30" i="13"/>
  <c r="T30" i="13"/>
  <c r="D30" i="13"/>
  <c r="A30" i="13"/>
  <c r="AC29" i="13"/>
  <c r="AA29" i="13"/>
  <c r="T29" i="13"/>
  <c r="D29" i="13"/>
  <c r="A29" i="13"/>
  <c r="AC28" i="13"/>
  <c r="AA28" i="13"/>
  <c r="T28" i="13"/>
  <c r="D28" i="13"/>
  <c r="A28" i="13"/>
  <c r="AC27" i="13"/>
  <c r="U27" i="13" s="1"/>
  <c r="T27" i="13" s="1"/>
  <c r="AA27" i="13"/>
  <c r="D27" i="13"/>
  <c r="B8" i="14" s="1"/>
  <c r="A27" i="13"/>
  <c r="AC26" i="13"/>
  <c r="U26" i="13" s="1"/>
  <c r="T26" i="13" s="1"/>
  <c r="AA26" i="13"/>
  <c r="D26" i="13"/>
  <c r="A26" i="13"/>
  <c r="AC25" i="13"/>
  <c r="AA25" i="13"/>
  <c r="U25" i="13"/>
  <c r="T25" i="13"/>
  <c r="D25" i="13"/>
  <c r="A25" i="13"/>
  <c r="AC24" i="13"/>
  <c r="U24" i="13" s="1"/>
  <c r="T24" i="13" s="1"/>
  <c r="AA24" i="13"/>
  <c r="D24" i="13"/>
  <c r="A24" i="13"/>
  <c r="AC23" i="13"/>
  <c r="U23" i="13" s="1"/>
  <c r="T23" i="13" s="1"/>
  <c r="AA23" i="13"/>
  <c r="D23" i="13"/>
  <c r="B7" i="14" s="1"/>
  <c r="A23" i="13"/>
  <c r="AC22" i="13"/>
  <c r="U22" i="13" s="1"/>
  <c r="AA22" i="13"/>
  <c r="D22" i="13"/>
  <c r="A22" i="13"/>
  <c r="AC21" i="13"/>
  <c r="AA21" i="13"/>
  <c r="U21" i="13"/>
  <c r="D21" i="13"/>
  <c r="A21" i="13"/>
  <c r="AC20" i="13"/>
  <c r="AA20" i="13"/>
  <c r="D20" i="13"/>
  <c r="A20" i="13"/>
  <c r="AC19" i="13"/>
  <c r="U19" i="13" s="1"/>
  <c r="AA19" i="13"/>
  <c r="D19" i="13"/>
  <c r="B6" i="14" s="1"/>
  <c r="A19" i="13"/>
  <c r="AC18" i="13"/>
  <c r="AA18" i="13"/>
  <c r="U18" i="13"/>
  <c r="D18" i="13"/>
  <c r="A18" i="13"/>
  <c r="AC17" i="13"/>
  <c r="AA17" i="13"/>
  <c r="U17" i="13"/>
  <c r="D17" i="13"/>
  <c r="A17" i="13"/>
  <c r="AC16" i="13"/>
  <c r="AA16" i="13"/>
  <c r="D16" i="13"/>
  <c r="A16" i="13"/>
  <c r="AC15" i="13"/>
  <c r="AA15" i="13"/>
  <c r="D15" i="13"/>
  <c r="B5" i="14" s="1"/>
  <c r="A15" i="13"/>
  <c r="AC14" i="13"/>
  <c r="AA14" i="13"/>
  <c r="U14" i="13"/>
  <c r="T14" i="13" s="1"/>
  <c r="D14" i="13"/>
  <c r="A14" i="13"/>
  <c r="AC13" i="13"/>
  <c r="U13" i="13" s="1"/>
  <c r="AA13" i="13"/>
  <c r="D13" i="13"/>
  <c r="A13" i="13"/>
  <c r="AC12" i="13"/>
  <c r="AA12" i="13"/>
  <c r="D12" i="13"/>
  <c r="A12" i="13"/>
  <c r="AC11" i="13"/>
  <c r="AA11" i="13"/>
  <c r="U11" i="13"/>
  <c r="D11" i="13"/>
  <c r="B4" i="14" s="1"/>
  <c r="A11" i="13"/>
  <c r="AC10" i="13"/>
  <c r="AA10" i="13"/>
  <c r="U10" i="13"/>
  <c r="D10" i="13"/>
  <c r="A10" i="13"/>
  <c r="AC9" i="13"/>
  <c r="AA9" i="13"/>
  <c r="D9" i="13"/>
  <c r="A9" i="13"/>
  <c r="AC8" i="13"/>
  <c r="AA8" i="13"/>
  <c r="U8" i="13"/>
  <c r="D8" i="13"/>
  <c r="A8" i="13"/>
  <c r="AC7" i="13"/>
  <c r="AA7" i="13"/>
  <c r="D7" i="13"/>
  <c r="B3" i="14" s="1"/>
  <c r="A7" i="13"/>
  <c r="AC6" i="13"/>
  <c r="AA6" i="13"/>
  <c r="D6" i="13"/>
  <c r="A6" i="13"/>
  <c r="AC5" i="13"/>
  <c r="AA5" i="13"/>
  <c r="U5" i="13"/>
  <c r="D5" i="13"/>
  <c r="A5" i="13"/>
  <c r="AC4" i="13"/>
  <c r="AA4" i="13"/>
  <c r="U4" i="13"/>
  <c r="D4" i="13"/>
  <c r="A4" i="13"/>
  <c r="AC3" i="13"/>
  <c r="AA3" i="13"/>
  <c r="T3" i="13"/>
  <c r="D3" i="13"/>
  <c r="A3" i="13"/>
  <c r="H65" i="12"/>
  <c r="G65" i="12"/>
  <c r="L61" i="12"/>
  <c r="M61" i="12" s="1"/>
  <c r="F61" i="12"/>
  <c r="M57" i="12"/>
  <c r="L57" i="12"/>
  <c r="F57" i="12"/>
  <c r="L53" i="12"/>
  <c r="M53" i="12" s="1"/>
  <c r="F53" i="12"/>
  <c r="M49" i="12"/>
  <c r="L49" i="12"/>
  <c r="F49" i="12"/>
  <c r="L45" i="12"/>
  <c r="M45" i="12" s="1"/>
  <c r="F45" i="12"/>
  <c r="M41" i="12"/>
  <c r="L41" i="12"/>
  <c r="F41" i="12"/>
  <c r="L37" i="12"/>
  <c r="M37" i="12" s="1"/>
  <c r="F37" i="12"/>
  <c r="L33" i="12"/>
  <c r="M33" i="12" s="1"/>
  <c r="F33" i="12"/>
  <c r="T30" i="12"/>
  <c r="U30" i="12" s="1"/>
  <c r="V30" i="12" s="1"/>
  <c r="U29" i="12"/>
  <c r="V29" i="12" s="1"/>
  <c r="T29" i="12"/>
  <c r="M29" i="12"/>
  <c r="L29" i="12"/>
  <c r="F29" i="12"/>
  <c r="U28" i="12"/>
  <c r="V28" i="12" s="1"/>
  <c r="T28" i="12"/>
  <c r="V27" i="12"/>
  <c r="U27" i="12"/>
  <c r="T27" i="12"/>
  <c r="U26" i="12"/>
  <c r="V26" i="12" s="1"/>
  <c r="T26" i="12"/>
  <c r="T25" i="12"/>
  <c r="U25" i="12" s="1"/>
  <c r="V25" i="12" s="1"/>
  <c r="M25" i="12"/>
  <c r="L25" i="12"/>
  <c r="F25" i="12"/>
  <c r="T24" i="12"/>
  <c r="U24" i="12" s="1"/>
  <c r="V24" i="12" s="1"/>
  <c r="U23" i="12"/>
  <c r="V23" i="12" s="1"/>
  <c r="T23" i="12"/>
  <c r="T22" i="12"/>
  <c r="U22" i="12" s="1"/>
  <c r="V22" i="12" s="1"/>
  <c r="U21" i="12"/>
  <c r="V21" i="12" s="1"/>
  <c r="T21" i="12"/>
  <c r="M21" i="12"/>
  <c r="L21" i="12"/>
  <c r="F21" i="12"/>
  <c r="U20" i="12"/>
  <c r="V20" i="12" s="1"/>
  <c r="T20" i="12"/>
  <c r="T19" i="12"/>
  <c r="U19" i="12" s="1"/>
  <c r="V19" i="12" s="1"/>
  <c r="V18" i="12"/>
  <c r="U18" i="12"/>
  <c r="T18" i="12"/>
  <c r="V17" i="12"/>
  <c r="T17" i="12"/>
  <c r="U17" i="12" s="1"/>
  <c r="L17" i="12"/>
  <c r="M17" i="12" s="1"/>
  <c r="F17" i="12"/>
  <c r="T16" i="12"/>
  <c r="U16" i="12" s="1"/>
  <c r="V16" i="12" s="1"/>
  <c r="U15" i="12"/>
  <c r="V15" i="12" s="1"/>
  <c r="T15" i="12"/>
  <c r="V14" i="12"/>
  <c r="U14" i="12"/>
  <c r="T14" i="12"/>
  <c r="U13" i="12"/>
  <c r="V13" i="12" s="1"/>
  <c r="T13" i="12"/>
  <c r="M13" i="12"/>
  <c r="L13" i="12"/>
  <c r="F13" i="12"/>
  <c r="V12" i="12"/>
  <c r="U12" i="12"/>
  <c r="T12" i="12"/>
  <c r="T11" i="12"/>
  <c r="U11" i="12" s="1"/>
  <c r="V11" i="12" s="1"/>
  <c r="U10" i="12"/>
  <c r="V10" i="12" s="1"/>
  <c r="T10" i="12"/>
  <c r="T9" i="12"/>
  <c r="U9" i="12" s="1"/>
  <c r="V9" i="12" s="1"/>
  <c r="L9" i="12"/>
  <c r="M9" i="12" s="1"/>
  <c r="F9" i="12"/>
  <c r="V8" i="12"/>
  <c r="U8" i="12"/>
  <c r="T8" i="12"/>
  <c r="U7" i="12"/>
  <c r="V7" i="12" s="1"/>
  <c r="T7" i="12"/>
  <c r="T6" i="12"/>
  <c r="U6" i="12" s="1"/>
  <c r="V6" i="12" s="1"/>
  <c r="V5" i="12"/>
  <c r="V32" i="12" s="1"/>
  <c r="V33" i="12" s="1"/>
  <c r="U5" i="12"/>
  <c r="T5" i="12"/>
  <c r="M5" i="12"/>
  <c r="L5" i="12"/>
  <c r="F5" i="12"/>
  <c r="F65" i="12" s="1"/>
  <c r="N9" i="11"/>
  <c r="N8" i="11"/>
  <c r="I7" i="11"/>
  <c r="H7" i="11"/>
  <c r="G7" i="11"/>
  <c r="K7" i="11" s="1"/>
  <c r="F7" i="11"/>
  <c r="T23" i="8" s="1"/>
  <c r="E7" i="11"/>
  <c r="D7" i="11"/>
  <c r="C7" i="11"/>
  <c r="B7" i="11"/>
  <c r="I6" i="11"/>
  <c r="H6" i="11"/>
  <c r="G6" i="11"/>
  <c r="K6" i="11" s="1"/>
  <c r="F6" i="11"/>
  <c r="T19" i="8" s="1"/>
  <c r="E6" i="11"/>
  <c r="D6" i="11"/>
  <c r="C6" i="11"/>
  <c r="N5" i="11"/>
  <c r="I5" i="11"/>
  <c r="H5" i="11"/>
  <c r="G5" i="11"/>
  <c r="K5" i="11" s="1"/>
  <c r="F5" i="11"/>
  <c r="E5" i="11"/>
  <c r="D5" i="11"/>
  <c r="C5" i="11"/>
  <c r="N4" i="11"/>
  <c r="K4" i="11"/>
  <c r="I4" i="11"/>
  <c r="H4" i="11"/>
  <c r="G4" i="11"/>
  <c r="F4" i="11"/>
  <c r="E4" i="11"/>
  <c r="T13" i="8" s="1"/>
  <c r="D4" i="11"/>
  <c r="C4" i="11"/>
  <c r="N3" i="11"/>
  <c r="E4" i="2" s="1"/>
  <c r="I3" i="11"/>
  <c r="K3" i="11" s="1"/>
  <c r="H3" i="11"/>
  <c r="G3" i="11"/>
  <c r="F3" i="11"/>
  <c r="E3" i="11"/>
  <c r="D3" i="11"/>
  <c r="C3" i="11"/>
  <c r="N2" i="11"/>
  <c r="K2" i="11"/>
  <c r="I2" i="11"/>
  <c r="H2" i="11"/>
  <c r="G2" i="11"/>
  <c r="F2" i="11"/>
  <c r="T3" i="8" s="1"/>
  <c r="E2" i="11"/>
  <c r="D2" i="11"/>
  <c r="C2" i="11"/>
  <c r="I49" i="9"/>
  <c r="H49" i="9"/>
  <c r="N45" i="9"/>
  <c r="M45" i="9"/>
  <c r="G45" i="9"/>
  <c r="M41" i="9"/>
  <c r="N41" i="9" s="1"/>
  <c r="G41" i="9"/>
  <c r="N37" i="9"/>
  <c r="M37" i="9"/>
  <c r="G37" i="9"/>
  <c r="M33" i="9"/>
  <c r="N33" i="9" s="1"/>
  <c r="G33" i="9"/>
  <c r="N29" i="9"/>
  <c r="M29" i="9"/>
  <c r="G29" i="9"/>
  <c r="M25" i="9"/>
  <c r="N25" i="9" s="1"/>
  <c r="G25" i="9"/>
  <c r="N21" i="9"/>
  <c r="N49" i="9" s="1"/>
  <c r="N50" i="9" s="1"/>
  <c r="N51" i="9" s="1"/>
  <c r="N52" i="9" s="1"/>
  <c r="M21" i="9"/>
  <c r="G21" i="9"/>
  <c r="M17" i="9"/>
  <c r="N17" i="9" s="1"/>
  <c r="G17" i="9"/>
  <c r="N13" i="9"/>
  <c r="M13" i="9"/>
  <c r="G13" i="9"/>
  <c r="M9" i="9"/>
  <c r="N9" i="9" s="1"/>
  <c r="G9" i="9"/>
  <c r="N5" i="9"/>
  <c r="M5" i="9"/>
  <c r="G5" i="9"/>
  <c r="G49" i="9" s="1"/>
  <c r="D26" i="8"/>
  <c r="A26" i="8"/>
  <c r="D25" i="8"/>
  <c r="A25" i="8"/>
  <c r="D24" i="8"/>
  <c r="A24" i="8"/>
  <c r="D23" i="8"/>
  <c r="A23" i="8"/>
  <c r="D22" i="8"/>
  <c r="A22" i="8"/>
  <c r="D21" i="8"/>
  <c r="A21" i="8"/>
  <c r="D20" i="8"/>
  <c r="A20" i="8"/>
  <c r="D19" i="8"/>
  <c r="B6" i="11" s="1"/>
  <c r="A19" i="8"/>
  <c r="D18" i="8"/>
  <c r="A18" i="8"/>
  <c r="T17" i="8"/>
  <c r="D17" i="8"/>
  <c r="A17" i="8"/>
  <c r="D16" i="8"/>
  <c r="D15" i="8"/>
  <c r="B5" i="11" s="1"/>
  <c r="A15" i="8"/>
  <c r="T14" i="8"/>
  <c r="D14" i="8"/>
  <c r="A14" i="8"/>
  <c r="D13" i="8"/>
  <c r="A13" i="8"/>
  <c r="D12" i="8"/>
  <c r="A12" i="8"/>
  <c r="T11" i="8"/>
  <c r="D11" i="8"/>
  <c r="B4" i="11" s="1"/>
  <c r="A11" i="8"/>
  <c r="D10" i="8"/>
  <c r="A10" i="8"/>
  <c r="D9" i="8"/>
  <c r="A9" i="8"/>
  <c r="T8" i="8"/>
  <c r="D8" i="8"/>
  <c r="A8" i="8"/>
  <c r="D7" i="8"/>
  <c r="B3" i="11" s="1"/>
  <c r="A7" i="8"/>
  <c r="D6" i="8"/>
  <c r="A6" i="8"/>
  <c r="D5" i="8"/>
  <c r="A5" i="8"/>
  <c r="D4" i="8"/>
  <c r="A4" i="8"/>
  <c r="D3" i="8"/>
  <c r="B2" i="11" s="1"/>
  <c r="A3" i="8"/>
  <c r="I36" i="7"/>
  <c r="K36" i="7" s="1"/>
  <c r="H36" i="7"/>
  <c r="G36" i="7"/>
  <c r="F36" i="7"/>
  <c r="T140" i="5" s="1"/>
  <c r="E36" i="7"/>
  <c r="D36" i="7"/>
  <c r="C36" i="7"/>
  <c r="I35" i="7"/>
  <c r="H35" i="7"/>
  <c r="G35" i="7"/>
  <c r="F35" i="7"/>
  <c r="E35" i="7"/>
  <c r="D35" i="7"/>
  <c r="C35" i="7"/>
  <c r="K34" i="7"/>
  <c r="I34" i="7"/>
  <c r="H34" i="7"/>
  <c r="G34" i="7"/>
  <c r="F34" i="7"/>
  <c r="E34" i="7"/>
  <c r="T131" i="5" s="1"/>
  <c r="D34" i="7"/>
  <c r="C34" i="7"/>
  <c r="I33" i="7"/>
  <c r="H33" i="7"/>
  <c r="G33" i="7"/>
  <c r="K33" i="7" s="1"/>
  <c r="F33" i="7"/>
  <c r="E33" i="7"/>
  <c r="D33" i="7"/>
  <c r="C33" i="7"/>
  <c r="I32" i="7"/>
  <c r="K32" i="7" s="1"/>
  <c r="H32" i="7"/>
  <c r="G32" i="7"/>
  <c r="F32" i="7"/>
  <c r="T125" i="5" s="1"/>
  <c r="E32" i="7"/>
  <c r="D32" i="7"/>
  <c r="C32" i="7"/>
  <c r="I31" i="7"/>
  <c r="H31" i="7"/>
  <c r="G31" i="7"/>
  <c r="F31" i="7"/>
  <c r="E31" i="7"/>
  <c r="T120" i="5" s="1"/>
  <c r="D31" i="7"/>
  <c r="C31" i="7"/>
  <c r="I30" i="7"/>
  <c r="H30" i="7"/>
  <c r="G30" i="7"/>
  <c r="F30" i="7"/>
  <c r="T115" i="5" s="1"/>
  <c r="E30" i="7"/>
  <c r="D30" i="7"/>
  <c r="C30" i="7"/>
  <c r="I29" i="7"/>
  <c r="H29" i="7"/>
  <c r="G29" i="7"/>
  <c r="K29" i="7" s="1"/>
  <c r="F29" i="7"/>
  <c r="E29" i="7"/>
  <c r="D29" i="7"/>
  <c r="C29" i="7"/>
  <c r="I28" i="7"/>
  <c r="H28" i="7"/>
  <c r="G28" i="7"/>
  <c r="F28" i="7"/>
  <c r="E28" i="7"/>
  <c r="D28" i="7"/>
  <c r="C28" i="7"/>
  <c r="I27" i="7"/>
  <c r="K27" i="7" s="1"/>
  <c r="H27" i="7"/>
  <c r="G27" i="7"/>
  <c r="F27" i="7"/>
  <c r="T104" i="5" s="1"/>
  <c r="E27" i="7"/>
  <c r="D27" i="7"/>
  <c r="C27" i="7"/>
  <c r="I26" i="7"/>
  <c r="K26" i="7" s="1"/>
  <c r="H26" i="7"/>
  <c r="G26" i="7"/>
  <c r="F26" i="7"/>
  <c r="E26" i="7"/>
  <c r="D26" i="7"/>
  <c r="C26" i="7"/>
  <c r="I25" i="7"/>
  <c r="H25" i="7"/>
  <c r="G25" i="7"/>
  <c r="K25" i="7" s="1"/>
  <c r="F25" i="7"/>
  <c r="E25" i="7"/>
  <c r="D25" i="7"/>
  <c r="C25" i="7"/>
  <c r="I24" i="7"/>
  <c r="H24" i="7"/>
  <c r="G24" i="7"/>
  <c r="F24" i="7"/>
  <c r="E24" i="7"/>
  <c r="D24" i="7"/>
  <c r="C24" i="7"/>
  <c r="I23" i="7"/>
  <c r="H23" i="7"/>
  <c r="G23" i="7"/>
  <c r="F23" i="7"/>
  <c r="T87" i="5" s="1"/>
  <c r="E23" i="7"/>
  <c r="D23" i="7"/>
  <c r="C23" i="7"/>
  <c r="I22" i="7"/>
  <c r="H22" i="7"/>
  <c r="G22" i="7"/>
  <c r="F22" i="7"/>
  <c r="E22" i="7"/>
  <c r="T83" i="5" s="1"/>
  <c r="D22" i="7"/>
  <c r="C22" i="7"/>
  <c r="I21" i="7"/>
  <c r="H21" i="7"/>
  <c r="G21" i="7"/>
  <c r="F21" i="7"/>
  <c r="E21" i="7"/>
  <c r="D21" i="7"/>
  <c r="C21" i="7"/>
  <c r="I20" i="7"/>
  <c r="H20" i="7"/>
  <c r="G20" i="7"/>
  <c r="F20" i="7"/>
  <c r="T77" i="5" s="1"/>
  <c r="E20" i="7"/>
  <c r="D20" i="7"/>
  <c r="C20" i="7"/>
  <c r="I19" i="7"/>
  <c r="H19" i="7"/>
  <c r="G19" i="7"/>
  <c r="F19" i="7"/>
  <c r="E19" i="7"/>
  <c r="T73" i="5" s="1"/>
  <c r="D19" i="7"/>
  <c r="C19" i="7"/>
  <c r="I18" i="7"/>
  <c r="H18" i="7"/>
  <c r="G18" i="7"/>
  <c r="K18" i="7" s="1"/>
  <c r="F18" i="7"/>
  <c r="E18" i="7"/>
  <c r="T68" i="5" s="1"/>
  <c r="D18" i="7"/>
  <c r="C18" i="7"/>
  <c r="I17" i="7"/>
  <c r="H17" i="7"/>
  <c r="G17" i="7"/>
  <c r="F17" i="7"/>
  <c r="E17" i="7"/>
  <c r="D17" i="7"/>
  <c r="C17" i="7"/>
  <c r="I16" i="7"/>
  <c r="H16" i="7"/>
  <c r="G16" i="7"/>
  <c r="F16" i="7"/>
  <c r="E16" i="7"/>
  <c r="D16" i="7"/>
  <c r="C16" i="7"/>
  <c r="I15" i="7"/>
  <c r="H15" i="7"/>
  <c r="G15" i="7"/>
  <c r="K15" i="7" s="1"/>
  <c r="F15" i="7"/>
  <c r="E15" i="7"/>
  <c r="D15" i="7"/>
  <c r="C15" i="7"/>
  <c r="I14" i="7"/>
  <c r="H14" i="7"/>
  <c r="G14" i="7"/>
  <c r="F14" i="7"/>
  <c r="E14" i="7"/>
  <c r="D14" i="7"/>
  <c r="C14" i="7"/>
  <c r="I13" i="7"/>
  <c r="K13" i="7" s="1"/>
  <c r="H13" i="7"/>
  <c r="G13" i="7"/>
  <c r="F13" i="7"/>
  <c r="E13" i="7"/>
  <c r="D13" i="7"/>
  <c r="C13" i="7"/>
  <c r="I12" i="7"/>
  <c r="H12" i="7"/>
  <c r="G12" i="7"/>
  <c r="F12" i="7"/>
  <c r="E12" i="7"/>
  <c r="D12" i="7"/>
  <c r="C12" i="7"/>
  <c r="I11" i="7"/>
  <c r="H11" i="7"/>
  <c r="G11" i="7"/>
  <c r="K11" i="7" s="1"/>
  <c r="F11" i="7"/>
  <c r="T42" i="5" s="1"/>
  <c r="E11" i="7"/>
  <c r="D11" i="7"/>
  <c r="C11" i="7"/>
  <c r="I10" i="7"/>
  <c r="H10" i="7"/>
  <c r="G10" i="7"/>
  <c r="K10" i="7" s="1"/>
  <c r="F10" i="7"/>
  <c r="E10" i="7"/>
  <c r="T38" i="5" s="1"/>
  <c r="D10" i="7"/>
  <c r="C10" i="7"/>
  <c r="N9" i="7"/>
  <c r="I9" i="7"/>
  <c r="H9" i="7"/>
  <c r="G9" i="7"/>
  <c r="F9" i="7"/>
  <c r="E9" i="7"/>
  <c r="T34" i="5" s="1"/>
  <c r="D9" i="7"/>
  <c r="C9" i="7"/>
  <c r="N8" i="7"/>
  <c r="I8" i="7"/>
  <c r="H8" i="7"/>
  <c r="G8" i="7"/>
  <c r="K8" i="7" s="1"/>
  <c r="F8" i="7"/>
  <c r="E8" i="7"/>
  <c r="T30" i="5" s="1"/>
  <c r="D8" i="7"/>
  <c r="C8" i="7"/>
  <c r="I7" i="7"/>
  <c r="H7" i="7"/>
  <c r="G7" i="7"/>
  <c r="F7" i="7"/>
  <c r="T24" i="5" s="1"/>
  <c r="E7" i="7"/>
  <c r="D7" i="7"/>
  <c r="C7" i="7"/>
  <c r="I6" i="7"/>
  <c r="H6" i="7"/>
  <c r="G6" i="7"/>
  <c r="K6" i="7" s="1"/>
  <c r="F6" i="7"/>
  <c r="E6" i="7"/>
  <c r="T19" i="5" s="1"/>
  <c r="D6" i="7"/>
  <c r="C6" i="7"/>
  <c r="N5" i="7"/>
  <c r="I5" i="7"/>
  <c r="H5" i="7"/>
  <c r="G5" i="7"/>
  <c r="F5" i="7"/>
  <c r="E5" i="7"/>
  <c r="T15" i="5" s="1"/>
  <c r="D5" i="7"/>
  <c r="C5" i="7"/>
  <c r="N4" i="7"/>
  <c r="N7" i="7" s="1"/>
  <c r="D10" i="2" s="1"/>
  <c r="I4" i="7"/>
  <c r="H4" i="7"/>
  <c r="G4" i="7"/>
  <c r="K4" i="7" s="1"/>
  <c r="F4" i="7"/>
  <c r="E4" i="7"/>
  <c r="T11" i="5" s="1"/>
  <c r="D4" i="7"/>
  <c r="C4" i="7"/>
  <c r="N3" i="7"/>
  <c r="I3" i="7"/>
  <c r="H3" i="7"/>
  <c r="G3" i="7"/>
  <c r="K3" i="7" s="1"/>
  <c r="F3" i="7"/>
  <c r="E3" i="7"/>
  <c r="T8" i="5" s="1"/>
  <c r="D3" i="7"/>
  <c r="C3" i="7"/>
  <c r="N2" i="7"/>
  <c r="I2" i="7"/>
  <c r="H2" i="7"/>
  <c r="G2" i="7"/>
  <c r="K2" i="7" s="1"/>
  <c r="F2" i="7"/>
  <c r="E2" i="7"/>
  <c r="T4" i="5" s="1"/>
  <c r="D2" i="7"/>
  <c r="C2" i="7"/>
  <c r="U144" i="5"/>
  <c r="U143" i="5"/>
  <c r="D142" i="5"/>
  <c r="A142" i="5"/>
  <c r="Y141" i="5"/>
  <c r="X141" i="5"/>
  <c r="W141" i="5"/>
  <c r="V141" i="5"/>
  <c r="U141" i="5"/>
  <c r="D141" i="5"/>
  <c r="A141" i="5"/>
  <c r="X140" i="5"/>
  <c r="W140" i="5"/>
  <c r="V140" i="5"/>
  <c r="D140" i="5"/>
  <c r="A140" i="5"/>
  <c r="X139" i="5"/>
  <c r="W139" i="5"/>
  <c r="V139" i="5"/>
  <c r="D139" i="5"/>
  <c r="B36" i="7" s="1"/>
  <c r="A139" i="5"/>
  <c r="Y138" i="5"/>
  <c r="X138" i="5"/>
  <c r="W138" i="5"/>
  <c r="V138" i="5"/>
  <c r="U138" i="5"/>
  <c r="T138" i="5" s="1"/>
  <c r="D138" i="5"/>
  <c r="A138" i="5"/>
  <c r="Y137" i="5"/>
  <c r="X137" i="5"/>
  <c r="W137" i="5"/>
  <c r="V137" i="5"/>
  <c r="U137" i="5"/>
  <c r="D137" i="5"/>
  <c r="A137" i="5"/>
  <c r="Y136" i="5"/>
  <c r="X136" i="5"/>
  <c r="W136" i="5"/>
  <c r="V136" i="5"/>
  <c r="U136" i="5"/>
  <c r="D136" i="5"/>
  <c r="A136" i="5"/>
  <c r="Y135" i="5"/>
  <c r="X135" i="5"/>
  <c r="W135" i="5"/>
  <c r="V135" i="5"/>
  <c r="U135" i="5"/>
  <c r="D135" i="5"/>
  <c r="B35" i="7" s="1"/>
  <c r="A135" i="5"/>
  <c r="Y134" i="5"/>
  <c r="X134" i="5"/>
  <c r="W134" i="5"/>
  <c r="V134" i="5"/>
  <c r="U134" i="5"/>
  <c r="D134" i="5"/>
  <c r="A134" i="5"/>
  <c r="Y133" i="5"/>
  <c r="X133" i="5"/>
  <c r="W133" i="5"/>
  <c r="V133" i="5"/>
  <c r="U133" i="5"/>
  <c r="D133" i="5"/>
  <c r="A133" i="5"/>
  <c r="Y132" i="5"/>
  <c r="X132" i="5"/>
  <c r="W132" i="5"/>
  <c r="V132" i="5"/>
  <c r="U132" i="5"/>
  <c r="D132" i="5"/>
  <c r="A132" i="5"/>
  <c r="D131" i="5"/>
  <c r="B34" i="7" s="1"/>
  <c r="A131" i="5"/>
  <c r="Y130" i="5"/>
  <c r="X130" i="5"/>
  <c r="W130" i="5"/>
  <c r="V130" i="5"/>
  <c r="U130" i="5"/>
  <c r="T130" i="5"/>
  <c r="D130" i="5"/>
  <c r="A130" i="5"/>
  <c r="Y129" i="5"/>
  <c r="X129" i="5"/>
  <c r="W129" i="5"/>
  <c r="V129" i="5"/>
  <c r="U129" i="5"/>
  <c r="T129" i="5"/>
  <c r="D129" i="5"/>
  <c r="A129" i="5"/>
  <c r="V128" i="5"/>
  <c r="T128" i="5"/>
  <c r="D128" i="5"/>
  <c r="A128" i="5"/>
  <c r="Y127" i="5"/>
  <c r="X127" i="5"/>
  <c r="W127" i="5"/>
  <c r="V127" i="5"/>
  <c r="U127" i="5"/>
  <c r="T127" i="5"/>
  <c r="D127" i="5"/>
  <c r="B33" i="7" s="1"/>
  <c r="A127" i="5"/>
  <c r="Y126" i="5"/>
  <c r="X126" i="5"/>
  <c r="W126" i="5"/>
  <c r="V126" i="5"/>
  <c r="T126" i="5"/>
  <c r="D126" i="5"/>
  <c r="A126" i="5"/>
  <c r="Y125" i="5"/>
  <c r="X125" i="5"/>
  <c r="W125" i="5"/>
  <c r="V125" i="5"/>
  <c r="D125" i="5"/>
  <c r="A125" i="5"/>
  <c r="Y124" i="5"/>
  <c r="X124" i="5"/>
  <c r="W124" i="5"/>
  <c r="V124" i="5"/>
  <c r="U124" i="5"/>
  <c r="T124" i="5" s="1"/>
  <c r="D124" i="5"/>
  <c r="A124" i="5"/>
  <c r="Y123" i="5"/>
  <c r="X123" i="5"/>
  <c r="W123" i="5"/>
  <c r="V123" i="5"/>
  <c r="U123" i="5"/>
  <c r="T123" i="5" s="1"/>
  <c r="D123" i="5"/>
  <c r="B32" i="7" s="1"/>
  <c r="A123" i="5"/>
  <c r="X122" i="5"/>
  <c r="W122" i="5"/>
  <c r="V122" i="5"/>
  <c r="D122" i="5"/>
  <c r="A122" i="5"/>
  <c r="Y121" i="5"/>
  <c r="X121" i="5"/>
  <c r="W121" i="5"/>
  <c r="V121" i="5"/>
  <c r="U121" i="5"/>
  <c r="D121" i="5"/>
  <c r="A121" i="5"/>
  <c r="X120" i="5"/>
  <c r="W120" i="5"/>
  <c r="V120" i="5"/>
  <c r="D120" i="5"/>
  <c r="A120" i="5"/>
  <c r="V119" i="5"/>
  <c r="D119" i="5"/>
  <c r="B31" i="7" s="1"/>
  <c r="A119" i="5"/>
  <c r="Y118" i="5"/>
  <c r="X118" i="5"/>
  <c r="W118" i="5"/>
  <c r="V118" i="5"/>
  <c r="U118" i="5"/>
  <c r="T118" i="5" s="1"/>
  <c r="D118" i="5"/>
  <c r="A118" i="5"/>
  <c r="Y117" i="5"/>
  <c r="X117" i="5"/>
  <c r="W117" i="5"/>
  <c r="V117" i="5"/>
  <c r="U117" i="5"/>
  <c r="T117" i="5" s="1"/>
  <c r="D117" i="5"/>
  <c r="A117" i="5"/>
  <c r="Y116" i="5"/>
  <c r="X116" i="5"/>
  <c r="W116" i="5"/>
  <c r="V116" i="5"/>
  <c r="U116" i="5"/>
  <c r="T116" i="5" s="1"/>
  <c r="D116" i="5"/>
  <c r="A116" i="5"/>
  <c r="V115" i="5"/>
  <c r="D115" i="5"/>
  <c r="B30" i="7" s="1"/>
  <c r="A115" i="5"/>
  <c r="Y114" i="5"/>
  <c r="X114" i="5"/>
  <c r="W114" i="5"/>
  <c r="V114" i="5"/>
  <c r="U114" i="5"/>
  <c r="T114" i="5" s="1"/>
  <c r="D114" i="5"/>
  <c r="A114" i="5"/>
  <c r="Y113" i="5"/>
  <c r="X113" i="5"/>
  <c r="W113" i="5"/>
  <c r="V113" i="5"/>
  <c r="U113" i="5"/>
  <c r="D113" i="5"/>
  <c r="A113" i="5"/>
  <c r="Y112" i="5"/>
  <c r="X112" i="5"/>
  <c r="W112" i="5"/>
  <c r="V112" i="5"/>
  <c r="U112" i="5"/>
  <c r="D112" i="5"/>
  <c r="A112" i="5"/>
  <c r="Y111" i="5"/>
  <c r="X111" i="5"/>
  <c r="W111" i="5"/>
  <c r="V111" i="5"/>
  <c r="U111" i="5"/>
  <c r="D111" i="5"/>
  <c r="B29" i="7" s="1"/>
  <c r="A111" i="5"/>
  <c r="Y110" i="5"/>
  <c r="X110" i="5"/>
  <c r="W110" i="5"/>
  <c r="V110" i="5"/>
  <c r="U110" i="5"/>
  <c r="D110" i="5"/>
  <c r="A110" i="5"/>
  <c r="Y109" i="5"/>
  <c r="X109" i="5"/>
  <c r="W109" i="5"/>
  <c r="V109" i="5"/>
  <c r="U109" i="5"/>
  <c r="D109" i="5"/>
  <c r="A109" i="5"/>
  <c r="Y108" i="5"/>
  <c r="X108" i="5"/>
  <c r="W108" i="5"/>
  <c r="V108" i="5"/>
  <c r="U108" i="5"/>
  <c r="T108" i="5" s="1"/>
  <c r="D108" i="5"/>
  <c r="A108" i="5"/>
  <c r="Y107" i="5"/>
  <c r="X107" i="5"/>
  <c r="W107" i="5"/>
  <c r="V107" i="5"/>
  <c r="U107" i="5"/>
  <c r="D107" i="5"/>
  <c r="B28" i="7" s="1"/>
  <c r="A107" i="5"/>
  <c r="Y106" i="5"/>
  <c r="X106" i="5"/>
  <c r="W106" i="5"/>
  <c r="V106" i="5"/>
  <c r="U106" i="5"/>
  <c r="T106" i="5" s="1"/>
  <c r="D106" i="5"/>
  <c r="A106" i="5"/>
  <c r="Y105" i="5"/>
  <c r="X105" i="5"/>
  <c r="W105" i="5"/>
  <c r="V105" i="5"/>
  <c r="U105" i="5"/>
  <c r="D105" i="5"/>
  <c r="A105" i="5"/>
  <c r="V104" i="5"/>
  <c r="D104" i="5"/>
  <c r="A104" i="5"/>
  <c r="X103" i="5"/>
  <c r="V103" i="5"/>
  <c r="T103" i="5"/>
  <c r="D103" i="5"/>
  <c r="B27" i="7" s="1"/>
  <c r="A103" i="5"/>
  <c r="Y102" i="5"/>
  <c r="X102" i="5"/>
  <c r="W102" i="5"/>
  <c r="V102" i="5"/>
  <c r="U102" i="5"/>
  <c r="T102" i="5"/>
  <c r="D102" i="5"/>
  <c r="A102" i="5"/>
  <c r="Y101" i="5"/>
  <c r="X101" i="5"/>
  <c r="W101" i="5"/>
  <c r="V101" i="5"/>
  <c r="U101" i="5"/>
  <c r="T101" i="5"/>
  <c r="D101" i="5"/>
  <c r="A101" i="5"/>
  <c r="Y100" i="5"/>
  <c r="X100" i="5"/>
  <c r="W100" i="5"/>
  <c r="V100" i="5"/>
  <c r="U100" i="5"/>
  <c r="D100" i="5"/>
  <c r="A100" i="5"/>
  <c r="Y99" i="5"/>
  <c r="X99" i="5"/>
  <c r="W99" i="5"/>
  <c r="V99" i="5"/>
  <c r="U99" i="5"/>
  <c r="D99" i="5"/>
  <c r="B26" i="7" s="1"/>
  <c r="A99" i="5"/>
  <c r="Y98" i="5"/>
  <c r="X98" i="5"/>
  <c r="W98" i="5"/>
  <c r="V98" i="5"/>
  <c r="U98" i="5"/>
  <c r="D98" i="5"/>
  <c r="A98" i="5"/>
  <c r="Y97" i="5"/>
  <c r="X97" i="5"/>
  <c r="W97" i="5"/>
  <c r="V97" i="5"/>
  <c r="U97" i="5"/>
  <c r="D97" i="5"/>
  <c r="A97" i="5"/>
  <c r="Y96" i="5"/>
  <c r="X96" i="5"/>
  <c r="W96" i="5"/>
  <c r="V96" i="5"/>
  <c r="U96" i="5"/>
  <c r="D96" i="5"/>
  <c r="A96" i="5"/>
  <c r="Y95" i="5"/>
  <c r="X95" i="5"/>
  <c r="W95" i="5"/>
  <c r="V95" i="5"/>
  <c r="U95" i="5"/>
  <c r="D95" i="5"/>
  <c r="B25" i="7" s="1"/>
  <c r="A95" i="5"/>
  <c r="Y94" i="5"/>
  <c r="X94" i="5"/>
  <c r="W94" i="5"/>
  <c r="V94" i="5"/>
  <c r="U94" i="5"/>
  <c r="T94" i="5" s="1"/>
  <c r="D94" i="5"/>
  <c r="A94" i="5"/>
  <c r="V93" i="5"/>
  <c r="T93" i="5"/>
  <c r="D93" i="5"/>
  <c r="A93" i="5"/>
  <c r="Y92" i="5"/>
  <c r="X92" i="5"/>
  <c r="W92" i="5"/>
  <c r="V92" i="5"/>
  <c r="U92" i="5"/>
  <c r="T92" i="5"/>
  <c r="D92" i="5"/>
  <c r="A92" i="5"/>
  <c r="X91" i="5"/>
  <c r="W91" i="5"/>
  <c r="V91" i="5"/>
  <c r="T91" i="5"/>
  <c r="D91" i="5"/>
  <c r="B24" i="7" s="1"/>
  <c r="A91" i="5"/>
  <c r="Y90" i="5"/>
  <c r="X90" i="5"/>
  <c r="W90" i="5"/>
  <c r="V90" i="5"/>
  <c r="U90" i="5"/>
  <c r="T90" i="5" s="1"/>
  <c r="D90" i="5"/>
  <c r="A90" i="5"/>
  <c r="X89" i="5"/>
  <c r="W89" i="5"/>
  <c r="V89" i="5"/>
  <c r="T89" i="5"/>
  <c r="D89" i="5"/>
  <c r="A89" i="5"/>
  <c r="Y88" i="5"/>
  <c r="X88" i="5"/>
  <c r="W88" i="5"/>
  <c r="V88" i="5"/>
  <c r="U88" i="5"/>
  <c r="D88" i="5"/>
  <c r="A88" i="5"/>
  <c r="X87" i="5"/>
  <c r="V87" i="5"/>
  <c r="D87" i="5"/>
  <c r="B23" i="7" s="1"/>
  <c r="A87" i="5"/>
  <c r="Y86" i="5"/>
  <c r="X86" i="5"/>
  <c r="W86" i="5"/>
  <c r="V86" i="5"/>
  <c r="U86" i="5"/>
  <c r="T86" i="5" s="1"/>
  <c r="D86" i="5"/>
  <c r="A86" i="5"/>
  <c r="Y85" i="5"/>
  <c r="X85" i="5"/>
  <c r="W85" i="5"/>
  <c r="V85" i="5"/>
  <c r="T85" i="5"/>
  <c r="D85" i="5"/>
  <c r="A85" i="5"/>
  <c r="X84" i="5"/>
  <c r="W84" i="5"/>
  <c r="V84" i="5"/>
  <c r="T84" i="5"/>
  <c r="D84" i="5"/>
  <c r="A84" i="5"/>
  <c r="Y83" i="5"/>
  <c r="X83" i="5"/>
  <c r="W83" i="5"/>
  <c r="V83" i="5"/>
  <c r="D83" i="5"/>
  <c r="B22" i="7" s="1"/>
  <c r="A83" i="5"/>
  <c r="Y82" i="5"/>
  <c r="X82" i="5"/>
  <c r="W82" i="5"/>
  <c r="V82" i="5"/>
  <c r="T82" i="5"/>
  <c r="D82" i="5"/>
  <c r="A82" i="5"/>
  <c r="Y81" i="5"/>
  <c r="X81" i="5"/>
  <c r="W81" i="5"/>
  <c r="V81" i="5"/>
  <c r="T81" i="5"/>
  <c r="D81" i="5"/>
  <c r="A81" i="5"/>
  <c r="W80" i="5"/>
  <c r="V80" i="5"/>
  <c r="T80" i="5"/>
  <c r="D80" i="5"/>
  <c r="A80" i="5"/>
  <c r="Y79" i="5"/>
  <c r="X79" i="5"/>
  <c r="W79" i="5"/>
  <c r="V79" i="5"/>
  <c r="T79" i="5"/>
  <c r="D79" i="5"/>
  <c r="B21" i="7" s="1"/>
  <c r="A79" i="5"/>
  <c r="Y78" i="5"/>
  <c r="X78" i="5"/>
  <c r="W78" i="5"/>
  <c r="V78" i="5"/>
  <c r="T78" i="5"/>
  <c r="D78" i="5"/>
  <c r="A78" i="5"/>
  <c r="Y77" i="5"/>
  <c r="X77" i="5"/>
  <c r="W77" i="5"/>
  <c r="V77" i="5"/>
  <c r="D77" i="5"/>
  <c r="A77" i="5"/>
  <c r="Y76" i="5"/>
  <c r="X76" i="5"/>
  <c r="W76" i="5"/>
  <c r="V76" i="5"/>
  <c r="U76" i="5"/>
  <c r="D76" i="5"/>
  <c r="A76" i="5"/>
  <c r="Y75" i="5"/>
  <c r="X75" i="5"/>
  <c r="W75" i="5"/>
  <c r="V75" i="5"/>
  <c r="U75" i="5"/>
  <c r="D75" i="5"/>
  <c r="B20" i="7" s="1"/>
  <c r="A75" i="5"/>
  <c r="Y74" i="5"/>
  <c r="X74" i="5"/>
  <c r="W74" i="5"/>
  <c r="V74" i="5"/>
  <c r="U74" i="5"/>
  <c r="D74" i="5"/>
  <c r="A74" i="5"/>
  <c r="V73" i="5"/>
  <c r="D73" i="5"/>
  <c r="A73" i="5"/>
  <c r="X72" i="5"/>
  <c r="W72" i="5"/>
  <c r="V72" i="5"/>
  <c r="D72" i="5"/>
  <c r="A72" i="5"/>
  <c r="Y71" i="5"/>
  <c r="X71" i="5"/>
  <c r="W71" i="5"/>
  <c r="V71" i="5"/>
  <c r="U71" i="5"/>
  <c r="T71" i="5" s="1"/>
  <c r="D71" i="5"/>
  <c r="B19" i="7" s="1"/>
  <c r="A71" i="5"/>
  <c r="X70" i="5"/>
  <c r="W70" i="5"/>
  <c r="V70" i="5"/>
  <c r="D70" i="5"/>
  <c r="A70" i="5"/>
  <c r="Y69" i="5"/>
  <c r="X69" i="5"/>
  <c r="W69" i="5"/>
  <c r="V69" i="5"/>
  <c r="U69" i="5"/>
  <c r="D69" i="5"/>
  <c r="A69" i="5"/>
  <c r="X68" i="5"/>
  <c r="W68" i="5"/>
  <c r="V68" i="5"/>
  <c r="D68" i="5"/>
  <c r="A68" i="5"/>
  <c r="X67" i="5"/>
  <c r="W67" i="5"/>
  <c r="V67" i="5"/>
  <c r="T67" i="5"/>
  <c r="D67" i="5"/>
  <c r="B18" i="7" s="1"/>
  <c r="A67" i="5"/>
  <c r="Y66" i="5"/>
  <c r="X66" i="5"/>
  <c r="W66" i="5"/>
  <c r="V66" i="5"/>
  <c r="U66" i="5"/>
  <c r="D66" i="5"/>
  <c r="A66" i="5"/>
  <c r="Y65" i="5"/>
  <c r="X65" i="5"/>
  <c r="W65" i="5"/>
  <c r="V65" i="5"/>
  <c r="U65" i="5"/>
  <c r="T65" i="5" s="1"/>
  <c r="D65" i="5"/>
  <c r="A65" i="5"/>
  <c r="Y64" i="5"/>
  <c r="X64" i="5"/>
  <c r="W64" i="5"/>
  <c r="V64" i="5"/>
  <c r="U64" i="5"/>
  <c r="D64" i="5"/>
  <c r="A64" i="5"/>
  <c r="T63" i="5"/>
  <c r="D63" i="5"/>
  <c r="B17" i="7" s="1"/>
  <c r="A63" i="5"/>
  <c r="Y62" i="5"/>
  <c r="X62" i="5"/>
  <c r="W62" i="5"/>
  <c r="V62" i="5"/>
  <c r="U62" i="5"/>
  <c r="D62" i="5"/>
  <c r="A62" i="5"/>
  <c r="Y61" i="5"/>
  <c r="X61" i="5"/>
  <c r="W61" i="5"/>
  <c r="V61" i="5"/>
  <c r="U61" i="5"/>
  <c r="T61" i="5" s="1"/>
  <c r="D61" i="5"/>
  <c r="A61" i="5"/>
  <c r="Y60" i="5"/>
  <c r="X60" i="5"/>
  <c r="W60" i="5"/>
  <c r="V60" i="5"/>
  <c r="U60" i="5"/>
  <c r="D60" i="5"/>
  <c r="A60" i="5"/>
  <c r="Y59" i="5"/>
  <c r="X59" i="5"/>
  <c r="W59" i="5"/>
  <c r="V59" i="5"/>
  <c r="U59" i="5"/>
  <c r="D59" i="5"/>
  <c r="B16" i="7" s="1"/>
  <c r="A59" i="5"/>
  <c r="Y58" i="5"/>
  <c r="X58" i="5"/>
  <c r="W58" i="5"/>
  <c r="V58" i="5"/>
  <c r="U58" i="5"/>
  <c r="T58" i="5" s="1"/>
  <c r="D58" i="5"/>
  <c r="A58" i="5"/>
  <c r="Y57" i="5"/>
  <c r="X57" i="5"/>
  <c r="W57" i="5"/>
  <c r="V57" i="5"/>
  <c r="U57" i="5"/>
  <c r="T57" i="5" s="1"/>
  <c r="D57" i="5"/>
  <c r="A57" i="5"/>
  <c r="Y56" i="5"/>
  <c r="X56" i="5"/>
  <c r="W56" i="5"/>
  <c r="V56" i="5"/>
  <c r="U56" i="5"/>
  <c r="T56" i="5" s="1"/>
  <c r="D56" i="5"/>
  <c r="A56" i="5"/>
  <c r="Y55" i="5"/>
  <c r="X55" i="5"/>
  <c r="W55" i="5"/>
  <c r="V55" i="5"/>
  <c r="U55" i="5"/>
  <c r="T55" i="5" s="1"/>
  <c r="D55" i="5"/>
  <c r="B15" i="7" s="1"/>
  <c r="A55" i="5"/>
  <c r="Y54" i="5"/>
  <c r="X54" i="5"/>
  <c r="W54" i="5"/>
  <c r="V54" i="5"/>
  <c r="U54" i="5"/>
  <c r="T54" i="5" s="1"/>
  <c r="D54" i="5"/>
  <c r="A54" i="5"/>
  <c r="Y53" i="5"/>
  <c r="X53" i="5"/>
  <c r="W53" i="5"/>
  <c r="V53" i="5"/>
  <c r="U53" i="5"/>
  <c r="T53" i="5" s="1"/>
  <c r="D53" i="5"/>
  <c r="A53" i="5"/>
  <c r="T52" i="5"/>
  <c r="D52" i="5"/>
  <c r="A52" i="5"/>
  <c r="Y51" i="5"/>
  <c r="X51" i="5"/>
  <c r="W51" i="5"/>
  <c r="V51" i="5"/>
  <c r="U51" i="5"/>
  <c r="T51" i="5"/>
  <c r="D51" i="5"/>
  <c r="B14" i="7" s="1"/>
  <c r="A51" i="5"/>
  <c r="Y50" i="5"/>
  <c r="X50" i="5"/>
  <c r="W50" i="5"/>
  <c r="V50" i="5"/>
  <c r="U50" i="5"/>
  <c r="T50" i="5"/>
  <c r="D50" i="5"/>
  <c r="A50" i="5"/>
  <c r="Y49" i="5"/>
  <c r="X49" i="5"/>
  <c r="W49" i="5"/>
  <c r="V49" i="5"/>
  <c r="U49" i="5"/>
  <c r="T49" i="5"/>
  <c r="D49" i="5"/>
  <c r="A49" i="5"/>
  <c r="Y48" i="5"/>
  <c r="X48" i="5"/>
  <c r="W48" i="5"/>
  <c r="V48" i="5"/>
  <c r="U48" i="5"/>
  <c r="T48" i="5"/>
  <c r="D48" i="5"/>
  <c r="A48" i="5"/>
  <c r="Y47" i="5"/>
  <c r="X47" i="5"/>
  <c r="W47" i="5"/>
  <c r="V47" i="5"/>
  <c r="U47" i="5"/>
  <c r="T47" i="5"/>
  <c r="D47" i="5"/>
  <c r="B13" i="7" s="1"/>
  <c r="A47" i="5"/>
  <c r="Y46" i="5"/>
  <c r="X46" i="5"/>
  <c r="W46" i="5"/>
  <c r="V46" i="5"/>
  <c r="U46" i="5"/>
  <c r="T46" i="5"/>
  <c r="D46" i="5"/>
  <c r="A46" i="5"/>
  <c r="Y45" i="5"/>
  <c r="X45" i="5"/>
  <c r="W45" i="5"/>
  <c r="V45" i="5"/>
  <c r="U45" i="5"/>
  <c r="T45" i="5"/>
  <c r="D45" i="5"/>
  <c r="A45" i="5"/>
  <c r="Y44" i="5"/>
  <c r="X44" i="5"/>
  <c r="W44" i="5"/>
  <c r="V44" i="5"/>
  <c r="U44" i="5"/>
  <c r="T44" i="5"/>
  <c r="D44" i="5"/>
  <c r="A44" i="5"/>
  <c r="Y43" i="5"/>
  <c r="X43" i="5"/>
  <c r="W43" i="5"/>
  <c r="V43" i="5"/>
  <c r="U43" i="5"/>
  <c r="T43" i="5"/>
  <c r="D43" i="5"/>
  <c r="B12" i="7" s="1"/>
  <c r="A43" i="5"/>
  <c r="Y42" i="5"/>
  <c r="X42" i="5"/>
  <c r="W42" i="5"/>
  <c r="V42" i="5"/>
  <c r="U42" i="5"/>
  <c r="D42" i="5"/>
  <c r="A42" i="5"/>
  <c r="D41" i="5"/>
  <c r="A41" i="5"/>
  <c r="Y40" i="5"/>
  <c r="X40" i="5"/>
  <c r="W40" i="5"/>
  <c r="V40" i="5"/>
  <c r="U40" i="5"/>
  <c r="D40" i="5"/>
  <c r="A40" i="5"/>
  <c r="Y39" i="5"/>
  <c r="X39" i="5"/>
  <c r="W39" i="5"/>
  <c r="V39" i="5"/>
  <c r="U39" i="5"/>
  <c r="D39" i="5"/>
  <c r="B11" i="7" s="1"/>
  <c r="A39" i="5"/>
  <c r="X38" i="5"/>
  <c r="W38" i="5"/>
  <c r="V38" i="5"/>
  <c r="D38" i="5"/>
  <c r="A38" i="5"/>
  <c r="Y37" i="5"/>
  <c r="X37" i="5"/>
  <c r="W37" i="5"/>
  <c r="V37" i="5"/>
  <c r="U37" i="5"/>
  <c r="D37" i="5"/>
  <c r="A37" i="5"/>
  <c r="Y36" i="5"/>
  <c r="X36" i="5"/>
  <c r="W36" i="5"/>
  <c r="V36" i="5"/>
  <c r="U36" i="5"/>
  <c r="T36" i="5" s="1"/>
  <c r="D36" i="5"/>
  <c r="A36" i="5"/>
  <c r="V35" i="5"/>
  <c r="D35" i="5"/>
  <c r="B10" i="7" s="1"/>
  <c r="A35" i="5"/>
  <c r="W34" i="5"/>
  <c r="V34" i="5"/>
  <c r="D34" i="5"/>
  <c r="A34" i="5"/>
  <c r="Y33" i="5"/>
  <c r="X33" i="5"/>
  <c r="W33" i="5"/>
  <c r="V33" i="5"/>
  <c r="T33" i="5"/>
  <c r="D33" i="5"/>
  <c r="A33" i="5"/>
  <c r="D32" i="5"/>
  <c r="A32" i="5"/>
  <c r="Y31" i="5"/>
  <c r="X31" i="5"/>
  <c r="W31" i="5"/>
  <c r="V31" i="5"/>
  <c r="D31" i="5"/>
  <c r="B9" i="7" s="1"/>
  <c r="A31" i="5"/>
  <c r="Y30" i="5"/>
  <c r="X30" i="5"/>
  <c r="W30" i="5"/>
  <c r="V30" i="5"/>
  <c r="D30" i="5"/>
  <c r="A30" i="5"/>
  <c r="Y29" i="5"/>
  <c r="X29" i="5"/>
  <c r="W29" i="5"/>
  <c r="V29" i="5"/>
  <c r="U29" i="5"/>
  <c r="T29" i="5" s="1"/>
  <c r="D29" i="5"/>
  <c r="A29" i="5"/>
  <c r="Y28" i="5"/>
  <c r="X28" i="5"/>
  <c r="W28" i="5"/>
  <c r="V28" i="5"/>
  <c r="D28" i="5"/>
  <c r="A28" i="5"/>
  <c r="Y27" i="5"/>
  <c r="X27" i="5"/>
  <c r="W27" i="5"/>
  <c r="V27" i="5"/>
  <c r="U27" i="5"/>
  <c r="T27" i="5" s="1"/>
  <c r="D27" i="5"/>
  <c r="B8" i="7" s="1"/>
  <c r="A27" i="5"/>
  <c r="Y26" i="5"/>
  <c r="X26" i="5"/>
  <c r="W26" i="5"/>
  <c r="V26" i="5"/>
  <c r="U26" i="5"/>
  <c r="D26" i="5"/>
  <c r="A26" i="5"/>
  <c r="Y25" i="5"/>
  <c r="X25" i="5"/>
  <c r="W25" i="5"/>
  <c r="V25" i="5"/>
  <c r="U25" i="5"/>
  <c r="D25" i="5"/>
  <c r="A25" i="5"/>
  <c r="Y24" i="5"/>
  <c r="X24" i="5"/>
  <c r="W24" i="5"/>
  <c r="V24" i="5"/>
  <c r="D24" i="5"/>
  <c r="A24" i="5"/>
  <c r="W23" i="5"/>
  <c r="V23" i="5"/>
  <c r="T23" i="5"/>
  <c r="D23" i="5"/>
  <c r="B7" i="7" s="1"/>
  <c r="A23" i="5"/>
  <c r="Y22" i="5"/>
  <c r="X22" i="5"/>
  <c r="W22" i="5"/>
  <c r="V22" i="5"/>
  <c r="D22" i="5"/>
  <c r="A22" i="5"/>
  <c r="Y21" i="5"/>
  <c r="X21" i="5"/>
  <c r="W21" i="5"/>
  <c r="V21" i="5"/>
  <c r="T21" i="5"/>
  <c r="D21" i="5"/>
  <c r="A21" i="5"/>
  <c r="X20" i="5"/>
  <c r="W20" i="5"/>
  <c r="V20" i="5"/>
  <c r="D20" i="5"/>
  <c r="A20" i="5"/>
  <c r="Y19" i="5"/>
  <c r="X19" i="5"/>
  <c r="W19" i="5"/>
  <c r="V19" i="5"/>
  <c r="D19" i="5"/>
  <c r="B6" i="7" s="1"/>
  <c r="A19" i="5"/>
  <c r="Y18" i="5"/>
  <c r="X18" i="5"/>
  <c r="W18" i="5"/>
  <c r="V18" i="5"/>
  <c r="U18" i="5"/>
  <c r="D18" i="5"/>
  <c r="A18" i="5"/>
  <c r="Y17" i="5"/>
  <c r="X17" i="5"/>
  <c r="W17" i="5"/>
  <c r="V17" i="5"/>
  <c r="U17" i="5"/>
  <c r="D17" i="5"/>
  <c r="A17" i="5"/>
  <c r="Y16" i="5"/>
  <c r="X16" i="5"/>
  <c r="W16" i="5"/>
  <c r="V16" i="5"/>
  <c r="D16" i="5"/>
  <c r="A16" i="5"/>
  <c r="Y15" i="5"/>
  <c r="X15" i="5"/>
  <c r="W15" i="5"/>
  <c r="V15" i="5"/>
  <c r="D15" i="5"/>
  <c r="B5" i="7" s="1"/>
  <c r="A15" i="5"/>
  <c r="Y14" i="5"/>
  <c r="X14" i="5"/>
  <c r="W14" i="5"/>
  <c r="V14" i="5"/>
  <c r="T14" i="5"/>
  <c r="D14" i="5"/>
  <c r="A14" i="5"/>
  <c r="D13" i="5"/>
  <c r="A13" i="5"/>
  <c r="Y12" i="5"/>
  <c r="X12" i="5"/>
  <c r="W12" i="5"/>
  <c r="V12" i="5"/>
  <c r="U12" i="5"/>
  <c r="D12" i="5"/>
  <c r="A12" i="5"/>
  <c r="Y11" i="5"/>
  <c r="X11" i="5"/>
  <c r="W11" i="5"/>
  <c r="V11" i="5"/>
  <c r="D11" i="5"/>
  <c r="B4" i="7" s="1"/>
  <c r="A11" i="5"/>
  <c r="Y10" i="5"/>
  <c r="X10" i="5"/>
  <c r="W10" i="5"/>
  <c r="V10" i="5"/>
  <c r="U10" i="5"/>
  <c r="D10" i="5"/>
  <c r="A10" i="5"/>
  <c r="Y9" i="5"/>
  <c r="X9" i="5"/>
  <c r="W9" i="5"/>
  <c r="V9" i="5"/>
  <c r="T9" i="5"/>
  <c r="D9" i="5"/>
  <c r="A9" i="5"/>
  <c r="Y8" i="5"/>
  <c r="X8" i="5"/>
  <c r="W8" i="5"/>
  <c r="V8" i="5"/>
  <c r="D8" i="5"/>
  <c r="A8" i="5"/>
  <c r="Y7" i="5"/>
  <c r="X7" i="5"/>
  <c r="W7" i="5"/>
  <c r="V7" i="5"/>
  <c r="U7" i="5"/>
  <c r="T7" i="5" s="1"/>
  <c r="D7" i="5"/>
  <c r="B3" i="7" s="1"/>
  <c r="A7" i="5"/>
  <c r="Y6" i="5"/>
  <c r="X6" i="5"/>
  <c r="W6" i="5"/>
  <c r="V6" i="5"/>
  <c r="U6" i="5"/>
  <c r="D6" i="5"/>
  <c r="A6" i="5"/>
  <c r="X5" i="5"/>
  <c r="W5" i="5"/>
  <c r="V5" i="5"/>
  <c r="D5" i="5"/>
  <c r="A5" i="5"/>
  <c r="X4" i="5"/>
  <c r="W4" i="5"/>
  <c r="V4" i="5"/>
  <c r="D4" i="5"/>
  <c r="A4" i="5"/>
  <c r="Y3" i="5"/>
  <c r="X3" i="5"/>
  <c r="W3" i="5"/>
  <c r="V3" i="5"/>
  <c r="U3" i="5"/>
  <c r="T3" i="5" s="1"/>
  <c r="D3" i="5"/>
  <c r="B2" i="7" s="1"/>
  <c r="A3" i="5"/>
  <c r="I35" i="4"/>
  <c r="H35" i="4"/>
  <c r="G35" i="4"/>
  <c r="K35" i="4" s="1"/>
  <c r="F35" i="4"/>
  <c r="E35" i="4"/>
  <c r="D35" i="4"/>
  <c r="C35" i="4"/>
  <c r="B35" i="4"/>
  <c r="I34" i="4"/>
  <c r="H34" i="4"/>
  <c r="G34" i="4"/>
  <c r="K34" i="4" s="1"/>
  <c r="F34" i="4"/>
  <c r="E34" i="4"/>
  <c r="D34" i="4"/>
  <c r="C34" i="4"/>
  <c r="I33" i="4"/>
  <c r="H33" i="4"/>
  <c r="G33" i="4"/>
  <c r="K33" i="4" s="1"/>
  <c r="F33" i="4"/>
  <c r="E33" i="4"/>
  <c r="D33" i="4"/>
  <c r="C33" i="4"/>
  <c r="B33" i="4"/>
  <c r="I32" i="4"/>
  <c r="H32" i="4"/>
  <c r="G32" i="4"/>
  <c r="F32" i="4"/>
  <c r="E32" i="4"/>
  <c r="D32" i="4"/>
  <c r="C32" i="4"/>
  <c r="I31" i="4"/>
  <c r="H31" i="4"/>
  <c r="G31" i="4"/>
  <c r="K31" i="4" s="1"/>
  <c r="F31" i="4"/>
  <c r="E31" i="4"/>
  <c r="D31" i="4"/>
  <c r="C31" i="4"/>
  <c r="I30" i="4"/>
  <c r="H30" i="4"/>
  <c r="G30" i="4"/>
  <c r="F30" i="4"/>
  <c r="E30" i="4"/>
  <c r="D30" i="4"/>
  <c r="C30" i="4"/>
  <c r="B30" i="4"/>
  <c r="I29" i="4"/>
  <c r="H29" i="4"/>
  <c r="G29" i="4"/>
  <c r="F29" i="4"/>
  <c r="E29" i="4"/>
  <c r="D29" i="4"/>
  <c r="C29" i="4"/>
  <c r="I28" i="4"/>
  <c r="H28" i="4"/>
  <c r="G28" i="4"/>
  <c r="K28" i="4" s="1"/>
  <c r="F28" i="4"/>
  <c r="E28" i="4"/>
  <c r="D28" i="4"/>
  <c r="C28" i="4"/>
  <c r="K27" i="4"/>
  <c r="I27" i="4"/>
  <c r="H27" i="4"/>
  <c r="G27" i="4"/>
  <c r="F27" i="4"/>
  <c r="E27" i="4"/>
  <c r="D27" i="4"/>
  <c r="C27" i="4"/>
  <c r="B27" i="4"/>
  <c r="I26" i="4"/>
  <c r="H26" i="4"/>
  <c r="G26" i="4"/>
  <c r="K26" i="4" s="1"/>
  <c r="F26" i="4"/>
  <c r="E26" i="4"/>
  <c r="D26" i="4"/>
  <c r="C26" i="4"/>
  <c r="K25" i="4"/>
  <c r="I25" i="4"/>
  <c r="H25" i="4"/>
  <c r="G25" i="4"/>
  <c r="F25" i="4"/>
  <c r="E25" i="4"/>
  <c r="D25" i="4"/>
  <c r="C25" i="4"/>
  <c r="B25" i="4"/>
  <c r="I24" i="4"/>
  <c r="H24" i="4"/>
  <c r="G24" i="4"/>
  <c r="F24" i="4"/>
  <c r="E24" i="4"/>
  <c r="D24" i="4"/>
  <c r="C24" i="4"/>
  <c r="K23" i="4"/>
  <c r="I23" i="4"/>
  <c r="H23" i="4"/>
  <c r="G23" i="4"/>
  <c r="F23" i="4"/>
  <c r="E23" i="4"/>
  <c r="D23" i="4"/>
  <c r="C23" i="4"/>
  <c r="B23" i="4"/>
  <c r="I22" i="4"/>
  <c r="H22" i="4"/>
  <c r="G22" i="4"/>
  <c r="K22" i="4" s="1"/>
  <c r="F22" i="4"/>
  <c r="E22" i="4"/>
  <c r="D22" i="4"/>
  <c r="C22" i="4"/>
  <c r="I21" i="4"/>
  <c r="H21" i="4"/>
  <c r="G21" i="4"/>
  <c r="F21" i="4"/>
  <c r="E21" i="4"/>
  <c r="D21" i="4"/>
  <c r="C21" i="4"/>
  <c r="I20" i="4"/>
  <c r="H20" i="4"/>
  <c r="G20" i="4"/>
  <c r="F20" i="4"/>
  <c r="E20" i="4"/>
  <c r="D20" i="4"/>
  <c r="C20" i="4"/>
  <c r="B20" i="4"/>
  <c r="K19" i="4"/>
  <c r="I19" i="4"/>
  <c r="H19" i="4"/>
  <c r="G19" i="4"/>
  <c r="F19" i="4"/>
  <c r="E19" i="4"/>
  <c r="D19" i="4"/>
  <c r="C19" i="4"/>
  <c r="I18" i="4"/>
  <c r="H18" i="4"/>
  <c r="G18" i="4"/>
  <c r="F18" i="4"/>
  <c r="E18" i="4"/>
  <c r="D18" i="4"/>
  <c r="C18" i="4"/>
  <c r="I17" i="4"/>
  <c r="K17" i="4" s="1"/>
  <c r="H17" i="4"/>
  <c r="G17" i="4"/>
  <c r="F17" i="4"/>
  <c r="E17" i="4"/>
  <c r="D17" i="4"/>
  <c r="C17" i="4"/>
  <c r="B17" i="4"/>
  <c r="I16" i="4"/>
  <c r="K16" i="4" s="1"/>
  <c r="H16" i="4"/>
  <c r="G16" i="4"/>
  <c r="F16" i="4"/>
  <c r="E16" i="4"/>
  <c r="D16" i="4"/>
  <c r="C16" i="4"/>
  <c r="I15" i="4"/>
  <c r="K15" i="4" s="1"/>
  <c r="H15" i="4"/>
  <c r="G15" i="4"/>
  <c r="F15" i="4"/>
  <c r="E15" i="4"/>
  <c r="D15" i="4"/>
  <c r="C15" i="4"/>
  <c r="B15" i="4"/>
  <c r="I14" i="4"/>
  <c r="H14" i="4"/>
  <c r="G14" i="4"/>
  <c r="F14" i="4"/>
  <c r="E14" i="4"/>
  <c r="D14" i="4"/>
  <c r="C14" i="4"/>
  <c r="I13" i="4"/>
  <c r="K13" i="4" s="1"/>
  <c r="H13" i="4"/>
  <c r="G13" i="4"/>
  <c r="F13" i="4"/>
  <c r="E13" i="4"/>
  <c r="D13" i="4"/>
  <c r="C13" i="4"/>
  <c r="B13" i="4"/>
  <c r="K12" i="4"/>
  <c r="I12" i="4"/>
  <c r="H12" i="4"/>
  <c r="G12" i="4"/>
  <c r="F12" i="4"/>
  <c r="E12" i="4"/>
  <c r="D12" i="4"/>
  <c r="C12" i="4"/>
  <c r="B12" i="4"/>
  <c r="K11" i="4"/>
  <c r="I11" i="4"/>
  <c r="H11" i="4"/>
  <c r="G11" i="4"/>
  <c r="F11" i="4"/>
  <c r="E11" i="4"/>
  <c r="D11" i="4"/>
  <c r="C11" i="4"/>
  <c r="B11" i="4"/>
  <c r="I10" i="4"/>
  <c r="H10" i="4"/>
  <c r="G10" i="4"/>
  <c r="K10" i="4" s="1"/>
  <c r="F10" i="4"/>
  <c r="E10" i="4"/>
  <c r="D10" i="4"/>
  <c r="C10" i="4"/>
  <c r="N9" i="4"/>
  <c r="I9" i="4"/>
  <c r="H9" i="4"/>
  <c r="G9" i="4"/>
  <c r="K9" i="4" s="1"/>
  <c r="F9" i="4"/>
  <c r="E9" i="4"/>
  <c r="D9" i="4"/>
  <c r="C9" i="4"/>
  <c r="B9" i="4"/>
  <c r="N8" i="4"/>
  <c r="C7" i="2" s="1"/>
  <c r="I8" i="4"/>
  <c r="H8" i="4"/>
  <c r="G8" i="4"/>
  <c r="K8" i="4" s="1"/>
  <c r="F8" i="4"/>
  <c r="E8" i="4"/>
  <c r="D8" i="4"/>
  <c r="C8" i="4"/>
  <c r="I7" i="4"/>
  <c r="H7" i="4"/>
  <c r="G7" i="4"/>
  <c r="K7" i="4" s="1"/>
  <c r="F7" i="4"/>
  <c r="E7" i="4"/>
  <c r="D7" i="4"/>
  <c r="C7" i="4"/>
  <c r="B7" i="4"/>
  <c r="I6" i="4"/>
  <c r="H6" i="4"/>
  <c r="G6" i="4"/>
  <c r="K6" i="4" s="1"/>
  <c r="F6" i="4"/>
  <c r="E6" i="4"/>
  <c r="D6" i="4"/>
  <c r="C6" i="4"/>
  <c r="N5" i="4"/>
  <c r="C6" i="2" s="1"/>
  <c r="I5" i="4"/>
  <c r="K5" i="4" s="1"/>
  <c r="H5" i="4"/>
  <c r="G5" i="4"/>
  <c r="F5" i="4"/>
  <c r="E5" i="4"/>
  <c r="D5" i="4"/>
  <c r="C5" i="4"/>
  <c r="B5" i="4"/>
  <c r="N4" i="4"/>
  <c r="N7" i="4" s="1"/>
  <c r="C10" i="2" s="1"/>
  <c r="K4" i="4"/>
  <c r="I4" i="4"/>
  <c r="H4" i="4"/>
  <c r="G4" i="4"/>
  <c r="F4" i="4"/>
  <c r="E4" i="4"/>
  <c r="D4" i="4"/>
  <c r="C4" i="4"/>
  <c r="B4" i="4"/>
  <c r="N3" i="4"/>
  <c r="I3" i="4"/>
  <c r="H3" i="4"/>
  <c r="G3" i="4"/>
  <c r="K3" i="4" s="1"/>
  <c r="F3" i="4"/>
  <c r="E3" i="4"/>
  <c r="D3" i="4"/>
  <c r="C3" i="4"/>
  <c r="N2" i="4"/>
  <c r="I2" i="4"/>
  <c r="H2" i="4"/>
  <c r="G2" i="4"/>
  <c r="K2" i="4" s="1"/>
  <c r="F2" i="4"/>
  <c r="E2" i="4"/>
  <c r="D2" i="4"/>
  <c r="C2" i="4"/>
  <c r="Y138" i="3"/>
  <c r="X138" i="3"/>
  <c r="W138" i="3"/>
  <c r="V138" i="3"/>
  <c r="U138" i="3"/>
  <c r="D138" i="3"/>
  <c r="A138" i="3"/>
  <c r="D137" i="3"/>
  <c r="A137" i="3"/>
  <c r="D136" i="3"/>
  <c r="A136" i="3"/>
  <c r="Y135" i="3"/>
  <c r="X135" i="3"/>
  <c r="W135" i="3"/>
  <c r="V135" i="3"/>
  <c r="U135" i="3"/>
  <c r="D135" i="3"/>
  <c r="A135" i="3"/>
  <c r="Y134" i="3"/>
  <c r="X134" i="3"/>
  <c r="W134" i="3"/>
  <c r="V134" i="3"/>
  <c r="U134" i="3"/>
  <c r="D134" i="3"/>
  <c r="A134" i="3"/>
  <c r="Y133" i="3"/>
  <c r="X133" i="3"/>
  <c r="W133" i="3"/>
  <c r="V133" i="3"/>
  <c r="U133" i="3"/>
  <c r="D133" i="3"/>
  <c r="A133" i="3"/>
  <c r="Y132" i="3"/>
  <c r="X132" i="3"/>
  <c r="W132" i="3"/>
  <c r="V132" i="3"/>
  <c r="U132" i="3"/>
  <c r="D132" i="3"/>
  <c r="A132" i="3"/>
  <c r="Y131" i="3"/>
  <c r="X131" i="3"/>
  <c r="W131" i="3"/>
  <c r="V131" i="3"/>
  <c r="U131" i="3"/>
  <c r="D131" i="3"/>
  <c r="B34" i="4" s="1"/>
  <c r="A131" i="3"/>
  <c r="Y130" i="3"/>
  <c r="X130" i="3"/>
  <c r="W130" i="3"/>
  <c r="V130" i="3"/>
  <c r="U130" i="3"/>
  <c r="D130" i="3"/>
  <c r="A130" i="3"/>
  <c r="Y129" i="3"/>
  <c r="X129" i="3"/>
  <c r="W129" i="3"/>
  <c r="V129" i="3"/>
  <c r="D129" i="3"/>
  <c r="A129" i="3"/>
  <c r="Y128" i="3"/>
  <c r="X128" i="3"/>
  <c r="W128" i="3"/>
  <c r="V128" i="3"/>
  <c r="U128" i="3"/>
  <c r="D128" i="3"/>
  <c r="A128" i="3"/>
  <c r="D127" i="3"/>
  <c r="A127" i="3"/>
  <c r="Y126" i="3"/>
  <c r="X126" i="3"/>
  <c r="W126" i="3"/>
  <c r="V126" i="3"/>
  <c r="U126" i="3"/>
  <c r="D126" i="3"/>
  <c r="A126" i="3"/>
  <c r="Y125" i="3"/>
  <c r="X125" i="3"/>
  <c r="W125" i="3"/>
  <c r="V125" i="3"/>
  <c r="U125" i="3"/>
  <c r="D125" i="3"/>
  <c r="A125" i="3"/>
  <c r="X124" i="3"/>
  <c r="W124" i="3"/>
  <c r="V124" i="3"/>
  <c r="D124" i="3"/>
  <c r="A124" i="3"/>
  <c r="Y123" i="3"/>
  <c r="X123" i="3"/>
  <c r="W123" i="3"/>
  <c r="V123" i="3"/>
  <c r="U123" i="3"/>
  <c r="D123" i="3"/>
  <c r="B32" i="4" s="1"/>
  <c r="A123" i="3"/>
  <c r="Y122" i="3"/>
  <c r="X122" i="3"/>
  <c r="W122" i="3"/>
  <c r="V122" i="3"/>
  <c r="U122" i="3"/>
  <c r="D122" i="3"/>
  <c r="A122" i="3"/>
  <c r="X121" i="3"/>
  <c r="W121" i="3"/>
  <c r="V121" i="3"/>
  <c r="O121" i="3"/>
  <c r="D121" i="3"/>
  <c r="A121" i="3"/>
  <c r="Y120" i="3"/>
  <c r="X120" i="3"/>
  <c r="W120" i="3"/>
  <c r="V120" i="3"/>
  <c r="U120" i="3"/>
  <c r="D120" i="3"/>
  <c r="A120" i="3"/>
  <c r="X119" i="3"/>
  <c r="W119" i="3"/>
  <c r="V119" i="3"/>
  <c r="D119" i="3"/>
  <c r="B31" i="4" s="1"/>
  <c r="A119" i="3"/>
  <c r="Y118" i="3"/>
  <c r="X118" i="3"/>
  <c r="W118" i="3"/>
  <c r="V118" i="3"/>
  <c r="U118" i="3"/>
  <c r="D118" i="3"/>
  <c r="A118" i="3"/>
  <c r="D117" i="3"/>
  <c r="A117" i="3"/>
  <c r="D116" i="3"/>
  <c r="A116" i="3"/>
  <c r="Y115" i="3"/>
  <c r="X115" i="3"/>
  <c r="W115" i="3"/>
  <c r="V115" i="3"/>
  <c r="U115" i="3"/>
  <c r="D115" i="3"/>
  <c r="A115" i="3"/>
  <c r="Y114" i="3"/>
  <c r="X114" i="3"/>
  <c r="W114" i="3"/>
  <c r="V114" i="3"/>
  <c r="U114" i="3"/>
  <c r="D114" i="3"/>
  <c r="A114" i="3"/>
  <c r="Y113" i="3"/>
  <c r="X113" i="3"/>
  <c r="W113" i="3"/>
  <c r="V113" i="3"/>
  <c r="U113" i="3"/>
  <c r="D113" i="3"/>
  <c r="A113" i="3"/>
  <c r="Y112" i="3"/>
  <c r="X112" i="3"/>
  <c r="W112" i="3"/>
  <c r="V112" i="3"/>
  <c r="U112" i="3"/>
  <c r="D112" i="3"/>
  <c r="A112" i="3"/>
  <c r="O111" i="3"/>
  <c r="D111" i="3"/>
  <c r="B29" i="4" s="1"/>
  <c r="A111" i="3"/>
  <c r="V110" i="3"/>
  <c r="D110" i="3"/>
  <c r="A110" i="3"/>
  <c r="V109" i="3"/>
  <c r="D109" i="3"/>
  <c r="A109" i="3"/>
  <c r="D108" i="3"/>
  <c r="A108" i="3"/>
  <c r="Y107" i="3"/>
  <c r="X107" i="3"/>
  <c r="W107" i="3"/>
  <c r="V107" i="3"/>
  <c r="U107" i="3"/>
  <c r="D107" i="3"/>
  <c r="B28" i="4" s="1"/>
  <c r="A107" i="3"/>
  <c r="V106" i="3"/>
  <c r="D106" i="3"/>
  <c r="A106" i="3"/>
  <c r="V105" i="3"/>
  <c r="D105" i="3"/>
  <c r="A105" i="3"/>
  <c r="Y104" i="3"/>
  <c r="X104" i="3"/>
  <c r="W104" i="3"/>
  <c r="V104" i="3"/>
  <c r="U104" i="3"/>
  <c r="D104" i="3"/>
  <c r="A104" i="3"/>
  <c r="Y103" i="3"/>
  <c r="X103" i="3"/>
  <c r="W103" i="3"/>
  <c r="V103" i="3"/>
  <c r="U103" i="3"/>
  <c r="D103" i="3"/>
  <c r="A103" i="3"/>
  <c r="X102" i="3"/>
  <c r="W102" i="3"/>
  <c r="V102" i="3"/>
  <c r="D102" i="3"/>
  <c r="A102" i="3"/>
  <c r="D101" i="3"/>
  <c r="A101" i="3"/>
  <c r="D100" i="3"/>
  <c r="A100" i="3"/>
  <c r="Y99" i="3"/>
  <c r="X99" i="3"/>
  <c r="W99" i="3"/>
  <c r="V99" i="3"/>
  <c r="U99" i="3"/>
  <c r="D99" i="3"/>
  <c r="B26" i="4" s="1"/>
  <c r="A99" i="3"/>
  <c r="D98" i="3"/>
  <c r="A98" i="3"/>
  <c r="X97" i="3"/>
  <c r="W97" i="3"/>
  <c r="V97" i="3"/>
  <c r="D97" i="3"/>
  <c r="A97" i="3"/>
  <c r="Y96" i="3"/>
  <c r="X96" i="3"/>
  <c r="W96" i="3"/>
  <c r="V96" i="3"/>
  <c r="U96" i="3"/>
  <c r="D96" i="3"/>
  <c r="A96" i="3"/>
  <c r="Y95" i="3"/>
  <c r="X95" i="3"/>
  <c r="W95" i="3"/>
  <c r="V95" i="3"/>
  <c r="U95" i="3"/>
  <c r="D95" i="3"/>
  <c r="A95" i="3"/>
  <c r="D94" i="3"/>
  <c r="A94" i="3"/>
  <c r="Y93" i="3"/>
  <c r="X93" i="3"/>
  <c r="W93" i="3"/>
  <c r="V93" i="3"/>
  <c r="U93" i="3"/>
  <c r="D93" i="3"/>
  <c r="A93" i="3"/>
  <c r="Y92" i="3"/>
  <c r="X92" i="3"/>
  <c r="W92" i="3"/>
  <c r="V92" i="3"/>
  <c r="D92" i="3"/>
  <c r="A92" i="3"/>
  <c r="Y91" i="3"/>
  <c r="X91" i="3"/>
  <c r="W91" i="3"/>
  <c r="V91" i="3"/>
  <c r="D91" i="3"/>
  <c r="B24" i="4" s="1"/>
  <c r="A91" i="3"/>
  <c r="Y90" i="3"/>
  <c r="X90" i="3"/>
  <c r="W90" i="3"/>
  <c r="V90" i="3"/>
  <c r="U90" i="3"/>
  <c r="D90" i="3"/>
  <c r="A90" i="3"/>
  <c r="Y89" i="3"/>
  <c r="X89" i="3"/>
  <c r="W89" i="3"/>
  <c r="V89" i="3"/>
  <c r="U89" i="3"/>
  <c r="D89" i="3"/>
  <c r="A89" i="3"/>
  <c r="Y88" i="3"/>
  <c r="X88" i="3"/>
  <c r="W88" i="3"/>
  <c r="V88" i="3"/>
  <c r="U88" i="3"/>
  <c r="D88" i="3"/>
  <c r="A88" i="3"/>
  <c r="Y87" i="3"/>
  <c r="X87" i="3"/>
  <c r="W87" i="3"/>
  <c r="V87" i="3"/>
  <c r="U87" i="3"/>
  <c r="D87" i="3"/>
  <c r="A87" i="3"/>
  <c r="Y86" i="3"/>
  <c r="X86" i="3"/>
  <c r="W86" i="3"/>
  <c r="V86" i="3"/>
  <c r="U86" i="3"/>
  <c r="D86" i="3"/>
  <c r="A86" i="3"/>
  <c r="Y85" i="3"/>
  <c r="X85" i="3"/>
  <c r="W85" i="3"/>
  <c r="V85" i="3"/>
  <c r="U85" i="3"/>
  <c r="D85" i="3"/>
  <c r="A85" i="3"/>
  <c r="Y84" i="3"/>
  <c r="X84" i="3"/>
  <c r="W84" i="3"/>
  <c r="V84" i="3"/>
  <c r="U84" i="3"/>
  <c r="D84" i="3"/>
  <c r="A84" i="3"/>
  <c r="Y83" i="3"/>
  <c r="X83" i="3"/>
  <c r="W83" i="3"/>
  <c r="V83" i="3"/>
  <c r="U83" i="3"/>
  <c r="D83" i="3"/>
  <c r="B22" i="4" s="1"/>
  <c r="A83" i="3"/>
  <c r="D82" i="3"/>
  <c r="A82" i="3"/>
  <c r="Y81" i="3"/>
  <c r="X81" i="3"/>
  <c r="W81" i="3"/>
  <c r="V81" i="3"/>
  <c r="U81" i="3"/>
  <c r="D81" i="3"/>
  <c r="A81" i="3"/>
  <c r="Y80" i="3"/>
  <c r="X80" i="3"/>
  <c r="W80" i="3"/>
  <c r="V80" i="3"/>
  <c r="U80" i="3"/>
  <c r="D80" i="3"/>
  <c r="A80" i="3"/>
  <c r="Y79" i="3"/>
  <c r="X79" i="3"/>
  <c r="W79" i="3"/>
  <c r="V79" i="3"/>
  <c r="U79" i="3"/>
  <c r="D79" i="3"/>
  <c r="B21" i="4" s="1"/>
  <c r="A79" i="3"/>
  <c r="Y78" i="3"/>
  <c r="X78" i="3"/>
  <c r="W78" i="3"/>
  <c r="V78" i="3"/>
  <c r="U78" i="3"/>
  <c r="D78" i="3"/>
  <c r="A78" i="3"/>
  <c r="Y77" i="3"/>
  <c r="X77" i="3"/>
  <c r="W77" i="3"/>
  <c r="V77" i="3"/>
  <c r="U77" i="3"/>
  <c r="D77" i="3"/>
  <c r="A77" i="3"/>
  <c r="D76" i="3"/>
  <c r="A76" i="3"/>
  <c r="Y75" i="3"/>
  <c r="X75" i="3"/>
  <c r="W75" i="3"/>
  <c r="V75" i="3"/>
  <c r="U75" i="3"/>
  <c r="D75" i="3"/>
  <c r="A75" i="3"/>
  <c r="Y74" i="3"/>
  <c r="X74" i="3"/>
  <c r="W74" i="3"/>
  <c r="V74" i="3"/>
  <c r="U74" i="3"/>
  <c r="D74" i="3"/>
  <c r="A74" i="3"/>
  <c r="D73" i="3"/>
  <c r="A73" i="3"/>
  <c r="Y72" i="3"/>
  <c r="X72" i="3"/>
  <c r="W72" i="3"/>
  <c r="V72" i="3"/>
  <c r="U72" i="3"/>
  <c r="D72" i="3"/>
  <c r="A72" i="3"/>
  <c r="Y71" i="3"/>
  <c r="X71" i="3"/>
  <c r="W71" i="3"/>
  <c r="V71" i="3"/>
  <c r="U71" i="3"/>
  <c r="D71" i="3"/>
  <c r="B19" i="4" s="1"/>
  <c r="A71" i="3"/>
  <c r="D70" i="3"/>
  <c r="A70" i="3"/>
  <c r="Y69" i="3"/>
  <c r="X69" i="3"/>
  <c r="W69" i="3"/>
  <c r="V69" i="3"/>
  <c r="U69" i="3"/>
  <c r="D69" i="3"/>
  <c r="A69" i="3"/>
  <c r="Y68" i="3"/>
  <c r="X68" i="3"/>
  <c r="W68" i="3"/>
  <c r="V68" i="3"/>
  <c r="U68" i="3"/>
  <c r="D68" i="3"/>
  <c r="A68" i="3"/>
  <c r="X67" i="3"/>
  <c r="W67" i="3"/>
  <c r="V67" i="3"/>
  <c r="D67" i="3"/>
  <c r="B18" i="4" s="1"/>
  <c r="A67" i="3"/>
  <c r="Y66" i="3"/>
  <c r="X66" i="3"/>
  <c r="W66" i="3"/>
  <c r="V66" i="3"/>
  <c r="U66" i="3"/>
  <c r="D66" i="3"/>
  <c r="A66" i="3"/>
  <c r="Y65" i="3"/>
  <c r="X65" i="3"/>
  <c r="W65" i="3"/>
  <c r="V65" i="3"/>
  <c r="U65" i="3"/>
  <c r="D65" i="3"/>
  <c r="A65" i="3"/>
  <c r="Y64" i="3"/>
  <c r="X64" i="3"/>
  <c r="W64" i="3"/>
  <c r="V64" i="3"/>
  <c r="U64" i="3"/>
  <c r="D64" i="3"/>
  <c r="A64" i="3"/>
  <c r="X63" i="3"/>
  <c r="W63" i="3"/>
  <c r="V63" i="3"/>
  <c r="D63" i="3"/>
  <c r="A63" i="3"/>
  <c r="Y62" i="3"/>
  <c r="X62" i="3"/>
  <c r="W62" i="3"/>
  <c r="V62" i="3"/>
  <c r="U62" i="3"/>
  <c r="D62" i="3"/>
  <c r="A62" i="3"/>
  <c r="Y61" i="3"/>
  <c r="X61" i="3"/>
  <c r="W61" i="3"/>
  <c r="V61" i="3"/>
  <c r="U61" i="3"/>
  <c r="D61" i="3"/>
  <c r="A61" i="3"/>
  <c r="Y60" i="3"/>
  <c r="X60" i="3"/>
  <c r="W60" i="3"/>
  <c r="V60" i="3"/>
  <c r="U60" i="3"/>
  <c r="D60" i="3"/>
  <c r="A60" i="3"/>
  <c r="Y59" i="3"/>
  <c r="X59" i="3"/>
  <c r="W59" i="3"/>
  <c r="V59" i="3"/>
  <c r="U59" i="3"/>
  <c r="D59" i="3"/>
  <c r="B16" i="4" s="1"/>
  <c r="A59" i="3"/>
  <c r="W58" i="3"/>
  <c r="V58" i="3"/>
  <c r="D58" i="3"/>
  <c r="A58" i="3"/>
  <c r="D57" i="3"/>
  <c r="A57" i="3"/>
  <c r="Y56" i="3"/>
  <c r="X56" i="3"/>
  <c r="W56" i="3"/>
  <c r="V56" i="3"/>
  <c r="U56" i="3"/>
  <c r="D56" i="3"/>
  <c r="A56" i="3"/>
  <c r="Y55" i="3"/>
  <c r="X55" i="3"/>
  <c r="W55" i="3"/>
  <c r="V55" i="3"/>
  <c r="U55" i="3"/>
  <c r="D55" i="3"/>
  <c r="A55" i="3"/>
  <c r="Y54" i="3"/>
  <c r="X54" i="3"/>
  <c r="W54" i="3"/>
  <c r="V54" i="3"/>
  <c r="U54" i="3"/>
  <c r="D54" i="3"/>
  <c r="A54" i="3"/>
  <c r="Y53" i="3"/>
  <c r="X53" i="3"/>
  <c r="W53" i="3"/>
  <c r="V53" i="3"/>
  <c r="U53" i="3"/>
  <c r="D53" i="3"/>
  <c r="A53" i="3"/>
  <c r="Y52" i="3"/>
  <c r="X52" i="3"/>
  <c r="W52" i="3"/>
  <c r="V52" i="3"/>
  <c r="U52" i="3"/>
  <c r="D52" i="3"/>
  <c r="A52" i="3"/>
  <c r="X51" i="3"/>
  <c r="W51" i="3"/>
  <c r="V51" i="3"/>
  <c r="D51" i="3"/>
  <c r="B14" i="4" s="1"/>
  <c r="A51" i="3"/>
  <c r="X50" i="3"/>
  <c r="W50" i="3"/>
  <c r="V50" i="3"/>
  <c r="D50" i="3"/>
  <c r="A50" i="3"/>
  <c r="Y49" i="3"/>
  <c r="X49" i="3"/>
  <c r="W49" i="3"/>
  <c r="V49" i="3"/>
  <c r="U49" i="3"/>
  <c r="D49" i="3"/>
  <c r="A49" i="3"/>
  <c r="Y48" i="3"/>
  <c r="X48" i="3"/>
  <c r="W48" i="3"/>
  <c r="V48" i="3"/>
  <c r="U48" i="3"/>
  <c r="D48" i="3"/>
  <c r="A48" i="3"/>
  <c r="Y47" i="3"/>
  <c r="X47" i="3"/>
  <c r="W47" i="3"/>
  <c r="V47" i="3"/>
  <c r="U47" i="3"/>
  <c r="D47" i="3"/>
  <c r="A47" i="3"/>
  <c r="D46" i="3"/>
  <c r="A46" i="3"/>
  <c r="Y45" i="3"/>
  <c r="X45" i="3"/>
  <c r="W45" i="3"/>
  <c r="V45" i="3"/>
  <c r="U45" i="3"/>
  <c r="D45" i="3"/>
  <c r="A45" i="3"/>
  <c r="Y44" i="3"/>
  <c r="X44" i="3"/>
  <c r="W44" i="3"/>
  <c r="V44" i="3"/>
  <c r="U44" i="3"/>
  <c r="D44" i="3"/>
  <c r="A44" i="3"/>
  <c r="D43" i="3"/>
  <c r="A43" i="3"/>
  <c r="X42" i="3"/>
  <c r="W42" i="3"/>
  <c r="V42" i="3"/>
  <c r="D42" i="3"/>
  <c r="A42" i="3"/>
  <c r="X41" i="3"/>
  <c r="W41" i="3"/>
  <c r="V41" i="3"/>
  <c r="D41" i="3"/>
  <c r="A41" i="3"/>
  <c r="V40" i="3"/>
  <c r="D40" i="3"/>
  <c r="A40" i="3"/>
  <c r="Y39" i="3"/>
  <c r="X39" i="3"/>
  <c r="W39" i="3"/>
  <c r="V39" i="3"/>
  <c r="U39" i="3"/>
  <c r="D39" i="3"/>
  <c r="A39" i="3"/>
  <c r="X38" i="3"/>
  <c r="W38" i="3"/>
  <c r="V38" i="3"/>
  <c r="D38" i="3"/>
  <c r="A38" i="3"/>
  <c r="X37" i="3"/>
  <c r="W37" i="3"/>
  <c r="V37" i="3"/>
  <c r="D37" i="3"/>
  <c r="A37" i="3"/>
  <c r="Y36" i="3"/>
  <c r="X36" i="3"/>
  <c r="W36" i="3"/>
  <c r="V36" i="3"/>
  <c r="U36" i="3"/>
  <c r="D36" i="3"/>
  <c r="A36" i="3"/>
  <c r="Y35" i="3"/>
  <c r="X35" i="3"/>
  <c r="W35" i="3"/>
  <c r="V35" i="3"/>
  <c r="U35" i="3"/>
  <c r="D35" i="3"/>
  <c r="B10" i="4" s="1"/>
  <c r="A35" i="3"/>
  <c r="Y34" i="3"/>
  <c r="X34" i="3"/>
  <c r="W34" i="3"/>
  <c r="V34" i="3"/>
  <c r="U34" i="3"/>
  <c r="D34" i="3"/>
  <c r="A34" i="3"/>
  <c r="X33" i="3"/>
  <c r="W33" i="3"/>
  <c r="V33" i="3"/>
  <c r="D33" i="3"/>
  <c r="A33" i="3"/>
  <c r="Y32" i="3"/>
  <c r="X32" i="3"/>
  <c r="W32" i="3"/>
  <c r="V32" i="3"/>
  <c r="U32" i="3"/>
  <c r="D32" i="3"/>
  <c r="A32" i="3"/>
  <c r="Y31" i="3"/>
  <c r="X31" i="3"/>
  <c r="W31" i="3"/>
  <c r="V31" i="3"/>
  <c r="U31" i="3"/>
  <c r="D31" i="3"/>
  <c r="A31" i="3"/>
  <c r="Y30" i="3"/>
  <c r="X30" i="3"/>
  <c r="W30" i="3"/>
  <c r="V30" i="3"/>
  <c r="U30" i="3"/>
  <c r="D30" i="3"/>
  <c r="A30" i="3"/>
  <c r="Y29" i="3"/>
  <c r="X29" i="3"/>
  <c r="W29" i="3"/>
  <c r="V29" i="3"/>
  <c r="U29" i="3"/>
  <c r="D29" i="3"/>
  <c r="A29" i="3"/>
  <c r="Y28" i="3"/>
  <c r="X28" i="3"/>
  <c r="W28" i="3"/>
  <c r="V28" i="3"/>
  <c r="U28" i="3"/>
  <c r="D28" i="3"/>
  <c r="A28" i="3"/>
  <c r="D27" i="3"/>
  <c r="B8" i="4" s="1"/>
  <c r="A27" i="3"/>
  <c r="Y26" i="3"/>
  <c r="X26" i="3"/>
  <c r="W26" i="3"/>
  <c r="V26" i="3"/>
  <c r="U26" i="3"/>
  <c r="D26" i="3"/>
  <c r="A26" i="3"/>
  <c r="X25" i="3"/>
  <c r="W25" i="3"/>
  <c r="V25" i="3"/>
  <c r="D25" i="3"/>
  <c r="A25" i="3"/>
  <c r="D24" i="3"/>
  <c r="A24" i="3"/>
  <c r="Y23" i="3"/>
  <c r="X23" i="3"/>
  <c r="W23" i="3"/>
  <c r="V23" i="3"/>
  <c r="U23" i="3"/>
  <c r="D23" i="3"/>
  <c r="A23" i="3"/>
  <c r="X22" i="3"/>
  <c r="W22" i="3"/>
  <c r="V22" i="3"/>
  <c r="D22" i="3"/>
  <c r="A22" i="3"/>
  <c r="X21" i="3"/>
  <c r="W21" i="3"/>
  <c r="V21" i="3"/>
  <c r="D21" i="3"/>
  <c r="A21" i="3"/>
  <c r="X20" i="3"/>
  <c r="W20" i="3"/>
  <c r="V20" i="3"/>
  <c r="D20" i="3"/>
  <c r="A20" i="3"/>
  <c r="D19" i="3"/>
  <c r="B6" i="4" s="1"/>
  <c r="A19" i="3"/>
  <c r="X18" i="3"/>
  <c r="W18" i="3"/>
  <c r="V18" i="3"/>
  <c r="D18" i="3"/>
  <c r="A18" i="3"/>
  <c r="X17" i="3"/>
  <c r="W17" i="3"/>
  <c r="V17" i="3"/>
  <c r="D17" i="3"/>
  <c r="A17" i="3"/>
  <c r="X16" i="3"/>
  <c r="W16" i="3"/>
  <c r="V16" i="3"/>
  <c r="D16" i="3"/>
  <c r="A16" i="3"/>
  <c r="Y15" i="3"/>
  <c r="X15" i="3"/>
  <c r="W15" i="3"/>
  <c r="V15" i="3"/>
  <c r="U15" i="3"/>
  <c r="D15" i="3"/>
  <c r="A15" i="3"/>
  <c r="Y14" i="3"/>
  <c r="X14" i="3"/>
  <c r="W14" i="3"/>
  <c r="V14" i="3"/>
  <c r="U14" i="3"/>
  <c r="D14" i="3"/>
  <c r="A14" i="3"/>
  <c r="X13" i="3"/>
  <c r="W13" i="3"/>
  <c r="V13" i="3"/>
  <c r="D13" i="3"/>
  <c r="A13" i="3"/>
  <c r="X12" i="3"/>
  <c r="W12" i="3"/>
  <c r="V12" i="3"/>
  <c r="O12" i="3"/>
  <c r="D12" i="3"/>
  <c r="A12" i="3"/>
  <c r="Y11" i="3"/>
  <c r="X11" i="3"/>
  <c r="W11" i="3"/>
  <c r="V11" i="3"/>
  <c r="U11" i="3"/>
  <c r="D11" i="3"/>
  <c r="A11" i="3"/>
  <c r="Y10" i="3"/>
  <c r="V10" i="3"/>
  <c r="D10" i="3"/>
  <c r="A10" i="3"/>
  <c r="Y9" i="3"/>
  <c r="D9" i="3"/>
  <c r="A9" i="3"/>
  <c r="Y8" i="3"/>
  <c r="X8" i="3"/>
  <c r="W8" i="3"/>
  <c r="V8" i="3"/>
  <c r="U8" i="3"/>
  <c r="D8" i="3"/>
  <c r="A8" i="3"/>
  <c r="X7" i="3"/>
  <c r="W7" i="3"/>
  <c r="V7" i="3"/>
  <c r="D7" i="3"/>
  <c r="B3" i="4" s="1"/>
  <c r="A7" i="3"/>
  <c r="X6" i="3"/>
  <c r="W6" i="3"/>
  <c r="V6" i="3"/>
  <c r="D6" i="3"/>
  <c r="A6" i="3"/>
  <c r="X5" i="3"/>
  <c r="W5" i="3"/>
  <c r="V5" i="3"/>
  <c r="D5" i="3"/>
  <c r="A5" i="3"/>
  <c r="X4" i="3"/>
  <c r="W4" i="3"/>
  <c r="V4" i="3"/>
  <c r="D4" i="3"/>
  <c r="A4" i="3"/>
  <c r="Y3" i="3"/>
  <c r="X3" i="3"/>
  <c r="W3" i="3"/>
  <c r="V3" i="3"/>
  <c r="U3" i="3"/>
  <c r="D3" i="3"/>
  <c r="B2" i="4" s="1"/>
  <c r="A3" i="3"/>
  <c r="G10" i="2"/>
  <c r="G8" i="2"/>
  <c r="E8" i="2"/>
  <c r="D8" i="2"/>
  <c r="C8" i="2"/>
  <c r="G7" i="2"/>
  <c r="E7" i="2"/>
  <c r="D7" i="2"/>
  <c r="G6" i="2"/>
  <c r="F6" i="2"/>
  <c r="E6" i="2"/>
  <c r="D6" i="2"/>
  <c r="G5" i="2"/>
  <c r="F5" i="2"/>
  <c r="E5" i="2"/>
  <c r="D5" i="2"/>
  <c r="F4" i="2"/>
  <c r="D4" i="2"/>
  <c r="C4" i="2"/>
  <c r="G3" i="2"/>
  <c r="F3" i="2"/>
  <c r="E3" i="2"/>
  <c r="D3" i="2"/>
  <c r="C3" i="2"/>
  <c r="T95" i="5" l="1"/>
  <c r="T132" i="5"/>
  <c r="K21" i="7"/>
  <c r="T9" i="13"/>
  <c r="T22" i="5"/>
  <c r="T28" i="5"/>
  <c r="T62" i="5"/>
  <c r="T66" i="5"/>
  <c r="T72" i="5"/>
  <c r="T107" i="5"/>
  <c r="T139" i="5"/>
  <c r="T12" i="13"/>
  <c r="T17" i="13"/>
  <c r="T48" i="13"/>
  <c r="T55" i="13"/>
  <c r="T64" i="13"/>
  <c r="T66" i="13"/>
  <c r="K3" i="17"/>
  <c r="K16" i="17"/>
  <c r="K17" i="17"/>
  <c r="K18" i="17"/>
  <c r="N6" i="4"/>
  <c r="C9" i="2" s="1"/>
  <c r="K29" i="4"/>
  <c r="K30" i="4"/>
  <c r="T6" i="5"/>
  <c r="T26" i="5"/>
  <c r="T60" i="5"/>
  <c r="T64" i="5"/>
  <c r="T74" i="5"/>
  <c r="T75" i="5"/>
  <c r="T76" i="5"/>
  <c r="T88" i="5"/>
  <c r="T100" i="5"/>
  <c r="T105" i="5"/>
  <c r="T113" i="5"/>
  <c r="T137" i="5"/>
  <c r="K7" i="7"/>
  <c r="K17" i="7"/>
  <c r="K20" i="7"/>
  <c r="E9" i="11"/>
  <c r="N6" i="11"/>
  <c r="E9" i="2" s="1"/>
  <c r="T8" i="13"/>
  <c r="T22" i="13"/>
  <c r="T50" i="13"/>
  <c r="T61" i="13"/>
  <c r="K15" i="14"/>
  <c r="K6" i="17"/>
  <c r="K24" i="17"/>
  <c r="K25" i="17"/>
  <c r="K26" i="17"/>
  <c r="C5" i="2"/>
  <c r="K32" i="4"/>
  <c r="T20" i="5"/>
  <c r="T25" i="5"/>
  <c r="T35" i="5"/>
  <c r="T39" i="5"/>
  <c r="T40" i="5"/>
  <c r="T41" i="5"/>
  <c r="T59" i="5"/>
  <c r="T69" i="5"/>
  <c r="T70" i="5"/>
  <c r="T99" i="5"/>
  <c r="T112" i="5"/>
  <c r="T136" i="5"/>
  <c r="K9" i="7"/>
  <c r="K19" i="7"/>
  <c r="K28" i="7"/>
  <c r="T12" i="8"/>
  <c r="T5" i="13"/>
  <c r="T16" i="13"/>
  <c r="T19" i="13"/>
  <c r="T21" i="13"/>
  <c r="T56" i="13"/>
  <c r="T65" i="13"/>
  <c r="K4" i="14"/>
  <c r="K5" i="14"/>
  <c r="K13" i="14"/>
  <c r="K17" i="14"/>
  <c r="K20" i="17"/>
  <c r="K21" i="4"/>
  <c r="T12" i="5"/>
  <c r="T17" i="5"/>
  <c r="T32" i="5"/>
  <c r="T98" i="5"/>
  <c r="T111" i="5"/>
  <c r="T135" i="5"/>
  <c r="T141" i="5"/>
  <c r="T142" i="5"/>
  <c r="T10" i="13"/>
  <c r="T60" i="13"/>
  <c r="T67" i="13"/>
  <c r="E366" i="18"/>
  <c r="K34" i="17"/>
  <c r="T5" i="5"/>
  <c r="T13" i="5"/>
  <c r="T18" i="5"/>
  <c r="K14" i="4"/>
  <c r="K18" i="4"/>
  <c r="K20" i="4"/>
  <c r="K24" i="4"/>
  <c r="N10" i="4" s="1"/>
  <c r="T16" i="5"/>
  <c r="T31" i="5"/>
  <c r="T97" i="5"/>
  <c r="T110" i="5"/>
  <c r="T134" i="5"/>
  <c r="K5" i="7"/>
  <c r="N10" i="7" s="1"/>
  <c r="K14" i="7"/>
  <c r="K16" i="7"/>
  <c r="K23" i="7"/>
  <c r="K35" i="7"/>
  <c r="T18" i="13"/>
  <c r="T47" i="13"/>
  <c r="T58" i="13"/>
  <c r="K7" i="17"/>
  <c r="K28" i="17"/>
  <c r="T10" i="5"/>
  <c r="T37" i="5"/>
  <c r="T96" i="5"/>
  <c r="T109" i="5"/>
  <c r="T133" i="5"/>
  <c r="K22" i="7"/>
  <c r="K24" i="7"/>
  <c r="K31" i="7"/>
  <c r="T4" i="13"/>
  <c r="T13" i="13"/>
  <c r="T49" i="13"/>
  <c r="T51" i="13"/>
  <c r="K7" i="14"/>
  <c r="N10" i="14" s="1"/>
  <c r="K12" i="14"/>
  <c r="T70" i="13"/>
  <c r="K43" i="17"/>
  <c r="K12" i="7"/>
  <c r="K30" i="7"/>
  <c r="T53" i="13"/>
  <c r="K4" i="17"/>
  <c r="N10" i="17" s="1"/>
  <c r="K14" i="17"/>
  <c r="N6" i="7"/>
  <c r="D9" i="2" s="1"/>
  <c r="T6" i="8"/>
  <c r="N10" i="11"/>
  <c r="T119" i="5"/>
  <c r="T4" i="8"/>
  <c r="T16" i="8"/>
  <c r="T18" i="8"/>
  <c r="T15" i="8"/>
  <c r="L151" i="19"/>
  <c r="L152" i="19" s="1"/>
  <c r="L153" i="19" s="1"/>
  <c r="L154" i="19" s="1"/>
  <c r="T21" i="8"/>
  <c r="T20" i="8"/>
  <c r="T22" i="8"/>
  <c r="T24" i="8"/>
  <c r="T26" i="8"/>
  <c r="T121" i="5"/>
  <c r="T122" i="5"/>
  <c r="T5" i="8"/>
  <c r="M65" i="12"/>
  <c r="T25" i="8"/>
  <c r="T10" i="8"/>
  <c r="T7" i="8"/>
  <c r="T9" i="8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351" i="18"/>
  <c r="E359" i="18"/>
  <c r="E367" i="18"/>
  <c r="N7" i="11"/>
  <c r="E10" i="2" s="1"/>
  <c r="N8" i="17"/>
  <c r="G9" i="2" s="1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352" i="18"/>
  <c r="E360" i="18"/>
  <c r="E368" i="18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353" i="18"/>
  <c r="E361" i="18"/>
  <c r="E369" i="18"/>
  <c r="E2" i="18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354" i="18"/>
  <c r="E362" i="18"/>
  <c r="E3" i="18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355" i="18"/>
  <c r="E363" i="18"/>
  <c r="V31" i="12"/>
  <c r="E4" i="18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356" i="18"/>
  <c r="E364" i="18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349" i="18"/>
  <c r="E357" i="18"/>
  <c r="E365" i="18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350" i="18"/>
  <c r="E358" i="18"/>
  <c r="N11" i="17" l="1"/>
  <c r="N13" i="17"/>
  <c r="G13" i="2" s="1"/>
  <c r="N13" i="7"/>
  <c r="D13" i="2" s="1"/>
  <c r="N11" i="7"/>
  <c r="N11" i="11"/>
  <c r="N13" i="11"/>
  <c r="E13" i="2" s="1"/>
  <c r="N12" i="17"/>
  <c r="G11" i="2"/>
  <c r="N11" i="14"/>
  <c r="N13" i="14"/>
  <c r="F13" i="2" s="1"/>
  <c r="N12" i="7"/>
  <c r="D11" i="2"/>
  <c r="N11" i="4"/>
  <c r="N13" i="4"/>
  <c r="C13" i="2" s="1"/>
  <c r="N12" i="4" l="1"/>
  <c r="C11" i="2"/>
  <c r="N14" i="7"/>
  <c r="D14" i="2" s="1"/>
  <c r="D12" i="2"/>
  <c r="N12" i="14"/>
  <c r="F11" i="2"/>
  <c r="N14" i="17"/>
  <c r="G14" i="2" s="1"/>
  <c r="G12" i="2"/>
  <c r="N12" i="11"/>
  <c r="E11" i="2"/>
  <c r="N14" i="11" l="1"/>
  <c r="E14" i="2" s="1"/>
  <c r="E12" i="2"/>
  <c r="C12" i="2"/>
  <c r="N14" i="4"/>
  <c r="C14" i="2" s="1"/>
  <c r="N14" i="14"/>
  <c r="F14" i="2" s="1"/>
  <c r="F1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5" authorId="0" shapeId="0" xr:uid="{00000000-0006-0000-0B00-000008000000}">
      <text>
        <r>
          <rPr>
            <sz val="10"/>
            <color rgb="FF000000"/>
            <rFont val="Arial"/>
          </rPr>
          <t>======
ID#AAAAMSfv9kc
Abraham Cheung    (2021-05-05 16:53:14)
Addresses does not seem to match with the building name, e.g.
W1NE: '83 Des Voeux Road' leads to 'Hang Sang Bank Office', not 'General Post Office'
W3NE/W3NW: Duplicate of each other
Addresses appear to be shifted by 2 intervals?</t>
        </r>
      </text>
    </comment>
    <comment ref="D13" authorId="0" shapeId="0" xr:uid="{00000000-0006-0000-0B00-000007000000}">
      <text>
        <r>
          <rPr>
            <sz val="10"/>
            <color rgb="FF000000"/>
            <rFont val="Arial"/>
          </rPr>
          <t>======
ID#AAAAIcIBnnw
Abraham Cheung    (2021-05-05 20:29:56)
This is located at "34-37 CONNAUGHT ROAD CENTRAL", not along DVRC.
Change to "The Chinese Bank Building"? (61-65 DVRC, 21 storeys)</t>
        </r>
      </text>
    </comment>
    <comment ref="D16" authorId="0" shapeId="0" xr:uid="{00000000-0006-0000-0B00-000006000000}">
      <text>
        <r>
          <rPr>
            <sz val="10"/>
            <color rgb="FF000000"/>
            <rFont val="Arial"/>
          </rPr>
          <t>======
ID#AAAAIcIBnn4
Abraham Cheung    (2021-05-05 20:32:41)
This is located at "24 LI YUEN STREET WEST", not along DVRC.
Change to "Prosperous Building"? (48 DVRC, 15 storeys)</t>
        </r>
      </text>
    </comment>
    <comment ref="D17" authorId="0" shapeId="0" xr:uid="{00000000-0006-0000-0B00-000005000000}">
      <text>
        <r>
          <rPr>
            <sz val="10"/>
            <color rgb="FF000000"/>
            <rFont val="Arial"/>
          </rPr>
          <t>======
ID#AAAAIcIBnoQ
Abraham Cheung    (2021-05-05 20:36:23)
This is located at "48 CONNAUGHT ROAD CENTRAL", not along DVRC.
Change to "Dah Sing Life Building"? (99-103 DVRC, 18 storeys)</t>
        </r>
      </text>
    </comment>
    <comment ref="D26" authorId="0" shapeId="0" xr:uid="{00000000-0006-0000-0B00-000004000000}">
      <text>
        <r>
          <rPr>
            <sz val="10"/>
            <color rgb="FF000000"/>
            <rFont val="Arial"/>
          </rPr>
          <t>======
ID#AAAAIcIBnow
Abraham Cheung    (2021-05-05 20:42:04)
This is located at "28 WING LOK STREET", not along DVRC.
Change to "Continental Place"? (238 DVRC, 29 storeys)</t>
        </r>
      </text>
    </comment>
    <comment ref="D37" authorId="0" shapeId="0" xr:uid="{00000000-0006-0000-0B00-000001000000}">
      <text>
        <r>
          <rPr>
            <sz val="10"/>
            <color rgb="FF000000"/>
            <rFont val="Arial"/>
          </rPr>
          <t>======
ID#AAAAIceWXqY
Abraham Cheung    (2021-05-05 21:13:58)
This is located at "55 CONNAUGHT ROAD WEST", which is 60.9m away from the interval.
Change to "No.9 Des Voeux Road West"? (9 DVRW, 29 storeys, 44m from interval)</t>
        </r>
      </text>
    </comment>
    <comment ref="D42" authorId="0" shapeId="0" xr:uid="{00000000-0006-0000-0B00-000002000000}">
      <text>
        <r>
          <rPr>
            <sz val="10"/>
            <color rgb="FF000000"/>
            <rFont val="Arial"/>
          </rPr>
          <t>======
ID#AAAAIceWXqQ
Abraham Cheung    (2021-05-05 21:13:27)
This building does not exist (closest match: 興泰大廈, 139-140 Connaught Road W).
Change to "Yu Chu Lam Building"? (108 DVRW, 13 storeys)</t>
        </r>
      </text>
    </comment>
    <comment ref="D54" authorId="0" shapeId="0" xr:uid="{00000000-0006-0000-0B00-000003000000}">
      <text>
        <r>
          <rPr>
            <sz val="10"/>
            <color rgb="FF000000"/>
            <rFont val="Arial"/>
          </rPr>
          <t>======
ID#AAAAIceWXa8
Abraham Cheung    (2021-05-05 21:05:59)
Which "Siu Cheung Building" is this referring to? 
3-4 CHIU KWONG STREET (6 storeys, https://www.map.gov.hk/gm/s/B/1103121544)
1-7 SIU CHEUNG FONG (23 storeys, https://www.map.gov.hk/gm/s/B/1103121419)
Since both of the buildings are not located along DVRW, change it [No Registered Name] (290 DVRC, 6 storeys)?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fx1Hnb3Dcp90EEvToJnJQ5mRLgQ=="/>
    </ext>
  </extLst>
</comments>
</file>

<file path=xl/sharedStrings.xml><?xml version="1.0" encoding="utf-8"?>
<sst xmlns="http://schemas.openxmlformats.org/spreadsheetml/2006/main" count="6752" uniqueCount="2371">
  <si>
    <t>Steps</t>
  </si>
  <si>
    <t>Here are the steps involved in calculating the relevant variables:</t>
  </si>
  <si>
    <t>If there are any issues, feel free to leave a comment and I'll fix it</t>
  </si>
  <si>
    <t>General</t>
  </si>
  <si>
    <t>Analysis is done for all groups, check sheet 'Summary'.</t>
  </si>
  <si>
    <t>Formatting across all sheets have been standardised.</t>
  </si>
  <si>
    <t>This allows the identification of outliers using standard deviation, SRCC and the calculation of various parameters to be fully automated.</t>
  </si>
  <si>
    <t>For groups that didn't do fieldwork, the number of storeys have been obtained via BMIS, Google Earth, Street View or other means.</t>
  </si>
  <si>
    <t>For groups that did fieldwork, the first-hand data will be used.</t>
  </si>
  <si>
    <t>Note: original data have not been deleted, they are only being copied and reformatted / stored in hidden sheets</t>
  </si>
  <si>
    <t>Unless necessary, please do not delete hidden sheets (as they are used for vlookups and other purposes)</t>
  </si>
  <si>
    <t>Maps</t>
  </si>
  <si>
    <t>North Map</t>
  </si>
  <si>
    <t>https://www.google.com/maps/d/edit?mid=1bcN9kvptMaO4Oc78IoNeTNM-pOm6JyWz</t>
  </si>
  <si>
    <t>East Map</t>
  </si>
  <si>
    <t>https://www.google.com/maps/d/edit?mid=1fAAPYP-5yzbPMoI7Ie-7qRINMYhqIJ6b</t>
  </si>
  <si>
    <t>South Map</t>
  </si>
  <si>
    <t>https://www.google.com/maps/d/edit?mid=1OF8n3UeNqg19KfyJW49_-UnJx50gMZCk</t>
  </si>
  <si>
    <t>West Map</t>
  </si>
  <si>
    <t>https://www.google.com/maps/d/edit?mid=12LKSO1UFNxqtGfERz4ij7c4eJuVaS4sc</t>
  </si>
  <si>
    <t>Sheets</t>
  </si>
  <si>
    <t>Each direction of transects (N/E/S/W) are splitted into two sheets:</t>
  </si>
  <si>
    <t>{direction}</t>
  </si>
  <si>
    <t>holds data for each individual building along the transect</t>
  </si>
  <si>
    <t>{direction}_analysis</t>
  </si>
  <si>
    <t>calculates the raw mean and SD for each interval (which will be used to determine whether a building is an outlier),</t>
  </si>
  <si>
    <t>calculates the excluded mean and SD for each interval</t>
  </si>
  <si>
    <t>performs SRCC and calculates mean, SD, R, t, critical t</t>
  </si>
  <si>
    <t>For the final analysis (combined data):</t>
  </si>
  <si>
    <t>C</t>
  </si>
  <si>
    <t>concatenates all raw data from sheets N,E,S,W</t>
  </si>
  <si>
    <t>C_analysis</t>
  </si>
  <si>
    <t>basically does the same thing as the analysis sheets, but also removes duplicates (e.g. IFC Mall is duplicated across E,S,W transects)</t>
  </si>
  <si>
    <t>Summary</t>
  </si>
  <si>
    <t>summary of {N/E/S/W/C}_analysis</t>
  </si>
  <si>
    <t>Headers for Raw Data Sheet</t>
  </si>
  <si>
    <t>Code</t>
  </si>
  <si>
    <t>{direction}{Index}{Quadrant Direction} - e.g. N0NE</t>
  </si>
  <si>
    <t>Quadrant</t>
  </si>
  <si>
    <r>
      <rPr>
        <sz val="10"/>
        <color theme="1"/>
        <rFont val="Consolas"/>
      </rPr>
      <t xml:space="preserve">Relative direction at the interval, North is </t>
    </r>
    <r>
      <rPr>
        <b/>
        <sz val="10"/>
        <color theme="1"/>
        <rFont val="Consolas"/>
      </rPr>
      <t>away</t>
    </r>
    <r>
      <rPr>
        <sz val="10"/>
        <color theme="1"/>
        <rFont val="Consolas"/>
      </rPr>
      <t xml:space="preserve"> from the CBD</t>
    </r>
  </si>
  <si>
    <t>distance</t>
  </si>
  <si>
    <t>The interval's distance to the CBD</t>
  </si>
  <si>
    <t>For north transect, N0 starts across the Victoria Harbour, so distance is offset by 1800km (rounded up from 1740.01km for simplicity)</t>
  </si>
  <si>
    <t>Building CSUID</t>
  </si>
  <si>
    <t>{last 5 digits of HK80 easting}{last 5 digits of HK80 northing}{T for tower, P for podium}{year updated}{month updated}{day updated}</t>
  </si>
  <si>
    <t>Building ID</t>
  </si>
  <si>
    <t>according to iB1000 map</t>
  </si>
  <si>
    <t>Building Name</t>
  </si>
  <si>
    <t>will be replaced with {Street Code} {Street Name} if it does not have an official name</t>
  </si>
  <si>
    <t>Centroid Lat/Lng</t>
  </si>
  <si>
    <t>The coordinates of the building geometry's centre of mass</t>
  </si>
  <si>
    <t>Height</t>
  </si>
  <si>
    <t>metres above the HKPD (Hong Kong Principal Datum).</t>
  </si>
  <si>
    <t>Data sources</t>
  </si>
  <si>
    <r>
      <rPr>
        <b/>
        <sz val="10"/>
        <color rgb="FF000000"/>
        <rFont val="Consolas"/>
      </rPr>
      <t>g</t>
    </r>
    <r>
      <rPr>
        <sz val="10"/>
        <color rgb="FF000000"/>
        <rFont val="Consolas"/>
      </rPr>
      <t xml:space="preserve"> - GPS only</t>
    </r>
  </si>
  <si>
    <r>
      <rPr>
        <b/>
        <sz val="10"/>
        <color rgb="FF000000"/>
        <rFont val="Consolas"/>
      </rPr>
      <t>p</t>
    </r>
    <r>
      <rPr>
        <sz val="10"/>
        <color rgb="FF000000"/>
        <rFont val="Consolas"/>
      </rPr>
      <t xml:space="preserve"> - Photogrammetry</t>
    </r>
  </si>
  <si>
    <r>
      <rPr>
        <b/>
        <sz val="10"/>
        <color rgb="FF000000"/>
        <rFont val="Consolas"/>
      </rPr>
      <t>t</t>
    </r>
    <r>
      <rPr>
        <sz val="10"/>
        <color rgb="FF000000"/>
        <rFont val="Consolas"/>
      </rPr>
      <t xml:space="preserve"> - Trigonometrical Height or GPS</t>
    </r>
  </si>
  <si>
    <r>
      <rPr>
        <b/>
        <sz val="10"/>
        <color rgb="FF000000"/>
        <rFont val="Consolas"/>
      </rPr>
      <t>3</t>
    </r>
    <r>
      <rPr>
        <sz val="10"/>
        <color rgb="FF000000"/>
        <rFont val="Consolas"/>
      </rPr>
      <t xml:space="preserve"> - 3D Project</t>
    </r>
  </si>
  <si>
    <r>
      <rPr>
        <b/>
        <sz val="10"/>
        <color rgb="FF000000"/>
        <rFont val="Consolas"/>
      </rPr>
      <t>e</t>
    </r>
    <r>
      <rPr>
        <sz val="10"/>
        <color rgb="FF000000"/>
        <rFont val="Consolas"/>
      </rPr>
      <t xml:space="preserve"> - External Sources</t>
    </r>
  </si>
  <si>
    <r>
      <rPr>
        <b/>
        <sz val="10"/>
        <color rgb="FF000000"/>
        <rFont val="Consolas"/>
      </rPr>
      <t>b</t>
    </r>
    <r>
      <rPr>
        <sz val="10"/>
        <color rgb="FF000000"/>
        <rFont val="Consolas"/>
      </rPr>
      <t xml:space="preserve"> - Building Plan</t>
    </r>
  </si>
  <si>
    <r>
      <rPr>
        <b/>
        <sz val="10"/>
        <color rgb="FF000000"/>
        <rFont val="Consolas"/>
      </rPr>
      <t>o</t>
    </r>
    <r>
      <rPr>
        <sz val="10"/>
        <color rgb="FF000000"/>
        <rFont val="Consolas"/>
      </rPr>
      <t xml:space="preserve"> - Ordinary Leveling</t>
    </r>
  </si>
  <si>
    <r>
      <rPr>
        <b/>
        <sz val="10"/>
        <color rgb="FF000000"/>
        <rFont val="Consolas"/>
      </rPr>
      <t>l</t>
    </r>
    <r>
      <rPr>
        <sz val="10"/>
        <color rgb="FF000000"/>
        <rFont val="Consolas"/>
      </rPr>
      <t xml:space="preserve"> - LiDAR</t>
    </r>
  </si>
  <si>
    <r>
      <rPr>
        <b/>
        <sz val="10"/>
        <color rgb="FF000000"/>
        <rFont val="Consolas"/>
      </rPr>
      <t>es</t>
    </r>
    <r>
      <rPr>
        <sz val="10"/>
        <color rgb="FF000000"/>
        <rFont val="Consolas"/>
      </rPr>
      <t xml:space="preserve"> - Estimation (e.g. by no. of storeys)</t>
    </r>
  </si>
  <si>
    <t>NOBUILDING</t>
  </si>
  <si>
    <t>indicates whether the location does not have a building (e.g. parks)</t>
  </si>
  <si>
    <t>ISERROR</t>
  </si>
  <si>
    <t>indicates whether the location is invalid (parks, government building, hospitals etc.)</t>
  </si>
  <si>
    <t>NONAME</t>
  </si>
  <si>
    <t>indicates whether the building has an official name</t>
  </si>
  <si>
    <t>ISOUTLIER</t>
  </si>
  <si>
    <t>indicates whether its height exceeds 2σ</t>
  </si>
  <si>
    <t>Number of storeys</t>
  </si>
  <si>
    <t>should not include basements</t>
  </si>
  <si>
    <t>Source</t>
  </si>
  <si>
    <t>BMIS refers to https://bmis1.buildingmgt.gov.hk/bd_hadbiex/content/searchbuilding/building_search.jsf</t>
  </si>
  <si>
    <t>North</t>
  </si>
  <si>
    <t>East</t>
  </si>
  <si>
    <t>South</t>
  </si>
  <si>
    <t>West</t>
  </si>
  <si>
    <t>Combined</t>
  </si>
  <si>
    <t>Average number of storeys (Raw)</t>
  </si>
  <si>
    <t>Standard Deviation of Number of storeys (Raw)</t>
  </si>
  <si>
    <t>Average number of storeys (No Errors)</t>
  </si>
  <si>
    <t>Standard Deviation of Number of storeys (No Errors)</t>
  </si>
  <si>
    <t>Upper range of number of floors (No Errors)</t>
  </si>
  <si>
    <t>Lower range of number of floors (No Errors)</t>
  </si>
  <si>
    <t>Average number of storeys (No Errors and Outliers)</t>
  </si>
  <si>
    <t>Standard Deviation of Number of storeys (No Errors and Outliers)</t>
  </si>
  <si>
    <t>R-value</t>
  </si>
  <si>
    <t>T-value</t>
  </si>
  <si>
    <t>Critical T-value</t>
  </si>
  <si>
    <t>reject H₀?</t>
  </si>
  <si>
    <t>V</t>
  </si>
  <si>
    <t>Northern Transect (20-794 Nathan Road, 6-93 Tai Po Road, 3-505 Castle Peak Road)</t>
  </si>
  <si>
    <t xml:space="preserve"> </t>
  </si>
  <si>
    <t>#</t>
  </si>
  <si>
    <t>English Building Name</t>
  </si>
  <si>
    <t>Chinese Building Name</t>
  </si>
  <si>
    <t>Centroid Longitude</t>
  </si>
  <si>
    <t>Centroid Latitude</t>
  </si>
  <si>
    <t>Floor Height</t>
  </si>
  <si>
    <t>Floor Height Source</t>
  </si>
  <si>
    <t>Roof Height</t>
  </si>
  <si>
    <t>Roof Height Source</t>
  </si>
  <si>
    <t>Building Height</t>
  </si>
  <si>
    <t>Pre-fieldwork Notes</t>
  </si>
  <si>
    <t>Number of basements</t>
  </si>
  <si>
    <t>Number of units</t>
  </si>
  <si>
    <t>Year of Completion</t>
  </si>
  <si>
    <t>Address</t>
  </si>
  <si>
    <t>NE</t>
  </si>
  <si>
    <t>3582017442T20050430</t>
  </si>
  <si>
    <t>26 Nathan Road</t>
  </si>
  <si>
    <t>彌敦道２６號</t>
  </si>
  <si>
    <t>e</t>
  </si>
  <si>
    <t>p</t>
  </si>
  <si>
    <t>SE</t>
  </si>
  <si>
    <t>3584117371T20050430</t>
  </si>
  <si>
    <t>Sheraton Hong Kong Hotel &amp; Towers</t>
  </si>
  <si>
    <t>香港喜來登酒店</t>
  </si>
  <si>
    <t>Google Earth+Web</t>
  </si>
  <si>
    <t>SW</t>
  </si>
  <si>
    <t>3574217371T20050430</t>
  </si>
  <si>
    <t>1108244290</t>
  </si>
  <si>
    <t>The Peninsula Hotel Office Tower</t>
  </si>
  <si>
    <t>半島酒店</t>
  </si>
  <si>
    <t>l</t>
  </si>
  <si>
    <t>NW</t>
  </si>
  <si>
    <t>3571817422T20050430</t>
  </si>
  <si>
    <t>The Kowloon Hotel</t>
  </si>
  <si>
    <t>九龍酒店</t>
  </si>
  <si>
    <t>11-SW-4B-19+Web</t>
  </si>
  <si>
    <t>3581017541T20050430</t>
  </si>
  <si>
    <t>Holiday Inn Golden Mile Hong Kong</t>
  </si>
  <si>
    <t>香港金域假日酒店</t>
  </si>
  <si>
    <t>11-SW-4B-19</t>
  </si>
  <si>
    <t>3582617623T20050430</t>
  </si>
  <si>
    <t>Mirador Mansion</t>
  </si>
  <si>
    <t>美麗都大廈</t>
  </si>
  <si>
    <t>3575217537T20091005</t>
  </si>
  <si>
    <t>I Square</t>
  </si>
  <si>
    <t>國際廣場</t>
  </si>
  <si>
    <t>Shares same building with NW, manually edited</t>
  </si>
  <si>
    <t>3574817596T20091005</t>
  </si>
  <si>
    <t>Shares same building with SW, manually edited</t>
  </si>
  <si>
    <t>3580017785T20050430</t>
  </si>
  <si>
    <t>Comfort Building</t>
  </si>
  <si>
    <t>安樂大廈</t>
  </si>
  <si>
    <t>3581117767T20050430</t>
  </si>
  <si>
    <t>HSBC Building Tsim Sha Tsui</t>
  </si>
  <si>
    <t>尖沙咀滙豐大廈</t>
  </si>
  <si>
    <t>Manually edited due to API failing to attribute tower to podium as a child attribute.</t>
  </si>
  <si>
    <t>Google Earth</t>
  </si>
  <si>
    <t>3573317753T20050430</t>
  </si>
  <si>
    <t>Kowloon Mosque and Islamic Centre</t>
  </si>
  <si>
    <t>九龍清真寺暨伊斯蘭中心</t>
  </si>
  <si>
    <t>Used for religious purposes</t>
  </si>
  <si>
    <t>3573817856T20050430</t>
  </si>
  <si>
    <t>Park Lane Shopper's Boulevard</t>
  </si>
  <si>
    <t>栢麗購物大道　（天台花園）</t>
  </si>
  <si>
    <t>park facility</t>
  </si>
  <si>
    <t>3578517970T20050430</t>
  </si>
  <si>
    <t>Miramar Shopping Centre</t>
  </si>
  <si>
    <t>美麗華商場</t>
  </si>
  <si>
    <t>3581017926T20060822</t>
  </si>
  <si>
    <t>The Mira Hong Kong</t>
  </si>
  <si>
    <t>https://img.themirahotel.com/wp-content/uploads/2013/12/140127_The_Mira_Fact_Sheet_En.pdf</t>
  </si>
  <si>
    <t>no structures.</t>
  </si>
  <si>
    <t>3572917973T20050430</t>
  </si>
  <si>
    <t>栢麗購物大道</t>
  </si>
  <si>
    <t>3577318200T20050430</t>
  </si>
  <si>
    <t>A. Kun Lock Building</t>
  </si>
  <si>
    <t>均樂大廈</t>
  </si>
  <si>
    <t>BMIS</t>
  </si>
  <si>
    <t>3577418180T20050430</t>
  </si>
  <si>
    <t>Good Results Building</t>
  </si>
  <si>
    <t>收成樓</t>
  </si>
  <si>
    <t>Google Earth+BMIS</t>
  </si>
  <si>
    <t>3572418091T20050430</t>
  </si>
  <si>
    <t>3567718189T20050430</t>
  </si>
  <si>
    <t>Tsim Sha Tsui Police Station</t>
  </si>
  <si>
    <t>尖沙咀警署</t>
  </si>
  <si>
    <t>Government Building</t>
  </si>
  <si>
    <t>3576018429T20050430</t>
  </si>
  <si>
    <t>238 Nathan Road</t>
  </si>
  <si>
    <t>3576218372T20050430</t>
  </si>
  <si>
    <t>Prudential Centre</t>
  </si>
  <si>
    <t>恆豐中心</t>
  </si>
  <si>
    <t>3571218360T20050430</t>
  </si>
  <si>
    <t>Shamrock Hotel</t>
  </si>
  <si>
    <t>新樂酒店</t>
  </si>
  <si>
    <t>3570518390T20111115</t>
  </si>
  <si>
    <t>Pearl Oriental Tower</t>
  </si>
  <si>
    <t>明珠廣場</t>
  </si>
  <si>
    <t>b</t>
  </si>
  <si>
    <t>3573818584T20050430</t>
  </si>
  <si>
    <t>CHI Residences 314</t>
  </si>
  <si>
    <t>3574518563T20050430</t>
  </si>
  <si>
    <t>May Ming Building</t>
  </si>
  <si>
    <t>美明大廈</t>
  </si>
  <si>
    <t>3569118567T20050430</t>
  </si>
  <si>
    <t>Hong Kiu Mansion</t>
  </si>
  <si>
    <t>康僑大廈</t>
  </si>
  <si>
    <t>3569018578T20050430</t>
  </si>
  <si>
    <t>315 Nathan Road</t>
  </si>
  <si>
    <t>3575318792T20080211</t>
  </si>
  <si>
    <t>Eaton Hotel</t>
  </si>
  <si>
    <t>3567218718T20050430</t>
  </si>
  <si>
    <t>Manulife Provident Funds Place</t>
  </si>
  <si>
    <t>宏利公積金大廈</t>
  </si>
  <si>
    <t>3573518740T20050430</t>
  </si>
  <si>
    <t>Nathan Hotel</t>
  </si>
  <si>
    <t>彌敦酒店</t>
  </si>
  <si>
    <t>3567418777T20050430</t>
  </si>
  <si>
    <t>Hang Shing Building</t>
  </si>
  <si>
    <t>恒成大廈</t>
  </si>
  <si>
    <t>3571518994T20050430</t>
  </si>
  <si>
    <t>Chak Fung House</t>
  </si>
  <si>
    <t>澤豐大廈</t>
  </si>
  <si>
    <t>3571818980T20050430</t>
  </si>
  <si>
    <t>Tang's Mansion</t>
  </si>
  <si>
    <t>鄧氏大廈</t>
  </si>
  <si>
    <t>3565918941T20050430</t>
  </si>
  <si>
    <t>Kowloon Government Offices</t>
  </si>
  <si>
    <t>九龍政府合署</t>
  </si>
  <si>
    <t>3563418972T20050430</t>
  </si>
  <si>
    <t>Tin Hau Temple</t>
  </si>
  <si>
    <t>Street View</t>
  </si>
  <si>
    <t>3568219177T20050430</t>
  </si>
  <si>
    <t>Bangkok Bank Building</t>
  </si>
  <si>
    <t>盤谷銀行大廈</t>
  </si>
  <si>
    <t>3568419165T20050430</t>
  </si>
  <si>
    <t>Oxford Commercial Building</t>
  </si>
  <si>
    <t>益南華廈</t>
  </si>
  <si>
    <t>3563319168T20080704</t>
  </si>
  <si>
    <t>Casa Hotel</t>
  </si>
  <si>
    <t>3563719151T20130220</t>
  </si>
  <si>
    <t>Casa Deluxe Hotel</t>
  </si>
  <si>
    <t>3564819370T20050430</t>
  </si>
  <si>
    <t>Wing Kiu Building</t>
  </si>
  <si>
    <t>永僑大廈</t>
  </si>
  <si>
    <t>3565119360T20050430</t>
  </si>
  <si>
    <t>Onward Building</t>
  </si>
  <si>
    <t>康祐大廈</t>
  </si>
  <si>
    <t>3560619306T20050430</t>
  </si>
  <si>
    <t>Lai Kee Mansion</t>
  </si>
  <si>
    <t>禮基大廈</t>
  </si>
  <si>
    <t>3559619384T20050430</t>
  </si>
  <si>
    <t>Bell House</t>
  </si>
  <si>
    <t>寶寧大廈</t>
  </si>
  <si>
    <t>3560919575T20050430</t>
  </si>
  <si>
    <t>Wofoo Commercial Building</t>
  </si>
  <si>
    <t>和富商業大廈</t>
  </si>
  <si>
    <t>3561219563T20050430</t>
  </si>
  <si>
    <t>Kelly Commercial Centre</t>
  </si>
  <si>
    <t>基利商業大廈</t>
  </si>
  <si>
    <t>3556119552T20050430</t>
  </si>
  <si>
    <t>Full Win Commercial Centre</t>
  </si>
  <si>
    <t>富運商業中心</t>
  </si>
  <si>
    <t>3556119570T20180817</t>
  </si>
  <si>
    <t>Ladder Dundas</t>
  </si>
  <si>
    <t>http://www.ladder.com.hk/dundas/download/info.jpg</t>
  </si>
  <si>
    <t>3557019827T20050430</t>
  </si>
  <si>
    <t>Good Hope Building</t>
  </si>
  <si>
    <t>好望角大廈</t>
  </si>
  <si>
    <t>BMIS_auto+web</t>
  </si>
  <si>
    <t>3558119770T20050430</t>
  </si>
  <si>
    <t>Hollywood Plaza</t>
  </si>
  <si>
    <t>荷李活商業中心</t>
  </si>
  <si>
    <t>3552419750T20050430</t>
  </si>
  <si>
    <t>Sun Hing Building</t>
  </si>
  <si>
    <t>新興大廈</t>
  </si>
  <si>
    <t>3551319795T20050430</t>
  </si>
  <si>
    <t>Fee Tat Commercial Centre</t>
  </si>
  <si>
    <t>飛達商業中心</t>
  </si>
  <si>
    <t>3553219969T20050430</t>
  </si>
  <si>
    <t>Rex Building</t>
  </si>
  <si>
    <t>皇上皇大廈</t>
  </si>
  <si>
    <t>3553219960T20050430</t>
  </si>
  <si>
    <t>Toa Tak Building</t>
  </si>
  <si>
    <t>陶德大廈</t>
  </si>
  <si>
    <t>3548619945T20050430</t>
  </si>
  <si>
    <t>Wu Sang House</t>
  </si>
  <si>
    <t>胡社生行</t>
  </si>
  <si>
    <t>3547619988P20060311</t>
  </si>
  <si>
    <t>HSBC Building Mongkok</t>
  </si>
  <si>
    <t>3550420171T20050430</t>
  </si>
  <si>
    <t>T.O.P This is our place</t>
  </si>
  <si>
    <t>3552120107P20060311</t>
  </si>
  <si>
    <t>Argyle Centre Phase 1</t>
  </si>
  <si>
    <t>3544720145T20131018</t>
  </si>
  <si>
    <t>Le Diamant</t>
  </si>
  <si>
    <t>金鑽璽</t>
  </si>
  <si>
    <t>g</t>
  </si>
  <si>
    <t>3544320159T20050430</t>
  </si>
  <si>
    <t>Silvercorp Intl Tower</t>
  </si>
  <si>
    <t>銀高國際大廈</t>
  </si>
  <si>
    <t>3545920417T20050430</t>
  </si>
  <si>
    <t>Pioneer Centre</t>
  </si>
  <si>
    <t>始創中心</t>
  </si>
  <si>
    <t>3546120325T20050430</t>
  </si>
  <si>
    <t>Mascot House</t>
  </si>
  <si>
    <t>有成大廈</t>
  </si>
  <si>
    <t>3542220305T20050430</t>
  </si>
  <si>
    <t>Kingland Apartments</t>
  </si>
  <si>
    <t>金輪大廈</t>
  </si>
  <si>
    <t>3539720348T20050430</t>
  </si>
  <si>
    <t>Carprio Mansion</t>
  </si>
  <si>
    <t>嘉業大廈</t>
  </si>
  <si>
    <t>3545020598T20050430</t>
  </si>
  <si>
    <t>Mong Kok Police Station</t>
  </si>
  <si>
    <t>旺角警署</t>
  </si>
  <si>
    <t>3536420523T20050430</t>
  </si>
  <si>
    <t>Edward Mansion</t>
  </si>
  <si>
    <t>長榮大廈</t>
  </si>
  <si>
    <t>t</t>
  </si>
  <si>
    <t>3543820538T20050430</t>
  </si>
  <si>
    <t>Bijou Apartments</t>
  </si>
  <si>
    <t>別樹華軒</t>
  </si>
  <si>
    <t>3536820574T20050430</t>
  </si>
  <si>
    <t>Kwan Ngan House</t>
  </si>
  <si>
    <t>冠顏樓</t>
  </si>
  <si>
    <t>3538020752T20050430</t>
  </si>
  <si>
    <t>Prosperity Commercial Building</t>
  </si>
  <si>
    <t>中興商業大廈</t>
  </si>
  <si>
    <t>3538120743T20050430</t>
  </si>
  <si>
    <t>Tai Sang Bank Building</t>
  </si>
  <si>
    <t>大生銀行大廈</t>
  </si>
  <si>
    <t>3533920737T20050430</t>
  </si>
  <si>
    <t>Amber House</t>
  </si>
  <si>
    <t>安寶樓</t>
  </si>
  <si>
    <t>3533220748T20050430</t>
  </si>
  <si>
    <t>Lee Tat Building</t>
  </si>
  <si>
    <t>利達大樓</t>
  </si>
  <si>
    <t>3531220944T20050430</t>
  </si>
  <si>
    <t>Shing To Building</t>
  </si>
  <si>
    <t>成都大廈</t>
  </si>
  <si>
    <t>curved road</t>
  </si>
  <si>
    <t>3531920915T20100526</t>
  </si>
  <si>
    <t>Emerald Twenty Eight</t>
  </si>
  <si>
    <t>翠峰廿八</t>
  </si>
  <si>
    <t>3524520930T20050430</t>
  </si>
  <si>
    <t>恆盛大廈</t>
  </si>
  <si>
    <t>3526020949T20050430</t>
  </si>
  <si>
    <t>Tai Po House</t>
  </si>
  <si>
    <t>大埔樓</t>
  </si>
  <si>
    <t>3520121085T20110927</t>
  </si>
  <si>
    <t>Fairview Garden</t>
  </si>
  <si>
    <t>景翠苑</t>
  </si>
  <si>
    <t>3524521080T20050430</t>
  </si>
  <si>
    <t>Yau Luen Apartments</t>
  </si>
  <si>
    <t>友聯大樓</t>
  </si>
  <si>
    <t>3520721077T20050430</t>
  </si>
  <si>
    <t>33 Maple Street</t>
  </si>
  <si>
    <t>3524221102T20050430</t>
  </si>
  <si>
    <t>Hoi Cheung Building</t>
  </si>
  <si>
    <t>海祥大廈</t>
  </si>
  <si>
    <t>3513221299T20050430</t>
  </si>
  <si>
    <t>Pak Far Building</t>
  </si>
  <si>
    <t>白花大廈</t>
  </si>
  <si>
    <t>3515921282T20050430</t>
  </si>
  <si>
    <t>Tung Lo Court Block B</t>
  </si>
  <si>
    <t>東廬大樓Ｂ座</t>
  </si>
  <si>
    <t>3512021241T20050430</t>
  </si>
  <si>
    <t>45 Tai Po Road</t>
  </si>
  <si>
    <t>Across main road (Tai Po Rd)</t>
  </si>
  <si>
    <t>3510421257T20050430</t>
  </si>
  <si>
    <t>1A Un Chau Steet</t>
  </si>
  <si>
    <t>3502121448T20050430</t>
  </si>
  <si>
    <t>Ka Shun Building</t>
  </si>
  <si>
    <t>嘉順大廈</t>
  </si>
  <si>
    <t>3503721435T20050430</t>
  </si>
  <si>
    <t>Penta House</t>
  </si>
  <si>
    <t>五聯大廈</t>
  </si>
  <si>
    <t>3499621412T20050430</t>
  </si>
  <si>
    <t>Hip Fook Building</t>
  </si>
  <si>
    <t>協福大廈</t>
  </si>
  <si>
    <t>3497621428T20050430</t>
  </si>
  <si>
    <t>Wei Sun Building</t>
  </si>
  <si>
    <t>威信大廈</t>
  </si>
  <si>
    <t>Tai Po Road on E</t>
  </si>
  <si>
    <t>3485321542T20050430</t>
  </si>
  <si>
    <t>Ying Lun Building</t>
  </si>
  <si>
    <t>英倫大廈</t>
  </si>
  <si>
    <t>3484221552T20050430</t>
  </si>
  <si>
    <t>Furama Building</t>
  </si>
  <si>
    <t>富臨門大廈</t>
  </si>
  <si>
    <t>3469721722T20110321</t>
  </si>
  <si>
    <t>Kin Man Building</t>
  </si>
  <si>
    <t>建文大廈</t>
  </si>
  <si>
    <t>3473121696T20050430</t>
  </si>
  <si>
    <t>Celebrity Commercial Centre</t>
  </si>
  <si>
    <t>名人商業中心</t>
  </si>
  <si>
    <t>3471021647T20050430</t>
  </si>
  <si>
    <t>Precious Blood Hospital</t>
  </si>
  <si>
    <t>寶血醫院</t>
  </si>
  <si>
    <t>Used for healthcare services</t>
  </si>
  <si>
    <t>3466121708T20050430</t>
  </si>
  <si>
    <t>127 Castle Peak Road</t>
  </si>
  <si>
    <t>Site is adjacent to a WIP construction site as of Apr 2020.</t>
  </si>
  <si>
    <t>3455921833T20050430</t>
  </si>
  <si>
    <t>136-138 Castle Peak Road</t>
  </si>
  <si>
    <t>3457921824T20050430</t>
  </si>
  <si>
    <t>Wai Lee Commercial Building</t>
  </si>
  <si>
    <t>威利商業大廈</t>
  </si>
  <si>
    <t>3457121779T20050430</t>
  </si>
  <si>
    <t>Hung Yu Mansion Block B</t>
  </si>
  <si>
    <t>鴻裕大廈Ｂ座</t>
  </si>
  <si>
    <t>3453621809T20050430</t>
  </si>
  <si>
    <t>Prince Theatre</t>
  </si>
  <si>
    <t>no windows</t>
  </si>
  <si>
    <t>BMIS_auto+Street View</t>
  </si>
  <si>
    <t>3440721962T20050430</t>
  </si>
  <si>
    <t>Hing Lung Building</t>
  </si>
  <si>
    <t>興隆大廈</t>
  </si>
  <si>
    <t>3446721913T20050430</t>
  </si>
  <si>
    <t>Apollo Building</t>
  </si>
  <si>
    <t>宇宙大廈</t>
  </si>
  <si>
    <t>o</t>
  </si>
  <si>
    <t>3442821896T20050430</t>
  </si>
  <si>
    <t>Spring Wide Mansion</t>
  </si>
  <si>
    <t>春輝大廈</t>
  </si>
  <si>
    <t>3435521952T20050430</t>
  </si>
  <si>
    <t>237 Castle Peak Road</t>
  </si>
  <si>
    <t>Site is adjacent to a WIP construction site as of Oct 2019.</t>
  </si>
  <si>
    <t>3425522081T20050430</t>
  </si>
  <si>
    <t>278 Castle Peak Road</t>
  </si>
  <si>
    <t>3426122086T20050430</t>
  </si>
  <si>
    <t>276 Castle Peak Road</t>
  </si>
  <si>
    <t>3424622060T20050430</t>
  </si>
  <si>
    <t>291 Castle Peak Road</t>
  </si>
  <si>
    <t>3423522055T20050430</t>
  </si>
  <si>
    <t>293 Castle Peak Road</t>
  </si>
  <si>
    <t>3411322206T20150818</t>
  </si>
  <si>
    <t>Heya Star Tower 2</t>
  </si>
  <si>
    <t>喜韻第二座</t>
  </si>
  <si>
    <t>3412322196T20050430</t>
  </si>
  <si>
    <t>Shun Lee Commercial Building</t>
  </si>
  <si>
    <t>順利商業大廈</t>
  </si>
  <si>
    <t>3409522184T20050430</t>
  </si>
  <si>
    <t>363 Castle Peak Road</t>
  </si>
  <si>
    <t>3408022184T20050430</t>
  </si>
  <si>
    <t>Po Sang Bank Building</t>
  </si>
  <si>
    <t>寶生銀行大廈</t>
  </si>
  <si>
    <t>3394622348T20050430</t>
  </si>
  <si>
    <t>Kincheng Commercial Centre</t>
  </si>
  <si>
    <t>金城商業中心</t>
  </si>
  <si>
    <t>3396422284T20050430</t>
  </si>
  <si>
    <t>Tone King Building</t>
  </si>
  <si>
    <t>東景大廈</t>
  </si>
  <si>
    <t>3398322310T20150522</t>
  </si>
  <si>
    <t>Heya Delight</t>
  </si>
  <si>
    <t>喜盈</t>
  </si>
  <si>
    <t>3392222314T20050430</t>
  </si>
  <si>
    <t>Florence Plaza</t>
  </si>
  <si>
    <t>富華廣場</t>
  </si>
  <si>
    <t>3374022339T20050430</t>
  </si>
  <si>
    <t>Por Yen Building</t>
  </si>
  <si>
    <t>百欣大廈</t>
  </si>
  <si>
    <t>3376022337T20050430</t>
  </si>
  <si>
    <t>Park Building</t>
  </si>
  <si>
    <t>百佳商業中心</t>
  </si>
  <si>
    <t>3380722302T20050511</t>
  </si>
  <si>
    <t>Federal Mansion Block A</t>
  </si>
  <si>
    <t>聯邦閣Ａ座</t>
  </si>
  <si>
    <t>3376122297T20050430</t>
  </si>
  <si>
    <t>473 Castle Peak Road</t>
  </si>
  <si>
    <t>3357322267T20050430</t>
  </si>
  <si>
    <t>Peninsula Tower</t>
  </si>
  <si>
    <t>半島大廈</t>
  </si>
  <si>
    <t>3360322301T20050430</t>
  </si>
  <si>
    <t>V GA Building</t>
  </si>
  <si>
    <t>偉基大廈</t>
  </si>
  <si>
    <t>3362922228T20050430</t>
  </si>
  <si>
    <t>Lai Cheong Factory Building</t>
  </si>
  <si>
    <t>麗昌工廠大廈</t>
  </si>
  <si>
    <t>3357022211T20050430</t>
  </si>
  <si>
    <t>Hong Kong Spinners Industrial Building Phase VI</t>
  </si>
  <si>
    <t>香港紗廠工業大廈第六期</t>
  </si>
  <si>
    <t>3336622184T20050430</t>
  </si>
  <si>
    <t>Fung Wah Factorial Building</t>
  </si>
  <si>
    <t>豐華工業大廈</t>
  </si>
  <si>
    <t>3341422216T20050430</t>
  </si>
  <si>
    <t>Wing Kut Industrial Building</t>
  </si>
  <si>
    <t>榮吉工業大廈</t>
  </si>
  <si>
    <t>3343922161T20050430</t>
  </si>
  <si>
    <t>Kowloon Plaza</t>
  </si>
  <si>
    <t>九龍廣場</t>
  </si>
  <si>
    <t>3337522084T20050430</t>
  </si>
  <si>
    <t>Hong Kong Spinners Industrial Building Phase I And II</t>
  </si>
  <si>
    <t>香港紗廠工業大廈第一及二期</t>
  </si>
  <si>
    <t>3314922112T20050430</t>
  </si>
  <si>
    <t>Ka Ming Court</t>
  </si>
  <si>
    <t>嘉名工廠大廈</t>
  </si>
  <si>
    <t>3319422119T20050430</t>
  </si>
  <si>
    <t>Trendy Centre</t>
  </si>
  <si>
    <t>潮流工貿中心</t>
  </si>
  <si>
    <t>3316422025T20050430</t>
  </si>
  <si>
    <t>Hong Kong Industrial Centre Block A</t>
  </si>
  <si>
    <t>香港工業中心Ａ座</t>
  </si>
  <si>
    <t>3319422052T20050430</t>
  </si>
  <si>
    <t>Hong Kong Industrial Centre Block B</t>
  </si>
  <si>
    <t>香港工業中心Ｂ座</t>
  </si>
  <si>
    <t>3302022071T20050430</t>
  </si>
  <si>
    <t>Hop Hing Industrial Building</t>
  </si>
  <si>
    <t>合興工業大廈</t>
  </si>
  <si>
    <t>3304322004T20050430</t>
  </si>
  <si>
    <t>International Industrial Building</t>
  </si>
  <si>
    <t>國際工業大廈</t>
  </si>
  <si>
    <t>3305522081T20050430</t>
  </si>
  <si>
    <t>Charm Centre</t>
  </si>
  <si>
    <t>時運中心</t>
  </si>
  <si>
    <t>3300922004T20050430</t>
  </si>
  <si>
    <t>Tong Yuen Factory Building</t>
  </si>
  <si>
    <t>通源工業大廈</t>
  </si>
  <si>
    <t>rawMean</t>
  </si>
  <si>
    <t>rawStDev</t>
  </si>
  <si>
    <t>noErrMean</t>
  </si>
  <si>
    <t>noErrSD</t>
  </si>
  <si>
    <t>excludedMean</t>
  </si>
  <si>
    <t>excludedSD</t>
  </si>
  <si>
    <t>xRank</t>
  </si>
  <si>
    <t>yRank</t>
  </si>
  <si>
    <t>d^2</t>
  </si>
  <si>
    <t>Statistics</t>
  </si>
  <si>
    <t>rawMean_all</t>
  </si>
  <si>
    <t>rawSD_all</t>
  </si>
  <si>
    <t>noErrMean_all</t>
  </si>
  <si>
    <t>noErrSD_all</t>
  </si>
  <si>
    <t>noErr_upperRange</t>
  </si>
  <si>
    <t>noErr_lowerRange</t>
  </si>
  <si>
    <t>excludedMean_all</t>
  </si>
  <si>
    <t>excludedStDev_all</t>
  </si>
  <si>
    <t>n</t>
  </si>
  <si>
    <t>R</t>
  </si>
  <si>
    <t>t_critical</t>
  </si>
  <si>
    <t xml:space="preserve">   </t>
  </si>
  <si>
    <t>Eastern Transect (along Charter Road, Henessy Road, Causeway Road and King's Road)</t>
  </si>
  <si>
    <t>3434916064T20050430</t>
  </si>
  <si>
    <t>One Exchange Square</t>
  </si>
  <si>
    <t>交易廣場第一座</t>
  </si>
  <si>
    <t>3432516207T20050430</t>
  </si>
  <si>
    <t>IFC Mall (Hong Kong Station)</t>
  </si>
  <si>
    <t>國際金融中心商場（香港站）</t>
  </si>
  <si>
    <t>public transport area</t>
  </si>
  <si>
    <t>3446816065T20050430</t>
  </si>
  <si>
    <t>General Post Office</t>
  </si>
  <si>
    <t>郵政總局</t>
  </si>
  <si>
    <t>government building</t>
  </si>
  <si>
    <t>3444516024T20050430</t>
  </si>
  <si>
    <t>Jardine House</t>
  </si>
  <si>
    <t>怡和大廈</t>
  </si>
  <si>
    <t>3430115966T20050430</t>
  </si>
  <si>
    <t>World-wide House</t>
  </si>
  <si>
    <t>環球大廈</t>
  </si>
  <si>
    <t>Connaught Rd Flyover</t>
  </si>
  <si>
    <t/>
  </si>
  <si>
    <t xml:space="preserve">no building </t>
  </si>
  <si>
    <t>3437915919T20050430</t>
  </si>
  <si>
    <t>Chater House</t>
  </si>
  <si>
    <t>遮打大廈</t>
  </si>
  <si>
    <t>3442015820T20050430</t>
  </si>
  <si>
    <t>Prince's Building</t>
  </si>
  <si>
    <t>太子大廈</t>
  </si>
  <si>
    <t>3445915874T20050430</t>
  </si>
  <si>
    <t>Mandarin Oriental Hotel</t>
  </si>
  <si>
    <t>文華東方酒店</t>
  </si>
  <si>
    <t>https://photos.mandarinoriental.com/is/content/MandarinOriental/hong-kong-fact-sheet</t>
  </si>
  <si>
    <t>Statue Square</t>
  </si>
  <si>
    <t>Chater Garden</t>
  </si>
  <si>
    <t>3468115836T20130111</t>
  </si>
  <si>
    <t>CCB Tower</t>
  </si>
  <si>
    <t>中國建設銀行大廈</t>
  </si>
  <si>
    <t>3471615826T20050511</t>
  </si>
  <si>
    <t>AIA Central</t>
  </si>
  <si>
    <t>友邦金融中心</t>
  </si>
  <si>
    <t>Open Area</t>
  </si>
  <si>
    <t>3468315577T20050430</t>
  </si>
  <si>
    <t>Bank of China Tower</t>
  </si>
  <si>
    <t>中銀大廈</t>
  </si>
  <si>
    <t>Shatin-Central Link Construction Site</t>
  </si>
  <si>
    <t>3488615525T20050430</t>
  </si>
  <si>
    <t>The High Court</t>
  </si>
  <si>
    <t>高等法院</t>
  </si>
  <si>
    <t>Wikipedia</t>
  </si>
  <si>
    <t>Hong Kong Park</t>
  </si>
  <si>
    <t>3486415616T20050430</t>
  </si>
  <si>
    <t>Lippo Centre Tower 2</t>
  </si>
  <si>
    <t>力寶中心第二座</t>
  </si>
  <si>
    <t>3491115582T20050430</t>
  </si>
  <si>
    <t>Lippo Centre Tower 1</t>
  </si>
  <si>
    <t>力寶中心第一座</t>
  </si>
  <si>
    <t>3508215440T20050430</t>
  </si>
  <si>
    <t>One Pacific Place</t>
  </si>
  <si>
    <t>太古廣場一座</t>
  </si>
  <si>
    <t>3507115501T20050430</t>
  </si>
  <si>
    <t>United Centre</t>
  </si>
  <si>
    <t>統一中心</t>
  </si>
  <si>
    <t>Harcourt Garden</t>
  </si>
  <si>
    <t>Flyover</t>
  </si>
  <si>
    <t>3517915413T20050430</t>
  </si>
  <si>
    <t>JW Marriott Hotel</t>
  </si>
  <si>
    <t>萬豪酒店</t>
  </si>
  <si>
    <t>https://www.meetings-conventions.com/Meeting-Event-Venues/Hong-Kong-Hong-Kong/Convention-Hotel/JW-Marriott-Hotel-Hong-Kong-p2128715</t>
  </si>
  <si>
    <t>3529215500T20050430</t>
  </si>
  <si>
    <t>Arsenal House (West Wing)</t>
  </si>
  <si>
    <t>警政大樓西翼</t>
  </si>
  <si>
    <t>government building (Police HQ)</t>
  </si>
  <si>
    <t>https://www.skyscrapercenter.com/building/arsenal-house-west-wing/21314</t>
  </si>
  <si>
    <t>3545215413T20050430</t>
  </si>
  <si>
    <t>OZO Wesley</t>
  </si>
  <si>
    <t>遨舍衛蘭軒</t>
  </si>
  <si>
    <t>https://www.meetings-conventions.com/Meeting-Event-Venues/Hong-Kong-Hong-Kong/Convention-Hotel/OZO-Wesley-Hong-Kong-p6701817</t>
  </si>
  <si>
    <t>3542315414T20050430</t>
  </si>
  <si>
    <t>Effectual Building</t>
  </si>
  <si>
    <t>宜發大廈</t>
  </si>
  <si>
    <t>3544515469T20190110</t>
  </si>
  <si>
    <t>One Hennessy</t>
  </si>
  <si>
    <t>3549215457T20050430</t>
  </si>
  <si>
    <t>Lockhart Exchange Building</t>
  </si>
  <si>
    <t>3568815384T20050430</t>
  </si>
  <si>
    <t>Sun Hey Mansion</t>
  </si>
  <si>
    <t>新禧大樓</t>
  </si>
  <si>
    <t>3564415394T20050430</t>
  </si>
  <si>
    <t>Shanghai Industrial Investment Building</t>
  </si>
  <si>
    <t>上海實業大廈</t>
  </si>
  <si>
    <t>3565715434T20050430</t>
  </si>
  <si>
    <t>Sze Bo Building</t>
  </si>
  <si>
    <t>四寶大廈</t>
  </si>
  <si>
    <t>3568715435T20050430</t>
  </si>
  <si>
    <t>Hay Wah Building Block A</t>
  </si>
  <si>
    <t>熙華大廈Ａ座</t>
  </si>
  <si>
    <t>3588715374T20050430</t>
  </si>
  <si>
    <t>Southorn Garden</t>
  </si>
  <si>
    <t>修頓花園</t>
  </si>
  <si>
    <t>3583415391T20050430</t>
  </si>
  <si>
    <t>Southorn Centre</t>
  </si>
  <si>
    <t>修頓中心</t>
  </si>
  <si>
    <t>3584215428T20050430</t>
  </si>
  <si>
    <t>China Overseas Building</t>
  </si>
  <si>
    <t>中國海外大廈</t>
  </si>
  <si>
    <t>3588115444T20050430</t>
  </si>
  <si>
    <t>On Hong Commercial Building</t>
  </si>
  <si>
    <t>安康商業大廈</t>
  </si>
  <si>
    <t>3606915418T20050430</t>
  </si>
  <si>
    <t>Jade House</t>
  </si>
  <si>
    <t>玉滿樓</t>
  </si>
  <si>
    <t>3603015391T20050430</t>
  </si>
  <si>
    <t>Hang Seng Wanchai Building</t>
  </si>
  <si>
    <t>恒生灣仔大廈</t>
  </si>
  <si>
    <t>3602415449T20050430</t>
  </si>
  <si>
    <t>Tung Wah Mansion</t>
  </si>
  <si>
    <t>東華大廈</t>
  </si>
  <si>
    <t>3606415453T20050430</t>
  </si>
  <si>
    <t>Kwong Tak Mansion</t>
  </si>
  <si>
    <t>廣德大廈</t>
  </si>
  <si>
    <t>3626515418T20050430</t>
  </si>
  <si>
    <t>Emperor Group Centre</t>
  </si>
  <si>
    <t>英皇集團中心</t>
  </si>
  <si>
    <t>3620715435T20050430</t>
  </si>
  <si>
    <t>Caltex House</t>
  </si>
  <si>
    <t>德士古大廈</t>
  </si>
  <si>
    <t>3621815471T20050430</t>
  </si>
  <si>
    <t>Easey Commercial Building</t>
  </si>
  <si>
    <t>依時商業大廈</t>
  </si>
  <si>
    <t>3627815479T20050430</t>
  </si>
  <si>
    <t>Kwong Wah Mansion</t>
  </si>
  <si>
    <t>光華大廈</t>
  </si>
  <si>
    <t>3647915504T20050430</t>
  </si>
  <si>
    <t>Kuo Wah Building</t>
  </si>
  <si>
    <t>國華大樓</t>
  </si>
  <si>
    <t>3641615485T20050430</t>
  </si>
  <si>
    <t>W Square</t>
  </si>
  <si>
    <t>3642315523T20050430</t>
  </si>
  <si>
    <t>Yick Wah Building</t>
  </si>
  <si>
    <t>益華大廈</t>
  </si>
  <si>
    <t>3646715537T20050430</t>
  </si>
  <si>
    <t>Luen Wo Building</t>
  </si>
  <si>
    <t>聯和大廈</t>
  </si>
  <si>
    <t>3668115577T20050430</t>
  </si>
  <si>
    <t>Yau Kwong Building</t>
  </si>
  <si>
    <t>友光大廈</t>
  </si>
  <si>
    <t>3662515555T20050430</t>
  </si>
  <si>
    <t>Opulent Building</t>
  </si>
  <si>
    <t>德興大廈</t>
  </si>
  <si>
    <t>3659915582T20050430</t>
  </si>
  <si>
    <t>Henning House</t>
  </si>
  <si>
    <t>軒寧大廈</t>
  </si>
  <si>
    <t>3665215605T20050430</t>
  </si>
  <si>
    <t>BOC Wan Chai Commercial Centre</t>
  </si>
  <si>
    <t>中銀灣仔商業中心</t>
  </si>
  <si>
    <t>3685815649T20050430</t>
  </si>
  <si>
    <t>Thai Kong Building</t>
  </si>
  <si>
    <t>泰港大廈</t>
  </si>
  <si>
    <t>3681015630T20050430</t>
  </si>
  <si>
    <t>Cameron Commercial Centre</t>
  </si>
  <si>
    <t>金聯商業中心</t>
  </si>
  <si>
    <t>3680515665T20050430</t>
  </si>
  <si>
    <t>459-465 Henessey Road</t>
  </si>
  <si>
    <t>3683815678T20050430</t>
  </si>
  <si>
    <t>East South Building</t>
  </si>
  <si>
    <t>東南大廈</t>
  </si>
  <si>
    <t>3702715678T20050430</t>
  </si>
  <si>
    <t>The Goldmark</t>
  </si>
  <si>
    <t>黃金廣場</t>
  </si>
  <si>
    <t>3698415658T20120223</t>
  </si>
  <si>
    <t>Hysan Place</t>
  </si>
  <si>
    <t>希慎廣場</t>
  </si>
  <si>
    <t>3697615717T20050430</t>
  </si>
  <si>
    <t>Macau Yat Yuen Centre</t>
  </si>
  <si>
    <t>澳門逸園中心</t>
  </si>
  <si>
    <t>3705015716T20050430</t>
  </si>
  <si>
    <t>East Point Centre (Old Wing)</t>
  </si>
  <si>
    <t>東角中心（舊翼）</t>
  </si>
  <si>
    <t>3722115622T20050430</t>
  </si>
  <si>
    <t>60-62 Yee Wo Street</t>
  </si>
  <si>
    <t>3719315637T20050430</t>
  </si>
  <si>
    <t>McDonald's Building</t>
  </si>
  <si>
    <t>麥當勞大廈</t>
  </si>
  <si>
    <t>3721615666T20050430</t>
  </si>
  <si>
    <t>V Causeway Bay</t>
  </si>
  <si>
    <t>3725115668T20050430</t>
  </si>
  <si>
    <t>Causeway Bay Commercial Building</t>
  </si>
  <si>
    <t>銅鑼灣商業大廈</t>
  </si>
  <si>
    <t>3745015639T20050430</t>
  </si>
  <si>
    <t>Causeway Tower</t>
  </si>
  <si>
    <t>高威樓</t>
  </si>
  <si>
    <t>3742915620T20050430</t>
  </si>
  <si>
    <t>Catic Plaza</t>
  </si>
  <si>
    <t>航空大廈</t>
  </si>
  <si>
    <t>Tai Hang Rd Flyover</t>
  </si>
  <si>
    <t>Causeway Bay Sports Ground</t>
  </si>
  <si>
    <t>3758615670T20050430</t>
  </si>
  <si>
    <t>Hong Kong Central Library</t>
  </si>
  <si>
    <t>香港中央圖書館</t>
  </si>
  <si>
    <t>public recreational facility</t>
  </si>
  <si>
    <t>https://www.hkpl.gov.hk/en/hkcl/aboutus/index.html</t>
  </si>
  <si>
    <t>Victoria Park</t>
  </si>
  <si>
    <t>3775815848T20050430</t>
  </si>
  <si>
    <t>Queen's College</t>
  </si>
  <si>
    <t>皇仁書院</t>
  </si>
  <si>
    <t xml:space="preserve">school </t>
  </si>
  <si>
    <t>3777515948T20050430</t>
  </si>
  <si>
    <t>Park Towers Tower I</t>
  </si>
  <si>
    <t>栢景臺第１座</t>
  </si>
  <si>
    <t>3791516043T20050601</t>
  </si>
  <si>
    <t>L'hotel Causeway Bay Harbour View Hong Kong</t>
  </si>
  <si>
    <t>銅鑼灣如心酒店</t>
  </si>
  <si>
    <t>https://partnernet.hktb.com/en/e_marketplace/company_directory/index.html?companyID=961&amp;accordionDefault=venue&amp;viewMode=Details</t>
  </si>
  <si>
    <t>3791615984T20050430</t>
  </si>
  <si>
    <t>Kiu Hing Mansion</t>
  </si>
  <si>
    <t>僑興大廈</t>
  </si>
  <si>
    <t>3781115982T20050430</t>
  </si>
  <si>
    <t>Park Towers Tower II</t>
  </si>
  <si>
    <t>栢景臺第２座</t>
  </si>
  <si>
    <t>https://www.executivehomeshk.com/buildings/north-point/park-towers#:~:text=It%20has%20313%20apartments.,are%20upto%202463%20sf%20saleable.</t>
  </si>
  <si>
    <t>3784316037T20050430</t>
  </si>
  <si>
    <t>Park View Mansion</t>
  </si>
  <si>
    <t>雅景樓</t>
  </si>
  <si>
    <t>3795916263T20050430</t>
  </si>
  <si>
    <t>Belilios Public School</t>
  </si>
  <si>
    <t>庇理羅士女子中學</t>
  </si>
  <si>
    <t>es</t>
  </si>
  <si>
    <t>3794616181T20050430</t>
  </si>
  <si>
    <t>King Yu Court</t>
  </si>
  <si>
    <t>景愉居</t>
  </si>
  <si>
    <t>3788916197T20050430</t>
  </si>
  <si>
    <t>Wilson Court</t>
  </si>
  <si>
    <t>維順閣</t>
  </si>
  <si>
    <t>3789816228T20050430</t>
  </si>
  <si>
    <t>Sun Ying Mansion</t>
  </si>
  <si>
    <t>新英大廈</t>
  </si>
  <si>
    <t>Comfort Terrace Rest Garden</t>
  </si>
  <si>
    <t>3794516399T20050430</t>
  </si>
  <si>
    <t>Comfort Gardens</t>
  </si>
  <si>
    <t>3789916406T20050430</t>
  </si>
  <si>
    <t>Kwai Hung Holdings Centre</t>
  </si>
  <si>
    <t>桂洪集團中心</t>
  </si>
  <si>
    <t>3789516432T20050430</t>
  </si>
  <si>
    <t>Kin Ga Building</t>
  </si>
  <si>
    <t>建基大廈</t>
  </si>
  <si>
    <t>3804616611T20050430</t>
  </si>
  <si>
    <t>Fortress Metro Tower Block D</t>
  </si>
  <si>
    <t>康澤花園Ｄ座</t>
  </si>
  <si>
    <t>3801716575T20050430</t>
  </si>
  <si>
    <t>Fortress Metro Tower Block A</t>
  </si>
  <si>
    <t>康澤花園Ａ座</t>
  </si>
  <si>
    <t>3796816610T20050430</t>
  </si>
  <si>
    <t>Ying Wong House</t>
  </si>
  <si>
    <t>英皇大廈</t>
  </si>
  <si>
    <t>3798516640T20050430</t>
  </si>
  <si>
    <t>Chung Nam Mansion</t>
  </si>
  <si>
    <t>中南大廈</t>
  </si>
  <si>
    <t>3815116758T20050430</t>
  </si>
  <si>
    <t>North Point Centre Block A</t>
  </si>
  <si>
    <t>北角中心大廈Ａ座</t>
  </si>
  <si>
    <t>3813016736T20050430</t>
  </si>
  <si>
    <t>North Point Centre Block B</t>
  </si>
  <si>
    <t>北角中心大廈Ｂ座</t>
  </si>
  <si>
    <t>3807316759T20050430</t>
  </si>
  <si>
    <t>Olympia Plaza</t>
  </si>
  <si>
    <t>國都廣場</t>
  </si>
  <si>
    <t>3811216787T20050430</t>
  </si>
  <si>
    <t>Southern Building</t>
  </si>
  <si>
    <t>南方大廈</t>
  </si>
  <si>
    <t>3832616811T20050430</t>
  </si>
  <si>
    <t>Mido Apartments</t>
  </si>
  <si>
    <t>美都大廈</t>
  </si>
  <si>
    <t>3828216811T20050430</t>
  </si>
  <si>
    <t>Hang Ying Building</t>
  </si>
  <si>
    <t>恒英大廈</t>
  </si>
  <si>
    <t>3828916857T20050430</t>
  </si>
  <si>
    <t>Coronet Court</t>
  </si>
  <si>
    <t>皇冠大廈</t>
  </si>
  <si>
    <t>3833516858T20050430</t>
  </si>
  <si>
    <t>Hang Seng North Point Building</t>
  </si>
  <si>
    <t>恒生北角大廈</t>
  </si>
  <si>
    <t>3853516846T20050430</t>
  </si>
  <si>
    <t>Everwin Building</t>
  </si>
  <si>
    <t>康威大廈</t>
  </si>
  <si>
    <t>3851216839T20050430</t>
  </si>
  <si>
    <t>Ming Yuen Centre</t>
  </si>
  <si>
    <t>明苑中心</t>
  </si>
  <si>
    <t>3849716904T20050430</t>
  </si>
  <si>
    <t>Henan Electric Development Building</t>
  </si>
  <si>
    <t>豫港電力發展大廈</t>
  </si>
  <si>
    <t>3858116913T20050430</t>
  </si>
  <si>
    <t>Kiu Kwan Mansion Block A</t>
  </si>
  <si>
    <t>僑冠大廈Ａ座</t>
  </si>
  <si>
    <t>3872116898T20050430</t>
  </si>
  <si>
    <t>Roca Centre Block 2</t>
  </si>
  <si>
    <t>樂嘉中心第二座</t>
  </si>
  <si>
    <t>3868016869T20050430</t>
  </si>
  <si>
    <t>Maylun Apartments</t>
  </si>
  <si>
    <t>美輪大廈</t>
  </si>
  <si>
    <t>3869116946T20050430</t>
  </si>
  <si>
    <t>On Ning Building</t>
  </si>
  <si>
    <t>安寧大廈</t>
  </si>
  <si>
    <t>3870916941T20050430</t>
  </si>
  <si>
    <t>Chu Kee Building</t>
  </si>
  <si>
    <t>珠璣大廈</t>
  </si>
  <si>
    <t>3895816911T20050430</t>
  </si>
  <si>
    <t>Island Place Tower</t>
  </si>
  <si>
    <t>港運大廈</t>
  </si>
  <si>
    <t>3884216927T20050430</t>
  </si>
  <si>
    <t>HKU School of Professional and Continuing Education</t>
  </si>
  <si>
    <t>香港大學專業進修學院</t>
  </si>
  <si>
    <t>school</t>
  </si>
  <si>
    <t>http://www.hongkongoffice.com/building_search/Office_Profile.asp?B=6920</t>
  </si>
  <si>
    <t>3888416979T20050430</t>
  </si>
  <si>
    <t>North Point Industrial Building</t>
  </si>
  <si>
    <t>北角工業大廈</t>
  </si>
  <si>
    <t>3891016985T20050430</t>
  </si>
  <si>
    <t>Marble Road Telephone Exchange</t>
  </si>
  <si>
    <t>馬寶道電話機房</t>
  </si>
  <si>
    <t>3909816979T20050430</t>
  </si>
  <si>
    <t>Healthy Gardens Block C</t>
  </si>
  <si>
    <t>健威花園Ｃ座</t>
  </si>
  <si>
    <t>3905816971T20050430</t>
  </si>
  <si>
    <t>Healthy Gardens Block B</t>
  </si>
  <si>
    <t>健威花園Ｂ座</t>
  </si>
  <si>
    <t>King's Road Playground</t>
  </si>
  <si>
    <t>3931316966T20050430</t>
  </si>
  <si>
    <t>Hong Shing Court</t>
  </si>
  <si>
    <t>康勝閣</t>
  </si>
  <si>
    <t>3927016985T20050430</t>
  </si>
  <si>
    <t>Hong Cheung Court</t>
  </si>
  <si>
    <t>康祥閣</t>
  </si>
  <si>
    <t>3929617042T20050430</t>
  </si>
  <si>
    <t>625 King's Road</t>
  </si>
  <si>
    <t>3936417029T20070425</t>
  </si>
  <si>
    <t xml:space="preserve">633 King's Road </t>
  </si>
  <si>
    <t>3949516898T20050430</t>
  </si>
  <si>
    <t>Man Cheung House</t>
  </si>
  <si>
    <t>民祥樓</t>
  </si>
  <si>
    <t>3947116941T20050430</t>
  </si>
  <si>
    <t>AIA Hong Kong Tower</t>
  </si>
  <si>
    <t>友邦香港大摟</t>
  </si>
  <si>
    <t>3948616984T20050430</t>
  </si>
  <si>
    <t>Prosperity Millennia Plaza</t>
  </si>
  <si>
    <t>泓富產業千禧廣場</t>
  </si>
  <si>
    <t>3952616962T20050430</t>
  </si>
  <si>
    <t>Harbour Plaza, North Point</t>
  </si>
  <si>
    <t>北角海逸酒店</t>
  </si>
  <si>
    <t>3958316762P20190402</t>
  </si>
  <si>
    <t>Golden Horse Mansion</t>
  </si>
  <si>
    <t>3958516796T20050430</t>
  </si>
  <si>
    <t>Mansion Building</t>
  </si>
  <si>
    <t>民新大廈</t>
  </si>
  <si>
    <t>3964416795T20050430</t>
  </si>
  <si>
    <t>Lai Wah Mansion</t>
  </si>
  <si>
    <t>麗華樓</t>
  </si>
  <si>
    <t>3966616773T20050430</t>
  </si>
  <si>
    <t>Ritz Garden Apartments</t>
  </si>
  <si>
    <t>麗池大廈</t>
  </si>
  <si>
    <t>3965616556T20050430</t>
  </si>
  <si>
    <t>Quarry Bay Station</t>
  </si>
  <si>
    <t>鰂魚涌站</t>
  </si>
  <si>
    <t xml:space="preserve">government building / no access to the number of floors </t>
  </si>
  <si>
    <t>3971016577T20050430</t>
  </si>
  <si>
    <t>North Point Government Primary School</t>
  </si>
  <si>
    <t>3969716622T20050430</t>
  </si>
  <si>
    <t>Wai Fong Court</t>
  </si>
  <si>
    <t>惠芳閣</t>
  </si>
  <si>
    <t>3964516625T20060213</t>
  </si>
  <si>
    <t>Tor Po Mansion</t>
  </si>
  <si>
    <t>bid</t>
  </si>
  <si>
    <t>iteration</t>
  </si>
  <si>
    <t>district</t>
  </si>
  <si>
    <t>buildingName</t>
  </si>
  <si>
    <t>estateName</t>
  </si>
  <si>
    <t>storey</t>
  </si>
  <si>
    <t>basement</t>
  </si>
  <si>
    <t>units</t>
  </si>
  <si>
    <t>years</t>
  </si>
  <si>
    <t>address</t>
  </si>
  <si>
    <t>source</t>
  </si>
  <si>
    <t>EASTERN</t>
  </si>
  <si>
    <t>NO. 625,KING'S ROAD,EASTERN,HONG KONG</t>
  </si>
  <si>
    <t>BMIS_auto</t>
  </si>
  <si>
    <t>633, KING'S ROAD, EASTERN, Hong Kong</t>
  </si>
  <si>
    <t>BLOCK A</t>
  </si>
  <si>
    <t>NORTH POINT INDUSTRIAL BUILDING</t>
  </si>
  <si>
    <t>BLOCK A,NORTH POINT INDUSTRIAL BUILDING,NO. 499,KING'S ROAD,EASTERN,HONG KONG</t>
  </si>
  <si>
    <t>PROSPERITY MILLENNIA PLAZA</t>
  </si>
  <si>
    <t>PROSPERITY MILLENNIA PLAZA,NO. 663-665,KING'S ROAD,EASTERN,HONG KONG</t>
  </si>
  <si>
    <t>HEALTHY GARDEN BLOCK C</t>
  </si>
  <si>
    <t>HEALTHY GARDEN</t>
  </si>
  <si>
    <t>BLOCK C,HEALTHY GARDEN,NO. 560,KING'S ROAD,EASTERN,HONG KONG</t>
  </si>
  <si>
    <t>HEALTHY GARDEN BLOCK B</t>
  </si>
  <si>
    <t>BLOCK B,HEALTHY GARDEN,NO. 560,KING'S ROAD,EASTERN,HONG KONG</t>
  </si>
  <si>
    <t>HONG SHING COURT</t>
  </si>
  <si>
    <t>HEALTHY VILLAGE REDEVELOPMENT STAGE II</t>
  </si>
  <si>
    <t>668, KING'S ROAD, HEALTHY VILLAGE REDEVELOPMENT STAGE II, HONG SHING COURT, EASTERN, Hong Kong</t>
  </si>
  <si>
    <t>CHU KEE BUILDING</t>
  </si>
  <si>
    <t>CHU KEE BUILDING,NO. 435,KING'S ROAD,EASTERN,HONG KONG</t>
  </si>
  <si>
    <t>ON NING BUILDING</t>
  </si>
  <si>
    <t>KIU KWAN MANSION</t>
  </si>
  <si>
    <t>BLOCK A,KIU KWAN MANSION,NO. 395,KING'S ROAD,EASTERN,HONG KONG</t>
  </si>
  <si>
    <t>AIA HK TOWER</t>
  </si>
  <si>
    <t>734-738, KING'S ROAD, AIA HK TOWER, EASTERN, Hong Kong</t>
  </si>
  <si>
    <t>ISLAND PLACE</t>
  </si>
  <si>
    <t>ISLAND PLACE,NO. 510,KING'S ROAD,EASTERN,HONG KONG</t>
  </si>
  <si>
    <t>HENAN ELECTRIC DEVELOPMENT BUILDING</t>
  </si>
  <si>
    <t>HENAN ELECTRIC DEVELOPMENT BUILDING,NO. 389,KING'S ROAD,EASTERN,HONG KONG</t>
  </si>
  <si>
    <t>MAYLUN APARTMENT</t>
  </si>
  <si>
    <t>MAYLUN APARTMENT,NO. 442-452,KING'S ROAD,EASTERN,HONG KONG</t>
  </si>
  <si>
    <t>CORONET COURT, HONG KONG</t>
  </si>
  <si>
    <t>CORONET COURT, HONG KONG,NO. 321,KING'S ROAD,EASTERN,HONG KONG</t>
  </si>
  <si>
    <t>HANG SENG NORTH POINT BUILDING,NO. 335-341,KING'S ROAD,EASTERN,HONG KONG</t>
  </si>
  <si>
    <t>EVERWIN BUILDING</t>
  </si>
  <si>
    <t>EVERWIN BUILDING,NO. 406,KING'S ROAD,EASTERN,HONG KONG</t>
  </si>
  <si>
    <t>MING YUEN CENTRE</t>
  </si>
  <si>
    <t>MIDO APARTMENTS,NO. 330-332,KING'S ROAD,EASTERN,HONG KONG</t>
  </si>
  <si>
    <t>SOUTHERN BUILDING,NO. 257-273,KING'S ROAD,EASTERN,HONG KONG</t>
  </si>
  <si>
    <t>HANG YING BUILDING,NO. 318-328,KING'S ROAD,EASTERN,HONG KONG</t>
  </si>
  <si>
    <t>LAI WAH MANSION,NO. 867-881,KING'S ROAD,EASTERN,HONG KONG</t>
  </si>
  <si>
    <t>OLYMPIA PLAZA,NO. 255,KING'S ROAD,EASTERN,HONG KONG</t>
  </si>
  <si>
    <t>A1 &amp; A3</t>
  </si>
  <si>
    <t>RITZ GARDEN APARTMENTS</t>
  </si>
  <si>
    <t>925-927, KING'S ROAD, RITZ GARDEN APARTMENTS, A1 &amp; A3, EASTERN, Hong Kong</t>
  </si>
  <si>
    <t>NEW TREND PLAZA</t>
  </si>
  <si>
    <t>NEW TREND PLAZA,NO. 278-288,KING'S ROAD,EASTERN,HONG KONG</t>
  </si>
  <si>
    <t>CHUNG NAM MANSION, KING'S ROAD</t>
  </si>
  <si>
    <t>CHUNG NAM MANSION, KING'S ROAD,NO. 163,KING'S ROAD,EASTERN,HONG KONG</t>
  </si>
  <si>
    <t>WAI FONG COURT</t>
  </si>
  <si>
    <t>WAI FONG COURT,NO. 955-957,KING'S ROAD,EASTERN,HONG KONG</t>
  </si>
  <si>
    <t>BLOCK D</t>
  </si>
  <si>
    <t>FORTRESS METRO TOWER</t>
  </si>
  <si>
    <t>BLOCK D,FORTRESS METRO TOWER,NO. 238,KING'S ROAD,EASTERN,HONG KONG</t>
  </si>
  <si>
    <t>YING WONG HOUSE</t>
  </si>
  <si>
    <t>YING WONG HOUSE,NO. 153,KING'S ROAD,EASTERN,HONG KONG</t>
  </si>
  <si>
    <t>BLOCK A,FORTRESS METRO TOWER,NO. 238,KING'S ROAD,EASTERN,HONG KONG</t>
  </si>
  <si>
    <t>WAN CHAI</t>
  </si>
  <si>
    <t>KIN GA BUILDING</t>
  </si>
  <si>
    <t>KIN GA BUILDING,NO. 99,KING'S ROAD,WAN CHAI,HONG KONG</t>
  </si>
  <si>
    <t>KWAI HUNG HOLDINGS CENTRE</t>
  </si>
  <si>
    <t>KWAI HUNG HOLDINGS CENTRE,NO. 89,KING'S ROAD,WAN CHAI,HONG KONG</t>
  </si>
  <si>
    <t>COMFORT GARDEN</t>
  </si>
  <si>
    <t>BLOCK A,COMFORT GARDEN,NO. 60,KING'S ROAD,EASTERN,HONG KONG</t>
  </si>
  <si>
    <t>SUN YING MANSION</t>
  </si>
  <si>
    <t>SUN YING MANSION,NO. 43-45,KING'S ROAD,WAN CHAI,HONG KONG</t>
  </si>
  <si>
    <t>KING YU COURT,NO. 43-45,TIN HAU TEMPLE ROAD,EASTERN,HONG KONG</t>
  </si>
  <si>
    <t>CENTRAL AND WESTERN</t>
  </si>
  <si>
    <t>EXCHANGE SQUARE</t>
  </si>
  <si>
    <t>ONE ,EXCHANGE SQUARE,NO. 8,CONNAUGHT PLACE,CENTRAL AND WESTERN,HONG KONG</t>
  </si>
  <si>
    <t>PARK VIEW MANSION LAU SIN STREET</t>
  </si>
  <si>
    <t>PARK VIEW MANSION LAU SIN STREET,NO. 1-5,LAU SIN STREET,WAN CHAI,HONG KONG</t>
  </si>
  <si>
    <t>JARDINE HOUSE,NO. 1,CONNAUGHT PLACE,CENTRAL AND WESTERN,HONG KONG</t>
  </si>
  <si>
    <t>KIU HING MANSION</t>
  </si>
  <si>
    <t>14, KING'S ROAD, KIU HING MANSION, WAN CHAI, Hong Kong</t>
  </si>
  <si>
    <t>BLOCK 2</t>
  </si>
  <si>
    <t>PARK TOWERS</t>
  </si>
  <si>
    <t>BLOCK 2,PARK TOWERS,NO. 1,KING'S ROAD,WAN CHAI,HONG KONG</t>
  </si>
  <si>
    <t>WORLD-WIDE HOUSE,NO. 19,DES VOEUX ROAD CENTRAL,CENTRAL AND WESTERN,HONG KONG</t>
  </si>
  <si>
    <t>BLOCK 1</t>
  </si>
  <si>
    <t>BLOCK 1,PARK TOWERS,NO. 1,KING'S ROAD,WAN CHAI,HONG KONG</t>
  </si>
  <si>
    <t>CHATER HOUSE,NO. 8,CONNAUGHT ROAD CENTRAL,CENTRAL AND WESTERN,HONG KONG</t>
  </si>
  <si>
    <t>AIA CENTRAL,NO. 1,CONNAUGHT ROAD CENTRAL,ML,278,CENTRAL AND WESTERN,HONG KONG</t>
  </si>
  <si>
    <t>EAST POINT CENTRE (NEW WING)</t>
  </si>
  <si>
    <t>EAST POINT CENTRE (NEW WING),NO. 529-555,HENNESSY ROAD,WAN CHAI,HONG KONG</t>
  </si>
  <si>
    <t>MACAU YAT YUEN CENTRE,NO. 525,HENNESSY ROAD,ML,52,WAN CHAI,HONG KONG</t>
  </si>
  <si>
    <t>EAST SOUTH BUILDING</t>
  </si>
  <si>
    <t>CAUSEWAY BAY COMMERCIAL BUILDING,NO. 1-5,SUGAR STREET,WAN CHAI,HONG KONG</t>
  </si>
  <si>
    <t>459-461 HENNESSY ROAD</t>
  </si>
  <si>
    <t>NO. 459-461,HENNESSY ROAD,WAN CHAI,HONG KONG</t>
  </si>
  <si>
    <t>THE GOLDMARK,NO. 502,HENNESSY ROAD,WAN CHAI,HONG KONG</t>
  </si>
  <si>
    <t>CAUSEWAY TOWER,NO. 16-22,CAUSEWAY ROAD,WAN CHAI,HONG KONG</t>
  </si>
  <si>
    <t>TOWER 2</t>
  </si>
  <si>
    <t>Lippo Centre</t>
  </si>
  <si>
    <t>TOWER 2,LIPPO CENTRE,NO. 89,QUEENSWAY,CENTRAL AND WESTERN,HONG KONG</t>
  </si>
  <si>
    <t>MCDONALD'S BUILDING,NO. 46-54,YEE WO STREET,WAN CHAI,HONG KONG</t>
  </si>
  <si>
    <t>CAMERON COMMERCIAL CENTRE,NO. 458-468,HENNESSY ROAD,WAN CHAI,HONG KONG</t>
  </si>
  <si>
    <t>BANK OF CHINA TOWER,NO. 1,GARDEN ROAD,CENTRAL AND WESTERN,HONG KONG</t>
  </si>
  <si>
    <t>1 PENNINGTON STREET</t>
  </si>
  <si>
    <t>CATIC PLAZA,NO. 8,CAUSEWAY ROAD,WAN CHAI,HONG KONG</t>
  </si>
  <si>
    <t>BOC WAN CHAI COMMERCIAL CENTRE,NO. 409-415,HENNESSY ROAD,WAN CHAI,HONG KONG</t>
  </si>
  <si>
    <t>TOWER 1</t>
  </si>
  <si>
    <t>TOWER 1,LIPPO CENTRE,NO. 89,QUEENSWAY,CENTRAL AND WESTERN,HONG KONG</t>
  </si>
  <si>
    <t>HENNING HOUSE,NO. 385-391,HENNESSY ROAD,WAN CHAI,HONG KONG</t>
  </si>
  <si>
    <t>Opulent Building, 402-406, HENNESSY ROAD, WAN CHAI, Hong Kong</t>
  </si>
  <si>
    <t>UNITED CENTRE,NO. 95,QUEENSWAY,CENTRAL AND WESTERN,HONG KONG</t>
  </si>
  <si>
    <t>KUO WAH BUILDING,NO. 340-342,HENNESSY ROAD,WAN CHAI,HONG KONG</t>
  </si>
  <si>
    <t>KWONG WAH MANSION,NO. 269-273,HENNESSY ROAD,WAN CHAI,HONG KONG</t>
  </si>
  <si>
    <t>W SQUARE,NO. 314-324,HENNESSY ROAD,WAN CHAI,HONG KONG</t>
  </si>
  <si>
    <t>EASEY COMMERCIAL BUILDING</t>
  </si>
  <si>
    <t>EASEY COMMERCIAL BUILDING,NO. 253-261,HENNESSY ROAD,WAN CHAI,HONG KONG</t>
  </si>
  <si>
    <t>KWONG TAK MANSION,NO. 205-207,HENNESSY ROAD,WAN CHAI,HONG KONG</t>
  </si>
  <si>
    <t>TUNG WAH MANSION,NO. 199-203,HENNESSY ROAD,WAN CHAI,HONG KONG</t>
  </si>
  <si>
    <t>ONE PACIFIC PLACE</t>
  </si>
  <si>
    <t>PACIFIC PLACE</t>
  </si>
  <si>
    <t>ONE ,PACIFIC PLACE,NO. 88,QUEENSWAY,CENTRAL AND WESTERN,HONG KONG</t>
  </si>
  <si>
    <t>ON HONG COMMERCIAL BUILDING,NO. 145,HENNESSY ROAD,WAN CHAI,HONG KONG</t>
  </si>
  <si>
    <t>HAY WAH BUILDING</t>
  </si>
  <si>
    <t>BLOCK A,HAY WAH BUILDING,NO. 71-85,HENNESSY ROAD,WAN CHAI,HONG KONG</t>
  </si>
  <si>
    <t>EFFECTUAL BUILDING,NO. 16,HENNESSY ROAD,WAN CHAI,HONG KONG</t>
  </si>
  <si>
    <t>Tai Tung Building</t>
  </si>
  <si>
    <t>TAI TUNG BUILDING,NO. 8,FLEMING ROAD,IL,8844,WAN CHAI,HONG KONG</t>
  </si>
  <si>
    <t>SUN HEY MANSION,NO. 68-76,HENNESSY ROAD,WAN CHAI,HONG KONG</t>
  </si>
  <si>
    <t>SHANGHAI INDUSTRIAL INVESTMENT BUILDING,NO. 48-62,HENNESSY ROAD,WAN CHAI,HONG KONG</t>
  </si>
  <si>
    <t>SOUTHORN CENTRE,NO. 130-150,HENNESSY ROAD,WAN CHAI,HONG KONG</t>
  </si>
  <si>
    <t>SOUTHORN GARDEN,NO. 2,O'BRIEN ROAD,WAN CHAI,HONG KONG</t>
  </si>
  <si>
    <t>SHAM SHUI PO</t>
  </si>
  <si>
    <t>KINCHENG COMMERCIAL CENTRE,NO. 412-420,CASTLE PEAK ROAD,SHAM SHUI PO,KOWLOON</t>
  </si>
  <si>
    <t>KWAI TSING</t>
  </si>
  <si>
    <t>HUNG WAN BUILDING</t>
  </si>
  <si>
    <t>HUNG WAN BUILDING,NO. 472-478,CASTLE PEAK ROAD,KWAI TSING,NEW TERRITORIES</t>
  </si>
  <si>
    <t>Peak Castle</t>
  </si>
  <si>
    <t>Peak Castle, 476, CASTLE PEAK ROAD, SHAM SHUI PO, Kowloon</t>
  </si>
  <si>
    <t>FLORENCE PLAZA</t>
  </si>
  <si>
    <t>FEDERAL MANSION</t>
  </si>
  <si>
    <t>BLOCK A,FEDERAL MANSION,NO. 467,CASTLE PEAK ROAD,SHAM SHUI PO,KOWLOON</t>
  </si>
  <si>
    <t>V GA BUILDING</t>
  </si>
  <si>
    <t>PENINSULA TOWER,NO. 538,CASTLE PEAK ROAD,SHAM SHUI PO,KOWLOON</t>
  </si>
  <si>
    <t>LAI CHEONG FACTORY BUILDING,NO. 479-479A,CASTLE PEAK ROAD,SHAM SHUI PO,KOWLOON</t>
  </si>
  <si>
    <t>WING KUT INDUSTRIAL BUILDING</t>
  </si>
  <si>
    <t>WING KUT INDUSTRIAL BUILDING, (BLOCK A), NO. 608,CASTLE PEAK ROAD,NKIL,1892,SHAM SHUI PO,KOWLOON</t>
  </si>
  <si>
    <t>HONG KONG SPINNERS INDUSTRIAL BUILDING PHASE VI,NO. 481-483,CASTLE PEAK ROAD,SHAM SHUI PO,KOWLOON</t>
  </si>
  <si>
    <t>SHUN LEE COMMERCIAL BUILDING,NO. 338-340,CASTLE PEAK ROAD,SHAM SHUI PO,KOWLOON</t>
  </si>
  <si>
    <t>PO SANG BANK BUILDING,NO. 365-371,CASTLE PEAK ROAD,SHAM SHUI PO,KOWLOON</t>
  </si>
  <si>
    <t>NO. 361-363,CASTLE PEAK ROAD,SHAM SHUI PO,KOWLOON</t>
  </si>
  <si>
    <t>KOWLOON PLAZA,NO. 485,CASTLE PEAK ROAD,SHAM SHUI PO,KOWLOON</t>
  </si>
  <si>
    <t>LOYAL CENTER</t>
  </si>
  <si>
    <t>HONG KONG SPINNERS INDUSTRIAL BUILDING</t>
  </si>
  <si>
    <t>KA MING COURT,NO. 688-690,CASTLE PEAK ROAD,SHAM SHUI PO,KOWLOON</t>
  </si>
  <si>
    <t>TRENDY CENTRE,NO. 682,CASTLE PEAK ROAD,SHAM SHUI PO,KOWLOON</t>
  </si>
  <si>
    <t>HONG KONG INDUSTRIAL CENTRE</t>
  </si>
  <si>
    <t>BLOCK B,HONG KONG INDUSTRIAL CENTRE,NO. 489-491,CASTLE PEAK ROAD,SHAM SHUI PO,KOWLOON</t>
  </si>
  <si>
    <t>HOP HING INDUSTRIAL BUILDING,NO. 702-704,CASTLE PEAK ROAD,SHAM SHUI PO,KOWLOON</t>
  </si>
  <si>
    <t>NO. 276-278,CASTLE PEAK ROAD,SHAM SHUI PO,KOWLOON</t>
  </si>
  <si>
    <t>BLOCK A,HONG KONG INDUSTRIAL CENTRE,NO. 489-491,CASTLE PEAK ROAD,SHAM SHUI PO,KOWLOON</t>
  </si>
  <si>
    <t>TSUEN WAN</t>
  </si>
  <si>
    <t>Cheong Wah Building</t>
  </si>
  <si>
    <t>CHEONG WAH BUILDING</t>
  </si>
  <si>
    <t>Hi-Tech Industrial Centre</t>
  </si>
  <si>
    <t>TONG YUEN FACTORY BUILDING,NO. 505,CASTLE PEAK ROAD,SHAM SHUI PO,KOWLOON</t>
  </si>
  <si>
    <t>HING LUNG BUILDING,NO. 202-210,CASTLE PEAK ROAD,SHAM SHUI PO,KOWLOON</t>
  </si>
  <si>
    <t>YUEN LONG</t>
  </si>
  <si>
    <t>Kan Yip Building</t>
  </si>
  <si>
    <t>KAN YIP BUILDING,NO. 225-237,CASTLE PEAK ROAD - YUEN LONG,YUEN LONG,NEW TERRITORIES</t>
  </si>
  <si>
    <t>APOLLO BUILDING,NO. 164-170,CASTLE PEAK ROAD,SHAM SHUI PO,KOWLOON</t>
  </si>
  <si>
    <t>KIN SHING BUILDING</t>
  </si>
  <si>
    <t>KIN SHING BUILDING,NO. 195-209,CASTLE PEAK ROAD YUEN LONG,YUEN LONG,NEW TERRITORIES</t>
  </si>
  <si>
    <t>NO. 136-138,CASTLE PEAK ROAD,SHAM SHUI PO,KOWLOON</t>
  </si>
  <si>
    <t>NO. 126-136,CASTLE PEAK ROAD - YUEN LONG,YUEN LONG,NEW TERRITORIES</t>
  </si>
  <si>
    <t>HUNG YU MANSION</t>
  </si>
  <si>
    <t>KIN MAN BUILDING</t>
  </si>
  <si>
    <t>KIN MAN BUILDING,NO. 66-74,CASTLE PEAK ROAD,SHAM SHUI PO,KOWLOON</t>
  </si>
  <si>
    <t>Kapok Mansion</t>
  </si>
  <si>
    <t>KAPOK MANSION,NO. 123-133,CASTLE PEAK ROAD - TSUEN WAN ,TSUEN WAN,NEW TERRITORIES</t>
  </si>
  <si>
    <t>CELEBRITY COMMERCIAL CENTRE,NO. 64,CASTLE PEAK ROAD,SHAM SHUI PO,KOWLOON</t>
  </si>
  <si>
    <t>YING LUN BUILDING,NO. 7-7A,CASTLE PEAK ROAD,SHAM SHUI PO,KOWLOON</t>
  </si>
  <si>
    <t>KA SHUN BUILDING,NO. 194-196,TAI PO ROAD,SHAM SHUI PO,KOWLOON</t>
  </si>
  <si>
    <t>PENTA HOUSE,NO. 190-192B,TAI PO ROAD,SHAM SHUI PO,KOWLOON</t>
  </si>
  <si>
    <t>WEI SUN BUILDING,NO. 75,TAI PO ROAD,SHAM SHUI PO,KOWLOON</t>
  </si>
  <si>
    <t>HIP FOOK BUILDING,NO. 63-71,TAI PO ROAD,SHAM SHUI PO,KOWLOON</t>
  </si>
  <si>
    <t>Tung Lo Court Block A</t>
  </si>
  <si>
    <t>TUNG LO COURT</t>
  </si>
  <si>
    <t>NO. 1A-1E,UN CHAU STREET,SHAM SHUI PO,KOWLOON</t>
  </si>
  <si>
    <t>CHEE HONG BUILDING</t>
  </si>
  <si>
    <t>CHEE HONG BUILDING,NO. 43-45,WONG CHUK STREET,SHAM SHUI PO,KOWLOON</t>
  </si>
  <si>
    <t>FAIRVIEW GARDEN,NOS. 25-27,TAI PO ROAD,SHAM SHUI PO,KOWLOON</t>
  </si>
  <si>
    <t>YAU LUEN APARTMENTS,NO. 70A-70D,TAI PO ROAD,SHAM SHUI PO,KOWLOON</t>
  </si>
  <si>
    <t>NO. 33,MAPLE STREET,SHAM SHUI PO,KOWLOON</t>
  </si>
  <si>
    <t>TAI PO HOUSE,NO. 13-15,TAI PO ROAD,SHAM SHUI PO,KOWLOON</t>
  </si>
  <si>
    <t>SHING TO BUILDING</t>
  </si>
  <si>
    <t>HANG SHING BUILDING</t>
  </si>
  <si>
    <t>YAU TSIM MONG</t>
  </si>
  <si>
    <t>PROSPERITY COMMERCIAL BUILDING,NO. 786,NATHAN ROAD,YAU TSIM MONG,KOWLOON</t>
  </si>
  <si>
    <t>LEE TAT BUILDING,NO. 785-787A,NATHAN ROAD,YAU TSIM MONG,KOWLOON</t>
  </si>
  <si>
    <t>TAI SANG BANK BUILDING</t>
  </si>
  <si>
    <t>TAI SANG BANK BUILDING,NO. 784,NATHAN ROAD,YAU TSIM MONG,KOWLOON</t>
  </si>
  <si>
    <t>BIJOU APARTMENTS,NO. 157,PRINCE EDWARD ROAD WEST,YAU TSIM MONG,KOWLOON</t>
  </si>
  <si>
    <t>750, NATHAN ROAD, YAU TSIM MONG, Kowloon</t>
  </si>
  <si>
    <t>T.O.P This is our place, 700, NATHAN ROAD, YAU TSIM MONG, Kowloon</t>
  </si>
  <si>
    <t>SILVERCORP INTL TOWER,NO. 707-713,NATHAN ROAD,YAU TSIM MONG,KOWLOON</t>
  </si>
  <si>
    <t>REX BUILDING,NO. 648-652,NATHAN ROAD,YAU TSIM MONG,KOWLOON</t>
  </si>
  <si>
    <t>TOA TAK BUILDING,NO. 642-646,NATHAN ROAD,YAU TSIM MONG,KOWLOON</t>
  </si>
  <si>
    <t>FEE TAT COMMERCIAL CENTRE,NO. 613,NATHAN ROAD,YAU TSIM MONG,KOWLOON</t>
  </si>
  <si>
    <t>HOLLYWOOD PLAZA,NO. 610,NATHAN ROAD,YAU TSIM MONG,KOWLOON</t>
  </si>
  <si>
    <t>WOFOO COMMERCIAL BUILDING,NO. 574-576,NATHAN ROAD,YAU TSIM MONG,KOWLOON</t>
  </si>
  <si>
    <t>KELLY COMMERCIAL CENTRE,NO. 570-572,NATHAN ROAD,YAU TSIM MONG,KOWLOON</t>
  </si>
  <si>
    <t>FULL WIN COMMERCIAL CENTRE,NO. 573,NATHAN ROAD,YAU TSIM MONG,KOWLOON</t>
  </si>
  <si>
    <t>IN'S POINT</t>
  </si>
  <si>
    <t>IN'S POINT,NO. 530-544,NATHAN ROAD,YAU TSIM MONG,KOWLOON</t>
  </si>
  <si>
    <t>Onward Building, 528, NATHAN ROAD, YAU TSIM MONG, Kowloon</t>
  </si>
  <si>
    <t>LAI KEE MANSION,NO. 521-523,NATHAN ROAD,YAU TSIM MONG,KOWLOON</t>
  </si>
  <si>
    <t>BANGKOK BANK BUILDING,NO. 490-492,NATHAN ROAD,YAU TSIM MONG,KOWLOON</t>
  </si>
  <si>
    <t>Ek Lam Mansion</t>
  </si>
  <si>
    <t>Ek Lam Mansion, 486-488, NATHAN ROAD, YAU TSIM MONG, Kowloon</t>
  </si>
  <si>
    <t>CHAK FUNG HOUSE</t>
  </si>
  <si>
    <t>CHAK FUNG HOUSE,NO. 440-442,NATHAN ROAD,YAU TSIM MONG,KOWLOON</t>
  </si>
  <si>
    <t>TANG'S MANSION,NO. 438,NATHAN ROAD,YAU TSIM MONG,KOWLOON</t>
  </si>
  <si>
    <t>NO. 315,NATHAN ROAD,YAU TSIM MONG,KOWLOON</t>
  </si>
  <si>
    <t>HANG SHING BUILDING,NO. 363-373,NATHAN ROAD,YAU TSIM MONG,KOWLOON</t>
  </si>
  <si>
    <t>Wing On Kowloon Centre</t>
  </si>
  <si>
    <t>Wing On Kowloon Centre, 345, NATHAN ROAD, YAU TSIM MONG, Kowloon</t>
  </si>
  <si>
    <t>HONG KIU MANSION,NO. 311-313,NATHAN ROAD,YAU TSIM MONG,KOWLOON</t>
  </si>
  <si>
    <t>MAY MING BUILDING,NO. 312,NATHAN ROAD,YAU TSIM MONG,KOWLOON</t>
  </si>
  <si>
    <t>NO. 238,NATHAN ROAD,YAU TSIM MONG,KOWLOON</t>
  </si>
  <si>
    <t>PEARL ORIENTAL TOWER</t>
  </si>
  <si>
    <t>PEARL ORIENTAL TOWER,NO. 225,NATHAN ROAD,YAU TSIM MONG,KOWLOON</t>
  </si>
  <si>
    <t>The NATE</t>
  </si>
  <si>
    <t>The NATE, 176, NATHAN ROAD, YAU TSIM MONG, Kowloon</t>
  </si>
  <si>
    <t>MIRAMAR SHOPPING CENTRE</t>
  </si>
  <si>
    <t>MIRAMAR SHOPPING CENTRE,NO. 132,NATHAN ROAD,YAU TSIM MONG,KOWLOON</t>
  </si>
  <si>
    <t>PARK LANE SHOPPER'S BOULEVARD</t>
  </si>
  <si>
    <t>PARK LANE SHOPPER'S BOULEVARD,NO. 111-181,NATHAN ROAD,YAU TSIM MONG,KOWLOON</t>
  </si>
  <si>
    <t>COMFORT BUILDING,NO. 86-88A,NATHAN ROAD,YAU TSIM MONG,KOWLOON</t>
  </si>
  <si>
    <t>NO. 26,NATHAN ROAD,YAU TSIM MONG,KOWLOON</t>
  </si>
  <si>
    <t>CARPRIO MANSION,NO. 1,LAI CHI KOK ROAD,YAU TSIM MONG,KOWLOON</t>
  </si>
  <si>
    <t>YICK WAH BUILDING,NO. 319-321,HENNESSY ROAD,WAN CHAI,HONG KONG</t>
  </si>
  <si>
    <t>LUEN WO BUILDING,NO. 337-339,HENNESSY ROAD,WAN CHAI,HONG KONG</t>
  </si>
  <si>
    <t>CCB TOWER</t>
  </si>
  <si>
    <t>703-705, NATHAN ROAD, Le Diamant, YAU TSIM MONG, Kowloon</t>
  </si>
  <si>
    <t>Asian House</t>
  </si>
  <si>
    <t>Post-fieldwork notes</t>
  </si>
  <si>
    <t>Public Transport (MTR)</t>
  </si>
  <si>
    <t>Shares same building with S2NW, further south is S1NW (duplicate)</t>
  </si>
  <si>
    <t>S3SE</t>
  </si>
  <si>
    <t>Declared Monument, Name manually edited due to misrecognition</t>
  </si>
  <si>
    <t>https://www.amo.gov.hk/en/monuments_37.php</t>
  </si>
  <si>
    <t>Shares same building with S3NE</t>
  </si>
  <si>
    <t>Wikipedia+BMIS</t>
  </si>
  <si>
    <t>Shares same building with S5NE</t>
  </si>
  <si>
    <t>i.e. Peak Tram</t>
  </si>
  <si>
    <t>Declared Monument</t>
  </si>
  <si>
    <t>https://www.amo.gov.hk/en/monuments_49.php</t>
  </si>
  <si>
    <t xml:space="preserve">Error </t>
  </si>
  <si>
    <r>
      <rPr>
        <b/>
        <sz val="12"/>
        <rFont val="Arial"/>
      </rPr>
      <t xml:space="preserve">FULL TRANSECT MAP LINK: </t>
    </r>
    <r>
      <rPr>
        <b/>
        <u/>
        <sz val="12"/>
        <color rgb="FF1155CC"/>
        <rFont val="Arial"/>
      </rPr>
      <t>https://www.google.com/maps/d/edit?mid=1OF8n3UeNqg19KfyJW49_-UnJx50gMZCk&amp;usp=sharing</t>
    </r>
    <r>
      <rPr>
        <b/>
        <sz val="12"/>
        <rFont val="Arial"/>
      </rPr>
      <t xml:space="preserve"> </t>
    </r>
  </si>
  <si>
    <t>outliers</t>
  </si>
  <si>
    <t>Southern Transect (Along Chater Rd, Ice House St, Des Voeux Rd, Queen's Rd, Garden Rd)</t>
  </si>
  <si>
    <t xml:space="preserve">Interval </t>
  </si>
  <si>
    <t>Distance from PLVI (metres)</t>
  </si>
  <si>
    <t>transect images</t>
  </si>
  <si>
    <t xml:space="preserve">Building name </t>
  </si>
  <si>
    <t>Number of floors</t>
  </si>
  <si>
    <t xml:space="preserve">Average number of floors at transect point 
(RAW) (4 sig. no.)
</t>
  </si>
  <si>
    <t xml:space="preserve">Average number of floors at transect point 
(excluding errors) 
</t>
  </si>
  <si>
    <t>Average number of floors at transect point (excluding errors and outliers )</t>
  </si>
  <si>
    <t xml:space="preserve">Comments </t>
  </si>
  <si>
    <t>Rank for distance from PLVI</t>
  </si>
  <si>
    <t>Rank for average number of floors (excluding errors and outliers)</t>
  </si>
  <si>
    <t xml:space="preserve">Difference in Ranking </t>
  </si>
  <si>
    <t>difference in ranking d^2</t>
  </si>
  <si>
    <t>S1a (NE)</t>
  </si>
  <si>
    <t>IFC 1 （國際金融中心一期）</t>
  </si>
  <si>
    <t>S1b (SE)</t>
  </si>
  <si>
    <t>8 Finance Street</t>
  </si>
  <si>
    <t>General Post Office (郵政總局)</t>
  </si>
  <si>
    <t>S1c (SW)</t>
  </si>
  <si>
    <t>Jardine House (怡和大廈)</t>
  </si>
  <si>
    <t>S1d (NW)</t>
  </si>
  <si>
    <t>Two Exchange Square (交易廣場2座)</t>
  </si>
  <si>
    <t>S2a (NE)</t>
  </si>
  <si>
    <t>Chater House (遮打大廈)</t>
  </si>
  <si>
    <t>S2b (SE)</t>
  </si>
  <si>
    <t>Alexandra House (歷山大廈)</t>
  </si>
  <si>
    <t>S2c (SW)</t>
  </si>
  <si>
    <t>LANDMARK ATRIUM (置地廣塲)</t>
  </si>
  <si>
    <t>S2d (NW)</t>
  </si>
  <si>
    <t>World Wide House （環球大廈）</t>
  </si>
  <si>
    <t>S3a (NE)</t>
  </si>
  <si>
    <t>China Construction Bank （中國建設銀行大廈）</t>
  </si>
  <si>
    <t>S3b (SE)</t>
  </si>
  <si>
    <t>2 Connaught Place</t>
  </si>
  <si>
    <t>Prince's Building (太子大廈)</t>
  </si>
  <si>
    <t>S3c (SW)</t>
  </si>
  <si>
    <t>8 Connaught Place, Central</t>
  </si>
  <si>
    <t>Standard Chartered Bank Building (中環渣打銀行大廈)</t>
  </si>
  <si>
    <t>S3d (NW)</t>
  </si>
  <si>
    <t>Harbor View Street</t>
  </si>
  <si>
    <t>New Henry House (新顯利大廈)</t>
  </si>
  <si>
    <t>S4a (NE)</t>
  </si>
  <si>
    <t>Bank of China Building 中國銀行大廈</t>
  </si>
  <si>
    <t>S4b (SE)</t>
  </si>
  <si>
    <t>8 Connaught Road Central</t>
  </si>
  <si>
    <t>HSBC Building 香港匯豐總行大廈</t>
  </si>
  <si>
    <t>S4c (SW)</t>
  </si>
  <si>
    <t>19 Des Voeux Road Central</t>
  </si>
  <si>
    <t xml:space="preserve"> Former French Mission Building 前法國外方傳道會大樓</t>
  </si>
  <si>
    <t>S4d (NW)</t>
  </si>
  <si>
    <t>Cheung Kong 長江集團中心</t>
  </si>
  <si>
    <t>S5a (NE)</t>
  </si>
  <si>
    <t>39-41 Des Voeux Road Central</t>
  </si>
  <si>
    <t>Cheung Kong Park 長江公園</t>
  </si>
  <si>
    <t>S5b (SE)</t>
  </si>
  <si>
    <t>33 Des Voeux Road Central</t>
  </si>
  <si>
    <t>TBC on fieldwork day</t>
  </si>
  <si>
    <t>S5c (SW)</t>
  </si>
  <si>
    <t>30-32 Des Voeux Road Central</t>
  </si>
  <si>
    <t>Bank of China Tower 中銀大廈</t>
  </si>
  <si>
    <t>S5d (NW)</t>
  </si>
  <si>
    <t>34-38 Des Voeux Road Central</t>
  </si>
  <si>
    <t>Three Garden Road Central （花園道三號/  花旗銀行廣場）</t>
  </si>
  <si>
    <t>S6a (NE)</t>
  </si>
  <si>
    <t>83 Des Voeux Road Central</t>
  </si>
  <si>
    <t>Peak Tram 山頂纜車</t>
  </si>
  <si>
    <t>S6b (SE)</t>
  </si>
  <si>
    <t>S6c (SW)</t>
  </si>
  <si>
    <t>Queen's Road Central, Central</t>
  </si>
  <si>
    <t>S6d (NW)</t>
  </si>
  <si>
    <t>84-86 Des Voeux Rd Central, Central</t>
  </si>
  <si>
    <t>S7a (NE)</t>
  </si>
  <si>
    <t>10-16 Cochrane St, Central</t>
  </si>
  <si>
    <t>S7b (SE)</t>
  </si>
  <si>
    <t>S7c (SW)</t>
  </si>
  <si>
    <t>83 Wellington Street</t>
  </si>
  <si>
    <t>S7d (NW)</t>
  </si>
  <si>
    <t>S8a (NE)</t>
  </si>
  <si>
    <t>S8b (SE)</t>
  </si>
  <si>
    <t>30 Hollywood Rd, Central</t>
  </si>
  <si>
    <t>S8c (SW)</t>
  </si>
  <si>
    <t>32 Hollywood Rd, Central</t>
  </si>
  <si>
    <t>S8d (NW)</t>
  </si>
  <si>
    <t>S9a (NE)</t>
  </si>
  <si>
    <t>27 Shelley Street</t>
  </si>
  <si>
    <t>S9b (SE)</t>
  </si>
  <si>
    <t>S9c (SW)</t>
  </si>
  <si>
    <t xml:space="preserve">No 2 Prince's Terrace
</t>
  </si>
  <si>
    <t>S9d (NW)</t>
  </si>
  <si>
    <t>No 1 Prince's Terrace</t>
  </si>
  <si>
    <t>S10a (NE)</t>
  </si>
  <si>
    <t>52 Robinson Rd, Mid-level</t>
  </si>
  <si>
    <t>S10b (SE)</t>
  </si>
  <si>
    <t>S10c (SW)</t>
  </si>
  <si>
    <t>Vantage Park Block 2, Conduit Road, Mid-level</t>
  </si>
  <si>
    <t>S10d (NW)</t>
  </si>
  <si>
    <t>S11a (NE)</t>
  </si>
  <si>
    <t>Tycoon Court Block A, Conduit Rd, Mid-level</t>
  </si>
  <si>
    <t>S11b (SE)</t>
  </si>
  <si>
    <t>S11c (SW)</t>
  </si>
  <si>
    <t>Botanic Terrace Block A, Conduit Rd, Mid-level</t>
  </si>
  <si>
    <t>S11d (NW)</t>
  </si>
  <si>
    <t>12 Conduit Rd, Mid-level</t>
  </si>
  <si>
    <t>Average</t>
  </si>
  <si>
    <t>Sum d^2</t>
  </si>
  <si>
    <t>r-value</t>
  </si>
  <si>
    <t>t-value</t>
  </si>
  <si>
    <t>Absolute t-value</t>
  </si>
  <si>
    <t>S0SE</t>
  </si>
  <si>
    <t>S0NE</t>
  </si>
  <si>
    <t>S0NW</t>
  </si>
  <si>
    <t>S0SW</t>
  </si>
  <si>
    <t>S1SW</t>
  </si>
  <si>
    <t>S1NW</t>
  </si>
  <si>
    <t>3436015848T20050430</t>
  </si>
  <si>
    <t>Alexandra House</t>
  </si>
  <si>
    <t>歷山大廈</t>
  </si>
  <si>
    <t>S1NE</t>
  </si>
  <si>
    <t>3429815844T20050430</t>
  </si>
  <si>
    <t>Gloucester Tower</t>
  </si>
  <si>
    <t>告羅士打大廈</t>
  </si>
  <si>
    <t>S1SE</t>
  </si>
  <si>
    <t>S2SE</t>
  </si>
  <si>
    <t>3435115710T20050430</t>
  </si>
  <si>
    <t>The Galleria</t>
  </si>
  <si>
    <t>嘉軒廣場</t>
  </si>
  <si>
    <t>S2NW</t>
  </si>
  <si>
    <t>S2NE</t>
  </si>
  <si>
    <t>3442015710T20050430</t>
  </si>
  <si>
    <t>Standard Chartered Bank Building</t>
  </si>
  <si>
    <t>渣打銀行大廈</t>
  </si>
  <si>
    <t>S3NE</t>
  </si>
  <si>
    <t>3458315630T20050430</t>
  </si>
  <si>
    <t>Cheung Kong Center</t>
  </si>
  <si>
    <t>長江集團中心</t>
  </si>
  <si>
    <t>S3SW</t>
  </si>
  <si>
    <t>3447515691T20050430</t>
  </si>
  <si>
    <t>HSBC Main Building</t>
  </si>
  <si>
    <t>滙豐總行大廈</t>
  </si>
  <si>
    <t>3448415634T20050430</t>
  </si>
  <si>
    <t>Former French Mission Building</t>
  </si>
  <si>
    <t xml:space="preserve">前法國外方傳道會大樓 </t>
  </si>
  <si>
    <t>S3NW</t>
  </si>
  <si>
    <t>3454715722T20050430</t>
  </si>
  <si>
    <t>Bank of China Building</t>
  </si>
  <si>
    <t>中國銀行大廈</t>
  </si>
  <si>
    <t>S4NE</t>
  </si>
  <si>
    <t>3453715595T20050430</t>
  </si>
  <si>
    <t>Cheung Kong Park</t>
  </si>
  <si>
    <t>長江公園</t>
  </si>
  <si>
    <t>S4SW</t>
  </si>
  <si>
    <t>S4NW</t>
  </si>
  <si>
    <t>3457815511T20050430</t>
  </si>
  <si>
    <t>Champion Tower</t>
  </si>
  <si>
    <t>冠君大廈</t>
  </si>
  <si>
    <t>S4SE</t>
  </si>
  <si>
    <t>S5SW</t>
  </si>
  <si>
    <t>3444815421T20050430</t>
  </si>
  <si>
    <t>St. John's Building</t>
  </si>
  <si>
    <t>聖約翰大廈</t>
  </si>
  <si>
    <t>S5NE</t>
  </si>
  <si>
    <t>3439115454T20050430</t>
  </si>
  <si>
    <t>Consulate General of the United States of America</t>
  </si>
  <si>
    <t>美國領事館</t>
  </si>
  <si>
    <t>S5NW</t>
  </si>
  <si>
    <t>3437015410T20050430</t>
  </si>
  <si>
    <t>The Helena May</t>
  </si>
  <si>
    <t>梅夫人婦女會</t>
  </si>
  <si>
    <t>608-616 Queen's Rd W, Sai Wan</t>
  </si>
  <si>
    <t>D.V.R. = Des Voeux Road</t>
  </si>
  <si>
    <t>https://www.google.com/maps/d/edit?mid=12LKSO1UFNxqtGfERz4ij7c4eJuVaS4sc&amp;usp=sharing</t>
  </si>
  <si>
    <t>Outliers</t>
  </si>
  <si>
    <t>Western Transect  (Along Des Voeux Central and West)</t>
  </si>
  <si>
    <t>Average number of floors at transect point (excluding errors and outliers)</t>
  </si>
  <si>
    <t>Difference in Ranking (d)</t>
  </si>
  <si>
    <t>difference in ranking squared (d^2)</t>
  </si>
  <si>
    <t>d</t>
  </si>
  <si>
    <t>W1a (NE)</t>
  </si>
  <si>
    <t>83 Des Voeux Road Central, Hong Kong</t>
  </si>
  <si>
    <t xml:space="preserve">General Post Office </t>
  </si>
  <si>
    <t xml:space="preserve">govt </t>
  </si>
  <si>
    <t>W1b (SE)</t>
  </si>
  <si>
    <t>Level 15 &amp; 16 Nexxus Building, 41 Connaught Road Central, Central, Hong Kong</t>
  </si>
  <si>
    <t xml:space="preserve">Jardine House </t>
  </si>
  <si>
    <t>W1c (SW)</t>
  </si>
  <si>
    <t>Queen's Road Central, Central, Hong Kong</t>
  </si>
  <si>
    <t xml:space="preserve">Two Exchange Square </t>
  </si>
  <si>
    <t>W1d (NW)</t>
  </si>
  <si>
    <t>Chow Sang Sang (IFC)</t>
  </si>
  <si>
    <t>W2a (NE)</t>
  </si>
  <si>
    <t>151 Des Voeux Rd Central, Central, Hong Kong</t>
  </si>
  <si>
    <t xml:space="preserve">road </t>
  </si>
  <si>
    <t>W2b (SE)</t>
  </si>
  <si>
    <t>Hong Kong, 德輔道中130-132</t>
  </si>
  <si>
    <t xml:space="preserve">Chater House </t>
  </si>
  <si>
    <t>W2c (SW)</t>
  </si>
  <si>
    <t>140-142 Des Voeux Rd Central</t>
  </si>
  <si>
    <t>W2d (NW)</t>
  </si>
  <si>
    <t>161-167 Des Voeux Rd Central</t>
  </si>
  <si>
    <t xml:space="preserve">World Wide House </t>
  </si>
  <si>
    <t>W3a (NE)</t>
  </si>
  <si>
    <t>Wing On Centre, 211 Des Voeux Rd Central, Sheung Wan, Hong Kong</t>
  </si>
  <si>
    <t xml:space="preserve">Chinachem Tower </t>
  </si>
  <si>
    <t>W3b (SE)</t>
  </si>
  <si>
    <t>210 Des Voeux Rd Central, Sheung Wan</t>
  </si>
  <si>
    <t xml:space="preserve">Hip Shing Hong Centre </t>
  </si>
  <si>
    <t>W3c (SW)</t>
  </si>
  <si>
    <t>Ka Wah Bank Centre, 232 Des Voeux Rd Central, Sheung Wan, Hong Kong</t>
  </si>
  <si>
    <t xml:space="preserve">Tung Ming Building </t>
  </si>
  <si>
    <t>W3d (NW)</t>
  </si>
  <si>
    <t xml:space="preserve">Lap Fai Building </t>
  </si>
  <si>
    <t>W4a (NE)</t>
  </si>
  <si>
    <t>287-291 Des Voeux Rd Central, Sheung Wan</t>
  </si>
  <si>
    <t xml:space="preserve">Southland Building </t>
  </si>
  <si>
    <t>Passed</t>
  </si>
  <si>
    <t>W4b (SE)</t>
  </si>
  <si>
    <t>Main Road</t>
  </si>
  <si>
    <t xml:space="preserve">Hang Seng Bank Headquarters </t>
  </si>
  <si>
    <t>Didn't open</t>
  </si>
  <si>
    <t>W4c (SW)</t>
  </si>
  <si>
    <t>300 Des Voeux Rd Central, Sheung Wan</t>
  </si>
  <si>
    <t xml:space="preserve">Central 88 </t>
  </si>
  <si>
    <t>W4d (NW)</t>
  </si>
  <si>
    <t>China Merchants Building, 152-155 Connaught Rd Central, Sheung Wan, Hong Kong</t>
  </si>
  <si>
    <t xml:space="preserve">Hung Tak Building </t>
  </si>
  <si>
    <t>W5a (NE)</t>
  </si>
  <si>
    <t>Highway</t>
  </si>
  <si>
    <t>Nan Fung Tower</t>
  </si>
  <si>
    <t>W5b (SE)</t>
  </si>
  <si>
    <t>3 Connaught Rd W, Sheung Wan</t>
  </si>
  <si>
    <t>no building</t>
  </si>
  <si>
    <t>W5c (SW)</t>
  </si>
  <si>
    <t>8-14 Connaught Rd W, Sheung Wan</t>
  </si>
  <si>
    <t>Cheungs Building</t>
  </si>
  <si>
    <t>W5d (NW)</t>
  </si>
  <si>
    <t>Li Po Chun Chambers they told us to leave</t>
  </si>
  <si>
    <t>W6a (NE)</t>
  </si>
  <si>
    <t>Highway (Rumsey Street Flyove)</t>
  </si>
  <si>
    <t xml:space="preserve">Blissful Building </t>
  </si>
  <si>
    <t>W6b (SE)</t>
  </si>
  <si>
    <t>45-47 Connaught Rd W, Sheung Wan</t>
  </si>
  <si>
    <t xml:space="preserve">88 Commercial Building </t>
  </si>
  <si>
    <t>W6c (SW)</t>
  </si>
  <si>
    <t>8 Des Voeux Rd W</t>
  </si>
  <si>
    <t>Tung Hip Commercial Building</t>
  </si>
  <si>
    <t>W6d (NW)</t>
  </si>
  <si>
    <t xml:space="preserve">Tung Ning Building </t>
  </si>
  <si>
    <t>W7a (NE)</t>
  </si>
  <si>
    <t>Open Space</t>
  </si>
  <si>
    <t xml:space="preserve">Kai Tak Commercial Building </t>
  </si>
  <si>
    <t>W7b (SE)</t>
  </si>
  <si>
    <t>60-64 Des Voeux Rd W, Sheung Wan</t>
  </si>
  <si>
    <t xml:space="preserve">FWD Financial Centre </t>
  </si>
  <si>
    <t>did not open</t>
  </si>
  <si>
    <t>W7c (SW)</t>
  </si>
  <si>
    <t>Hong Kong, 德輔道西88</t>
  </si>
  <si>
    <t xml:space="preserve">Western District Telephone Exchange </t>
  </si>
  <si>
    <t>(had some error in ranking, corrected now)</t>
  </si>
  <si>
    <t>W7d (NW)</t>
  </si>
  <si>
    <t>59-61 Des Voeux Rd W, Sheung Wan</t>
  </si>
  <si>
    <t>Western Market (historical)</t>
  </si>
  <si>
    <t>∑d^2</t>
  </si>
  <si>
    <t>W8a (NE)</t>
  </si>
  <si>
    <t>205A-205C Hollywood Rd, Tai Ping Shan</t>
  </si>
  <si>
    <t xml:space="preserve">bridge </t>
  </si>
  <si>
    <t>Rs</t>
  </si>
  <si>
    <t>W8b (SE)</t>
  </si>
  <si>
    <t>Hong Kong, 德輔道西144</t>
  </si>
  <si>
    <t xml:space="preserve">Seaview Commerical Building </t>
  </si>
  <si>
    <t>W8c (SW)</t>
  </si>
  <si>
    <t>160 Des Voeux Rd W, Sai Ying Pun</t>
  </si>
  <si>
    <t>B2B Centre (Connaught Harbourfront House)</t>
  </si>
  <si>
    <t>W8d (NW)</t>
  </si>
  <si>
    <t>139-145 Des Voeux Rd W, Sai Ying Pun</t>
  </si>
  <si>
    <t>W9a (NE)</t>
  </si>
  <si>
    <t>152 Connaught Rd W, Sai Ying Pun</t>
  </si>
  <si>
    <t xml:space="preserve">Wui Tat Centre </t>
  </si>
  <si>
    <t>W9b (SE)</t>
  </si>
  <si>
    <t>Sai Ying Pun, Des Voeux Rd W, 224-226號Sai Ying Pun, Des Voeux Rd W, 224-226號</t>
  </si>
  <si>
    <t xml:space="preserve">Kingdom Power Commercial Building </t>
  </si>
  <si>
    <t>W9c (SW)</t>
  </si>
  <si>
    <t>Hong Kong, 德輔道西228</t>
  </si>
  <si>
    <t xml:space="preserve">Western Centre </t>
  </si>
  <si>
    <t>W9d (NW)</t>
  </si>
  <si>
    <t>14 Centre St, Sai Ying Pun, Hong Kong</t>
  </si>
  <si>
    <t xml:space="preserve">Sing Kui Commercial Building </t>
  </si>
  <si>
    <t>W10a (NE)</t>
  </si>
  <si>
    <t>273 Des Voeux Rd W, Sai Ying Pun</t>
  </si>
  <si>
    <t>Hong Kong Chiu Chow COC Members' Club Limited</t>
  </si>
  <si>
    <t>W10b (SE)</t>
  </si>
  <si>
    <t>280 Des Voeux Rd W, Sai Ying Pun</t>
  </si>
  <si>
    <t>興泰公司貿易</t>
  </si>
  <si>
    <t>W10c (SW)</t>
  </si>
  <si>
    <t>ava128</t>
  </si>
  <si>
    <t>W10d (NW)</t>
  </si>
  <si>
    <t>Lucky Commerical Centre</t>
  </si>
  <si>
    <t>W11a (NE)</t>
  </si>
  <si>
    <t>343 Des Voeux Rd W, Sai Wan</t>
  </si>
  <si>
    <t>Tak Tung Building</t>
  </si>
  <si>
    <t>W11b (SE)</t>
  </si>
  <si>
    <t>322 Des Voeux Rd W Sai Wan</t>
  </si>
  <si>
    <t>Luen Tak Building</t>
  </si>
  <si>
    <t>W11c (SW)</t>
  </si>
  <si>
    <t>332 Des Voeux Rd W, Sai Wan</t>
  </si>
  <si>
    <t>Wai Tak Building</t>
  </si>
  <si>
    <t>W11d (NW)</t>
  </si>
  <si>
    <t>Wing Fat Mansion</t>
  </si>
  <si>
    <t>W12a (NE)</t>
  </si>
  <si>
    <t>347-349 Des Voeux Rd W, Sai Wan</t>
  </si>
  <si>
    <t>Tak May House</t>
  </si>
  <si>
    <t>W12b (SE)</t>
  </si>
  <si>
    <t>402-404號 Des Voeux Rd W, Sai Wan</t>
  </si>
  <si>
    <t>Tung Che Commercial Centre</t>
  </si>
  <si>
    <t>W12c (SW)</t>
  </si>
  <si>
    <t>406-408D Des Voeux Rd W, Sai Wan</t>
  </si>
  <si>
    <t>Ching Tak Building</t>
  </si>
  <si>
    <t>W12d (NW)</t>
  </si>
  <si>
    <t>353-367 Des Voeux Rd W, Sai Wan</t>
  </si>
  <si>
    <t>Wah Lap Building</t>
  </si>
  <si>
    <t>W13a (NE)</t>
  </si>
  <si>
    <t>Highway (transport system)</t>
  </si>
  <si>
    <t>Tin Hing Building</t>
  </si>
  <si>
    <t>W13b (SE)</t>
  </si>
  <si>
    <t>430-440A Des Voeux Rd W, Sai Wan</t>
  </si>
  <si>
    <t>Siu Cheung Building</t>
  </si>
  <si>
    <t>W13c (SW)</t>
  </si>
  <si>
    <t>Merit Court</t>
  </si>
  <si>
    <t>W13d (NW)</t>
  </si>
  <si>
    <t>Bohemian House (321 D.V.R.)</t>
  </si>
  <si>
    <t>W14a (NE)</t>
  </si>
  <si>
    <t>Kwan Yick Building Phase 2 Shopping Arcade</t>
  </si>
  <si>
    <t>W14b (SE)</t>
  </si>
  <si>
    <t>458 Des Voeux Rd W , Sai Wan</t>
  </si>
  <si>
    <t>Chung Ah Mansion</t>
  </si>
  <si>
    <t>W14c (SW)</t>
  </si>
  <si>
    <t>Lucky Building (370-372 D.V.R.)</t>
  </si>
  <si>
    <t>W14d (NW)</t>
  </si>
  <si>
    <t>Upton (維港峰)</t>
  </si>
  <si>
    <t>W15a (NE)</t>
  </si>
  <si>
    <t>533-543 Queen's Rd W, Sai Wan</t>
  </si>
  <si>
    <t>Lun Fung Court</t>
  </si>
  <si>
    <t>W15b (SE)</t>
  </si>
  <si>
    <t>408-408 Des Voeux Road West</t>
  </si>
  <si>
    <t>W15c (SW)</t>
  </si>
  <si>
    <t>Pacific Plaza</t>
  </si>
  <si>
    <t>W15d (NW)</t>
  </si>
  <si>
    <t>highway</t>
  </si>
  <si>
    <t>Hong Kong Plaza, 188 Connaught Road West</t>
  </si>
  <si>
    <t>W16a (NE)</t>
  </si>
  <si>
    <t>n :15</t>
  </si>
  <si>
    <t>Sum d^2=</t>
  </si>
  <si>
    <t>W16b (SE)</t>
  </si>
  <si>
    <t>84 Des Voeux Road Central, Hong Kong</t>
  </si>
  <si>
    <t xml:space="preserve">China Construction Bank (Asia) - (Mei Sun Lau Shopping Arcade) </t>
  </si>
  <si>
    <t>W16c (SW)</t>
  </si>
  <si>
    <t>Hong Kong Industrial Building</t>
  </si>
  <si>
    <t>W16d (NW)</t>
  </si>
  <si>
    <t>W17a (NE)</t>
  </si>
  <si>
    <t>Wo Fat Building</t>
  </si>
  <si>
    <t>W17b (SE)</t>
  </si>
  <si>
    <t>152 Des Voeux Rd Central, Central, Hong Kong</t>
  </si>
  <si>
    <t>Sum Way Mansion</t>
  </si>
  <si>
    <t>W17c (SW)</t>
  </si>
  <si>
    <t>Hong Kong, 德輔道中130-133</t>
  </si>
  <si>
    <t>Error/open area</t>
  </si>
  <si>
    <t>W17d (NW)</t>
  </si>
  <si>
    <t>Western Transect (along Charter Road, Des Voeux Road C&amp;W and Connaught Road Central)</t>
  </si>
  <si>
    <t>Building Name (Old)</t>
  </si>
  <si>
    <t>Address (Old)</t>
  </si>
  <si>
    <t>Number of Storeys (Old)</t>
  </si>
  <si>
    <t>h/s ratio (temp)</t>
  </si>
  <si>
    <t>to be confirmed</t>
  </si>
  <si>
    <t>Fieldwork</t>
  </si>
  <si>
    <t>To be changed, waiting confirmation</t>
  </si>
  <si>
    <t>Fieldwork+BMIS</t>
  </si>
  <si>
    <t>http://www.hongkongoffice.com/building_search/office_profile.asp?B=21276</t>
  </si>
  <si>
    <t>http://www.primeoffice.com.hk/hong-kong-office/6620/west-exchange-tower</t>
  </si>
  <si>
    <t>Fieldwork+Street View</t>
  </si>
  <si>
    <t>408 DVRW</t>
  </si>
  <si>
    <t>a</t>
  </si>
  <si>
    <t>W0NE</t>
  </si>
  <si>
    <t>x</t>
  </si>
  <si>
    <t>W0SE</t>
  </si>
  <si>
    <t>W0SW</t>
  </si>
  <si>
    <t>3433916108T20050430</t>
  </si>
  <si>
    <t>Two Exchange Square</t>
  </si>
  <si>
    <t>交易廣場第二座</t>
  </si>
  <si>
    <t>W0NW</t>
  </si>
  <si>
    <t>W1SE</t>
  </si>
  <si>
    <t>W1NW</t>
  </si>
  <si>
    <t>W2NE</t>
  </si>
  <si>
    <t>3418516083T20050430</t>
  </si>
  <si>
    <t>The Chinese Bank Building</t>
  </si>
  <si>
    <t>華人銀行大廈</t>
  </si>
  <si>
    <t>W2SE</t>
  </si>
  <si>
    <t>3421116068T20050430</t>
  </si>
  <si>
    <t>Hip Shing Hong Centre</t>
  </si>
  <si>
    <t>協成行中心</t>
  </si>
  <si>
    <t>W2SW</t>
  </si>
  <si>
    <t>3418516038T20050430</t>
  </si>
  <si>
    <t>Tung Ming Building</t>
  </si>
  <si>
    <t>通明大廈</t>
  </si>
  <si>
    <t>W2NW</t>
  </si>
  <si>
    <t>3416816060T20050430</t>
  </si>
  <si>
    <t>Prosperous Building</t>
  </si>
  <si>
    <t>裕昌大廈</t>
  </si>
  <si>
    <t>W3NE</t>
  </si>
  <si>
    <t>3408616210T20050430</t>
  </si>
  <si>
    <t>Dah Sing Life Building</t>
  </si>
  <si>
    <t>大新人壽大廈</t>
  </si>
  <si>
    <t>W3SE</t>
  </si>
  <si>
    <t>3413016183T20050430</t>
  </si>
  <si>
    <t>Hang Seng Bank Headquarters</t>
  </si>
  <si>
    <t>恒生銀行總行大廈</t>
  </si>
  <si>
    <t>W3SW</t>
  </si>
  <si>
    <t>3405416208T20050430</t>
  </si>
  <si>
    <t>Central 88</t>
  </si>
  <si>
    <t>中環８８</t>
  </si>
  <si>
    <t>W3NW</t>
  </si>
  <si>
    <t>3403716230T20050430</t>
  </si>
  <si>
    <t>Hung Tak Building</t>
  </si>
  <si>
    <t>鴻德大廈</t>
  </si>
  <si>
    <t>W4NE</t>
  </si>
  <si>
    <t>3396016363T20050430</t>
  </si>
  <si>
    <t>南豐大廈</t>
  </si>
  <si>
    <t>W4SW</t>
  </si>
  <si>
    <t>3389716308T20050430</t>
  </si>
  <si>
    <t>Cheung's Building</t>
  </si>
  <si>
    <t>世瑛大廈</t>
  </si>
  <si>
    <t>W4NW</t>
  </si>
  <si>
    <t>3391716388T20050430</t>
  </si>
  <si>
    <t>Li Po Chun Chambers</t>
  </si>
  <si>
    <t>李寶椿大廈</t>
  </si>
  <si>
    <t>W5NE</t>
  </si>
  <si>
    <t>3373716417T20050430</t>
  </si>
  <si>
    <t>Blissful Building</t>
  </si>
  <si>
    <t>德祐大廈</t>
  </si>
  <si>
    <t>W5SE</t>
  </si>
  <si>
    <t>3374316380T20160603</t>
  </si>
  <si>
    <t>Continental Place</t>
  </si>
  <si>
    <t>W5SW</t>
  </si>
  <si>
    <t>3371816385T20050430</t>
  </si>
  <si>
    <t>東協商業大廈</t>
  </si>
  <si>
    <t>W5NW</t>
  </si>
  <si>
    <t>3372616430T20050430</t>
  </si>
  <si>
    <t>Tung Ning Building</t>
  </si>
  <si>
    <t>東寧大廈</t>
  </si>
  <si>
    <t>W6NE</t>
  </si>
  <si>
    <t>3356916504T20050430</t>
  </si>
  <si>
    <t>Kai Tak Commercial Building</t>
  </si>
  <si>
    <t>啓德商業大廈</t>
  </si>
  <si>
    <t>W6SE</t>
  </si>
  <si>
    <t>3356816428T20050430</t>
  </si>
  <si>
    <t>FWD Financial Centre</t>
  </si>
  <si>
    <t>富衛金融中心</t>
  </si>
  <si>
    <t>W6SW</t>
  </si>
  <si>
    <t>3352416430T20050430</t>
  </si>
  <si>
    <t>West Exchange Tower</t>
  </si>
  <si>
    <t>W6NW</t>
  </si>
  <si>
    <t>3353216474T20050430</t>
  </si>
  <si>
    <t>Western Market</t>
  </si>
  <si>
    <t>西港城</t>
  </si>
  <si>
    <t>W7SE</t>
  </si>
  <si>
    <t>3341016523T20050430</t>
  </si>
  <si>
    <t>Seaview Commercial Building</t>
  </si>
  <si>
    <t>海景商業大廈</t>
  </si>
  <si>
    <t>W7SW</t>
  </si>
  <si>
    <t>3336316548T20050430</t>
  </si>
  <si>
    <t>Connaught Harbourfront House</t>
  </si>
  <si>
    <t>香港康諾維港大廈</t>
  </si>
  <si>
    <t>W8NE</t>
  </si>
  <si>
    <t>3323316583T20050430</t>
  </si>
  <si>
    <t>No.9 Des Voeux Road West</t>
  </si>
  <si>
    <t>德輔道西九號</t>
  </si>
  <si>
    <t>W8SE</t>
  </si>
  <si>
    <t>3321216511T20050430</t>
  </si>
  <si>
    <t>Kingdom Power Commercial Building</t>
  </si>
  <si>
    <t>帝權商業大樓</t>
  </si>
  <si>
    <t>W8SW</t>
  </si>
  <si>
    <t>3318216518T20050430</t>
  </si>
  <si>
    <t>Western Centre</t>
  </si>
  <si>
    <t>西區中心</t>
  </si>
  <si>
    <t>W8NW</t>
  </si>
  <si>
    <t>3318516544T20050430</t>
  </si>
  <si>
    <t>Sing Kui Commercial Building</t>
  </si>
  <si>
    <t>星衢商業大廈</t>
  </si>
  <si>
    <t>W9NE</t>
  </si>
  <si>
    <t>3303616558T20050430</t>
  </si>
  <si>
    <t>Chiu Chow Association Building</t>
  </si>
  <si>
    <t>潮州會館</t>
  </si>
  <si>
    <t>W9SE</t>
  </si>
  <si>
    <t>3302716533T20050430</t>
  </si>
  <si>
    <t>Yu Chu Lam Building</t>
  </si>
  <si>
    <t>庾柱林大廈</t>
  </si>
  <si>
    <t>W9SW</t>
  </si>
  <si>
    <t>3298216530T20161117</t>
  </si>
  <si>
    <t>AVA128</t>
  </si>
  <si>
    <t>W9NW</t>
  </si>
  <si>
    <t>3298416570T20050430</t>
  </si>
  <si>
    <t>Lucky Commercial Centre</t>
  </si>
  <si>
    <t>樂基商業中心</t>
  </si>
  <si>
    <t>W10NE</t>
  </si>
  <si>
    <t>3284216568T20050430</t>
  </si>
  <si>
    <t>Tak Tung House</t>
  </si>
  <si>
    <t>德東樓</t>
  </si>
  <si>
    <t>W10SE</t>
  </si>
  <si>
    <t>3282716540T20050430</t>
  </si>
  <si>
    <t>聯德大廈</t>
  </si>
  <si>
    <t>W10SW</t>
  </si>
  <si>
    <t>3278416542T20050430</t>
  </si>
  <si>
    <t>惠德大廈</t>
  </si>
  <si>
    <t>W10NW</t>
  </si>
  <si>
    <t>3279116569T20050430</t>
  </si>
  <si>
    <t>永發樓</t>
  </si>
  <si>
    <t>W11NE</t>
  </si>
  <si>
    <t>3262316575T20050430</t>
  </si>
  <si>
    <t>德美樓</t>
  </si>
  <si>
    <t>W11SE</t>
  </si>
  <si>
    <t>3263716542T20050430</t>
  </si>
  <si>
    <t>東慈商業中心</t>
  </si>
  <si>
    <t>W11SW</t>
  </si>
  <si>
    <t>3260316549T20050430</t>
  </si>
  <si>
    <t>正德大廈</t>
  </si>
  <si>
    <t>W11NW</t>
  </si>
  <si>
    <t>3259716576T20050430</t>
  </si>
  <si>
    <t>Wah Lap House</t>
  </si>
  <si>
    <t>華立大樓</t>
  </si>
  <si>
    <t>W12NE</t>
  </si>
  <si>
    <t>3242116543T20050430</t>
  </si>
  <si>
    <t>天興大廈</t>
  </si>
  <si>
    <t>W12SE</t>
  </si>
  <si>
    <t>3243716498T20050430</t>
  </si>
  <si>
    <t>兆祥大廈</t>
  </si>
  <si>
    <t>W12SW</t>
  </si>
  <si>
    <t>3239216498T20050430</t>
  </si>
  <si>
    <t>Liang Ga Building</t>
  </si>
  <si>
    <t>良基大廈</t>
  </si>
  <si>
    <t>W12NW</t>
  </si>
  <si>
    <t>3237916537T20170223</t>
  </si>
  <si>
    <t>Bohemian House</t>
  </si>
  <si>
    <t>W13NE</t>
  </si>
  <si>
    <t>3225316505T20050430</t>
  </si>
  <si>
    <t>Kwan Yick Building Phase II Block B</t>
  </si>
  <si>
    <t>均益大廈第二期Ｂ座</t>
  </si>
  <si>
    <t>W13SE</t>
  </si>
  <si>
    <t>3223316459T20050430</t>
  </si>
  <si>
    <t>Chung Ah Building</t>
  </si>
  <si>
    <t>中亞大樓</t>
  </si>
  <si>
    <t>W13SW</t>
  </si>
  <si>
    <t>3220816451T20050430</t>
  </si>
  <si>
    <t>Lucky Building</t>
  </si>
  <si>
    <t>幸運樓</t>
  </si>
  <si>
    <t>W13NW</t>
  </si>
  <si>
    <t>3217516509T20150615</t>
  </si>
  <si>
    <t>Upton</t>
  </si>
  <si>
    <t>維港峰</t>
  </si>
  <si>
    <t>W14NE</t>
  </si>
  <si>
    <t>3209316457T20050430</t>
  </si>
  <si>
    <t>龍豐閣</t>
  </si>
  <si>
    <t>W14SE</t>
  </si>
  <si>
    <t>3207016411T20050430</t>
  </si>
  <si>
    <t>W14SW</t>
  </si>
  <si>
    <t>3202116412T20050430</t>
  </si>
  <si>
    <t>太平洋廣場</t>
  </si>
  <si>
    <t>W14NW</t>
  </si>
  <si>
    <t>3204216477T20050430</t>
  </si>
  <si>
    <t>Hong Kong Plaza</t>
  </si>
  <si>
    <t>香港商業中心</t>
  </si>
  <si>
    <t>W15SE</t>
  </si>
  <si>
    <t>3183916450T20050430</t>
  </si>
  <si>
    <t>Mei Sun Lau Block A</t>
  </si>
  <si>
    <t>美新樓Ａ座</t>
  </si>
  <si>
    <t>W15SW</t>
  </si>
  <si>
    <t>3179316460T20050430</t>
  </si>
  <si>
    <t>香港工業大廈</t>
  </si>
  <si>
    <t>W16NE</t>
  </si>
  <si>
    <t>3171016430T20050430</t>
  </si>
  <si>
    <t>和發大廈</t>
  </si>
  <si>
    <t>W16SE</t>
  </si>
  <si>
    <t>3168416404T20050430</t>
  </si>
  <si>
    <t>三匯大廈</t>
  </si>
  <si>
    <t>excluded_upperRange</t>
  </si>
  <si>
    <t>excluded_lowerRange</t>
  </si>
  <si>
    <t>id</t>
  </si>
  <si>
    <t>csuid</t>
  </si>
  <si>
    <t>bName</t>
  </si>
  <si>
    <t>addr</t>
  </si>
  <si>
    <t>coords</t>
  </si>
  <si>
    <t>E0NE</t>
  </si>
  <si>
    <t>8 CONNAUGHT PLACE</t>
  </si>
  <si>
    <t>E0SE</t>
  </si>
  <si>
    <t>8 FINANCE STREET</t>
  </si>
  <si>
    <t>E0SW</t>
  </si>
  <si>
    <t>2 CONNAUGHT PLACE</t>
  </si>
  <si>
    <t>E0NW</t>
  </si>
  <si>
    <t>1 CONNAUGHT PLACE</t>
  </si>
  <si>
    <t>E1NE</t>
  </si>
  <si>
    <t>19 DES VOEUX ROAD CENTRAL</t>
  </si>
  <si>
    <t>E1SE</t>
  </si>
  <si>
    <t>E1SW</t>
  </si>
  <si>
    <t>E1NW</t>
  </si>
  <si>
    <t>8 CONNAUGHT ROAD CENTRAL</t>
  </si>
  <si>
    <t>15 QUEEN'S ROAD CENTRAL</t>
  </si>
  <si>
    <t>18 CHATER ROAD</t>
  </si>
  <si>
    <t>W1NE</t>
  </si>
  <si>
    <t>W1SW</t>
  </si>
  <si>
    <t>E2NE</t>
  </si>
  <si>
    <t>E2SE</t>
  </si>
  <si>
    <t>10 CHATER ROAD</t>
  </si>
  <si>
    <t>E2SW</t>
  </si>
  <si>
    <t>5 CONNAUGHT ROAD CENTRAL</t>
  </si>
  <si>
    <t>E2NW</t>
  </si>
  <si>
    <t>4-4A DES VOEUX ROAD CENTRAL</t>
  </si>
  <si>
    <t>9 QUEEN'S ROAD CENTRAL</t>
  </si>
  <si>
    <t>S2SW</t>
  </si>
  <si>
    <t>61-65 DES VOEUX ROAD CENTRAL</t>
  </si>
  <si>
    <t>55 DES VOEUX ROAD CENTRAL</t>
  </si>
  <si>
    <t>40-42 DES VOEUX ROAD CENTRAL</t>
  </si>
  <si>
    <t>48 DES VOEUX ROAD CENTRAL</t>
  </si>
  <si>
    <t>E3NE</t>
  </si>
  <si>
    <t>E3SE</t>
  </si>
  <si>
    <t>E3SW</t>
  </si>
  <si>
    <t>3 CONNAUGHT ROAD CENTRAL</t>
  </si>
  <si>
    <t>E3NW</t>
  </si>
  <si>
    <t>1 CONNAUGHT ROAD CENTRAL</t>
  </si>
  <si>
    <t>2 QUEEN'S ROAD CENTRAL</t>
  </si>
  <si>
    <t>1 BATTERY PATH</t>
  </si>
  <si>
    <t>1 QUEEN'S ROAD CENTRAL</t>
  </si>
  <si>
    <t>2A DES VOEUX ROAD CENTRAL</t>
  </si>
  <si>
    <t>99-103 DES VOEUX ROAD CENTRAL</t>
  </si>
  <si>
    <t>83 DES VOEUX ROAD CENTRAL</t>
  </si>
  <si>
    <t>88-98 DES VOEUX ROAD CENTRAL</t>
  </si>
  <si>
    <t>106 DES VOEUX ROAD CENTRAL</t>
  </si>
  <si>
    <t>E4NE</t>
  </si>
  <si>
    <t>E4SE</t>
  </si>
  <si>
    <t>1 GARDEN ROAD</t>
  </si>
  <si>
    <t>E4SW</t>
  </si>
  <si>
    <t>E4NW</t>
  </si>
  <si>
    <t>3 GARDEN ROAD</t>
  </si>
  <si>
    <t>88 CONNAUGHT ROAD CENTRAL</t>
  </si>
  <si>
    <t>W4SE</t>
  </si>
  <si>
    <t>1 WING LOK STREET</t>
  </si>
  <si>
    <t>189 DES VOEUX ROAD CENTRAL</t>
  </si>
  <si>
    <t>E5NE</t>
  </si>
  <si>
    <t>38 QUEENSWAY</t>
  </si>
  <si>
    <t>E5SE</t>
  </si>
  <si>
    <t>E5SW</t>
  </si>
  <si>
    <t>89 QUEENSWAY</t>
  </si>
  <si>
    <t>E5NW</t>
  </si>
  <si>
    <t>26 GARDEN ROAD</t>
  </si>
  <si>
    <t>S5SE</t>
  </si>
  <si>
    <t>33 GARDEN ROAD</t>
  </si>
  <si>
    <t>35 GARDEN ROAD</t>
  </si>
  <si>
    <t>243 DES VOEUX ROAD CENTRAL</t>
  </si>
  <si>
    <t>238 DES VOEUX ROAD</t>
  </si>
  <si>
    <t>244 DES VOEUX ROAD CENTRAL</t>
  </si>
  <si>
    <t>2 HILLIER STREET</t>
  </si>
  <si>
    <t>E6NE</t>
  </si>
  <si>
    <t>88 QUEENSWAY</t>
  </si>
  <si>
    <t>E6SE</t>
  </si>
  <si>
    <t>E6SW</t>
  </si>
  <si>
    <t>95 QUEENSWAY</t>
  </si>
  <si>
    <t>E6NW</t>
  </si>
  <si>
    <t>159 CONNAUGHT ROAD CENTRAL</t>
  </si>
  <si>
    <t>308 DES VOEUX ROAD CENTRAL</t>
  </si>
  <si>
    <t>322 DES VOEUX ROAD CENTRAL</t>
  </si>
  <si>
    <t>323 DES VOEUX ROAD CENTRAL</t>
  </si>
  <si>
    <t>E7NE</t>
  </si>
  <si>
    <t>E7SE</t>
  </si>
  <si>
    <t>E7SW</t>
  </si>
  <si>
    <t>E7NW</t>
  </si>
  <si>
    <t>1 ARSENAL STREET</t>
  </si>
  <si>
    <t>W7NE</t>
  </si>
  <si>
    <t>21 CONNAUGHT ROAD WEST</t>
  </si>
  <si>
    <t>35-36 CONNAUGHT ROAD WEST</t>
  </si>
  <si>
    <t>W7NW</t>
  </si>
  <si>
    <t>N0NE</t>
  </si>
  <si>
    <t>N0SE</t>
  </si>
  <si>
    <t>20 NATHAN ROAD</t>
  </si>
  <si>
    <t>N0SW</t>
  </si>
  <si>
    <t>? SALISBURY ROAD</t>
  </si>
  <si>
    <t>N0NW</t>
  </si>
  <si>
    <t>19-21 NATHAN ROAD</t>
  </si>
  <si>
    <t>E8NE</t>
  </si>
  <si>
    <t>22 HENNESSY ROAD</t>
  </si>
  <si>
    <t>E8SE</t>
  </si>
  <si>
    <t>16 HENNESSY ROAD</t>
  </si>
  <si>
    <t>E8SW</t>
  </si>
  <si>
    <t>1 HENNESSY ROAD</t>
  </si>
  <si>
    <t>E8NW</t>
  </si>
  <si>
    <t>3 HENNESSY ROAD</t>
  </si>
  <si>
    <t>9 DES VOEUX ROAD WEST</t>
  </si>
  <si>
    <t>32-36 DES VOEUX ROAD WEST</t>
  </si>
  <si>
    <t>46 DES VOEUX ROAD WEST</t>
  </si>
  <si>
    <t>27 DES VOEUX ROAD WEST</t>
  </si>
  <si>
    <t>N1NE</t>
  </si>
  <si>
    <t>50 NATHAN ROAD</t>
  </si>
  <si>
    <t>N1SE</t>
  </si>
  <si>
    <t>58 NATHAN ROAD</t>
  </si>
  <si>
    <t>N1SW</t>
  </si>
  <si>
    <t>63 NATHAN ROAD</t>
  </si>
  <si>
    <t>N1NW</t>
  </si>
  <si>
    <t>E9NE</t>
  </si>
  <si>
    <t>68 HENNESSY ROAD</t>
  </si>
  <si>
    <t>E9SE</t>
  </si>
  <si>
    <t>60 HENNESSY ROAD</t>
  </si>
  <si>
    <t>E9SW</t>
  </si>
  <si>
    <t>59 HENNESSY ROAD</t>
  </si>
  <si>
    <t>E9NW</t>
  </si>
  <si>
    <t>71-85 HENNESSY ROAD</t>
  </si>
  <si>
    <t>81 DES VOEUX ROAD WEST</t>
  </si>
  <si>
    <t>63 KO SHING STREET</t>
  </si>
  <si>
    <t>128 DES VOEUX ROAD WEST</t>
  </si>
  <si>
    <t>103 DES VOEUX ROAD WEST</t>
  </si>
  <si>
    <t>N2NE</t>
  </si>
  <si>
    <t>86 NATHAN ROAD</t>
  </si>
  <si>
    <t>N2SE</t>
  </si>
  <si>
    <t>82-84 NATHAN ROAD</t>
  </si>
  <si>
    <t>N2SW</t>
  </si>
  <si>
    <t>105 NATHAN ROAD</t>
  </si>
  <si>
    <t>N2NW</t>
  </si>
  <si>
    <t>111 NATHAN ROAD</t>
  </si>
  <si>
    <t>E10NE</t>
  </si>
  <si>
    <t>2 O'BRIEN ROAD</t>
  </si>
  <si>
    <t>E10SE</t>
  </si>
  <si>
    <t>130 HENNESSY ROAD</t>
  </si>
  <si>
    <t>E10SW</t>
  </si>
  <si>
    <t>139 HENNESSY ROAD</t>
  </si>
  <si>
    <t>E10NW</t>
  </si>
  <si>
    <t>145 HENNESSY ROAD</t>
  </si>
  <si>
    <t>155 DES VOEUX ROAD WEST</t>
  </si>
  <si>
    <t>180 DES VOEUX ROAD WEST</t>
  </si>
  <si>
    <t>196 DES VOEUX ROAD WEST</t>
  </si>
  <si>
    <t>179 DES VOEUX ROAD WEST</t>
  </si>
  <si>
    <t>N3NE</t>
  </si>
  <si>
    <t>132 NATHAN ROAD</t>
  </si>
  <si>
    <t>N3SE</t>
  </si>
  <si>
    <t>118-130 NATHAN ROAD</t>
  </si>
  <si>
    <t>N3SW</t>
  </si>
  <si>
    <t>N3NW</t>
  </si>
  <si>
    <t>143 NATHAN ROAD</t>
  </si>
  <si>
    <t>E11NE</t>
  </si>
  <si>
    <t>11 FLEMING ROAD</t>
  </si>
  <si>
    <t>E11SE</t>
  </si>
  <si>
    <t>8 FLEMING ROAD</t>
  </si>
  <si>
    <t>E11SW</t>
  </si>
  <si>
    <t>199-203 HENNESSY ROAD</t>
  </si>
  <si>
    <t>E11NW</t>
  </si>
  <si>
    <t>205-207 HENNESSY ROAD</t>
  </si>
  <si>
    <t>239 DES VOEUX ROAD WEST</t>
  </si>
  <si>
    <t>246 DES VOEUX ROAD WEST</t>
  </si>
  <si>
    <t>260 DES VOEUX ROAD WEST</t>
  </si>
  <si>
    <t>251 DES VOEUX ROAD WEST</t>
  </si>
  <si>
    <t>N4NE</t>
  </si>
  <si>
    <t>178 NATHAN ROAD</t>
  </si>
  <si>
    <t>N4SE</t>
  </si>
  <si>
    <t>176 NATHAN ROAD</t>
  </si>
  <si>
    <t>N4SW</t>
  </si>
  <si>
    <t>165 NATHAN ROAD</t>
  </si>
  <si>
    <t>N4NW</t>
  </si>
  <si>
    <t>213 NATHAN ROAD</t>
  </si>
  <si>
    <t>E12NE</t>
  </si>
  <si>
    <t>288 HENNESSY ROAD</t>
  </si>
  <si>
    <t>E12SE</t>
  </si>
  <si>
    <t>258 HENNESSY ROAD</t>
  </si>
  <si>
    <t>E12SW</t>
  </si>
  <si>
    <t>253 HENNESSY ROAD</t>
  </si>
  <si>
    <t>E12NW</t>
  </si>
  <si>
    <t>269 HENNESSY ROAD</t>
  </si>
  <si>
    <t>6 CHIU KWONG STREET</t>
  </si>
  <si>
    <t>5 SIU CHEUNG FONG</t>
  </si>
  <si>
    <t>296-302 DES VOEUX ROAD WEST</t>
  </si>
  <si>
    <t>321 DES VOEUX ROAD WEST</t>
  </si>
  <si>
    <t>N5NE</t>
  </si>
  <si>
    <t>238 NATHAN ROAD</t>
  </si>
  <si>
    <t>N5SE</t>
  </si>
  <si>
    <t>216-228 NATHAN ROAD</t>
  </si>
  <si>
    <t>N5SW</t>
  </si>
  <si>
    <t>223 NATHAN ROAD</t>
  </si>
  <si>
    <t>N5NW</t>
  </si>
  <si>
    <t>225 NATHAN ROAD</t>
  </si>
  <si>
    <t>E13NE</t>
  </si>
  <si>
    <t>340 HENNESSY ROAD</t>
  </si>
  <si>
    <t>E13SE</t>
  </si>
  <si>
    <t>314-324 HENNESSY ROAD</t>
  </si>
  <si>
    <t>E13SW</t>
  </si>
  <si>
    <t>319 HENNESSY ROAD</t>
  </si>
  <si>
    <t>E13NW</t>
  </si>
  <si>
    <t>337 HENNESSY ROAD</t>
  </si>
  <si>
    <t>343 DES VOEUX ROAD WEST</t>
  </si>
  <si>
    <t>352 DES VOEUX ROAD WEST</t>
  </si>
  <si>
    <t>370 DES VOEUX ROAD WEST</t>
  </si>
  <si>
    <t>180 CONNAUGHT ROAD WEST</t>
  </si>
  <si>
    <t>N6NE</t>
  </si>
  <si>
    <t>314-316 NATHAN ROAD</t>
  </si>
  <si>
    <t>N6SE</t>
  </si>
  <si>
    <t>312 NATHAN ROAD</t>
  </si>
  <si>
    <t>N6SW</t>
  </si>
  <si>
    <t>311 NATHAN ROAD</t>
  </si>
  <si>
    <t>N6NW</t>
  </si>
  <si>
    <t>315 NATHAN ROAD</t>
  </si>
  <si>
    <t>E14NE</t>
  </si>
  <si>
    <t>9 CANAL ROAD WEST</t>
  </si>
  <si>
    <t>E14SE</t>
  </si>
  <si>
    <t>402-406 HENNESSY ROAD</t>
  </si>
  <si>
    <t>E14SW</t>
  </si>
  <si>
    <t>385-389 HENNESSY ROAD</t>
  </si>
  <si>
    <t>E14NW</t>
  </si>
  <si>
    <t>409-415 HENNESSY ROAD</t>
  </si>
  <si>
    <t>363 DES VOEUX ROAD WEST</t>
  </si>
  <si>
    <t>408 DES VOEUX ROAD WEST</t>
  </si>
  <si>
    <t>418 DES VOEUX ROAD WEST</t>
  </si>
  <si>
    <t>188 CONNAUGHT ROAD WEST</t>
  </si>
  <si>
    <t>N7NE</t>
  </si>
  <si>
    <t>380 NATHAN ROAD</t>
  </si>
  <si>
    <t>N7SE</t>
  </si>
  <si>
    <t>345 NATHAN ROAD</t>
  </si>
  <si>
    <t>N7SW</t>
  </si>
  <si>
    <t>378 NATHAN ROAD</t>
  </si>
  <si>
    <t>N7NW</t>
  </si>
  <si>
    <t>363-373 NATHAN ROAD</t>
  </si>
  <si>
    <t>E15NE</t>
  </si>
  <si>
    <t>482 HENNESSY ROAD</t>
  </si>
  <si>
    <t>E15SE</t>
  </si>
  <si>
    <t>458 HENNESSY ROAD</t>
  </si>
  <si>
    <t>E15SW</t>
  </si>
  <si>
    <t>459 HENNESSY ROAD</t>
  </si>
  <si>
    <t>E15NW</t>
  </si>
  <si>
    <t>475 HENNESSY ROAD</t>
  </si>
  <si>
    <t>W15NE</t>
  </si>
  <si>
    <t>442 DES VOEUX ROAD WEST</t>
  </si>
  <si>
    <t>444-452 DES VOEUX ROAD WEST</t>
  </si>
  <si>
    <t>W15NW</t>
  </si>
  <si>
    <t>N8NE</t>
  </si>
  <si>
    <t>440-442 NATHAN ROAD</t>
  </si>
  <si>
    <t>N8SE</t>
  </si>
  <si>
    <t>438 NATHAN ROAD</t>
  </si>
  <si>
    <t>N8SW</t>
  </si>
  <si>
    <t>405 NATHAN ROAD</t>
  </si>
  <si>
    <t>N8NW</t>
  </si>
  <si>
    <t>56-58 TEMPLE STREET</t>
  </si>
  <si>
    <t>E16NE</t>
  </si>
  <si>
    <t>502 HENNESSY ROAD</t>
  </si>
  <si>
    <t>E16SE</t>
  </si>
  <si>
    <t>500 HENNESSY ROAD</t>
  </si>
  <si>
    <t>E16SW</t>
  </si>
  <si>
    <t>525 HENNESSY ROAD</t>
  </si>
  <si>
    <t>E16NW</t>
  </si>
  <si>
    <t>555 HENNESSY ROAD</t>
  </si>
  <si>
    <t>539 QUEEN'S ROAD WEST</t>
  </si>
  <si>
    <t>1 BELCHER'S STREET</t>
  </si>
  <si>
    <t>W16SW</t>
  </si>
  <si>
    <t>W16NW</t>
  </si>
  <si>
    <t>N9NE</t>
  </si>
  <si>
    <t>494-496 NATHAN ROAD</t>
  </si>
  <si>
    <t>N9SE</t>
  </si>
  <si>
    <t>486 NATHAN ROAD</t>
  </si>
  <si>
    <t>N9NW</t>
  </si>
  <si>
    <t>487-489 NATHAN ROAD</t>
  </si>
  <si>
    <t>N9SW</t>
  </si>
  <si>
    <t>483-485A NATHAN ROAD</t>
  </si>
  <si>
    <t>E17NE</t>
  </si>
  <si>
    <t>E17SE</t>
  </si>
  <si>
    <t>48 YEE WO STREET</t>
  </si>
  <si>
    <t>E17SW</t>
  </si>
  <si>
    <t>9 YEE WO STREET</t>
  </si>
  <si>
    <t>E17NW</t>
  </si>
  <si>
    <t>1 SUGAR STREET</t>
  </si>
  <si>
    <t>N10NE</t>
  </si>
  <si>
    <t>530 NATHAN ROAD</t>
  </si>
  <si>
    <t>N10SE</t>
  </si>
  <si>
    <t>528 NATHAN ROAD</t>
  </si>
  <si>
    <t>N10SW</t>
  </si>
  <si>
    <t>521 NATHAN ROAD</t>
  </si>
  <si>
    <t>N10NW</t>
  </si>
  <si>
    <t>525 NATHAN ROAD</t>
  </si>
  <si>
    <t>E18NE</t>
  </si>
  <si>
    <t>16 CAUSEWAY ROAD</t>
  </si>
  <si>
    <t>E18SE</t>
  </si>
  <si>
    <t>8 CAUSEWAY ROAD</t>
  </si>
  <si>
    <t>E18SW</t>
  </si>
  <si>
    <t>E18NW</t>
  </si>
  <si>
    <t>N11NE</t>
  </si>
  <si>
    <t>576 NATHAN ROAD</t>
  </si>
  <si>
    <t>N11SE</t>
  </si>
  <si>
    <t>570-572 NATHAN ROAD</t>
  </si>
  <si>
    <t>N11SW</t>
  </si>
  <si>
    <t>573 NATHAN ROAD</t>
  </si>
  <si>
    <t>N11NW</t>
  </si>
  <si>
    <t>577-577A NATHAN ROAD</t>
  </si>
  <si>
    <t>E19NE</t>
  </si>
  <si>
    <t>E19SE</t>
  </si>
  <si>
    <t>66 CAUSEWAY ROAD</t>
  </si>
  <si>
    <t>E19SW</t>
  </si>
  <si>
    <t>E19NW</t>
  </si>
  <si>
    <t>N12NE</t>
  </si>
  <si>
    <t>612 NATHAN ROAD</t>
  </si>
  <si>
    <t>N12SE</t>
  </si>
  <si>
    <t>610 NATHAN ROAD</t>
  </si>
  <si>
    <t>N12SW</t>
  </si>
  <si>
    <t>607 NATHAN ROAD</t>
  </si>
  <si>
    <t>N12NW</t>
  </si>
  <si>
    <t>613 NATHAN ROAD</t>
  </si>
  <si>
    <t>E20NE</t>
  </si>
  <si>
    <t>E20SE</t>
  </si>
  <si>
    <t>120 CAUSEWAY ROAD</t>
  </si>
  <si>
    <t>E20SW</t>
  </si>
  <si>
    <t>E20NW</t>
  </si>
  <si>
    <t>1 KING'S ROAD</t>
  </si>
  <si>
    <t>N13NE</t>
  </si>
  <si>
    <t>648 NATHAN ROAD</t>
  </si>
  <si>
    <t>N13SE</t>
  </si>
  <si>
    <t>646 NATHAN ROAD</t>
  </si>
  <si>
    <t>N13SW</t>
  </si>
  <si>
    <t>655 NATHAN ROAD</t>
  </si>
  <si>
    <t>N13NW</t>
  </si>
  <si>
    <t>673 NATHAN ROAD</t>
  </si>
  <si>
    <t>E21NE</t>
  </si>
  <si>
    <t>18 KING'S ROAD</t>
  </si>
  <si>
    <t>E21SE</t>
  </si>
  <si>
    <t>14 KING'S ROAD</t>
  </si>
  <si>
    <t>E21SW</t>
  </si>
  <si>
    <t>E21NW</t>
  </si>
  <si>
    <t>3 LAU SIN STREET</t>
  </si>
  <si>
    <t>N14NE</t>
  </si>
  <si>
    <t>700 NATHAN ROAD</t>
  </si>
  <si>
    <t>N14SE</t>
  </si>
  <si>
    <t>65 ARGYLE STREET</t>
  </si>
  <si>
    <t>N14SW</t>
  </si>
  <si>
    <t>703 NATHAN ROAD</t>
  </si>
  <si>
    <t>N14NW</t>
  </si>
  <si>
    <t>707-713 NATHAN ROAD</t>
  </si>
  <si>
    <t>E22NE</t>
  </si>
  <si>
    <t>51 TIN HAU TEMPLE ROAD</t>
  </si>
  <si>
    <t>E22SE</t>
  </si>
  <si>
    <t>43-45 TIN HAU TEMPLE ROAD</t>
  </si>
  <si>
    <t>E22SW</t>
  </si>
  <si>
    <t>41 KING'S ROAD</t>
  </si>
  <si>
    <t>E22NW</t>
  </si>
  <si>
    <t>43 KING'S ROAD</t>
  </si>
  <si>
    <t>N15NE</t>
  </si>
  <si>
    <t>750 NATHAN ROAD</t>
  </si>
  <si>
    <t>N15SE</t>
  </si>
  <si>
    <t>52 BUTE STREET</t>
  </si>
  <si>
    <t>N15SW</t>
  </si>
  <si>
    <t>46 BUTE STREET</t>
  </si>
  <si>
    <t>N15NW</t>
  </si>
  <si>
    <t>1 LAI CHI KOK ROAD</t>
  </si>
  <si>
    <t>E23NE</t>
  </si>
  <si>
    <t>E23SE</t>
  </si>
  <si>
    <t>60 KING'S ROAD</t>
  </si>
  <si>
    <t>E23SW</t>
  </si>
  <si>
    <t>89 KING'S ROAD</t>
  </si>
  <si>
    <t>E23NW</t>
  </si>
  <si>
    <t>99 KING'S ROAD</t>
  </si>
  <si>
    <t>N16NE</t>
  </si>
  <si>
    <t>142 PRINCE EDWARD ROAD WEST</t>
  </si>
  <si>
    <t>N16SE</t>
  </si>
  <si>
    <t>141 PRINCE EDWARD ROAD WEST</t>
  </si>
  <si>
    <t>N16SW</t>
  </si>
  <si>
    <t>157 PRINCE EDWARD ROAD WEST</t>
  </si>
  <si>
    <t>N16NW</t>
  </si>
  <si>
    <t>751A NATHAN ROAD</t>
  </si>
  <si>
    <t>E24NE</t>
  </si>
  <si>
    <t>238 KING'S ROAD</t>
  </si>
  <si>
    <t>E24SE</t>
  </si>
  <si>
    <t>E24SW</t>
  </si>
  <si>
    <t>153 KING'S ROAD</t>
  </si>
  <si>
    <t>E24NW</t>
  </si>
  <si>
    <t>7 BOAT STREET</t>
  </si>
  <si>
    <t>N17NE</t>
  </si>
  <si>
    <t>786 NATHAN ROAD</t>
  </si>
  <si>
    <t>N17SE</t>
  </si>
  <si>
    <t>784 NATHAN ROAD</t>
  </si>
  <si>
    <t>N17SW</t>
  </si>
  <si>
    <t>783 NATHAN ROAD</t>
  </si>
  <si>
    <t>N17NW</t>
  </si>
  <si>
    <t>785 NATHAN ROAD</t>
  </si>
  <si>
    <t>E25NE</t>
  </si>
  <si>
    <t>286 KING'S ROAD</t>
  </si>
  <si>
    <t>E25SE</t>
  </si>
  <si>
    <t>278 KING'S ROAD</t>
  </si>
  <si>
    <t>E25SW</t>
  </si>
  <si>
    <t>255 KING'S ROAD</t>
  </si>
  <si>
    <t>E25NW</t>
  </si>
  <si>
    <t>257 KING'S ROAD</t>
  </si>
  <si>
    <t>N18NE</t>
  </si>
  <si>
    <t>32 TAI PO ROAD</t>
  </si>
  <si>
    <t>N18SE</t>
  </si>
  <si>
    <t>28 TAI PO ROAD</t>
  </si>
  <si>
    <t>N18SW</t>
  </si>
  <si>
    <t>22 CHEUNG SHA WAN ROAD</t>
  </si>
  <si>
    <t>N18NW</t>
  </si>
  <si>
    <t>13 TAI PO ROAD</t>
  </si>
  <si>
    <t>E26NE</t>
  </si>
  <si>
    <t>330-332 KING'S ROAD</t>
  </si>
  <si>
    <t>E26SE</t>
  </si>
  <si>
    <t>318-324 KING'S ROAD</t>
  </si>
  <si>
    <t>E26SW</t>
  </si>
  <si>
    <t>321 KING'S ROAD</t>
  </si>
  <si>
    <t>E26NW</t>
  </si>
  <si>
    <t>335-337 KING'S ROAD</t>
  </si>
  <si>
    <t>N19NE</t>
  </si>
  <si>
    <t>27 TAI PO ROAD</t>
  </si>
  <si>
    <t>N19SE</t>
  </si>
  <si>
    <t>70A TAI PO ROAD</t>
  </si>
  <si>
    <t>N19SW</t>
  </si>
  <si>
    <t>33 MAPLE STREET</t>
  </si>
  <si>
    <t>N19NW</t>
  </si>
  <si>
    <t>72-74 TAI PO ROAD</t>
  </si>
  <si>
    <t>E27NE</t>
  </si>
  <si>
    <t>406-408 KING'S ROAD</t>
  </si>
  <si>
    <t>E27SE</t>
  </si>
  <si>
    <t>6 MING YUEN WESTERN STREET</t>
  </si>
  <si>
    <t>E27SW</t>
  </si>
  <si>
    <t>389 KING'S ROAD</t>
  </si>
  <si>
    <t>E27NW</t>
  </si>
  <si>
    <t>395 KING'S ROAD</t>
  </si>
  <si>
    <t>N20NE</t>
  </si>
  <si>
    <t>51 SHEK KIP MEI STREET</t>
  </si>
  <si>
    <t>N20SE</t>
  </si>
  <si>
    <t>54 SHEK KIP MEI STREET</t>
  </si>
  <si>
    <t>N20SW</t>
  </si>
  <si>
    <t>45 TAI PO ROAD</t>
  </si>
  <si>
    <t>N20NW</t>
  </si>
  <si>
    <t>1A UN CHAU STREET</t>
  </si>
  <si>
    <t>E28NE</t>
  </si>
  <si>
    <t>466 KING'S ROAD</t>
  </si>
  <si>
    <t>E28SE</t>
  </si>
  <si>
    <t>442-448 KING'S ROAD</t>
  </si>
  <si>
    <t>E28SW</t>
  </si>
  <si>
    <t>425 KING'S ROAD</t>
  </si>
  <si>
    <t>E28NW</t>
  </si>
  <si>
    <t>433 KING'S ROAD</t>
  </si>
  <si>
    <t>N21NE</t>
  </si>
  <si>
    <t>196 TAI PO ROAD</t>
  </si>
  <si>
    <t>N21SE</t>
  </si>
  <si>
    <t>190 TAI PO ROAD</t>
  </si>
  <si>
    <t>N21SW</t>
  </si>
  <si>
    <t>63 TAI PO ROAD</t>
  </si>
  <si>
    <t>N21NW</t>
  </si>
  <si>
    <t>75 TAI PO ROAD</t>
  </si>
  <si>
    <t>E29NE</t>
  </si>
  <si>
    <t>510 KING'S ROAD</t>
  </si>
  <si>
    <t>E29SE</t>
  </si>
  <si>
    <t>494 KING'S ROAD</t>
  </si>
  <si>
    <t>E29SW</t>
  </si>
  <si>
    <t>499 KING'S ROAD</t>
  </si>
  <si>
    <t>E29NW</t>
  </si>
  <si>
    <t>511 KING'S ROAD</t>
  </si>
  <si>
    <t>N22NE</t>
  </si>
  <si>
    <t>N22SE</t>
  </si>
  <si>
    <t>N22SW</t>
  </si>
  <si>
    <t>7 CASTLE PEAK ROAD</t>
  </si>
  <si>
    <t>N22NW</t>
  </si>
  <si>
    <t>15 CASTLE PEAK ROAD</t>
  </si>
  <si>
    <t>E30NE</t>
  </si>
  <si>
    <t>560 KING'S ROAD</t>
  </si>
  <si>
    <t>E30SE</t>
  </si>
  <si>
    <t>E30SW</t>
  </si>
  <si>
    <t>E30NW</t>
  </si>
  <si>
    <t>N23NE</t>
  </si>
  <si>
    <t>66-74 CASTLE PEAK ROAD</t>
  </si>
  <si>
    <t>N23SW</t>
  </si>
  <si>
    <t>64 CASTLE PEAK ROAD</t>
  </si>
  <si>
    <t>113 CASTLE PEAK ROAD</t>
  </si>
  <si>
    <t>N23NW</t>
  </si>
  <si>
    <t>127 CASTLE PEAK ROAD</t>
  </si>
  <si>
    <t>E31NE</t>
  </si>
  <si>
    <t>668 KING'S ROAD</t>
  </si>
  <si>
    <t>E31SE</t>
  </si>
  <si>
    <t>E31SW</t>
  </si>
  <si>
    <t>625 KING'S ROAD</t>
  </si>
  <si>
    <t>E31NW</t>
  </si>
  <si>
    <t>633 King's Road</t>
  </si>
  <si>
    <t>633 KING'S ROAD</t>
  </si>
  <si>
    <t>N24NE</t>
  </si>
  <si>
    <t>138 CASTLE PEAK ROAD</t>
  </si>
  <si>
    <t>N24SE</t>
  </si>
  <si>
    <t>128 CASTLE PEAK ROAD</t>
  </si>
  <si>
    <t>N24SW</t>
  </si>
  <si>
    <t>143 CAMP STREET</t>
  </si>
  <si>
    <t>N24NW</t>
  </si>
  <si>
    <t>181 CASTLE PEAK ROAD</t>
  </si>
  <si>
    <t>E32NE</t>
  </si>
  <si>
    <t>740-748 KING'S ROAD</t>
  </si>
  <si>
    <t>E32SE</t>
  </si>
  <si>
    <t>734 KING'S ROAD</t>
  </si>
  <si>
    <t>E32SW</t>
  </si>
  <si>
    <t>663 KING'S ROAD</t>
  </si>
  <si>
    <t>E32NW</t>
  </si>
  <si>
    <t>665 KING'S ROAD</t>
  </si>
  <si>
    <t>N25NE</t>
  </si>
  <si>
    <t>202-210 CASTLE PEAK ROAD</t>
  </si>
  <si>
    <t>N25SE</t>
  </si>
  <si>
    <t>170 CASTLE PEAK ROAD</t>
  </si>
  <si>
    <t>N25SW</t>
  </si>
  <si>
    <t>205-209 CASTLE PEAK ROAD</t>
  </si>
  <si>
    <t>N25NW</t>
  </si>
  <si>
    <t>237 CASTLE PEAK ROAD</t>
  </si>
  <si>
    <t>E33NE</t>
  </si>
  <si>
    <t>856 KING'S ROAD</t>
  </si>
  <si>
    <t>E33SE</t>
  </si>
  <si>
    <t>842 KING'S ROAD</t>
  </si>
  <si>
    <t>E33SW</t>
  </si>
  <si>
    <t>867 KING'S ROAD</t>
  </si>
  <si>
    <t>E33NW</t>
  </si>
  <si>
    <t>921 KING'S ROAD</t>
  </si>
  <si>
    <t>N26NE</t>
  </si>
  <si>
    <t>278 CASTLE PEAK ROAD</t>
  </si>
  <si>
    <t>N26SE</t>
  </si>
  <si>
    <t>276 CASTLE PEAK ROAD</t>
  </si>
  <si>
    <t>N26SW</t>
  </si>
  <si>
    <t>291 CASTLE PEAK ROAD</t>
  </si>
  <si>
    <t>N26NW</t>
  </si>
  <si>
    <t>293 CASTLE PEAK ROAD</t>
  </si>
  <si>
    <t>E34NE</t>
  </si>
  <si>
    <t>894 KING'S ROAD</t>
  </si>
  <si>
    <t>override</t>
  </si>
  <si>
    <t>E34SE</t>
  </si>
  <si>
    <t>2A FINNIE STREET</t>
  </si>
  <si>
    <t>E34SW</t>
  </si>
  <si>
    <t>955-957 KING'S ROAD</t>
  </si>
  <si>
    <t>E34NW</t>
  </si>
  <si>
    <t>888 KING'S ROAD</t>
  </si>
  <si>
    <t>N27NE</t>
  </si>
  <si>
    <t>368 CASTLE PEAK ROAD</t>
  </si>
  <si>
    <t>N27SE</t>
  </si>
  <si>
    <t>338-340 CASTLE PEAK ROAD</t>
  </si>
  <si>
    <t>N27SW</t>
  </si>
  <si>
    <t>363 CASTLE PEAK ROAD</t>
  </si>
  <si>
    <t>N27NW</t>
  </si>
  <si>
    <t>365-371 CASTLE PEAK ROAD</t>
  </si>
  <si>
    <t>N28NE</t>
  </si>
  <si>
    <t>412-420 CASTLE PEAK ROAD</t>
  </si>
  <si>
    <t>N28SE</t>
  </si>
  <si>
    <t>413 CASTLE PEAK ROAD</t>
  </si>
  <si>
    <t>N28SW</t>
  </si>
  <si>
    <t>400 CASTLE PEAK ROAD</t>
  </si>
  <si>
    <t>N28NW</t>
  </si>
  <si>
    <t>23 CHEUNG WAH STREET</t>
  </si>
  <si>
    <t>N29NE</t>
  </si>
  <si>
    <t>478 CASTLE PEAK ROAD</t>
  </si>
  <si>
    <t>N29SE</t>
  </si>
  <si>
    <t>476 CASTLE PEAK ROAD</t>
  </si>
  <si>
    <t>N29SW</t>
  </si>
  <si>
    <t>467 CASTLE PEAK ROAD</t>
  </si>
  <si>
    <t>N29NW</t>
  </si>
  <si>
    <t>473 CASTLE PEAK ROAD</t>
  </si>
  <si>
    <t>N30NE</t>
  </si>
  <si>
    <t>538 CASTLE PEAK ROAD</t>
  </si>
  <si>
    <t>N30SE</t>
  </si>
  <si>
    <t>532 CASTLE PEAK ROAD</t>
  </si>
  <si>
    <t>N30SW</t>
  </si>
  <si>
    <t>479 CASTLE PEAK ROAD</t>
  </si>
  <si>
    <t>N30NW</t>
  </si>
  <si>
    <t>481 CASTLE PEAK ROAD</t>
  </si>
  <si>
    <t>N31NE</t>
  </si>
  <si>
    <t>646-648 CASTLE PEAK ROAD</t>
  </si>
  <si>
    <t>N31SE</t>
  </si>
  <si>
    <t>608 CASTLE PEAK ROAD</t>
  </si>
  <si>
    <t>N31SW</t>
  </si>
  <si>
    <t>485 CASTLE PEAK ROAD</t>
  </si>
  <si>
    <t>N31NW</t>
  </si>
  <si>
    <t>800 CHEUNG SHA WAN ROAD</t>
  </si>
  <si>
    <t>N32NE</t>
  </si>
  <si>
    <t>688 CASTLE PEAK ROAD</t>
  </si>
  <si>
    <t>N32SE</t>
  </si>
  <si>
    <t>682 CASTLE PEAK ROAD</t>
  </si>
  <si>
    <t>N32SW</t>
  </si>
  <si>
    <t>489-491 CASTLE PEAK ROAD</t>
  </si>
  <si>
    <t>N32NW</t>
  </si>
  <si>
    <t>N33NE</t>
  </si>
  <si>
    <t>704 CASTLE PEAK ROAD</t>
  </si>
  <si>
    <t>N33SE</t>
  </si>
  <si>
    <t>501 CASTLE PEAK ROAD</t>
  </si>
  <si>
    <t>N33SW</t>
  </si>
  <si>
    <t>702-704 CASTLE PEAK ROAD</t>
  </si>
  <si>
    <t>N33NW</t>
  </si>
  <si>
    <t>505 CASTLE PEAK ROAD</t>
  </si>
  <si>
    <t xml:space="preserve">                      Average number of floors (for all transects)</t>
  </si>
  <si>
    <t xml:space="preserve">               Spearman's Rank (for all transects)</t>
  </si>
  <si>
    <t>Distance from PLVI (m)</t>
  </si>
  <si>
    <t>RANK for distance from PLVI</t>
  </si>
  <si>
    <t xml:space="preserve">Direction </t>
  </si>
  <si>
    <t>Northern Transect</t>
  </si>
  <si>
    <t>Eastern Transect</t>
  </si>
  <si>
    <t>Southern Transect</t>
  </si>
  <si>
    <t xml:space="preserve">Western Transect </t>
  </si>
  <si>
    <t>TOTAL Raw Average (for each interval)</t>
  </si>
  <si>
    <t>TOTAL Average excluding errors and outliers (for each interval)</t>
  </si>
  <si>
    <t>RANK (for floors, excluding errors &amp; anomalies)</t>
  </si>
  <si>
    <t>Difference between ranks (d)</t>
  </si>
  <si>
    <t>d²</t>
  </si>
  <si>
    <t>KEY:</t>
  </si>
  <si>
    <t>errors</t>
  </si>
  <si>
    <t>Average =</t>
  </si>
  <si>
    <t>Abs t-value</t>
  </si>
  <si>
    <t>前法國外方傳道會大樓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</si>
</sst>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56">
    <font>
      <sz val="10"/>
      <color rgb="FF000000"/>
      <name val="Arial"/>
    </font>
    <font>
      <b/>
      <sz val="10"/>
      <color rgb="FF000000"/>
      <name val="Consolas"/>
    </font>
    <font>
      <sz val="10"/>
      <color theme="1"/>
      <name val="Consolas"/>
    </font>
    <font>
      <sz val="11"/>
      <color rgb="FF000000"/>
      <name val="Consolas"/>
    </font>
    <font>
      <sz val="10"/>
      <color rgb="FF000000"/>
      <name val="Consolas"/>
    </font>
    <font>
      <sz val="10"/>
      <color rgb="FF000000"/>
      <name val="Consolas"/>
    </font>
    <font>
      <sz val="11"/>
      <color rgb="FF000000"/>
      <name val="Inconsolata"/>
    </font>
    <font>
      <sz val="10"/>
      <color theme="1"/>
      <name val="Consolas"/>
    </font>
    <font>
      <sz val="10"/>
      <color theme="1"/>
      <name val="Calibri"/>
    </font>
    <font>
      <b/>
      <sz val="10"/>
      <color theme="1"/>
      <name val="Calibri"/>
    </font>
    <font>
      <b/>
      <sz val="10"/>
      <color theme="1"/>
      <name val="Consolas"/>
    </font>
    <font>
      <b/>
      <sz val="10"/>
      <color rgb="FF000000"/>
      <name val="Consolas"/>
    </font>
    <font>
      <sz val="10"/>
      <color rgb="FF000000"/>
      <name val="Roboto"/>
    </font>
    <font>
      <sz val="10"/>
      <color rgb="FF000000"/>
      <name val="Verdana"/>
    </font>
    <font>
      <sz val="10"/>
      <color rgb="FFD9D9D9"/>
      <name val="Consolas"/>
    </font>
    <font>
      <sz val="10"/>
      <color rgb="FFEFEFEF"/>
      <name val="Consolas"/>
    </font>
    <font>
      <b/>
      <sz val="10"/>
      <color rgb="FFD9D9D9"/>
      <name val="Consolas"/>
    </font>
    <font>
      <b/>
      <sz val="10"/>
      <color rgb="FF999999"/>
      <name val="Consolas"/>
    </font>
    <font>
      <b/>
      <sz val="10"/>
      <color theme="1"/>
      <name val="Consolas"/>
    </font>
    <font>
      <sz val="11"/>
      <color rgb="FFD9D9D9"/>
      <name val="Inconsolata"/>
    </font>
    <font>
      <i/>
      <sz val="10"/>
      <color rgb="FF000000"/>
      <name val="Consolas"/>
    </font>
    <font>
      <b/>
      <sz val="10"/>
      <color rgb="FF9FC5E8"/>
      <name val="Consolas"/>
    </font>
    <font>
      <sz val="10"/>
      <color rgb="FFD9D9D9"/>
      <name val="Consolas"/>
    </font>
    <font>
      <sz val="10"/>
      <color rgb="FFCFE2F3"/>
      <name val="Consolas"/>
    </font>
    <font>
      <sz val="10"/>
      <color theme="1"/>
      <name val="Arial"/>
    </font>
    <font>
      <u/>
      <sz val="12"/>
      <color rgb="FF0000FF"/>
      <name val="Arial"/>
    </font>
    <font>
      <b/>
      <sz val="10"/>
      <color theme="1"/>
      <name val="Arial"/>
    </font>
    <font>
      <sz val="10"/>
      <color rgb="FF000000"/>
      <name val="Arial"/>
    </font>
    <font>
      <sz val="10"/>
      <color rgb="FFFF0000"/>
      <name val="Calibri"/>
    </font>
    <font>
      <sz val="10"/>
      <name val="Arial"/>
    </font>
    <font>
      <sz val="18"/>
      <color theme="1"/>
      <name val="Calibri"/>
    </font>
    <font>
      <sz val="11"/>
      <color rgb="FF000000"/>
      <name val="Calibri"/>
    </font>
    <font>
      <u/>
      <sz val="10"/>
      <color rgb="FF0000FF"/>
      <name val="Arial"/>
    </font>
    <font>
      <sz val="10"/>
      <color rgb="FF000000"/>
      <name val="Calibri"/>
    </font>
    <font>
      <sz val="10"/>
      <color rgb="FF222222"/>
      <name val="Calibri"/>
    </font>
    <font>
      <sz val="10"/>
      <color rgb="FF000000"/>
      <name val="Calibri"/>
    </font>
    <font>
      <sz val="10"/>
      <color theme="1"/>
      <name val="Calibri"/>
    </font>
    <font>
      <sz val="10"/>
      <color rgb="FF000000"/>
      <name val="Inherit"/>
    </font>
    <font>
      <sz val="12"/>
      <color rgb="FF000000"/>
      <name val="Arial"/>
    </font>
    <font>
      <sz val="9"/>
      <color rgb="FF000000"/>
      <name val="Inherit"/>
    </font>
    <font>
      <sz val="10"/>
      <color rgb="FF222222"/>
      <name val="Arial"/>
    </font>
    <font>
      <u/>
      <sz val="10"/>
      <color rgb="FFD9D9D9"/>
      <name val="Consolas"/>
    </font>
    <font>
      <b/>
      <sz val="10"/>
      <color rgb="FFD9D9D9"/>
      <name val="Consolas"/>
    </font>
    <font>
      <u/>
      <sz val="10"/>
      <color rgb="FFD9D9D9"/>
      <name val="Consolas"/>
    </font>
    <font>
      <u/>
      <sz val="10"/>
      <color rgb="FFD9D9D9"/>
      <name val="Consolas"/>
    </font>
    <font>
      <u/>
      <sz val="10"/>
      <color rgb="FFD9D9D9"/>
      <name val="Consolas"/>
    </font>
    <font>
      <u/>
      <sz val="10"/>
      <color rgb="FFD9D9D9"/>
      <name val="Consolas"/>
    </font>
    <font>
      <i/>
      <sz val="10"/>
      <color theme="1"/>
      <name val="Arial"/>
    </font>
    <font>
      <b/>
      <sz val="11"/>
      <color rgb="FF000000"/>
      <name val="Calibri"/>
    </font>
    <font>
      <sz val="11"/>
      <color rgb="FF000000"/>
      <name val="Arial"/>
    </font>
    <font>
      <sz val="11"/>
      <color theme="1"/>
      <name val="Arial"/>
    </font>
    <font>
      <b/>
      <u/>
      <sz val="10"/>
      <color theme="1"/>
      <name val="Arial"/>
    </font>
    <font>
      <sz val="11"/>
      <color theme="1"/>
      <name val="Calibri"/>
    </font>
    <font>
      <sz val="12"/>
      <color rgb="FF000000"/>
      <name val="Tahoma"/>
    </font>
    <font>
      <b/>
      <sz val="12"/>
      <name val="Arial"/>
    </font>
    <font>
      <b/>
      <u/>
      <sz val="12"/>
      <color rgb="FF1155CC"/>
      <name val="Arial"/>
    </font>
  </fonts>
  <fills count="58">
    <fill>
      <patternFill patternType="none"/>
    </fill>
    <fill>
      <patternFill patternType="gray125"/>
    </fill>
    <fill>
      <patternFill patternType="solid">
        <fgColor rgb="FFFCE5CD"/>
        <bgColor rgb="FFFCE5CD"/>
      </patternFill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EDE683"/>
        <bgColor rgb="FFEDE683"/>
      </patternFill>
    </fill>
    <fill>
      <patternFill patternType="solid">
        <fgColor rgb="FFCFDD82"/>
        <bgColor rgb="FFCFDD82"/>
      </patternFill>
    </fill>
    <fill>
      <patternFill patternType="solid">
        <fgColor rgb="FFF6E984"/>
        <bgColor rgb="FFF6E984"/>
      </patternFill>
    </fill>
    <fill>
      <patternFill patternType="solid">
        <fgColor rgb="FFE7E483"/>
        <bgColor rgb="FFE7E483"/>
      </patternFill>
    </fill>
    <fill>
      <patternFill patternType="solid">
        <fgColor rgb="FFFCEB84"/>
        <bgColor rgb="FFFCEB84"/>
      </patternFill>
    </fill>
    <fill>
      <patternFill patternType="solid">
        <fgColor rgb="FFFEDB81"/>
        <bgColor rgb="FFFEDB81"/>
      </patternFill>
    </fill>
    <fill>
      <patternFill patternType="solid">
        <fgColor rgb="FFE4E483"/>
        <bgColor rgb="FFE4E483"/>
      </patternFill>
    </fill>
    <fill>
      <patternFill patternType="solid">
        <fgColor rgb="FFFFEB84"/>
        <bgColor rgb="FFFFEB84"/>
      </patternFill>
    </fill>
    <fill>
      <patternFill patternType="solid">
        <fgColor rgb="FFF8706C"/>
        <bgColor rgb="FFF8706C"/>
      </patternFill>
    </fill>
    <fill>
      <patternFill patternType="solid">
        <fgColor rgb="FFFDCC7E"/>
        <bgColor rgb="FFFDCC7E"/>
      </patternFill>
    </fill>
    <fill>
      <patternFill patternType="solid">
        <fgColor rgb="FFF3E884"/>
        <bgColor rgb="FFF3E884"/>
      </patternFill>
    </fill>
    <fill>
      <patternFill patternType="solid">
        <fgColor rgb="FFFDD47F"/>
        <bgColor rgb="FFFDD47F"/>
      </patternFill>
    </fill>
    <fill>
      <patternFill patternType="solid">
        <fgColor rgb="FFFCBD7B"/>
        <bgColor rgb="FFFCBD7B"/>
      </patternFill>
    </fill>
    <fill>
      <patternFill patternType="solid">
        <fgColor rgb="FFFBAD78"/>
        <bgColor rgb="FFFBAD78"/>
      </patternFill>
    </fill>
    <fill>
      <patternFill patternType="solid">
        <fgColor rgb="FFF8696B"/>
        <bgColor rgb="FFF8696B"/>
      </patternFill>
    </fill>
    <fill>
      <patternFill patternType="solid">
        <fgColor rgb="FFCCDD82"/>
        <bgColor rgb="FFCCDD82"/>
      </patternFill>
    </fill>
    <fill>
      <patternFill patternType="solid">
        <fgColor rgb="FFFCB579"/>
        <bgColor rgb="FFFCB579"/>
      </patternFill>
    </fill>
    <fill>
      <patternFill patternType="solid">
        <fgColor rgb="FFF0E784"/>
        <bgColor rgb="FFF0E784"/>
      </patternFill>
    </fill>
    <fill>
      <patternFill patternType="solid">
        <fgColor rgb="FFE1E383"/>
        <bgColor rgb="FFE1E383"/>
      </patternFill>
    </fill>
    <fill>
      <patternFill patternType="solid">
        <fgColor rgb="FFEAE583"/>
        <bgColor rgb="FFEAE583"/>
      </patternFill>
    </fill>
    <fill>
      <patternFill patternType="solid">
        <fgColor rgb="FFF9EA84"/>
        <bgColor rgb="FFF9EA84"/>
      </patternFill>
    </fill>
    <fill>
      <patternFill patternType="solid">
        <fgColor rgb="FFD8E082"/>
        <bgColor rgb="FFD8E082"/>
      </patternFill>
    </fill>
    <fill>
      <patternFill patternType="solid">
        <fgColor rgb="FFA1D07F"/>
        <bgColor rgb="FFA1D07F"/>
      </patternFill>
    </fill>
    <fill>
      <patternFill patternType="solid">
        <fgColor rgb="FFA7D27F"/>
        <bgColor rgb="FFA7D27F"/>
      </patternFill>
    </fill>
    <fill>
      <patternFill patternType="solid">
        <fgColor rgb="FFC2DA81"/>
        <bgColor rgb="FFC2DA81"/>
      </patternFill>
    </fill>
    <fill>
      <patternFill patternType="solid">
        <fgColor rgb="FFA4D17F"/>
        <bgColor rgb="FFA4D17F"/>
      </patternFill>
    </fill>
    <fill>
      <patternFill patternType="solid">
        <fgColor rgb="FFDBE182"/>
        <bgColor rgb="FFDBE182"/>
      </patternFill>
    </fill>
    <fill>
      <patternFill patternType="solid">
        <fgColor rgb="FFC5DB81"/>
        <bgColor rgb="FFC5DB81"/>
      </patternFill>
    </fill>
    <fill>
      <patternFill patternType="solid">
        <fgColor rgb="FFFA8F72"/>
        <bgColor rgb="FFFA8F72"/>
      </patternFill>
    </fill>
    <fill>
      <patternFill patternType="solid">
        <fgColor rgb="FFDEE283"/>
        <bgColor rgb="FFDEE283"/>
      </patternFill>
    </fill>
    <fill>
      <patternFill patternType="solid">
        <fgColor rgb="FFB9D780"/>
        <bgColor rgb="FFB9D780"/>
      </patternFill>
    </fill>
    <fill>
      <patternFill patternType="solid">
        <fgColor rgb="FF63BE7B"/>
        <bgColor rgb="FF63BE7B"/>
      </patternFill>
    </fill>
    <fill>
      <patternFill patternType="solid">
        <fgColor rgb="FFADD480"/>
        <bgColor rgb="FFADD480"/>
      </patternFill>
    </fill>
    <fill>
      <patternFill patternType="solid">
        <fgColor rgb="FFFCC47C"/>
        <bgColor rgb="FFFCC47C"/>
      </patternFill>
    </fill>
    <fill>
      <patternFill patternType="solid">
        <fgColor rgb="FFBFD981"/>
        <bgColor rgb="FFBFD981"/>
      </patternFill>
    </fill>
    <fill>
      <patternFill patternType="solid">
        <fgColor rgb="FFF98770"/>
        <bgColor rgb="FFF98770"/>
      </patternFill>
    </fill>
    <fill>
      <patternFill patternType="solid">
        <fgColor rgb="FFF97F6F"/>
        <bgColor rgb="FFF97F6F"/>
      </patternFill>
    </fill>
    <fill>
      <patternFill patternType="solid">
        <fgColor rgb="FFFA9E75"/>
        <bgColor rgb="FFFA9E75"/>
      </patternFill>
    </fill>
    <fill>
      <patternFill patternType="solid">
        <fgColor rgb="FFFA9673"/>
        <bgColor rgb="FFFA9673"/>
      </patternFill>
    </fill>
    <fill>
      <patternFill patternType="solid">
        <fgColor rgb="FFFBA676"/>
        <bgColor rgb="FFFBA676"/>
      </patternFill>
    </fill>
    <fill>
      <patternFill patternType="solid">
        <fgColor rgb="FFD2DE82"/>
        <bgColor rgb="FFD2DE82"/>
      </patternFill>
    </fill>
    <fill>
      <patternFill patternType="solid">
        <fgColor rgb="FFF8786D"/>
        <bgColor rgb="FFF8786D"/>
      </patternFill>
    </fill>
    <fill>
      <patternFill patternType="solid">
        <fgColor rgb="FFFEE382"/>
        <bgColor rgb="FFFEE382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EFEFEF"/>
        <bgColor rgb="FFEFEFEF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FCFCFC"/>
        <bgColor rgb="FFFCFCFC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6">
    <xf numFmtId="0" fontId="0" fillId="0" borderId="0" xfId="0" applyFont="1" applyAlignme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/>
    <xf numFmtId="0" fontId="4" fillId="0" borderId="0" xfId="0" applyFont="1" applyAlignment="1">
      <alignment horizontal="left" vertical="center"/>
    </xf>
    <xf numFmtId="0" fontId="1" fillId="3" borderId="0" xfId="0" applyFont="1" applyFill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vertical="center"/>
    </xf>
    <xf numFmtId="0" fontId="6" fillId="0" borderId="0" xfId="0" applyFont="1" applyAlignment="1"/>
    <xf numFmtId="0" fontId="4" fillId="0" borderId="0" xfId="0" applyFont="1" applyAlignment="1"/>
    <xf numFmtId="0" fontId="7" fillId="0" borderId="0" xfId="0" applyFont="1" applyAlignment="1">
      <alignment vertical="center"/>
    </xf>
    <xf numFmtId="0" fontId="2" fillId="0" borderId="0" xfId="0" applyFont="1" applyAlignment="1"/>
    <xf numFmtId="0" fontId="4" fillId="0" borderId="0" xfId="0" applyFont="1" applyAlignment="1">
      <alignment horizontal="right"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8" fillId="0" borderId="0" xfId="0" applyFont="1"/>
    <xf numFmtId="0" fontId="9" fillId="0" borderId="0" xfId="0" applyFont="1"/>
    <xf numFmtId="0" fontId="10" fillId="3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7" fillId="0" borderId="0" xfId="0" applyFont="1" applyAlignment="1">
      <alignment horizontal="right"/>
    </xf>
    <xf numFmtId="2" fontId="5" fillId="5" borderId="0" xfId="0" applyNumberFormat="1" applyFont="1" applyFill="1" applyAlignment="1">
      <alignment horizontal="center"/>
    </xf>
    <xf numFmtId="2" fontId="2" fillId="0" borderId="0" xfId="0" applyNumberFormat="1" applyFont="1" applyAlignment="1">
      <alignment horizontal="center"/>
    </xf>
    <xf numFmtId="164" fontId="5" fillId="5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165" fontId="5" fillId="5" borderId="0" xfId="0" applyNumberFormat="1" applyFont="1" applyFill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164" fontId="11" fillId="5" borderId="0" xfId="0" applyNumberFormat="1" applyFont="1" applyFill="1" applyAlignment="1">
      <alignment horizontal="center"/>
    </xf>
    <xf numFmtId="2" fontId="10" fillId="0" borderId="0" xfId="0" applyNumberFormat="1" applyFont="1" applyAlignment="1">
      <alignment horizontal="center"/>
    </xf>
    <xf numFmtId="0" fontId="8" fillId="0" borderId="0" xfId="0" applyFont="1" applyAlignment="1">
      <alignment wrapText="1"/>
    </xf>
    <xf numFmtId="2" fontId="8" fillId="0" borderId="0" xfId="0" applyNumberFormat="1" applyFont="1" applyAlignment="1">
      <alignment horizontal="center"/>
    </xf>
    <xf numFmtId="0" fontId="8" fillId="0" borderId="0" xfId="0" applyFont="1" applyAlignment="1"/>
    <xf numFmtId="0" fontId="12" fillId="5" borderId="0" xfId="0" applyFont="1" applyFill="1"/>
    <xf numFmtId="0" fontId="13" fillId="5" borderId="0" xfId="0" applyFont="1" applyFill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4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5" borderId="0" xfId="0" applyFont="1" applyFill="1" applyAlignment="1">
      <alignment horizontal="left"/>
    </xf>
    <xf numFmtId="0" fontId="15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11" fillId="6" borderId="0" xfId="0" applyFont="1" applyFill="1" applyAlignment="1">
      <alignment horizontal="center" vertical="center" wrapText="1"/>
    </xf>
    <xf numFmtId="0" fontId="11" fillId="6" borderId="0" xfId="0" applyFont="1" applyFill="1" applyAlignment="1">
      <alignment horizontal="center" vertical="center" wrapText="1"/>
    </xf>
    <xf numFmtId="166" fontId="16" fillId="4" borderId="0" xfId="0" applyNumberFormat="1" applyFont="1" applyFill="1" applyAlignment="1">
      <alignment horizontal="center" vertical="center" wrapText="1"/>
    </xf>
    <xf numFmtId="0" fontId="16" fillId="4" borderId="0" xfId="0" applyFont="1" applyFill="1" applyAlignment="1">
      <alignment horizontal="center" vertical="center" wrapText="1"/>
    </xf>
    <xf numFmtId="0" fontId="16" fillId="4" borderId="0" xfId="0" applyFont="1" applyFill="1" applyAlignment="1">
      <alignment horizontal="center" vertical="center" wrapText="1"/>
    </xf>
    <xf numFmtId="0" fontId="11" fillId="6" borderId="0" xfId="0" applyFont="1" applyFill="1" applyAlignment="1">
      <alignment horizontal="left" vertical="center" wrapText="1"/>
    </xf>
    <xf numFmtId="0" fontId="17" fillId="2" borderId="0" xfId="0" applyFont="1" applyFill="1" applyAlignment="1">
      <alignment horizontal="center" vertical="center"/>
    </xf>
    <xf numFmtId="1" fontId="18" fillId="6" borderId="0" xfId="0" applyNumberFormat="1" applyFont="1" applyFill="1" applyAlignment="1">
      <alignment horizontal="center" vertical="center" wrapText="1"/>
    </xf>
    <xf numFmtId="0" fontId="16" fillId="6" borderId="0" xfId="0" applyFont="1" applyFill="1" applyAlignment="1">
      <alignment horizontal="center" vertical="center" wrapText="1"/>
    </xf>
    <xf numFmtId="1" fontId="16" fillId="6" borderId="0" xfId="0" applyNumberFormat="1" applyFont="1" applyFill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19" fillId="5" borderId="0" xfId="0" applyFont="1" applyFill="1" applyAlignment="1">
      <alignment horizontal="center"/>
    </xf>
    <xf numFmtId="1" fontId="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1" fontId="1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" fontId="2" fillId="0" borderId="0" xfId="0" applyNumberFormat="1" applyFont="1" applyAlignment="1">
      <alignment horizontal="center"/>
    </xf>
    <xf numFmtId="0" fontId="20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14" fillId="0" borderId="0" xfId="0" applyNumberFormat="1" applyFont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1" fontId="2" fillId="5" borderId="0" xfId="0" applyNumberFormat="1" applyFont="1" applyFill="1" applyAlignment="1">
      <alignment horizontal="center"/>
    </xf>
    <xf numFmtId="1" fontId="14" fillId="5" borderId="0" xfId="0" applyNumberFormat="1" applyFon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" fontId="2" fillId="0" borderId="0" xfId="0" applyNumberFormat="1" applyFont="1" applyAlignment="1">
      <alignment horizontal="center"/>
    </xf>
    <xf numFmtId="1" fontId="14" fillId="0" borderId="0" xfId="0" applyNumberFormat="1" applyFont="1" applyAlignment="1">
      <alignment horizontal="center"/>
    </xf>
    <xf numFmtId="166" fontId="14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1" fillId="4" borderId="0" xfId="0" applyFont="1" applyFill="1" applyAlignment="1">
      <alignment horizontal="center"/>
    </xf>
    <xf numFmtId="1" fontId="18" fillId="4" borderId="0" xfId="0" applyNumberFormat="1" applyFont="1" applyFill="1" applyAlignment="1">
      <alignment horizontal="center"/>
    </xf>
    <xf numFmtId="0" fontId="16" fillId="4" borderId="0" xfId="0" applyFont="1" applyFill="1" applyAlignment="1">
      <alignment horizontal="center"/>
    </xf>
    <xf numFmtId="166" fontId="18" fillId="4" borderId="0" xfId="0" applyNumberFormat="1" applyFont="1" applyFill="1" applyAlignment="1">
      <alignment horizontal="center"/>
    </xf>
    <xf numFmtId="166" fontId="16" fillId="4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0" fontId="22" fillId="0" borderId="0" xfId="0" applyFont="1" applyAlignment="1"/>
    <xf numFmtId="1" fontId="7" fillId="0" borderId="0" xfId="0" applyNumberFormat="1" applyFont="1"/>
    <xf numFmtId="166" fontId="22" fillId="0" borderId="0" xfId="0" applyNumberFormat="1" applyFont="1"/>
    <xf numFmtId="166" fontId="7" fillId="0" borderId="0" xfId="0" applyNumberFormat="1" applyFont="1"/>
    <xf numFmtId="0" fontId="23" fillId="0" borderId="0" xfId="0" applyFont="1"/>
    <xf numFmtId="0" fontId="7" fillId="0" borderId="0" xfId="0" applyFont="1"/>
    <xf numFmtId="2" fontId="5" fillId="5" borderId="0" xfId="0" applyNumberFormat="1" applyFont="1" applyFill="1" applyAlignment="1">
      <alignment horizontal="left"/>
    </xf>
    <xf numFmtId="2" fontId="5" fillId="0" borderId="0" xfId="0" applyNumberFormat="1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22" fillId="0" borderId="0" xfId="0" applyFont="1" applyAlignment="1">
      <alignment horizontal="right"/>
    </xf>
    <xf numFmtId="0" fontId="22" fillId="0" borderId="0" xfId="0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7" fillId="0" borderId="0" xfId="0" applyFont="1" applyAlignment="1"/>
    <xf numFmtId="0" fontId="22" fillId="0" borderId="0" xfId="0" applyFont="1"/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/>
    <xf numFmtId="0" fontId="3" fillId="7" borderId="0" xfId="0" applyFont="1" applyFill="1" applyAlignment="1">
      <alignment horizontal="right"/>
    </xf>
    <xf numFmtId="0" fontId="3" fillId="8" borderId="0" xfId="0" applyFont="1" applyFill="1" applyAlignment="1">
      <alignment horizontal="right"/>
    </xf>
    <xf numFmtId="0" fontId="3" fillId="0" borderId="0" xfId="0" applyFont="1" applyAlignment="1"/>
    <xf numFmtId="0" fontId="3" fillId="9" borderId="0" xfId="0" applyFont="1" applyFill="1" applyAlignment="1">
      <alignment horizontal="right"/>
    </xf>
    <xf numFmtId="0" fontId="3" fillId="10" borderId="0" xfId="0" applyFont="1" applyFill="1" applyAlignment="1">
      <alignment horizontal="right"/>
    </xf>
    <xf numFmtId="0" fontId="3" fillId="11" borderId="0" xfId="0" applyFont="1" applyFill="1" applyAlignment="1">
      <alignment horizontal="right"/>
    </xf>
    <xf numFmtId="0" fontId="3" fillId="12" borderId="0" xfId="0" applyFont="1" applyFill="1" applyAlignment="1">
      <alignment horizontal="right"/>
    </xf>
    <xf numFmtId="0" fontId="3" fillId="13" borderId="0" xfId="0" applyFont="1" applyFill="1" applyAlignment="1">
      <alignment horizontal="right"/>
    </xf>
    <xf numFmtId="0" fontId="3" fillId="14" borderId="0" xfId="0" applyFont="1" applyFill="1" applyAlignment="1">
      <alignment horizontal="right"/>
    </xf>
    <xf numFmtId="0" fontId="3" fillId="15" borderId="0" xfId="0" applyFont="1" applyFill="1" applyAlignment="1">
      <alignment horizontal="right"/>
    </xf>
    <xf numFmtId="0" fontId="3" fillId="16" borderId="0" xfId="0" applyFont="1" applyFill="1" applyAlignment="1">
      <alignment horizontal="right"/>
    </xf>
    <xf numFmtId="0" fontId="3" fillId="17" borderId="0" xfId="0" applyFont="1" applyFill="1" applyAlignment="1">
      <alignment horizontal="right"/>
    </xf>
    <xf numFmtId="0" fontId="3" fillId="18" borderId="0" xfId="0" applyFont="1" applyFill="1" applyAlignment="1">
      <alignment horizontal="right"/>
    </xf>
    <xf numFmtId="0" fontId="3" fillId="19" borderId="0" xfId="0" applyFont="1" applyFill="1" applyAlignment="1">
      <alignment horizontal="right"/>
    </xf>
    <xf numFmtId="0" fontId="3" fillId="20" borderId="0" xfId="0" applyFont="1" applyFill="1" applyAlignment="1">
      <alignment horizontal="right"/>
    </xf>
    <xf numFmtId="0" fontId="3" fillId="21" borderId="0" xfId="0" applyFont="1" applyFill="1" applyAlignment="1">
      <alignment horizontal="right"/>
    </xf>
    <xf numFmtId="0" fontId="3" fillId="22" borderId="0" xfId="0" applyFont="1" applyFill="1" applyAlignment="1">
      <alignment horizontal="right"/>
    </xf>
    <xf numFmtId="0" fontId="3" fillId="23" borderId="0" xfId="0" applyFont="1" applyFill="1" applyAlignment="1">
      <alignment horizontal="right"/>
    </xf>
    <xf numFmtId="0" fontId="3" fillId="24" borderId="0" xfId="0" applyFont="1" applyFill="1" applyAlignment="1">
      <alignment horizontal="right"/>
    </xf>
    <xf numFmtId="0" fontId="3" fillId="25" borderId="0" xfId="0" applyFont="1" applyFill="1" applyAlignment="1">
      <alignment horizontal="right"/>
    </xf>
    <xf numFmtId="0" fontId="3" fillId="26" borderId="0" xfId="0" applyFont="1" applyFill="1" applyAlignment="1">
      <alignment horizontal="right"/>
    </xf>
    <xf numFmtId="0" fontId="3" fillId="27" borderId="0" xfId="0" applyFont="1" applyFill="1" applyAlignment="1">
      <alignment horizontal="right"/>
    </xf>
    <xf numFmtId="0" fontId="3" fillId="28" borderId="0" xfId="0" applyFont="1" applyFill="1" applyAlignment="1">
      <alignment horizontal="right"/>
    </xf>
    <xf numFmtId="0" fontId="3" fillId="29" borderId="0" xfId="0" applyFont="1" applyFill="1" applyAlignment="1">
      <alignment horizontal="right"/>
    </xf>
    <xf numFmtId="0" fontId="3" fillId="30" borderId="0" xfId="0" applyFont="1" applyFill="1" applyAlignment="1">
      <alignment horizontal="right"/>
    </xf>
    <xf numFmtId="0" fontId="3" fillId="31" borderId="0" xfId="0" applyFont="1" applyFill="1" applyAlignment="1">
      <alignment horizontal="right"/>
    </xf>
    <xf numFmtId="0" fontId="3" fillId="32" borderId="0" xfId="0" applyFont="1" applyFill="1" applyAlignment="1">
      <alignment horizontal="right"/>
    </xf>
    <xf numFmtId="0" fontId="3" fillId="33" borderId="0" xfId="0" applyFont="1" applyFill="1" applyAlignment="1">
      <alignment horizontal="right"/>
    </xf>
    <xf numFmtId="0" fontId="3" fillId="34" borderId="0" xfId="0" applyFont="1" applyFill="1" applyAlignment="1">
      <alignment horizontal="right"/>
    </xf>
    <xf numFmtId="0" fontId="3" fillId="35" borderId="0" xfId="0" applyFont="1" applyFill="1" applyAlignment="1">
      <alignment horizontal="right"/>
    </xf>
    <xf numFmtId="0" fontId="3" fillId="36" borderId="0" xfId="0" applyFont="1" applyFill="1" applyAlignment="1">
      <alignment horizontal="right"/>
    </xf>
    <xf numFmtId="0" fontId="3" fillId="37" borderId="0" xfId="0" applyFont="1" applyFill="1" applyAlignment="1">
      <alignment horizontal="right"/>
    </xf>
    <xf numFmtId="0" fontId="3" fillId="38" borderId="0" xfId="0" applyFont="1" applyFill="1" applyAlignment="1">
      <alignment horizontal="right"/>
    </xf>
    <xf numFmtId="0" fontId="3" fillId="39" borderId="0" xfId="0" applyFont="1" applyFill="1" applyAlignment="1">
      <alignment horizontal="right"/>
    </xf>
    <xf numFmtId="0" fontId="3" fillId="40" borderId="0" xfId="0" applyFont="1" applyFill="1" applyAlignment="1">
      <alignment horizontal="right"/>
    </xf>
    <xf numFmtId="0" fontId="3" fillId="41" borderId="0" xfId="0" applyFont="1" applyFill="1" applyAlignment="1">
      <alignment horizontal="right"/>
    </xf>
    <xf numFmtId="0" fontId="3" fillId="42" borderId="0" xfId="0" applyFont="1" applyFill="1" applyAlignment="1">
      <alignment horizontal="right"/>
    </xf>
    <xf numFmtId="0" fontId="3" fillId="43" borderId="0" xfId="0" applyFont="1" applyFill="1" applyAlignment="1">
      <alignment horizontal="right"/>
    </xf>
    <xf numFmtId="0" fontId="3" fillId="44" borderId="0" xfId="0" applyFont="1" applyFill="1" applyAlignment="1">
      <alignment horizontal="right"/>
    </xf>
    <xf numFmtId="0" fontId="3" fillId="45" borderId="0" xfId="0" applyFont="1" applyFill="1" applyAlignment="1">
      <alignment horizontal="right"/>
    </xf>
    <xf numFmtId="0" fontId="3" fillId="46" borderId="0" xfId="0" applyFont="1" applyFill="1" applyAlignment="1">
      <alignment horizontal="right"/>
    </xf>
    <xf numFmtId="0" fontId="3" fillId="47" borderId="0" xfId="0" applyFont="1" applyFill="1" applyAlignment="1">
      <alignment horizontal="right"/>
    </xf>
    <xf numFmtId="0" fontId="3" fillId="48" borderId="0" xfId="0" applyFont="1" applyFill="1" applyAlignment="1">
      <alignment horizontal="right"/>
    </xf>
    <xf numFmtId="0" fontId="3" fillId="49" borderId="0" xfId="0" applyFont="1" applyFill="1" applyAlignment="1">
      <alignment horizontal="right"/>
    </xf>
    <xf numFmtId="166" fontId="22" fillId="0" borderId="0" xfId="0" applyNumberFormat="1" applyFont="1" applyAlignment="1"/>
    <xf numFmtId="49" fontId="4" fillId="0" borderId="0" xfId="0" applyNumberFormat="1" applyFont="1" applyAlignment="1">
      <alignment horizontal="center"/>
    </xf>
    <xf numFmtId="0" fontId="24" fillId="0" borderId="0" xfId="0" applyFont="1" applyAlignment="1"/>
    <xf numFmtId="0" fontId="24" fillId="50" borderId="0" xfId="0" applyFont="1" applyFill="1" applyAlignment="1">
      <alignment horizontal="center"/>
    </xf>
    <xf numFmtId="0" fontId="24" fillId="5" borderId="0" xfId="0" applyFont="1" applyFill="1" applyAlignment="1"/>
    <xf numFmtId="0" fontId="25" fillId="5" borderId="0" xfId="0" applyFont="1" applyFill="1" applyAlignment="1"/>
    <xf numFmtId="0" fontId="24" fillId="5" borderId="0" xfId="0" applyFont="1" applyFill="1" applyAlignment="1">
      <alignment horizontal="center"/>
    </xf>
    <xf numFmtId="0" fontId="24" fillId="0" borderId="0" xfId="0" applyFont="1" applyAlignment="1">
      <alignment horizontal="center" vertical="center"/>
    </xf>
    <xf numFmtId="1" fontId="24" fillId="0" borderId="0" xfId="0" applyNumberFormat="1" applyFont="1" applyAlignment="1"/>
    <xf numFmtId="0" fontId="24" fillId="51" borderId="1" xfId="0" applyFont="1" applyFill="1" applyBorder="1" applyAlignment="1">
      <alignment horizontal="center"/>
    </xf>
    <xf numFmtId="0" fontId="26" fillId="0" borderId="1" xfId="0" applyFont="1" applyBorder="1" applyAlignment="1"/>
    <xf numFmtId="0" fontId="24" fillId="0" borderId="1" xfId="0" applyFont="1" applyBorder="1" applyAlignment="1"/>
    <xf numFmtId="0" fontId="24" fillId="5" borderId="2" xfId="0" applyFont="1" applyFill="1" applyBorder="1" applyAlignment="1"/>
    <xf numFmtId="0" fontId="24" fillId="5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1" fontId="24" fillId="0" borderId="1" xfId="0" applyNumberFormat="1" applyFont="1" applyBorder="1" applyAlignment="1"/>
    <xf numFmtId="0" fontId="24" fillId="0" borderId="3" xfId="0" applyFont="1" applyBorder="1" applyAlignment="1">
      <alignment horizontal="center"/>
    </xf>
    <xf numFmtId="0" fontId="24" fillId="0" borderId="4" xfId="0" applyFont="1" applyBorder="1" applyAlignment="1">
      <alignment horizontal="center" wrapText="1"/>
    </xf>
    <xf numFmtId="0" fontId="24" fillId="5" borderId="4" xfId="0" applyFont="1" applyFill="1" applyBorder="1" applyAlignment="1">
      <alignment horizontal="center"/>
    </xf>
    <xf numFmtId="0" fontId="24" fillId="5" borderId="4" xfId="0" applyFont="1" applyFill="1" applyBorder="1" applyAlignment="1">
      <alignment horizontal="center"/>
    </xf>
    <xf numFmtId="0" fontId="24" fillId="5" borderId="4" xfId="0" applyFont="1" applyFill="1" applyBorder="1" applyAlignment="1">
      <alignment horizontal="center" wrapText="1"/>
    </xf>
    <xf numFmtId="0" fontId="24" fillId="0" borderId="4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/>
    </xf>
    <xf numFmtId="1" fontId="24" fillId="0" borderId="4" xfId="0" applyNumberFormat="1" applyFont="1" applyBorder="1" applyAlignment="1">
      <alignment horizontal="center" wrapText="1"/>
    </xf>
    <xf numFmtId="0" fontId="24" fillId="0" borderId="3" xfId="0" applyFont="1" applyBorder="1" applyAlignment="1"/>
    <xf numFmtId="0" fontId="24" fillId="0" borderId="4" xfId="0" applyFont="1" applyBorder="1" applyAlignment="1"/>
    <xf numFmtId="0" fontId="27" fillId="50" borderId="6" xfId="0" applyFont="1" applyFill="1" applyBorder="1" applyAlignment="1">
      <alignment horizontal="left" vertical="top"/>
    </xf>
    <xf numFmtId="0" fontId="28" fillId="0" borderId="0" xfId="0" applyFont="1"/>
    <xf numFmtId="0" fontId="24" fillId="50" borderId="6" xfId="0" applyFont="1" applyFill="1" applyBorder="1" applyAlignment="1">
      <alignment vertical="top"/>
    </xf>
    <xf numFmtId="0" fontId="24" fillId="0" borderId="6" xfId="0" applyFont="1" applyBorder="1" applyAlignment="1">
      <alignment vertical="top"/>
    </xf>
    <xf numFmtId="0" fontId="27" fillId="0" borderId="6" xfId="0" applyFont="1" applyBorder="1" applyAlignment="1">
      <alignment horizontal="left" vertical="top"/>
    </xf>
    <xf numFmtId="0" fontId="27" fillId="0" borderId="6" xfId="0" applyFont="1" applyBorder="1" applyAlignment="1">
      <alignment horizontal="left" vertical="top" wrapText="1"/>
    </xf>
    <xf numFmtId="0" fontId="27" fillId="50" borderId="0" xfId="0" applyFont="1" applyFill="1" applyAlignment="1">
      <alignment horizontal="left" vertical="top" wrapText="1"/>
    </xf>
    <xf numFmtId="0" fontId="24" fillId="50" borderId="6" xfId="0" applyFont="1" applyFill="1" applyBorder="1" applyAlignment="1">
      <alignment vertical="top" wrapText="1"/>
    </xf>
    <xf numFmtId="0" fontId="27" fillId="5" borderId="0" xfId="0" applyFont="1" applyFill="1" applyAlignment="1">
      <alignment horizontal="left"/>
    </xf>
    <xf numFmtId="0" fontId="30" fillId="0" borderId="0" xfId="0" applyFont="1"/>
    <xf numFmtId="0" fontId="24" fillId="0" borderId="6" xfId="0" applyFont="1" applyBorder="1" applyAlignment="1"/>
    <xf numFmtId="0" fontId="24" fillId="50" borderId="6" xfId="0" applyFont="1" applyFill="1" applyBorder="1" applyAlignment="1">
      <alignment vertical="top"/>
    </xf>
    <xf numFmtId="0" fontId="27" fillId="50" borderId="0" xfId="0" applyFont="1" applyFill="1" applyAlignment="1">
      <alignment horizontal="left" vertical="top"/>
    </xf>
    <xf numFmtId="0" fontId="27" fillId="0" borderId="0" xfId="0" applyFont="1"/>
    <xf numFmtId="0" fontId="24" fillId="0" borderId="6" xfId="0" applyFont="1" applyBorder="1" applyAlignment="1"/>
    <xf numFmtId="0" fontId="24" fillId="50" borderId="6" xfId="0" applyFont="1" applyFill="1" applyBorder="1" applyAlignment="1"/>
    <xf numFmtId="0" fontId="24" fillId="50" borderId="6" xfId="0" applyFont="1" applyFill="1" applyBorder="1" applyAlignment="1"/>
    <xf numFmtId="0" fontId="24" fillId="0" borderId="6" xfId="0" applyFont="1" applyBorder="1" applyAlignment="1">
      <alignment vertical="top"/>
    </xf>
    <xf numFmtId="0" fontId="24" fillId="0" borderId="4" xfId="0" applyFont="1" applyBorder="1" applyAlignment="1"/>
    <xf numFmtId="0" fontId="24" fillId="0" borderId="6" xfId="0" applyFont="1" applyBorder="1" applyAlignment="1"/>
    <xf numFmtId="0" fontId="27" fillId="0" borderId="4" xfId="0" applyFont="1" applyBorder="1" applyAlignment="1">
      <alignment horizontal="left"/>
    </xf>
    <xf numFmtId="0" fontId="27" fillId="0" borderId="6" xfId="0" applyFont="1" applyBorder="1" applyAlignment="1">
      <alignment horizontal="left"/>
    </xf>
    <xf numFmtId="0" fontId="24" fillId="0" borderId="4" xfId="0" applyFont="1" applyBorder="1" applyAlignment="1"/>
    <xf numFmtId="0" fontId="24" fillId="0" borderId="6" xfId="0" applyFont="1" applyBorder="1" applyAlignment="1"/>
    <xf numFmtId="0" fontId="24" fillId="0" borderId="0" xfId="0" applyFont="1" applyAlignment="1">
      <alignment horizontal="center"/>
    </xf>
    <xf numFmtId="2" fontId="24" fillId="0" borderId="0" xfId="0" applyNumberFormat="1" applyFont="1" applyAlignment="1">
      <alignment horizontal="center" vertical="center"/>
    </xf>
    <xf numFmtId="1" fontId="24" fillId="0" borderId="0" xfId="0" applyNumberFormat="1" applyFont="1" applyAlignment="1">
      <alignment horizontal="center"/>
    </xf>
    <xf numFmtId="2" fontId="24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0" xfId="0" applyFont="1"/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/>
    </xf>
    <xf numFmtId="0" fontId="27" fillId="5" borderId="0" xfId="0" applyFont="1" applyFill="1" applyAlignment="1">
      <alignment horizontal="center" vertical="center"/>
    </xf>
    <xf numFmtId="0" fontId="31" fillId="0" borderId="0" xfId="0" applyFont="1" applyAlignment="1"/>
    <xf numFmtId="0" fontId="31" fillId="0" borderId="0" xfId="0" applyFont="1" applyAlignment="1">
      <alignment horizontal="right"/>
    </xf>
    <xf numFmtId="0" fontId="8" fillId="0" borderId="0" xfId="0" applyFont="1"/>
    <xf numFmtId="0" fontId="8" fillId="5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24" fillId="51" borderId="0" xfId="0" applyFont="1" applyFill="1" applyAlignment="1">
      <alignment horizontal="center"/>
    </xf>
    <xf numFmtId="0" fontId="12" fillId="0" borderId="0" xfId="0" applyFont="1" applyAlignment="1">
      <alignment horizontal="left"/>
    </xf>
    <xf numFmtId="0" fontId="8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5" borderId="6" xfId="0" applyFont="1" applyFill="1" applyBorder="1" applyAlignment="1">
      <alignment horizontal="center" vertical="center"/>
    </xf>
    <xf numFmtId="0" fontId="8" fillId="0" borderId="6" xfId="0" applyFont="1" applyBorder="1"/>
    <xf numFmtId="0" fontId="8" fillId="0" borderId="7" xfId="0" applyFont="1" applyBorder="1" applyAlignment="1">
      <alignment horizontal="center" vertical="center"/>
    </xf>
    <xf numFmtId="0" fontId="33" fillId="0" borderId="6" xfId="0" applyFont="1" applyBorder="1"/>
    <xf numFmtId="0" fontId="8" fillId="50" borderId="6" xfId="0" applyFont="1" applyFill="1" applyBorder="1" applyAlignment="1"/>
    <xf numFmtId="0" fontId="8" fillId="0" borderId="6" xfId="0" applyFont="1" applyBorder="1" applyAlignment="1">
      <alignment horizontal="center"/>
    </xf>
    <xf numFmtId="0" fontId="8" fillId="0" borderId="6" xfId="0" applyFont="1" applyBorder="1" applyAlignment="1"/>
    <xf numFmtId="0" fontId="33" fillId="50" borderId="6" xfId="0" applyFont="1" applyFill="1" applyBorder="1"/>
    <xf numFmtId="0" fontId="27" fillId="5" borderId="6" xfId="0" applyFont="1" applyFill="1" applyBorder="1" applyAlignment="1">
      <alignment horizontal="left"/>
    </xf>
    <xf numFmtId="0" fontId="8" fillId="0" borderId="6" xfId="0" applyFont="1" applyBorder="1" applyAlignment="1">
      <alignment horizontal="center"/>
    </xf>
    <xf numFmtId="0" fontId="34" fillId="0" borderId="6" xfId="0" applyFont="1" applyBorder="1" applyAlignment="1">
      <alignment horizontal="left"/>
    </xf>
    <xf numFmtId="0" fontId="35" fillId="50" borderId="6" xfId="0" applyFont="1" applyFill="1" applyBorder="1"/>
    <xf numFmtId="0" fontId="36" fillId="0" borderId="6" xfId="0" applyFont="1" applyBorder="1"/>
    <xf numFmtId="0" fontId="35" fillId="5" borderId="0" xfId="0" applyFont="1" applyFill="1" applyAlignment="1">
      <alignment horizontal="left"/>
    </xf>
    <xf numFmtId="0" fontId="35" fillId="5" borderId="9" xfId="0" applyFont="1" applyFill="1" applyBorder="1" applyAlignment="1">
      <alignment horizontal="left"/>
    </xf>
    <xf numFmtId="0" fontId="33" fillId="0" borderId="6" xfId="0" applyFont="1" applyBorder="1" applyAlignment="1">
      <alignment horizontal="left"/>
    </xf>
    <xf numFmtId="0" fontId="8" fillId="0" borderId="6" xfId="0" applyFont="1" applyBorder="1" applyAlignment="1">
      <alignment wrapText="1"/>
    </xf>
    <xf numFmtId="0" fontId="33" fillId="0" borderId="6" xfId="0" applyFont="1" applyBorder="1" applyAlignment="1">
      <alignment horizontal="left"/>
    </xf>
    <xf numFmtId="0" fontId="35" fillId="0" borderId="6" xfId="0" applyFont="1" applyBorder="1" applyAlignment="1">
      <alignment horizontal="center"/>
    </xf>
    <xf numFmtId="0" fontId="35" fillId="0" borderId="6" xfId="0" applyFont="1" applyBorder="1" applyAlignment="1">
      <alignment horizontal="left"/>
    </xf>
    <xf numFmtId="0" fontId="36" fillId="50" borderId="6" xfId="0" applyFont="1" applyFill="1" applyBorder="1"/>
    <xf numFmtId="0" fontId="35" fillId="50" borderId="6" xfId="0" applyFont="1" applyFill="1" applyBorder="1" applyAlignment="1">
      <alignment horizontal="left"/>
    </xf>
    <xf numFmtId="0" fontId="36" fillId="50" borderId="6" xfId="0" applyFont="1" applyFill="1" applyBorder="1" applyAlignment="1">
      <alignment vertical="center"/>
    </xf>
    <xf numFmtId="0" fontId="8" fillId="0" borderId="6" xfId="0" applyFont="1" applyBorder="1" applyAlignment="1">
      <alignment vertical="center"/>
    </xf>
    <xf numFmtId="0" fontId="36" fillId="0" borderId="6" xfId="0" applyFont="1" applyBorder="1" applyAlignment="1">
      <alignment horizontal="left"/>
    </xf>
    <xf numFmtId="0" fontId="33" fillId="50" borderId="6" xfId="0" applyFont="1" applyFill="1" applyBorder="1" applyAlignment="1">
      <alignment horizontal="left"/>
    </xf>
    <xf numFmtId="0" fontId="8" fillId="50" borderId="6" xfId="0" applyFont="1" applyFill="1" applyBorder="1" applyAlignment="1">
      <alignment vertical="center"/>
    </xf>
    <xf numFmtId="0" fontId="35" fillId="50" borderId="6" xfId="0" applyFont="1" applyFill="1" applyBorder="1" applyAlignment="1">
      <alignment horizontal="left"/>
    </xf>
    <xf numFmtId="0" fontId="24" fillId="0" borderId="6" xfId="0" applyFont="1" applyBorder="1" applyAlignment="1">
      <alignment horizontal="center"/>
    </xf>
    <xf numFmtId="0" fontId="6" fillId="5" borderId="0" xfId="0" applyFont="1" applyFill="1"/>
    <xf numFmtId="0" fontId="8" fillId="50" borderId="6" xfId="0" applyFont="1" applyFill="1" applyBorder="1" applyAlignment="1">
      <alignment horizontal="left" wrapText="1"/>
    </xf>
    <xf numFmtId="0" fontId="27" fillId="5" borderId="6" xfId="0" applyFont="1" applyFill="1" applyBorder="1"/>
    <xf numFmtId="0" fontId="8" fillId="0" borderId="6" xfId="0" applyFont="1" applyBorder="1" applyAlignment="1">
      <alignment wrapText="1"/>
    </xf>
    <xf numFmtId="0" fontId="36" fillId="50" borderId="6" xfId="0" applyFont="1" applyFill="1" applyBorder="1" applyAlignment="1">
      <alignment horizontal="center"/>
    </xf>
    <xf numFmtId="0" fontId="8" fillId="0" borderId="0" xfId="0" applyFont="1" applyAlignment="1"/>
    <xf numFmtId="0" fontId="36" fillId="0" borderId="6" xfId="0" applyFont="1" applyBorder="1" applyAlignment="1">
      <alignment wrapText="1"/>
    </xf>
    <xf numFmtId="0" fontId="36" fillId="50" borderId="6" xfId="0" applyFont="1" applyFill="1" applyBorder="1" applyAlignment="1">
      <alignment horizontal="left"/>
    </xf>
    <xf numFmtId="0" fontId="35" fillId="0" borderId="6" xfId="0" applyFont="1" applyBorder="1" applyAlignment="1"/>
    <xf numFmtId="0" fontId="8" fillId="0" borderId="6" xfId="0" applyFont="1" applyBorder="1" applyAlignment="1">
      <alignment horizontal="left"/>
    </xf>
    <xf numFmtId="0" fontId="36" fillId="50" borderId="6" xfId="0" applyFont="1" applyFill="1" applyBorder="1" applyAlignment="1">
      <alignment horizontal="left" vertical="top"/>
    </xf>
    <xf numFmtId="0" fontId="8" fillId="0" borderId="7" xfId="0" applyFont="1" applyBorder="1"/>
    <xf numFmtId="0" fontId="36" fillId="50" borderId="7" xfId="0" applyFont="1" applyFill="1" applyBorder="1"/>
    <xf numFmtId="0" fontId="8" fillId="0" borderId="7" xfId="0" applyFont="1" applyBorder="1" applyAlignment="1"/>
    <xf numFmtId="0" fontId="8" fillId="0" borderId="7" xfId="0" applyFont="1" applyBorder="1" applyAlignment="1">
      <alignment horizontal="center"/>
    </xf>
    <xf numFmtId="0" fontId="36" fillId="5" borderId="6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" fontId="24" fillId="0" borderId="7" xfId="0" applyNumberFormat="1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" fontId="24" fillId="0" borderId="8" xfId="0" applyNumberFormat="1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8" fillId="0" borderId="6" xfId="0" applyFont="1" applyBorder="1"/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" fontId="24" fillId="0" borderId="3" xfId="0" applyNumberFormat="1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37" fillId="0" borderId="7" xfId="0" applyFont="1" applyBorder="1" applyAlignment="1">
      <alignment horizontal="left" wrapText="1"/>
    </xf>
    <xf numFmtId="0" fontId="8" fillId="0" borderId="7" xfId="0" applyFont="1" applyBorder="1"/>
    <xf numFmtId="0" fontId="8" fillId="5" borderId="7" xfId="0" applyFont="1" applyFill="1" applyBorder="1" applyAlignment="1">
      <alignment horizontal="center"/>
    </xf>
    <xf numFmtId="0" fontId="8" fillId="5" borderId="6" xfId="0" applyFont="1" applyFill="1" applyBorder="1"/>
    <xf numFmtId="0" fontId="8" fillId="0" borderId="8" xfId="0" applyFont="1" applyBorder="1"/>
    <xf numFmtId="0" fontId="37" fillId="0" borderId="8" xfId="0" applyFont="1" applyBorder="1" applyAlignment="1">
      <alignment horizontal="left" wrapText="1"/>
    </xf>
    <xf numFmtId="0" fontId="8" fillId="5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37" fillId="0" borderId="3" xfId="0" applyFont="1" applyBorder="1" applyAlignment="1">
      <alignment horizontal="left" wrapText="1"/>
    </xf>
    <xf numFmtId="0" fontId="8" fillId="0" borderId="3" xfId="0" applyFont="1" applyBorder="1"/>
    <xf numFmtId="0" fontId="8" fillId="5" borderId="3" xfId="0" applyFont="1" applyFill="1" applyBorder="1" applyAlignment="1">
      <alignment horizontal="center"/>
    </xf>
    <xf numFmtId="0" fontId="9" fillId="0" borderId="0" xfId="0" applyFont="1" applyAlignment="1">
      <alignment wrapText="1"/>
    </xf>
    <xf numFmtId="0" fontId="0" fillId="5" borderId="0" xfId="0" applyFont="1" applyFill="1" applyAlignment="1">
      <alignment horizontal="left"/>
    </xf>
    <xf numFmtId="0" fontId="38" fillId="5" borderId="0" xfId="0" applyFont="1" applyFill="1" applyAlignment="1">
      <alignment horizontal="left"/>
    </xf>
    <xf numFmtId="0" fontId="8" fillId="5" borderId="0" xfId="0" applyFont="1" applyFill="1" applyAlignment="1">
      <alignment vertical="center"/>
    </xf>
    <xf numFmtId="0" fontId="24" fillId="5" borderId="0" xfId="0" applyFont="1" applyFill="1" applyAlignment="1">
      <alignment horizontal="left"/>
    </xf>
    <xf numFmtId="0" fontId="27" fillId="5" borderId="0" xfId="0" applyFont="1" applyFill="1" applyAlignment="1">
      <alignment horizontal="left"/>
    </xf>
    <xf numFmtId="0" fontId="37" fillId="5" borderId="0" xfId="0" applyFont="1" applyFill="1" applyAlignment="1">
      <alignment horizontal="left"/>
    </xf>
    <xf numFmtId="0" fontId="39" fillId="5" borderId="0" xfId="0" applyFont="1" applyFill="1" applyAlignment="1">
      <alignment horizontal="left"/>
    </xf>
    <xf numFmtId="0" fontId="24" fillId="5" borderId="0" xfId="0" applyFont="1" applyFill="1"/>
    <xf numFmtId="0" fontId="8" fillId="5" borderId="0" xfId="0" applyFont="1" applyFill="1" applyAlignment="1">
      <alignment wrapText="1"/>
    </xf>
    <xf numFmtId="0" fontId="24" fillId="5" borderId="0" xfId="0" applyFont="1" applyFill="1" applyAlignment="1">
      <alignment horizontal="left" vertical="top"/>
    </xf>
    <xf numFmtId="0" fontId="12" fillId="5" borderId="0" xfId="0" applyFont="1" applyFill="1" applyAlignment="1">
      <alignment horizontal="left"/>
    </xf>
    <xf numFmtId="0" fontId="40" fillId="5" borderId="0" xfId="0" applyFont="1" applyFill="1" applyAlignment="1">
      <alignment horizontal="left"/>
    </xf>
    <xf numFmtId="0" fontId="8" fillId="5" borderId="0" xfId="0" applyFont="1" applyFill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18" fillId="2" borderId="0" xfId="0" applyFont="1" applyFill="1" applyAlignment="1">
      <alignment vertical="center"/>
    </xf>
    <xf numFmtId="0" fontId="18" fillId="2" borderId="0" xfId="0" applyFont="1" applyFill="1" applyAlignment="1">
      <alignment horizontal="right" vertical="center"/>
    </xf>
    <xf numFmtId="0" fontId="2" fillId="0" borderId="0" xfId="0" applyFont="1" applyAlignment="1"/>
    <xf numFmtId="0" fontId="2" fillId="53" borderId="0" xfId="0" applyFont="1" applyFill="1" applyAlignment="1"/>
    <xf numFmtId="0" fontId="2" fillId="0" borderId="0" xfId="0" applyFont="1" applyAlignment="1">
      <alignment horizontal="right"/>
    </xf>
    <xf numFmtId="0" fontId="8" fillId="53" borderId="0" xfId="0" applyFont="1" applyFill="1"/>
    <xf numFmtId="0" fontId="2" fillId="53" borderId="0" xfId="0" applyFont="1" applyFill="1" applyAlignment="1"/>
    <xf numFmtId="0" fontId="41" fillId="0" borderId="0" xfId="0" applyFont="1" applyAlignment="1">
      <alignment horizontal="center"/>
    </xf>
    <xf numFmtId="0" fontId="2" fillId="53" borderId="0" xfId="0" applyFont="1" applyFill="1"/>
    <xf numFmtId="0" fontId="42" fillId="0" borderId="0" xfId="0" applyFont="1" applyAlignment="1">
      <alignment horizontal="center"/>
    </xf>
    <xf numFmtId="166" fontId="11" fillId="4" borderId="0" xfId="0" applyNumberFormat="1" applyFont="1" applyFill="1" applyAlignment="1">
      <alignment horizontal="center" vertical="center" wrapText="1"/>
    </xf>
    <xf numFmtId="0" fontId="1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45" fillId="5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31" fillId="0" borderId="0" xfId="0" applyFont="1" applyAlignment="1"/>
    <xf numFmtId="1" fontId="7" fillId="0" borderId="0" xfId="0" applyNumberFormat="1" applyFont="1" applyAlignment="1"/>
    <xf numFmtId="0" fontId="2" fillId="4" borderId="0" xfId="0" applyFont="1" applyFill="1" applyAlignment="1"/>
    <xf numFmtId="0" fontId="47" fillId="54" borderId="6" xfId="0" applyFont="1" applyFill="1" applyBorder="1" applyAlignment="1">
      <alignment horizontal="center" vertical="center"/>
    </xf>
    <xf numFmtId="0" fontId="24" fillId="54" borderId="11" xfId="0" applyFont="1" applyFill="1" applyBorder="1" applyAlignment="1">
      <alignment vertical="center"/>
    </xf>
    <xf numFmtId="0" fontId="24" fillId="54" borderId="11" xfId="0" applyFont="1" applyFill="1" applyBorder="1" applyAlignment="1"/>
    <xf numFmtId="0" fontId="26" fillId="54" borderId="3" xfId="0" applyFont="1" applyFill="1" applyBorder="1" applyAlignment="1">
      <alignment horizontal="center" vertical="center" wrapText="1"/>
    </xf>
    <xf numFmtId="0" fontId="26" fillId="54" borderId="4" xfId="0" applyFont="1" applyFill="1" applyBorder="1" applyAlignment="1">
      <alignment horizontal="center" vertical="center" wrapText="1"/>
    </xf>
    <xf numFmtId="0" fontId="26" fillId="55" borderId="4" xfId="0" applyFont="1" applyFill="1" applyBorder="1" applyAlignment="1">
      <alignment horizontal="center" vertical="center" wrapText="1"/>
    </xf>
    <xf numFmtId="0" fontId="26" fillId="6" borderId="4" xfId="0" applyFont="1" applyFill="1" applyBorder="1" applyAlignment="1">
      <alignment horizontal="center" vertical="center" wrapText="1"/>
    </xf>
    <xf numFmtId="0" fontId="48" fillId="6" borderId="4" xfId="0" applyFont="1" applyFill="1" applyBorder="1" applyAlignment="1">
      <alignment horizontal="center" vertical="center" wrapText="1"/>
    </xf>
    <xf numFmtId="0" fontId="49" fillId="54" borderId="4" xfId="0" applyFont="1" applyFill="1" applyBorder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51" fillId="5" borderId="0" xfId="0" applyFont="1" applyFill="1" applyAlignment="1">
      <alignment horizontal="center"/>
    </xf>
    <xf numFmtId="0" fontId="26" fillId="50" borderId="0" xfId="0" applyFont="1" applyFill="1" applyAlignment="1">
      <alignment horizontal="center"/>
    </xf>
    <xf numFmtId="0" fontId="26" fillId="51" borderId="0" xfId="0" applyFont="1" applyFill="1" applyAlignment="1">
      <alignment horizontal="center"/>
    </xf>
    <xf numFmtId="166" fontId="24" fillId="0" borderId="0" xfId="0" applyNumberFormat="1" applyFont="1" applyAlignment="1">
      <alignment horizontal="center"/>
    </xf>
    <xf numFmtId="0" fontId="35" fillId="0" borderId="6" xfId="0" applyFont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27" fillId="0" borderId="6" xfId="0" applyFont="1" applyBorder="1" applyAlignment="1">
      <alignment horizontal="center" wrapText="1"/>
    </xf>
    <xf numFmtId="0" fontId="35" fillId="0" borderId="6" xfId="0" applyFont="1" applyBorder="1" applyAlignment="1">
      <alignment horizontal="center" wrapText="1"/>
    </xf>
    <xf numFmtId="0" fontId="8" fillId="0" borderId="0" xfId="0" applyFont="1" applyAlignment="1">
      <alignment vertical="center"/>
    </xf>
    <xf numFmtId="0" fontId="24" fillId="0" borderId="0" xfId="0" applyFont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right" vertical="center"/>
    </xf>
    <xf numFmtId="0" fontId="52" fillId="0" borderId="0" xfId="0" applyFont="1" applyAlignment="1">
      <alignment horizontal="right" vertical="center"/>
    </xf>
    <xf numFmtId="0" fontId="53" fillId="57" borderId="0" xfId="0" applyFont="1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/>
    <xf numFmtId="0" fontId="1" fillId="3" borderId="0" xfId="0" applyFont="1" applyFill="1" applyAlignment="1">
      <alignment horizontal="right" vertical="center" wrapText="1"/>
    </xf>
    <xf numFmtId="0" fontId="1" fillId="3" borderId="0" xfId="0" applyFont="1" applyFill="1" applyAlignment="1">
      <alignment horizontal="right" vertical="center"/>
    </xf>
    <xf numFmtId="0" fontId="4" fillId="0" borderId="0" xfId="0" applyFont="1" applyAlignment="1">
      <alignment horizontal="left" vertical="center"/>
    </xf>
    <xf numFmtId="0" fontId="18" fillId="6" borderId="0" xfId="0" applyFont="1" applyFill="1" applyAlignment="1">
      <alignment horizontal="center"/>
    </xf>
    <xf numFmtId="0" fontId="3" fillId="0" borderId="0" xfId="0" applyFont="1" applyAlignment="1"/>
    <xf numFmtId="0" fontId="24" fillId="0" borderId="5" xfId="0" applyFont="1" applyBorder="1" applyAlignment="1">
      <alignment horizontal="center" vertical="center"/>
    </xf>
    <xf numFmtId="0" fontId="29" fillId="0" borderId="5" xfId="0" applyFont="1" applyBorder="1"/>
    <xf numFmtId="0" fontId="29" fillId="0" borderId="4" xfId="0" applyFont="1" applyBorder="1"/>
    <xf numFmtId="1" fontId="24" fillId="0" borderId="5" xfId="0" applyNumberFormat="1" applyFont="1" applyBorder="1" applyAlignment="1">
      <alignment horizontal="center" vertical="center"/>
    </xf>
    <xf numFmtId="2" fontId="24" fillId="0" borderId="5" xfId="0" applyNumberFormat="1" applyFont="1" applyBorder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24" fillId="0" borderId="5" xfId="0" applyFont="1" applyBorder="1" applyAlignment="1">
      <alignment horizontal="center"/>
    </xf>
    <xf numFmtId="0" fontId="27" fillId="0" borderId="5" xfId="0" applyFont="1" applyBorder="1" applyAlignment="1"/>
    <xf numFmtId="0" fontId="24" fillId="0" borderId="5" xfId="0" applyFont="1" applyBorder="1" applyAlignment="1"/>
    <xf numFmtId="0" fontId="27" fillId="0" borderId="5" xfId="0" applyFont="1" applyBorder="1" applyAlignment="1">
      <alignment horizontal="left"/>
    </xf>
    <xf numFmtId="0" fontId="8" fillId="0" borderId="7" xfId="0" applyFont="1" applyBorder="1" applyAlignment="1">
      <alignment horizontal="center" vertical="center"/>
    </xf>
    <xf numFmtId="0" fontId="29" fillId="0" borderId="8" xfId="0" applyFont="1" applyBorder="1"/>
    <xf numFmtId="0" fontId="29" fillId="0" borderId="3" xfId="0" applyFont="1" applyBorder="1"/>
    <xf numFmtId="0" fontId="8" fillId="0" borderId="7" xfId="0" applyFont="1" applyBorder="1" applyAlignment="1">
      <alignment horizontal="center" vertical="center" wrapText="1"/>
    </xf>
    <xf numFmtId="2" fontId="24" fillId="4" borderId="5" xfId="0" applyNumberFormat="1" applyFont="1" applyFill="1" applyBorder="1" applyAlignment="1">
      <alignment horizontal="center" vertical="center"/>
    </xf>
    <xf numFmtId="2" fontId="24" fillId="52" borderId="5" xfId="0" applyNumberFormat="1" applyFont="1" applyFill="1" applyBorder="1" applyAlignment="1">
      <alignment horizontal="center" vertical="center"/>
    </xf>
    <xf numFmtId="2" fontId="8" fillId="52" borderId="7" xfId="0" applyNumberFormat="1" applyFont="1" applyFill="1" applyBorder="1" applyAlignment="1">
      <alignment horizontal="center" vertical="center"/>
    </xf>
    <xf numFmtId="1" fontId="8" fillId="0" borderId="7" xfId="0" applyNumberFormat="1" applyFont="1" applyBorder="1" applyAlignment="1">
      <alignment horizontal="center" vertical="center"/>
    </xf>
    <xf numFmtId="0" fontId="31" fillId="0" borderId="0" xfId="0" applyFont="1" applyAlignment="1"/>
    <xf numFmtId="0" fontId="31" fillId="0" borderId="0" xfId="0" applyFont="1" applyAlignment="1">
      <alignment horizontal="center" vertical="center"/>
    </xf>
    <xf numFmtId="166" fontId="24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49" fillId="54" borderId="8" xfId="0" applyFont="1" applyFill="1" applyBorder="1" applyAlignment="1">
      <alignment horizontal="center" vertical="center"/>
    </xf>
    <xf numFmtId="0" fontId="31" fillId="54" borderId="5" xfId="0" applyFont="1" applyFill="1" applyBorder="1" applyAlignment="1">
      <alignment horizontal="center" vertical="center"/>
    </xf>
    <xf numFmtId="2" fontId="49" fillId="5" borderId="7" xfId="0" applyNumberFormat="1" applyFont="1" applyFill="1" applyBorder="1" applyAlignment="1">
      <alignment horizontal="center" vertical="center"/>
    </xf>
    <xf numFmtId="0" fontId="24" fillId="6" borderId="5" xfId="0" applyFont="1" applyFill="1" applyBorder="1" applyAlignment="1">
      <alignment horizontal="center" vertical="center"/>
    </xf>
    <xf numFmtId="0" fontId="50" fillId="6" borderId="5" xfId="0" applyFont="1" applyFill="1" applyBorder="1" applyAlignment="1">
      <alignment horizontal="center" vertical="center"/>
    </xf>
    <xf numFmtId="0" fontId="24" fillId="56" borderId="5" xfId="0" applyFont="1" applyFill="1" applyBorder="1" applyAlignment="1">
      <alignment horizontal="center" vertical="center"/>
    </xf>
    <xf numFmtId="0" fontId="50" fillId="56" borderId="5" xfId="0" applyFont="1" applyFill="1" applyBorder="1" applyAlignment="1">
      <alignment horizontal="center" vertical="center"/>
    </xf>
    <xf numFmtId="0" fontId="24" fillId="54" borderId="8" xfId="0" applyFont="1" applyFill="1" applyBorder="1" applyAlignment="1">
      <alignment horizontal="center" vertical="center"/>
    </xf>
    <xf numFmtId="0" fontId="24" fillId="54" borderId="5" xfId="0" applyFont="1" applyFill="1" applyBorder="1" applyAlignment="1">
      <alignment horizontal="center" vertical="center"/>
    </xf>
    <xf numFmtId="2" fontId="24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2" fontId="8" fillId="0" borderId="7" xfId="0" applyNumberFormat="1" applyFont="1" applyBorder="1" applyAlignment="1">
      <alignment horizontal="center" vertical="center"/>
    </xf>
    <xf numFmtId="1" fontId="50" fillId="6" borderId="5" xfId="0" applyNumberFormat="1" applyFont="1" applyFill="1" applyBorder="1" applyAlignment="1">
      <alignment horizontal="center" vertical="center"/>
    </xf>
    <xf numFmtId="0" fontId="50" fillId="6" borderId="7" xfId="0" applyFont="1" applyFill="1" applyBorder="1" applyAlignment="1">
      <alignment horizontal="center" vertical="center"/>
    </xf>
    <xf numFmtId="0" fontId="47" fillId="55" borderId="12" xfId="0" applyFont="1" applyFill="1" applyBorder="1" applyAlignment="1">
      <alignment horizontal="center"/>
    </xf>
    <xf numFmtId="0" fontId="29" fillId="0" borderId="12" xfId="0" applyFont="1" applyBorder="1"/>
    <xf numFmtId="0" fontId="29" fillId="0" borderId="11" xfId="0" applyFont="1" applyBorder="1"/>
    <xf numFmtId="0" fontId="47" fillId="6" borderId="12" xfId="0" applyFont="1" applyFill="1" applyBorder="1" applyAlignment="1">
      <alignment horizontal="left" vertical="center"/>
    </xf>
    <xf numFmtId="1" fontId="24" fillId="6" borderId="5" xfId="0" applyNumberFormat="1" applyFont="1" applyFill="1" applyBorder="1" applyAlignment="1">
      <alignment horizontal="center" vertical="center"/>
    </xf>
    <xf numFmtId="0" fontId="50" fillId="56" borderId="7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</cellXfs>
  <cellStyles count="1">
    <cellStyle name="Normal" xfId="0" builtinId="0"/>
  </cellStyles>
  <dxfs count="35">
    <dxf>
      <fill>
        <patternFill patternType="solid">
          <fgColor rgb="FF4A86E8"/>
          <bgColor rgb="FF4A86E8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CFE2F3"/>
          <bgColor rgb="FFCFE2F3"/>
        </patternFill>
      </fill>
    </dxf>
    <dxf>
      <font>
        <b/>
        <color rgb="FF000000"/>
      </font>
      <fill>
        <patternFill patternType="solid">
          <fgColor rgb="FFF3F3F3"/>
          <bgColor rgb="FFF3F3F3"/>
        </patternFill>
      </fill>
    </dxf>
    <dxf>
      <font>
        <b/>
        <color rgb="FF000000"/>
      </font>
      <fill>
        <patternFill patternType="solid">
          <fgColor rgb="FFF4CCCC"/>
          <bgColor rgb="FFF4CCCC"/>
        </patternFill>
      </fill>
    </dxf>
    <dxf>
      <font>
        <b/>
        <color rgb="FF000000"/>
      </font>
      <fill>
        <patternFill patternType="solid">
          <fgColor rgb="FFFFF2CC"/>
          <bgColor rgb="FFFFF2CC"/>
        </patternFill>
      </fill>
    </dxf>
    <dxf>
      <font>
        <b/>
        <color rgb="FF000000"/>
      </font>
      <fill>
        <patternFill patternType="solid">
          <fgColor rgb="FFCFE2F3"/>
          <bgColor rgb="FFCFE2F3"/>
        </patternFill>
      </fill>
    </dxf>
    <dxf>
      <fill>
        <patternFill patternType="solid">
          <fgColor rgb="FFCFE2F3"/>
          <bgColor rgb="FFCFE2F3"/>
        </patternFill>
      </fill>
    </dxf>
    <dxf>
      <font>
        <b/>
        <color rgb="FF000000"/>
      </font>
      <fill>
        <patternFill patternType="solid">
          <fgColor rgb="FFF3F3F3"/>
          <bgColor rgb="FFF3F3F3"/>
        </patternFill>
      </fill>
    </dxf>
    <dxf>
      <font>
        <b/>
        <color rgb="FF000000"/>
      </font>
      <fill>
        <patternFill patternType="solid">
          <fgColor rgb="FFF4CCCC"/>
          <bgColor rgb="FFF4CCCC"/>
        </patternFill>
      </fill>
    </dxf>
    <dxf>
      <font>
        <b/>
        <color rgb="FF000000"/>
      </font>
      <fill>
        <patternFill patternType="solid">
          <fgColor rgb="FFFFF2CC"/>
          <bgColor rgb="FFFFF2CC"/>
        </patternFill>
      </fill>
    </dxf>
    <dxf>
      <font>
        <b/>
        <color rgb="FF000000"/>
      </font>
      <fill>
        <patternFill patternType="solid">
          <fgColor rgb="FFCFE2F3"/>
          <bgColor rgb="FFCFE2F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CFE2F3"/>
          <bgColor rgb="FFCFE2F3"/>
        </patternFill>
      </fill>
    </dxf>
    <dxf>
      <font>
        <b/>
        <color rgb="FF000000"/>
      </font>
      <fill>
        <patternFill patternType="solid">
          <fgColor rgb="FFF3F3F3"/>
          <bgColor rgb="FFF3F3F3"/>
        </patternFill>
      </fill>
    </dxf>
    <dxf>
      <font>
        <b/>
        <color rgb="FF000000"/>
      </font>
      <fill>
        <patternFill patternType="solid">
          <fgColor rgb="FFF4CCCC"/>
          <bgColor rgb="FFF4CCCC"/>
        </patternFill>
      </fill>
    </dxf>
    <dxf>
      <font>
        <b/>
        <color rgb="FF000000"/>
      </font>
      <fill>
        <patternFill patternType="solid">
          <fgColor rgb="FFFFF2CC"/>
          <bgColor rgb="FFFFF2CC"/>
        </patternFill>
      </fill>
    </dxf>
    <dxf>
      <font>
        <b/>
        <color rgb="FF000000"/>
      </font>
      <fill>
        <patternFill patternType="solid">
          <fgColor rgb="FFCFE2F3"/>
          <bgColor rgb="FFCFE2F3"/>
        </patternFill>
      </fill>
    </dxf>
    <dxf>
      <font>
        <b/>
        <color rgb="FF000000"/>
      </font>
      <fill>
        <patternFill patternType="solid">
          <fgColor rgb="FFCFE2F3"/>
          <bgColor rgb="FFCFE2F3"/>
        </patternFill>
      </fill>
    </dxf>
    <dxf>
      <font>
        <b/>
        <color rgb="FF000000"/>
      </font>
      <fill>
        <patternFill patternType="solid">
          <fgColor rgb="FFF3F3F3"/>
          <bgColor rgb="FFF3F3F3"/>
        </patternFill>
      </fill>
    </dxf>
    <dxf>
      <font>
        <b/>
        <color rgb="FF000000"/>
      </font>
      <fill>
        <patternFill patternType="solid">
          <fgColor rgb="FFF4CCCC"/>
          <bgColor rgb="FFF4CCCC"/>
        </patternFill>
      </fill>
    </dxf>
    <dxf>
      <font>
        <b/>
        <color rgb="FF000000"/>
      </font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CFE2F3"/>
          <bgColor rgb="FFCFE2F3"/>
        </patternFill>
      </fill>
    </dxf>
    <dxf>
      <font>
        <b/>
        <color rgb="FF000000"/>
      </font>
      <fill>
        <patternFill patternType="solid">
          <fgColor rgb="FFF3F3F3"/>
          <bgColor rgb="FFF3F3F3"/>
        </patternFill>
      </fill>
    </dxf>
    <dxf>
      <font>
        <b/>
        <color rgb="FF000000"/>
      </font>
      <fill>
        <patternFill patternType="solid">
          <fgColor rgb="FFF4CCCC"/>
          <bgColor rgb="FFF4CCCC"/>
        </patternFill>
      </fill>
    </dxf>
    <dxf>
      <font>
        <b/>
        <color rgb="FF000000"/>
      </font>
      <fill>
        <patternFill patternType="solid">
          <fgColor rgb="FFFFF2CC"/>
          <bgColor rgb="FFFFF2CC"/>
        </patternFill>
      </fill>
    </dxf>
    <dxf>
      <font>
        <b/>
        <color rgb="FF000000"/>
      </font>
      <fill>
        <patternFill patternType="solid">
          <fgColor rgb="FFCFE2F3"/>
          <bgColor rgb="FFCFE2F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of completion vs Number of storeys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N!$U$1</c:f>
              <c:strCache>
                <c:ptCount val="1"/>
              </c:strCache>
            </c:strRef>
          </c:tx>
          <c:spPr>
            <a:ln>
              <a:noFill/>
            </a:ln>
          </c:spPr>
          <c:marker>
            <c:symbol val="x"/>
            <c:size val="5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trendline>
            <c:name>Trend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strRef>
              <c:f>N!$X$2:$X$1006</c:f>
              <c:strCache>
                <c:ptCount val="137"/>
                <c:pt idx="0">
                  <c:v>Year of Completion</c:v>
                </c:pt>
                <c:pt idx="1">
                  <c:v>1998</c:v>
                </c:pt>
                <c:pt idx="6">
                  <c:v>1959</c:v>
                </c:pt>
                <c:pt idx="7">
                  <c:v>2009</c:v>
                </c:pt>
                <c:pt idx="8">
                  <c:v>2009</c:v>
                </c:pt>
                <c:pt idx="9">
                  <c:v>1958</c:v>
                </c:pt>
                <c:pt idx="12">
                  <c:v>1985</c:v>
                </c:pt>
                <c:pt idx="13">
                  <c:v>1993</c:v>
                </c:pt>
                <c:pt idx="17">
                  <c:v>1966</c:v>
                </c:pt>
                <c:pt idx="18">
                  <c:v>1971</c:v>
                </c:pt>
                <c:pt idx="21">
                  <c:v>1999</c:v>
                </c:pt>
                <c:pt idx="22">
                  <c:v>1982</c:v>
                </c:pt>
                <c:pt idx="24">
                  <c:v>1993</c:v>
                </c:pt>
                <c:pt idx="25">
                  <c:v>1999</c:v>
                </c:pt>
                <c:pt idx="26">
                  <c:v>1965</c:v>
                </c:pt>
                <c:pt idx="27">
                  <c:v>1964</c:v>
                </c:pt>
                <c:pt idx="28">
                  <c:v>1965</c:v>
                </c:pt>
                <c:pt idx="29">
                  <c:v>1965</c:v>
                </c:pt>
                <c:pt idx="30">
                  <c:v>1999</c:v>
                </c:pt>
                <c:pt idx="32">
                  <c:v>1975</c:v>
                </c:pt>
                <c:pt idx="33">
                  <c:v>1966</c:v>
                </c:pt>
                <c:pt idx="34">
                  <c:v>1962</c:v>
                </c:pt>
                <c:pt idx="37">
                  <c:v>1976</c:v>
                </c:pt>
                <c:pt idx="38">
                  <c:v>1974</c:v>
                </c:pt>
                <c:pt idx="41">
                  <c:v>1969</c:v>
                </c:pt>
                <c:pt idx="42">
                  <c:v>1974</c:v>
                </c:pt>
                <c:pt idx="43">
                  <c:v>1967</c:v>
                </c:pt>
                <c:pt idx="44">
                  <c:v>1969</c:v>
                </c:pt>
                <c:pt idx="45">
                  <c:v>1997</c:v>
                </c:pt>
                <c:pt idx="46">
                  <c:v>1975</c:v>
                </c:pt>
                <c:pt idx="47">
                  <c:v>1995</c:v>
                </c:pt>
                <c:pt idx="49">
                  <c:v>1971</c:v>
                </c:pt>
                <c:pt idx="50">
                  <c:v>1984</c:v>
                </c:pt>
                <c:pt idx="51">
                  <c:v>1966</c:v>
                </c:pt>
                <c:pt idx="52">
                  <c:v>2002</c:v>
                </c:pt>
                <c:pt idx="53">
                  <c:v>1963</c:v>
                </c:pt>
                <c:pt idx="54">
                  <c:v>1967</c:v>
                </c:pt>
                <c:pt idx="55">
                  <c:v>1966</c:v>
                </c:pt>
                <c:pt idx="56">
                  <c:v>1969</c:v>
                </c:pt>
                <c:pt idx="57">
                  <c:v>1984</c:v>
                </c:pt>
                <c:pt idx="58">
                  <c:v>1984</c:v>
                </c:pt>
                <c:pt idx="59">
                  <c:v>1958</c:v>
                </c:pt>
                <c:pt idx="60">
                  <c:v>1994</c:v>
                </c:pt>
                <c:pt idx="61">
                  <c:v>1995</c:v>
                </c:pt>
                <c:pt idx="62">
                  <c:v>1963</c:v>
                </c:pt>
                <c:pt idx="63">
                  <c:v>1958</c:v>
                </c:pt>
                <c:pt idx="64">
                  <c:v>1979</c:v>
                </c:pt>
                <c:pt idx="66">
                  <c:v>1970</c:v>
                </c:pt>
                <c:pt idx="67">
                  <c:v>2003</c:v>
                </c:pt>
                <c:pt idx="68">
                  <c:v>1983</c:v>
                </c:pt>
                <c:pt idx="69">
                  <c:v>1994</c:v>
                </c:pt>
                <c:pt idx="70">
                  <c:v>1981</c:v>
                </c:pt>
                <c:pt idx="71">
                  <c:v>1978</c:v>
                </c:pt>
                <c:pt idx="72">
                  <c:v>1963</c:v>
                </c:pt>
                <c:pt idx="73">
                  <c:v>1979</c:v>
                </c:pt>
                <c:pt idx="74">
                  <c:v>2009</c:v>
                </c:pt>
                <c:pt idx="75">
                  <c:v>1964</c:v>
                </c:pt>
                <c:pt idx="76">
                  <c:v>1966</c:v>
                </c:pt>
                <c:pt idx="77">
                  <c:v>1999</c:v>
                </c:pt>
                <c:pt idx="78">
                  <c:v>1963</c:v>
                </c:pt>
                <c:pt idx="79">
                  <c:v>1973</c:v>
                </c:pt>
                <c:pt idx="80">
                  <c:v>1988</c:v>
                </c:pt>
                <c:pt idx="81">
                  <c:v>1956</c:v>
                </c:pt>
                <c:pt idx="82">
                  <c:v>1960</c:v>
                </c:pt>
                <c:pt idx="83">
                  <c:v>1993</c:v>
                </c:pt>
                <c:pt idx="84">
                  <c:v>1959</c:v>
                </c:pt>
                <c:pt idx="85">
                  <c:v>1982</c:v>
                </c:pt>
                <c:pt idx="86">
                  <c:v>1963</c:v>
                </c:pt>
                <c:pt idx="87">
                  <c:v>1983</c:v>
                </c:pt>
                <c:pt idx="88">
                  <c:v>1981</c:v>
                </c:pt>
                <c:pt idx="91">
                  <c:v>1962</c:v>
                </c:pt>
                <c:pt idx="92">
                  <c:v>1982</c:v>
                </c:pt>
                <c:pt idx="93">
                  <c:v>1976</c:v>
                </c:pt>
                <c:pt idx="94">
                  <c:v>1997</c:v>
                </c:pt>
                <c:pt idx="97">
                  <c:v>1949</c:v>
                </c:pt>
                <c:pt idx="98">
                  <c:v>1991</c:v>
                </c:pt>
                <c:pt idx="99">
                  <c:v>1975</c:v>
                </c:pt>
                <c:pt idx="100">
                  <c:v>1975</c:v>
                </c:pt>
                <c:pt idx="101">
                  <c:v>1988</c:v>
                </c:pt>
                <c:pt idx="102">
                  <c:v>1979</c:v>
                </c:pt>
                <c:pt idx="103">
                  <c:v>1986</c:v>
                </c:pt>
                <c:pt idx="104">
                  <c:v>1968</c:v>
                </c:pt>
                <c:pt idx="105">
                  <c:v>1949</c:v>
                </c:pt>
                <c:pt idx="106">
                  <c:v>1949</c:v>
                </c:pt>
                <c:pt idx="107">
                  <c:v>1955</c:v>
                </c:pt>
                <c:pt idx="108">
                  <c:v>1955</c:v>
                </c:pt>
                <c:pt idx="109">
                  <c:v>2015</c:v>
                </c:pt>
                <c:pt idx="110">
                  <c:v>1983</c:v>
                </c:pt>
                <c:pt idx="111">
                  <c:v>1961</c:v>
                </c:pt>
                <c:pt idx="112">
                  <c:v>1985</c:v>
                </c:pt>
                <c:pt idx="113">
                  <c:v>1983</c:v>
                </c:pt>
                <c:pt idx="114">
                  <c:v>1990</c:v>
                </c:pt>
                <c:pt idx="115">
                  <c:v>2015</c:v>
                </c:pt>
                <c:pt idx="116">
                  <c:v>1997</c:v>
                </c:pt>
                <c:pt idx="117">
                  <c:v>1971</c:v>
                </c:pt>
                <c:pt idx="118">
                  <c:v>1984</c:v>
                </c:pt>
                <c:pt idx="119">
                  <c:v>1981</c:v>
                </c:pt>
                <c:pt idx="120">
                  <c:v>1959</c:v>
                </c:pt>
                <c:pt idx="121">
                  <c:v>1998</c:v>
                </c:pt>
                <c:pt idx="122">
                  <c:v>1994</c:v>
                </c:pt>
                <c:pt idx="123">
                  <c:v>1961</c:v>
                </c:pt>
                <c:pt idx="124">
                  <c:v>1980</c:v>
                </c:pt>
                <c:pt idx="125">
                  <c:v>1960</c:v>
                </c:pt>
                <c:pt idx="126">
                  <c:v>1983</c:v>
                </c:pt>
                <c:pt idx="127">
                  <c:v>1990</c:v>
                </c:pt>
                <c:pt idx="128">
                  <c:v>1972</c:v>
                </c:pt>
                <c:pt idx="129">
                  <c:v>1969</c:v>
                </c:pt>
                <c:pt idx="130">
                  <c:v>1998</c:v>
                </c:pt>
                <c:pt idx="131">
                  <c:v>1982</c:v>
                </c:pt>
                <c:pt idx="132">
                  <c:v>1982</c:v>
                </c:pt>
                <c:pt idx="133">
                  <c:v>1980</c:v>
                </c:pt>
                <c:pt idx="134">
                  <c:v>1976</c:v>
                </c:pt>
                <c:pt idx="135">
                  <c:v>1992</c:v>
                </c:pt>
                <c:pt idx="136">
                  <c:v>1970</c:v>
                </c:pt>
              </c:strCache>
            </c:strRef>
          </c:xVal>
          <c:yVal>
            <c:numRef>
              <c:f>N!$U$2:$U$1006</c:f>
              <c:numCache>
                <c:formatCode>0</c:formatCode>
                <c:ptCount val="1005"/>
                <c:pt idx="0">
                  <c:v>0</c:v>
                </c:pt>
                <c:pt idx="1">
                  <c:v>28</c:v>
                </c:pt>
                <c:pt idx="2">
                  <c:v>18</c:v>
                </c:pt>
                <c:pt idx="3">
                  <c:v>30</c:v>
                </c:pt>
                <c:pt idx="4">
                  <c:v>18</c:v>
                </c:pt>
                <c:pt idx="5">
                  <c:v>20</c:v>
                </c:pt>
                <c:pt idx="6">
                  <c:v>17</c:v>
                </c:pt>
                <c:pt idx="7">
                  <c:v>21</c:v>
                </c:pt>
                <c:pt idx="8">
                  <c:v>31</c:v>
                </c:pt>
                <c:pt idx="9">
                  <c:v>13</c:v>
                </c:pt>
                <c:pt idx="10">
                  <c:v>14</c:v>
                </c:pt>
                <c:pt idx="11">
                  <c:v>2</c:v>
                </c:pt>
                <c:pt idx="12">
                  <c:v>2</c:v>
                </c:pt>
                <c:pt idx="13">
                  <c:v>18</c:v>
                </c:pt>
                <c:pt idx="14">
                  <c:v>18</c:v>
                </c:pt>
                <c:pt idx="15">
                  <c:v>0</c:v>
                </c:pt>
                <c:pt idx="16">
                  <c:v>2</c:v>
                </c:pt>
                <c:pt idx="17">
                  <c:v>11</c:v>
                </c:pt>
                <c:pt idx="18">
                  <c:v>12</c:v>
                </c:pt>
                <c:pt idx="19">
                  <c:v>2</c:v>
                </c:pt>
                <c:pt idx="20">
                  <c:v>11</c:v>
                </c:pt>
                <c:pt idx="21">
                  <c:v>21</c:v>
                </c:pt>
                <c:pt idx="22">
                  <c:v>22</c:v>
                </c:pt>
                <c:pt idx="23">
                  <c:v>10</c:v>
                </c:pt>
                <c:pt idx="24">
                  <c:v>18</c:v>
                </c:pt>
                <c:pt idx="25">
                  <c:v>25</c:v>
                </c:pt>
                <c:pt idx="26">
                  <c:v>11</c:v>
                </c:pt>
                <c:pt idx="27">
                  <c:v>15</c:v>
                </c:pt>
                <c:pt idx="28">
                  <c:v>10</c:v>
                </c:pt>
                <c:pt idx="29">
                  <c:v>10</c:v>
                </c:pt>
                <c:pt idx="30">
                  <c:v>18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12</c:v>
                </c:pt>
                <c:pt idx="35">
                  <c:v>19</c:v>
                </c:pt>
                <c:pt idx="36">
                  <c:v>2</c:v>
                </c:pt>
                <c:pt idx="37">
                  <c:v>24</c:v>
                </c:pt>
                <c:pt idx="38">
                  <c:v>24</c:v>
                </c:pt>
                <c:pt idx="39">
                  <c:v>15</c:v>
                </c:pt>
                <c:pt idx="40">
                  <c:v>14</c:v>
                </c:pt>
                <c:pt idx="41">
                  <c:v>16</c:v>
                </c:pt>
                <c:pt idx="42">
                  <c:v>13</c:v>
                </c:pt>
                <c:pt idx="43">
                  <c:v>13</c:v>
                </c:pt>
                <c:pt idx="44">
                  <c:v>22</c:v>
                </c:pt>
                <c:pt idx="45">
                  <c:v>24</c:v>
                </c:pt>
                <c:pt idx="46">
                  <c:v>22</c:v>
                </c:pt>
                <c:pt idx="47">
                  <c:v>24</c:v>
                </c:pt>
                <c:pt idx="48">
                  <c:v>19</c:v>
                </c:pt>
                <c:pt idx="49">
                  <c:v>22</c:v>
                </c:pt>
                <c:pt idx="50">
                  <c:v>22</c:v>
                </c:pt>
                <c:pt idx="51">
                  <c:v>29</c:v>
                </c:pt>
                <c:pt idx="52">
                  <c:v>24</c:v>
                </c:pt>
                <c:pt idx="53">
                  <c:v>16</c:v>
                </c:pt>
                <c:pt idx="54">
                  <c:v>16</c:v>
                </c:pt>
                <c:pt idx="55">
                  <c:v>26</c:v>
                </c:pt>
                <c:pt idx="56">
                  <c:v>17</c:v>
                </c:pt>
                <c:pt idx="57">
                  <c:v>23</c:v>
                </c:pt>
                <c:pt idx="58">
                  <c:v>23</c:v>
                </c:pt>
                <c:pt idx="59">
                  <c:v>20</c:v>
                </c:pt>
                <c:pt idx="60">
                  <c:v>26</c:v>
                </c:pt>
                <c:pt idx="61">
                  <c:v>25</c:v>
                </c:pt>
                <c:pt idx="62">
                  <c:v>17</c:v>
                </c:pt>
                <c:pt idx="63">
                  <c:v>17</c:v>
                </c:pt>
                <c:pt idx="64">
                  <c:v>15</c:v>
                </c:pt>
                <c:pt idx="65">
                  <c:v>10</c:v>
                </c:pt>
                <c:pt idx="66">
                  <c:v>15</c:v>
                </c:pt>
                <c:pt idx="67">
                  <c:v>28</c:v>
                </c:pt>
                <c:pt idx="68">
                  <c:v>14</c:v>
                </c:pt>
                <c:pt idx="69">
                  <c:v>23</c:v>
                </c:pt>
                <c:pt idx="70">
                  <c:v>15</c:v>
                </c:pt>
                <c:pt idx="71">
                  <c:v>13</c:v>
                </c:pt>
                <c:pt idx="72">
                  <c:v>14</c:v>
                </c:pt>
                <c:pt idx="73">
                  <c:v>16</c:v>
                </c:pt>
                <c:pt idx="74">
                  <c:v>34</c:v>
                </c:pt>
                <c:pt idx="75">
                  <c:v>14</c:v>
                </c:pt>
                <c:pt idx="76">
                  <c:v>12</c:v>
                </c:pt>
                <c:pt idx="77">
                  <c:v>21</c:v>
                </c:pt>
                <c:pt idx="78">
                  <c:v>11</c:v>
                </c:pt>
                <c:pt idx="79">
                  <c:v>6</c:v>
                </c:pt>
                <c:pt idx="80">
                  <c:v>15</c:v>
                </c:pt>
                <c:pt idx="81">
                  <c:v>7</c:v>
                </c:pt>
                <c:pt idx="82">
                  <c:v>12</c:v>
                </c:pt>
                <c:pt idx="83">
                  <c:v>13</c:v>
                </c:pt>
                <c:pt idx="84">
                  <c:v>8</c:v>
                </c:pt>
                <c:pt idx="85">
                  <c:v>11</c:v>
                </c:pt>
                <c:pt idx="86">
                  <c:v>12</c:v>
                </c:pt>
                <c:pt idx="87">
                  <c:v>11</c:v>
                </c:pt>
                <c:pt idx="88">
                  <c:v>12</c:v>
                </c:pt>
                <c:pt idx="89">
                  <c:v>0</c:v>
                </c:pt>
                <c:pt idx="90">
                  <c:v>0</c:v>
                </c:pt>
                <c:pt idx="91">
                  <c:v>10</c:v>
                </c:pt>
                <c:pt idx="92">
                  <c:v>12</c:v>
                </c:pt>
                <c:pt idx="93">
                  <c:v>11</c:v>
                </c:pt>
                <c:pt idx="94">
                  <c:v>14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13</c:v>
                </c:pt>
                <c:pt idx="99">
                  <c:v>10</c:v>
                </c:pt>
                <c:pt idx="100">
                  <c:v>4</c:v>
                </c:pt>
                <c:pt idx="101">
                  <c:v>11</c:v>
                </c:pt>
                <c:pt idx="102">
                  <c:v>10</c:v>
                </c:pt>
                <c:pt idx="103">
                  <c:v>12</c:v>
                </c:pt>
                <c:pt idx="104">
                  <c:v>10</c:v>
                </c:pt>
                <c:pt idx="105">
                  <c:v>5</c:v>
                </c:pt>
                <c:pt idx="106">
                  <c:v>5</c:v>
                </c:pt>
                <c:pt idx="107">
                  <c:v>6</c:v>
                </c:pt>
                <c:pt idx="108">
                  <c:v>5</c:v>
                </c:pt>
                <c:pt idx="109">
                  <c:v>31</c:v>
                </c:pt>
                <c:pt idx="110">
                  <c:v>23</c:v>
                </c:pt>
                <c:pt idx="111">
                  <c:v>8</c:v>
                </c:pt>
                <c:pt idx="112">
                  <c:v>11</c:v>
                </c:pt>
                <c:pt idx="113">
                  <c:v>25</c:v>
                </c:pt>
                <c:pt idx="114">
                  <c:v>26</c:v>
                </c:pt>
                <c:pt idx="115">
                  <c:v>33</c:v>
                </c:pt>
                <c:pt idx="116">
                  <c:v>36</c:v>
                </c:pt>
                <c:pt idx="117">
                  <c:v>14</c:v>
                </c:pt>
                <c:pt idx="118">
                  <c:v>22</c:v>
                </c:pt>
                <c:pt idx="119">
                  <c:v>12</c:v>
                </c:pt>
                <c:pt idx="120">
                  <c:v>9</c:v>
                </c:pt>
                <c:pt idx="121">
                  <c:v>26</c:v>
                </c:pt>
                <c:pt idx="122">
                  <c:v>20</c:v>
                </c:pt>
                <c:pt idx="123">
                  <c:v>8</c:v>
                </c:pt>
                <c:pt idx="124">
                  <c:v>10</c:v>
                </c:pt>
                <c:pt idx="125">
                  <c:v>7</c:v>
                </c:pt>
                <c:pt idx="126">
                  <c:v>12</c:v>
                </c:pt>
                <c:pt idx="127">
                  <c:v>17</c:v>
                </c:pt>
                <c:pt idx="128">
                  <c:v>10</c:v>
                </c:pt>
                <c:pt idx="129">
                  <c:v>12</c:v>
                </c:pt>
                <c:pt idx="130">
                  <c:v>34</c:v>
                </c:pt>
                <c:pt idx="131">
                  <c:v>12</c:v>
                </c:pt>
                <c:pt idx="132">
                  <c:v>12</c:v>
                </c:pt>
                <c:pt idx="133">
                  <c:v>13</c:v>
                </c:pt>
                <c:pt idx="134">
                  <c:v>12</c:v>
                </c:pt>
                <c:pt idx="135">
                  <c:v>16</c:v>
                </c:pt>
                <c:pt idx="136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27-48C7-BE3B-C2DB60604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960209"/>
        <c:axId val="524860337"/>
      </c:scatterChart>
      <c:valAx>
        <c:axId val="17509602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4860337"/>
        <c:crosses val="autoZero"/>
        <c:crossBetween val="midCat"/>
      </c:valAx>
      <c:valAx>
        <c:axId val="5248603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0960209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 of storeys vs Building Height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N!$U$1:$U$2</c:f>
              <c:strCache>
                <c:ptCount val="2"/>
                <c:pt idx="1">
                  <c:v>Number of storeys</c:v>
                </c:pt>
              </c:strCache>
            </c:strRef>
          </c:tx>
          <c:spPr>
            <a:ln>
              <a:noFill/>
            </a:ln>
          </c:spPr>
          <c:marker>
            <c:symbol val="x"/>
            <c:size val="5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trendline>
            <c:name>Trend line for Number of storeys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  <c:trendlineLbl>
              <c:numFmt formatCode="General" sourceLinked="0"/>
            </c:trendlineLbl>
          </c:trendline>
          <c:xVal>
            <c:numRef>
              <c:f>N!$O$3:$O$1006</c:f>
              <c:numCache>
                <c:formatCode>0.0</c:formatCode>
                <c:ptCount val="1004"/>
                <c:pt idx="0">
                  <c:v>109.700002</c:v>
                </c:pt>
                <c:pt idx="1">
                  <c:v>40.999997999999998</c:v>
                </c:pt>
                <c:pt idx="2">
                  <c:v>116.8</c:v>
                </c:pt>
                <c:pt idx="3">
                  <c:v>56.7</c:v>
                </c:pt>
                <c:pt idx="4">
                  <c:v>41</c:v>
                </c:pt>
                <c:pt idx="5">
                  <c:v>51</c:v>
                </c:pt>
                <c:pt idx="6">
                  <c:v>78.7</c:v>
                </c:pt>
                <c:pt idx="7">
                  <c:v>134.4</c:v>
                </c:pt>
                <c:pt idx="8">
                  <c:v>43.199998999999998</c:v>
                </c:pt>
                <c:pt idx="9">
                  <c:v>54.2</c:v>
                </c:pt>
                <c:pt idx="10">
                  <c:v>16.100000000000001</c:v>
                </c:pt>
                <c:pt idx="11">
                  <c:v>7</c:v>
                </c:pt>
                <c:pt idx="12">
                  <c:v>35.200001</c:v>
                </c:pt>
                <c:pt idx="13">
                  <c:v>36.100000999999999</c:v>
                </c:pt>
                <c:pt idx="15">
                  <c:v>5.6</c:v>
                </c:pt>
                <c:pt idx="16">
                  <c:v>39.400002000000001</c:v>
                </c:pt>
                <c:pt idx="17">
                  <c:v>43.300001999999999</c:v>
                </c:pt>
                <c:pt idx="18">
                  <c:v>4.9000000000000004</c:v>
                </c:pt>
                <c:pt idx="19">
                  <c:v>32.799999</c:v>
                </c:pt>
                <c:pt idx="20">
                  <c:v>63.199998000000001</c:v>
                </c:pt>
                <c:pt idx="21">
                  <c:v>40.200001</c:v>
                </c:pt>
                <c:pt idx="22">
                  <c:v>39.299999</c:v>
                </c:pt>
                <c:pt idx="23">
                  <c:v>54.299999</c:v>
                </c:pt>
                <c:pt idx="24">
                  <c:v>44.400002000000001</c:v>
                </c:pt>
                <c:pt idx="25">
                  <c:v>40.699998999999998</c:v>
                </c:pt>
                <c:pt idx="26">
                  <c:v>48.400001000000003</c:v>
                </c:pt>
                <c:pt idx="27">
                  <c:v>36.099997999999999</c:v>
                </c:pt>
                <c:pt idx="28">
                  <c:v>11.699998000000001</c:v>
                </c:pt>
                <c:pt idx="29">
                  <c:v>41.299999</c:v>
                </c:pt>
                <c:pt idx="30">
                  <c:v>54.200001</c:v>
                </c:pt>
                <c:pt idx="31">
                  <c:v>40.300001000000002</c:v>
                </c:pt>
                <c:pt idx="32">
                  <c:v>49.200001</c:v>
                </c:pt>
                <c:pt idx="33">
                  <c:v>39.699998000000001</c:v>
                </c:pt>
                <c:pt idx="34">
                  <c:v>47.999997999999998</c:v>
                </c:pt>
                <c:pt idx="35">
                  <c:v>7.2</c:v>
                </c:pt>
                <c:pt idx="36">
                  <c:v>55.399997999999997</c:v>
                </c:pt>
                <c:pt idx="37">
                  <c:v>41.299999</c:v>
                </c:pt>
                <c:pt idx="38">
                  <c:v>49.399999000000001</c:v>
                </c:pt>
                <c:pt idx="39">
                  <c:v>45.899999000000001</c:v>
                </c:pt>
                <c:pt idx="40">
                  <c:v>37.799999</c:v>
                </c:pt>
                <c:pt idx="41">
                  <c:v>44.500000999999997</c:v>
                </c:pt>
                <c:pt idx="42">
                  <c:v>45.299999</c:v>
                </c:pt>
                <c:pt idx="43">
                  <c:v>66.000001999999995</c:v>
                </c:pt>
                <c:pt idx="44">
                  <c:v>77.200002999999995</c:v>
                </c:pt>
                <c:pt idx="45">
                  <c:v>69.599997000000002</c:v>
                </c:pt>
                <c:pt idx="46">
                  <c:v>68.200001</c:v>
                </c:pt>
                <c:pt idx="47">
                  <c:v>73</c:v>
                </c:pt>
                <c:pt idx="48">
                  <c:v>54.900002000000001</c:v>
                </c:pt>
                <c:pt idx="49">
                  <c:v>65.199997999999994</c:v>
                </c:pt>
                <c:pt idx="50">
                  <c:v>68.199997999999994</c:v>
                </c:pt>
                <c:pt idx="51">
                  <c:v>85.000003000000007</c:v>
                </c:pt>
                <c:pt idx="52">
                  <c:v>51.900002000000001</c:v>
                </c:pt>
                <c:pt idx="53">
                  <c:v>51.300001000000002</c:v>
                </c:pt>
                <c:pt idx="54">
                  <c:v>58.299999</c:v>
                </c:pt>
                <c:pt idx="55">
                  <c:v>27</c:v>
                </c:pt>
                <c:pt idx="56">
                  <c:v>53.999996000000003</c:v>
                </c:pt>
                <c:pt idx="57">
                  <c:v>72.599999999999994</c:v>
                </c:pt>
                <c:pt idx="58">
                  <c:v>59.800004000000001</c:v>
                </c:pt>
                <c:pt idx="59">
                  <c:v>63.900002999999998</c:v>
                </c:pt>
                <c:pt idx="60">
                  <c:v>71.299999</c:v>
                </c:pt>
                <c:pt idx="61">
                  <c:v>52.6</c:v>
                </c:pt>
                <c:pt idx="62">
                  <c:v>55.799998000000002</c:v>
                </c:pt>
                <c:pt idx="63">
                  <c:v>34.800001000000002</c:v>
                </c:pt>
                <c:pt idx="64">
                  <c:v>35.499999000000003</c:v>
                </c:pt>
                <c:pt idx="65">
                  <c:v>44.7</c:v>
                </c:pt>
                <c:pt idx="66">
                  <c:v>83.299999</c:v>
                </c:pt>
                <c:pt idx="67">
                  <c:v>43.199998000000001</c:v>
                </c:pt>
                <c:pt idx="68">
                  <c:v>43</c:v>
                </c:pt>
                <c:pt idx="69">
                  <c:v>45.900002000000001</c:v>
                </c:pt>
                <c:pt idx="70">
                  <c:v>33.700001</c:v>
                </c:pt>
                <c:pt idx="71">
                  <c:v>43.600002000000003</c:v>
                </c:pt>
                <c:pt idx="72">
                  <c:v>39.900001000000003</c:v>
                </c:pt>
                <c:pt idx="73">
                  <c:v>113.3</c:v>
                </c:pt>
                <c:pt idx="74">
                  <c:v>45.999999000000003</c:v>
                </c:pt>
                <c:pt idx="75">
                  <c:v>35.099997999999999</c:v>
                </c:pt>
                <c:pt idx="76">
                  <c:v>58.700001999999998</c:v>
                </c:pt>
                <c:pt idx="77">
                  <c:v>39.299998000000002</c:v>
                </c:pt>
                <c:pt idx="78">
                  <c:v>21.900001</c:v>
                </c:pt>
                <c:pt idx="79">
                  <c:v>40.000000999999997</c:v>
                </c:pt>
                <c:pt idx="80">
                  <c:v>26.899999000000001</c:v>
                </c:pt>
                <c:pt idx="81">
                  <c:v>33.800001000000002</c:v>
                </c:pt>
                <c:pt idx="82">
                  <c:v>18.499998999999999</c:v>
                </c:pt>
                <c:pt idx="83">
                  <c:v>29.799997999999999</c:v>
                </c:pt>
                <c:pt idx="84">
                  <c:v>32.499997999999998</c:v>
                </c:pt>
                <c:pt idx="85">
                  <c:v>36.200001999999998</c:v>
                </c:pt>
                <c:pt idx="86">
                  <c:v>28.100000999999999</c:v>
                </c:pt>
                <c:pt idx="87">
                  <c:v>26.6</c:v>
                </c:pt>
                <c:pt idx="90">
                  <c:v>26.399996999999999</c:v>
                </c:pt>
                <c:pt idx="91">
                  <c:v>28.299999</c:v>
                </c:pt>
                <c:pt idx="92">
                  <c:v>20.699998999999998</c:v>
                </c:pt>
                <c:pt idx="93">
                  <c:v>40.6</c:v>
                </c:pt>
                <c:pt idx="94">
                  <c:v>25.100000999999999</c:v>
                </c:pt>
                <c:pt idx="95">
                  <c:v>15.4</c:v>
                </c:pt>
                <c:pt idx="96">
                  <c:v>18.400001</c:v>
                </c:pt>
                <c:pt idx="97">
                  <c:v>32.599998999999997</c:v>
                </c:pt>
                <c:pt idx="98">
                  <c:v>38.899999000000001</c:v>
                </c:pt>
                <c:pt idx="99">
                  <c:v>15.199999</c:v>
                </c:pt>
                <c:pt idx="100">
                  <c:v>32.199998999999998</c:v>
                </c:pt>
                <c:pt idx="101">
                  <c:v>23.100000999999999</c:v>
                </c:pt>
                <c:pt idx="102">
                  <c:v>31.499998999999999</c:v>
                </c:pt>
                <c:pt idx="103">
                  <c:v>31.800001999999999</c:v>
                </c:pt>
                <c:pt idx="104">
                  <c:v>15</c:v>
                </c:pt>
                <c:pt idx="105">
                  <c:v>14.9</c:v>
                </c:pt>
                <c:pt idx="106">
                  <c:v>22.3</c:v>
                </c:pt>
                <c:pt idx="107">
                  <c:v>18</c:v>
                </c:pt>
                <c:pt idx="108">
                  <c:v>113.89999999999999</c:v>
                </c:pt>
                <c:pt idx="109">
                  <c:v>64.999995999999996</c:v>
                </c:pt>
                <c:pt idx="110">
                  <c:v>25.700001</c:v>
                </c:pt>
                <c:pt idx="111">
                  <c:v>23</c:v>
                </c:pt>
                <c:pt idx="112">
                  <c:v>64.399997999999997</c:v>
                </c:pt>
                <c:pt idx="113">
                  <c:v>67.899996999999999</c:v>
                </c:pt>
                <c:pt idx="114">
                  <c:v>86.899996999999999</c:v>
                </c:pt>
                <c:pt idx="115">
                  <c:v>95.799999</c:v>
                </c:pt>
                <c:pt idx="116">
                  <c:v>48.499997999999998</c:v>
                </c:pt>
                <c:pt idx="117">
                  <c:v>60.099997000000002</c:v>
                </c:pt>
                <c:pt idx="118">
                  <c:v>37.5</c:v>
                </c:pt>
                <c:pt idx="119">
                  <c:v>26.499998000000001</c:v>
                </c:pt>
                <c:pt idx="120">
                  <c:v>103.1</c:v>
                </c:pt>
                <c:pt idx="121">
                  <c:v>66.200001999999998</c:v>
                </c:pt>
                <c:pt idx="122">
                  <c:v>31.9</c:v>
                </c:pt>
                <c:pt idx="123">
                  <c:v>25.600000999999999</c:v>
                </c:pt>
                <c:pt idx="124">
                  <c:v>27.699998999999998</c:v>
                </c:pt>
                <c:pt idx="125">
                  <c:v>25.699998999999998</c:v>
                </c:pt>
                <c:pt idx="126">
                  <c:v>50.299996999999998</c:v>
                </c:pt>
                <c:pt idx="127">
                  <c:v>40.4</c:v>
                </c:pt>
                <c:pt idx="128">
                  <c:v>39.899999000000001</c:v>
                </c:pt>
                <c:pt idx="129">
                  <c:v>104.100003</c:v>
                </c:pt>
                <c:pt idx="130">
                  <c:v>40.199998999999998</c:v>
                </c:pt>
                <c:pt idx="131">
                  <c:v>26</c:v>
                </c:pt>
                <c:pt idx="132">
                  <c:v>39.500000999999997</c:v>
                </c:pt>
                <c:pt idx="133">
                  <c:v>25.6</c:v>
                </c:pt>
                <c:pt idx="134">
                  <c:v>54.700003000000002</c:v>
                </c:pt>
                <c:pt idx="135">
                  <c:v>38.700001</c:v>
                </c:pt>
              </c:numCache>
            </c:numRef>
          </c:xVal>
          <c:yVal>
            <c:numRef>
              <c:f>N!$U$3:$U$1006</c:f>
              <c:numCache>
                <c:formatCode>0</c:formatCode>
                <c:ptCount val="1004"/>
                <c:pt idx="0">
                  <c:v>28</c:v>
                </c:pt>
                <c:pt idx="1">
                  <c:v>18</c:v>
                </c:pt>
                <c:pt idx="2">
                  <c:v>30</c:v>
                </c:pt>
                <c:pt idx="3">
                  <c:v>18</c:v>
                </c:pt>
                <c:pt idx="4">
                  <c:v>20</c:v>
                </c:pt>
                <c:pt idx="5">
                  <c:v>17</c:v>
                </c:pt>
                <c:pt idx="6">
                  <c:v>21</c:v>
                </c:pt>
                <c:pt idx="7">
                  <c:v>31</c:v>
                </c:pt>
                <c:pt idx="8">
                  <c:v>13</c:v>
                </c:pt>
                <c:pt idx="9">
                  <c:v>14</c:v>
                </c:pt>
                <c:pt idx="10">
                  <c:v>2</c:v>
                </c:pt>
                <c:pt idx="11">
                  <c:v>2</c:v>
                </c:pt>
                <c:pt idx="12">
                  <c:v>18</c:v>
                </c:pt>
                <c:pt idx="13">
                  <c:v>18</c:v>
                </c:pt>
                <c:pt idx="14">
                  <c:v>0</c:v>
                </c:pt>
                <c:pt idx="15">
                  <c:v>2</c:v>
                </c:pt>
                <c:pt idx="16">
                  <c:v>11</c:v>
                </c:pt>
                <c:pt idx="17">
                  <c:v>12</c:v>
                </c:pt>
                <c:pt idx="18">
                  <c:v>2</c:v>
                </c:pt>
                <c:pt idx="19">
                  <c:v>11</c:v>
                </c:pt>
                <c:pt idx="20">
                  <c:v>21</c:v>
                </c:pt>
                <c:pt idx="21">
                  <c:v>22</c:v>
                </c:pt>
                <c:pt idx="22">
                  <c:v>10</c:v>
                </c:pt>
                <c:pt idx="23">
                  <c:v>18</c:v>
                </c:pt>
                <c:pt idx="24">
                  <c:v>25</c:v>
                </c:pt>
                <c:pt idx="25">
                  <c:v>11</c:v>
                </c:pt>
                <c:pt idx="26">
                  <c:v>15</c:v>
                </c:pt>
                <c:pt idx="27">
                  <c:v>10</c:v>
                </c:pt>
                <c:pt idx="28">
                  <c:v>10</c:v>
                </c:pt>
                <c:pt idx="29">
                  <c:v>18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12</c:v>
                </c:pt>
                <c:pt idx="34">
                  <c:v>19</c:v>
                </c:pt>
                <c:pt idx="35">
                  <c:v>2</c:v>
                </c:pt>
                <c:pt idx="36">
                  <c:v>24</c:v>
                </c:pt>
                <c:pt idx="37">
                  <c:v>24</c:v>
                </c:pt>
                <c:pt idx="38">
                  <c:v>15</c:v>
                </c:pt>
                <c:pt idx="39">
                  <c:v>14</c:v>
                </c:pt>
                <c:pt idx="40">
                  <c:v>16</c:v>
                </c:pt>
                <c:pt idx="41">
                  <c:v>13</c:v>
                </c:pt>
                <c:pt idx="42">
                  <c:v>13</c:v>
                </c:pt>
                <c:pt idx="43">
                  <c:v>22</c:v>
                </c:pt>
                <c:pt idx="44">
                  <c:v>24</c:v>
                </c:pt>
                <c:pt idx="45">
                  <c:v>22</c:v>
                </c:pt>
                <c:pt idx="46">
                  <c:v>24</c:v>
                </c:pt>
                <c:pt idx="47">
                  <c:v>19</c:v>
                </c:pt>
                <c:pt idx="48">
                  <c:v>22</c:v>
                </c:pt>
                <c:pt idx="49">
                  <c:v>22</c:v>
                </c:pt>
                <c:pt idx="50">
                  <c:v>29</c:v>
                </c:pt>
                <c:pt idx="51">
                  <c:v>24</c:v>
                </c:pt>
                <c:pt idx="52">
                  <c:v>16</c:v>
                </c:pt>
                <c:pt idx="53">
                  <c:v>16</c:v>
                </c:pt>
                <c:pt idx="54">
                  <c:v>26</c:v>
                </c:pt>
                <c:pt idx="55">
                  <c:v>17</c:v>
                </c:pt>
                <c:pt idx="56">
                  <c:v>23</c:v>
                </c:pt>
                <c:pt idx="57">
                  <c:v>23</c:v>
                </c:pt>
                <c:pt idx="58">
                  <c:v>20</c:v>
                </c:pt>
                <c:pt idx="59">
                  <c:v>26</c:v>
                </c:pt>
                <c:pt idx="60">
                  <c:v>25</c:v>
                </c:pt>
                <c:pt idx="61">
                  <c:v>17</c:v>
                </c:pt>
                <c:pt idx="62">
                  <c:v>17</c:v>
                </c:pt>
                <c:pt idx="63">
                  <c:v>15</c:v>
                </c:pt>
                <c:pt idx="64">
                  <c:v>10</c:v>
                </c:pt>
                <c:pt idx="65">
                  <c:v>15</c:v>
                </c:pt>
                <c:pt idx="66">
                  <c:v>28</c:v>
                </c:pt>
                <c:pt idx="67">
                  <c:v>14</c:v>
                </c:pt>
                <c:pt idx="68">
                  <c:v>23</c:v>
                </c:pt>
                <c:pt idx="69">
                  <c:v>15</c:v>
                </c:pt>
                <c:pt idx="70">
                  <c:v>13</c:v>
                </c:pt>
                <c:pt idx="71">
                  <c:v>14</c:v>
                </c:pt>
                <c:pt idx="72">
                  <c:v>16</c:v>
                </c:pt>
                <c:pt idx="73">
                  <c:v>34</c:v>
                </c:pt>
                <c:pt idx="74">
                  <c:v>14</c:v>
                </c:pt>
                <c:pt idx="75">
                  <c:v>12</c:v>
                </c:pt>
                <c:pt idx="76">
                  <c:v>21</c:v>
                </c:pt>
                <c:pt idx="77">
                  <c:v>11</c:v>
                </c:pt>
                <c:pt idx="78">
                  <c:v>6</c:v>
                </c:pt>
                <c:pt idx="79">
                  <c:v>15</c:v>
                </c:pt>
                <c:pt idx="80">
                  <c:v>7</c:v>
                </c:pt>
                <c:pt idx="81">
                  <c:v>12</c:v>
                </c:pt>
                <c:pt idx="82">
                  <c:v>13</c:v>
                </c:pt>
                <c:pt idx="83">
                  <c:v>8</c:v>
                </c:pt>
                <c:pt idx="84">
                  <c:v>11</c:v>
                </c:pt>
                <c:pt idx="85">
                  <c:v>12</c:v>
                </c:pt>
                <c:pt idx="86">
                  <c:v>11</c:v>
                </c:pt>
                <c:pt idx="87">
                  <c:v>12</c:v>
                </c:pt>
                <c:pt idx="88">
                  <c:v>0</c:v>
                </c:pt>
                <c:pt idx="89">
                  <c:v>0</c:v>
                </c:pt>
                <c:pt idx="90">
                  <c:v>10</c:v>
                </c:pt>
                <c:pt idx="91">
                  <c:v>12</c:v>
                </c:pt>
                <c:pt idx="92">
                  <c:v>11</c:v>
                </c:pt>
                <c:pt idx="93">
                  <c:v>14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13</c:v>
                </c:pt>
                <c:pt idx="98">
                  <c:v>10</c:v>
                </c:pt>
                <c:pt idx="99">
                  <c:v>4</c:v>
                </c:pt>
                <c:pt idx="100">
                  <c:v>11</c:v>
                </c:pt>
                <c:pt idx="101">
                  <c:v>10</c:v>
                </c:pt>
                <c:pt idx="102">
                  <c:v>12</c:v>
                </c:pt>
                <c:pt idx="103">
                  <c:v>10</c:v>
                </c:pt>
                <c:pt idx="104">
                  <c:v>5</c:v>
                </c:pt>
                <c:pt idx="105">
                  <c:v>5</c:v>
                </c:pt>
                <c:pt idx="106">
                  <c:v>6</c:v>
                </c:pt>
                <c:pt idx="107">
                  <c:v>5</c:v>
                </c:pt>
                <c:pt idx="108">
                  <c:v>31</c:v>
                </c:pt>
                <c:pt idx="109">
                  <c:v>23</c:v>
                </c:pt>
                <c:pt idx="110">
                  <c:v>8</c:v>
                </c:pt>
                <c:pt idx="111">
                  <c:v>11</c:v>
                </c:pt>
                <c:pt idx="112">
                  <c:v>25</c:v>
                </c:pt>
                <c:pt idx="113">
                  <c:v>26</c:v>
                </c:pt>
                <c:pt idx="114">
                  <c:v>33</c:v>
                </c:pt>
                <c:pt idx="115">
                  <c:v>36</c:v>
                </c:pt>
                <c:pt idx="116">
                  <c:v>14</c:v>
                </c:pt>
                <c:pt idx="117">
                  <c:v>22</c:v>
                </c:pt>
                <c:pt idx="118">
                  <c:v>12</c:v>
                </c:pt>
                <c:pt idx="119">
                  <c:v>9</c:v>
                </c:pt>
                <c:pt idx="120">
                  <c:v>26</c:v>
                </c:pt>
                <c:pt idx="121">
                  <c:v>20</c:v>
                </c:pt>
                <c:pt idx="122">
                  <c:v>8</c:v>
                </c:pt>
                <c:pt idx="123">
                  <c:v>10</c:v>
                </c:pt>
                <c:pt idx="124">
                  <c:v>7</c:v>
                </c:pt>
                <c:pt idx="125">
                  <c:v>12</c:v>
                </c:pt>
                <c:pt idx="126">
                  <c:v>17</c:v>
                </c:pt>
                <c:pt idx="127">
                  <c:v>10</c:v>
                </c:pt>
                <c:pt idx="128">
                  <c:v>12</c:v>
                </c:pt>
                <c:pt idx="129">
                  <c:v>34</c:v>
                </c:pt>
                <c:pt idx="130">
                  <c:v>12</c:v>
                </c:pt>
                <c:pt idx="131">
                  <c:v>12</c:v>
                </c:pt>
                <c:pt idx="132">
                  <c:v>13</c:v>
                </c:pt>
                <c:pt idx="133">
                  <c:v>12</c:v>
                </c:pt>
                <c:pt idx="134">
                  <c:v>16</c:v>
                </c:pt>
                <c:pt idx="13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05-4B58-8090-5963283BB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62366"/>
        <c:axId val="141301734"/>
      </c:scatterChart>
      <c:valAx>
        <c:axId val="15198623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Building Height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1301734"/>
        <c:crosses val="autoZero"/>
        <c:crossBetween val="midCat"/>
      </c:valAx>
      <c:valAx>
        <c:axId val="1413017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storeys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9862366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storey vs years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NE_bmis!$F$1</c:f>
              <c:strCache>
                <c:ptCount val="1"/>
                <c:pt idx="0">
                  <c:v>storey</c:v>
                </c:pt>
              </c:strCache>
            </c:strRef>
          </c:tx>
          <c:spPr>
            <a:ln>
              <a:noFill/>
            </a:ln>
          </c:spPr>
          <c:marker>
            <c:symbol val="x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 line for storey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NE_bmis!$I$2:$I$1000</c:f>
              <c:numCache>
                <c:formatCode>General</c:formatCode>
                <c:ptCount val="999"/>
                <c:pt idx="0">
                  <c:v>1998</c:v>
                </c:pt>
                <c:pt idx="1">
                  <c:v>2007</c:v>
                </c:pt>
                <c:pt idx="2">
                  <c:v>1978</c:v>
                </c:pt>
                <c:pt idx="3">
                  <c:v>1999</c:v>
                </c:pt>
                <c:pt idx="4">
                  <c:v>1980</c:v>
                </c:pt>
                <c:pt idx="5">
                  <c:v>1980</c:v>
                </c:pt>
                <c:pt idx="6">
                  <c:v>1997</c:v>
                </c:pt>
                <c:pt idx="7">
                  <c:v>1999</c:v>
                </c:pt>
                <c:pt idx="8">
                  <c:v>1974</c:v>
                </c:pt>
                <c:pt idx="9">
                  <c:v>1968</c:v>
                </c:pt>
                <c:pt idx="10">
                  <c:v>1966</c:v>
                </c:pt>
                <c:pt idx="11">
                  <c:v>1954</c:v>
                </c:pt>
                <c:pt idx="12">
                  <c:v>1997</c:v>
                </c:pt>
                <c:pt idx="13">
                  <c:v>1996</c:v>
                </c:pt>
                <c:pt idx="14">
                  <c:v>1959</c:v>
                </c:pt>
                <c:pt idx="15">
                  <c:v>1958</c:v>
                </c:pt>
                <c:pt idx="16">
                  <c:v>1985</c:v>
                </c:pt>
                <c:pt idx="17">
                  <c:v>1985</c:v>
                </c:pt>
                <c:pt idx="18">
                  <c:v>1988</c:v>
                </c:pt>
                <c:pt idx="19">
                  <c:v>1958</c:v>
                </c:pt>
                <c:pt idx="20">
                  <c:v>1963</c:v>
                </c:pt>
                <c:pt idx="21">
                  <c:v>1982</c:v>
                </c:pt>
                <c:pt idx="22">
                  <c:v>1962</c:v>
                </c:pt>
                <c:pt idx="23">
                  <c:v>1961</c:v>
                </c:pt>
                <c:pt idx="24">
                  <c:v>1999</c:v>
                </c:pt>
                <c:pt idx="25">
                  <c:v>1958</c:v>
                </c:pt>
                <c:pt idx="26">
                  <c:v>1974</c:v>
                </c:pt>
                <c:pt idx="27">
                  <c:v>1966</c:v>
                </c:pt>
                <c:pt idx="28">
                  <c:v>1987</c:v>
                </c:pt>
                <c:pt idx="29">
                  <c:v>1987</c:v>
                </c:pt>
                <c:pt idx="30">
                  <c:v>1987</c:v>
                </c:pt>
                <c:pt idx="31">
                  <c:v>1967</c:v>
                </c:pt>
                <c:pt idx="32">
                  <c:v>1987</c:v>
                </c:pt>
                <c:pt idx="33">
                  <c:v>1988</c:v>
                </c:pt>
                <c:pt idx="34">
                  <c:v>1997</c:v>
                </c:pt>
                <c:pt idx="35">
                  <c:v>1979</c:v>
                </c:pt>
                <c:pt idx="36">
                  <c:v>1975</c:v>
                </c:pt>
                <c:pt idx="37">
                  <c:v>2002</c:v>
                </c:pt>
                <c:pt idx="38">
                  <c:v>1984</c:v>
                </c:pt>
                <c:pt idx="39">
                  <c:v>1974</c:v>
                </c:pt>
                <c:pt idx="40">
                  <c:v>1972</c:v>
                </c:pt>
                <c:pt idx="41">
                  <c:v>1966</c:v>
                </c:pt>
                <c:pt idx="42">
                  <c:v>1989</c:v>
                </c:pt>
                <c:pt idx="43">
                  <c:v>1980</c:v>
                </c:pt>
                <c:pt idx="44">
                  <c:v>1989</c:v>
                </c:pt>
                <c:pt idx="45">
                  <c:v>2002</c:v>
                </c:pt>
                <c:pt idx="46">
                  <c:v>1965</c:v>
                </c:pt>
                <c:pt idx="47">
                  <c:v>2005</c:v>
                </c:pt>
                <c:pt idx="48">
                  <c:v>1993</c:v>
                </c:pt>
                <c:pt idx="49">
                  <c:v>2004</c:v>
                </c:pt>
                <c:pt idx="50">
                  <c:v>1965</c:v>
                </c:pt>
                <c:pt idx="51">
                  <c:v>1975</c:v>
                </c:pt>
                <c:pt idx="52">
                  <c:v>1966</c:v>
                </c:pt>
                <c:pt idx="53">
                  <c:v>1987</c:v>
                </c:pt>
                <c:pt idx="54">
                  <c:v>1978</c:v>
                </c:pt>
                <c:pt idx="55">
                  <c:v>1987</c:v>
                </c:pt>
                <c:pt idx="56">
                  <c:v>1984</c:v>
                </c:pt>
                <c:pt idx="57">
                  <c:v>1976</c:v>
                </c:pt>
                <c:pt idx="58">
                  <c:v>1989</c:v>
                </c:pt>
                <c:pt idx="59">
                  <c:v>1966</c:v>
                </c:pt>
                <c:pt idx="60">
                  <c:v>1994</c:v>
                </c:pt>
                <c:pt idx="61">
                  <c:v>1983</c:v>
                </c:pt>
                <c:pt idx="62">
                  <c:v>1987</c:v>
                </c:pt>
                <c:pt idx="63">
                  <c:v>1971</c:v>
                </c:pt>
                <c:pt idx="64">
                  <c:v>1970</c:v>
                </c:pt>
                <c:pt idx="65">
                  <c:v>1977</c:v>
                </c:pt>
                <c:pt idx="66">
                  <c:v>1981</c:v>
                </c:pt>
                <c:pt idx="67">
                  <c:v>1962</c:v>
                </c:pt>
                <c:pt idx="68">
                  <c:v>1964</c:v>
                </c:pt>
                <c:pt idx="69">
                  <c:v>1978</c:v>
                </c:pt>
                <c:pt idx="70">
                  <c:v>1977</c:v>
                </c:pt>
                <c:pt idx="71">
                  <c:v>1967</c:v>
                </c:pt>
                <c:pt idx="72">
                  <c:v>1967</c:v>
                </c:pt>
                <c:pt idx="73">
                  <c:v>1990</c:v>
                </c:pt>
                <c:pt idx="74">
                  <c:v>1987</c:v>
                </c:pt>
                <c:pt idx="75">
                  <c:v>1991</c:v>
                </c:pt>
                <c:pt idx="76">
                  <c:v>1979</c:v>
                </c:pt>
                <c:pt idx="77">
                  <c:v>1994</c:v>
                </c:pt>
                <c:pt idx="78">
                  <c:v>1968</c:v>
                </c:pt>
                <c:pt idx="79">
                  <c:v>1996</c:v>
                </c:pt>
                <c:pt idx="80">
                  <c:v>1972</c:v>
                </c:pt>
                <c:pt idx="81">
                  <c:v>1965</c:v>
                </c:pt>
                <c:pt idx="82">
                  <c:v>1977</c:v>
                </c:pt>
                <c:pt idx="83">
                  <c:v>1988</c:v>
                </c:pt>
                <c:pt idx="84">
                  <c:v>1988</c:v>
                </c:pt>
                <c:pt idx="85">
                  <c:v>1983</c:v>
                </c:pt>
                <c:pt idx="86">
                  <c:v>1971</c:v>
                </c:pt>
                <c:pt idx="87">
                  <c:v>1984</c:v>
                </c:pt>
                <c:pt idx="88">
                  <c:v>1997</c:v>
                </c:pt>
                <c:pt idx="89">
                  <c:v>1981</c:v>
                </c:pt>
                <c:pt idx="90">
                  <c:v>1994</c:v>
                </c:pt>
                <c:pt idx="91">
                  <c:v>1959</c:v>
                </c:pt>
                <c:pt idx="92">
                  <c:v>1998</c:v>
                </c:pt>
                <c:pt idx="93">
                  <c:v>1961</c:v>
                </c:pt>
                <c:pt idx="94">
                  <c:v>1983</c:v>
                </c:pt>
                <c:pt idx="95">
                  <c:v>1980</c:v>
                </c:pt>
                <c:pt idx="96">
                  <c:v>1983</c:v>
                </c:pt>
                <c:pt idx="97">
                  <c:v>1985</c:v>
                </c:pt>
                <c:pt idx="98">
                  <c:v>1961</c:v>
                </c:pt>
                <c:pt idx="99">
                  <c:v>1990</c:v>
                </c:pt>
                <c:pt idx="100">
                  <c:v>1972</c:v>
                </c:pt>
                <c:pt idx="101">
                  <c:v>1969</c:v>
                </c:pt>
                <c:pt idx="102">
                  <c:v>1998</c:v>
                </c:pt>
                <c:pt idx="103">
                  <c:v>1982</c:v>
                </c:pt>
                <c:pt idx="104">
                  <c:v>1980</c:v>
                </c:pt>
                <c:pt idx="105">
                  <c:v>1949</c:v>
                </c:pt>
                <c:pt idx="106">
                  <c:v>1982</c:v>
                </c:pt>
                <c:pt idx="107">
                  <c:v>1973</c:v>
                </c:pt>
                <c:pt idx="108">
                  <c:v>1973</c:v>
                </c:pt>
                <c:pt idx="109">
                  <c:v>1989</c:v>
                </c:pt>
                <c:pt idx="110">
                  <c:v>1970</c:v>
                </c:pt>
                <c:pt idx="111">
                  <c:v>1988</c:v>
                </c:pt>
                <c:pt idx="112">
                  <c:v>1971</c:v>
                </c:pt>
                <c:pt idx="113">
                  <c:v>1979</c:v>
                </c:pt>
                <c:pt idx="114">
                  <c:v>1972</c:v>
                </c:pt>
                <c:pt idx="115">
                  <c:v>1949</c:v>
                </c:pt>
                <c:pt idx="116">
                  <c:v>1961</c:v>
                </c:pt>
                <c:pt idx="117">
                  <c:v>1975</c:v>
                </c:pt>
                <c:pt idx="118">
                  <c:v>1976</c:v>
                </c:pt>
                <c:pt idx="119">
                  <c:v>1965</c:v>
                </c:pt>
                <c:pt idx="120">
                  <c:v>1997</c:v>
                </c:pt>
                <c:pt idx="121">
                  <c:v>1962</c:v>
                </c:pt>
                <c:pt idx="122">
                  <c:v>1982</c:v>
                </c:pt>
                <c:pt idx="123">
                  <c:v>1963</c:v>
                </c:pt>
                <c:pt idx="124">
                  <c:v>1981</c:v>
                </c:pt>
                <c:pt idx="125">
                  <c:v>1983</c:v>
                </c:pt>
                <c:pt idx="126">
                  <c:v>1956</c:v>
                </c:pt>
                <c:pt idx="127">
                  <c:v>1960</c:v>
                </c:pt>
                <c:pt idx="128">
                  <c:v>1959</c:v>
                </c:pt>
                <c:pt idx="129">
                  <c:v>1993</c:v>
                </c:pt>
                <c:pt idx="130">
                  <c:v>1999</c:v>
                </c:pt>
                <c:pt idx="131">
                  <c:v>1963</c:v>
                </c:pt>
                <c:pt idx="132">
                  <c:v>1973</c:v>
                </c:pt>
                <c:pt idx="133">
                  <c:v>1966</c:v>
                </c:pt>
                <c:pt idx="134">
                  <c:v>1979</c:v>
                </c:pt>
                <c:pt idx="135">
                  <c:v>1964</c:v>
                </c:pt>
                <c:pt idx="136">
                  <c:v>1994</c:v>
                </c:pt>
                <c:pt idx="137">
                  <c:v>1963</c:v>
                </c:pt>
                <c:pt idx="138">
                  <c:v>1981</c:v>
                </c:pt>
                <c:pt idx="139">
                  <c:v>2003</c:v>
                </c:pt>
                <c:pt idx="140">
                  <c:v>1970</c:v>
                </c:pt>
                <c:pt idx="141">
                  <c:v>1995</c:v>
                </c:pt>
                <c:pt idx="142">
                  <c:v>1963</c:v>
                </c:pt>
                <c:pt idx="143">
                  <c:v>1958</c:v>
                </c:pt>
                <c:pt idx="144">
                  <c:v>1984</c:v>
                </c:pt>
                <c:pt idx="145">
                  <c:v>1994</c:v>
                </c:pt>
                <c:pt idx="146">
                  <c:v>1963</c:v>
                </c:pt>
                <c:pt idx="147">
                  <c:v>1967</c:v>
                </c:pt>
                <c:pt idx="148">
                  <c:v>1971</c:v>
                </c:pt>
                <c:pt idx="149">
                  <c:v>2002</c:v>
                </c:pt>
                <c:pt idx="150">
                  <c:v>1966</c:v>
                </c:pt>
                <c:pt idx="151">
                  <c:v>1984</c:v>
                </c:pt>
                <c:pt idx="152">
                  <c:v>1997</c:v>
                </c:pt>
                <c:pt idx="153">
                  <c:v>1975</c:v>
                </c:pt>
                <c:pt idx="154">
                  <c:v>1995</c:v>
                </c:pt>
                <c:pt idx="155">
                  <c:v>1966</c:v>
                </c:pt>
                <c:pt idx="156">
                  <c:v>1974</c:v>
                </c:pt>
                <c:pt idx="157">
                  <c:v>1967</c:v>
                </c:pt>
                <c:pt idx="158">
                  <c:v>1976</c:v>
                </c:pt>
                <c:pt idx="159">
                  <c:v>1962</c:v>
                </c:pt>
                <c:pt idx="160">
                  <c:v>1966</c:v>
                </c:pt>
                <c:pt idx="161">
                  <c:v>1962</c:v>
                </c:pt>
                <c:pt idx="162">
                  <c:v>1965</c:v>
                </c:pt>
                <c:pt idx="163">
                  <c:v>1975</c:v>
                </c:pt>
                <c:pt idx="164">
                  <c:v>1999</c:v>
                </c:pt>
                <c:pt idx="165">
                  <c:v>1965</c:v>
                </c:pt>
                <c:pt idx="166">
                  <c:v>1964</c:v>
                </c:pt>
                <c:pt idx="167">
                  <c:v>1965</c:v>
                </c:pt>
                <c:pt idx="168">
                  <c:v>1999</c:v>
                </c:pt>
                <c:pt idx="169">
                  <c:v>1993</c:v>
                </c:pt>
                <c:pt idx="170">
                  <c:v>1971</c:v>
                </c:pt>
                <c:pt idx="171">
                  <c:v>1993</c:v>
                </c:pt>
                <c:pt idx="172">
                  <c:v>1985</c:v>
                </c:pt>
                <c:pt idx="173">
                  <c:v>1958</c:v>
                </c:pt>
                <c:pt idx="174">
                  <c:v>1959</c:v>
                </c:pt>
                <c:pt idx="175">
                  <c:v>1959</c:v>
                </c:pt>
                <c:pt idx="176">
                  <c:v>1959</c:v>
                </c:pt>
                <c:pt idx="177">
                  <c:v>1998</c:v>
                </c:pt>
                <c:pt idx="178">
                  <c:v>1984</c:v>
                </c:pt>
                <c:pt idx="179">
                  <c:v>1979</c:v>
                </c:pt>
                <c:pt idx="180">
                  <c:v>1965</c:v>
                </c:pt>
                <c:pt idx="181">
                  <c:v>1967</c:v>
                </c:pt>
                <c:pt idx="182">
                  <c:v>2012</c:v>
                </c:pt>
                <c:pt idx="183">
                  <c:v>2012</c:v>
                </c:pt>
                <c:pt idx="184">
                  <c:v>1958</c:v>
                </c:pt>
                <c:pt idx="185">
                  <c:v>1972</c:v>
                </c:pt>
                <c:pt idx="186">
                  <c:v>1999</c:v>
                </c:pt>
              </c:numCache>
            </c:numRef>
          </c:xVal>
          <c:yVal>
            <c:numRef>
              <c:f>NE_bmis!$F$2:$F$1000</c:f>
              <c:numCache>
                <c:formatCode>General</c:formatCode>
                <c:ptCount val="999"/>
                <c:pt idx="0">
                  <c:v>25</c:v>
                </c:pt>
                <c:pt idx="1">
                  <c:v>35</c:v>
                </c:pt>
                <c:pt idx="2">
                  <c:v>22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20</c:v>
                </c:pt>
                <c:pt idx="9">
                  <c:v>17</c:v>
                </c:pt>
                <c:pt idx="10">
                  <c:v>28</c:v>
                </c:pt>
                <c:pt idx="11">
                  <c:v>19</c:v>
                </c:pt>
                <c:pt idx="12">
                  <c:v>3</c:v>
                </c:pt>
                <c:pt idx="13">
                  <c:v>28</c:v>
                </c:pt>
                <c:pt idx="14">
                  <c:v>17</c:v>
                </c:pt>
                <c:pt idx="15">
                  <c:v>15</c:v>
                </c:pt>
                <c:pt idx="16">
                  <c:v>23</c:v>
                </c:pt>
                <c:pt idx="17">
                  <c:v>25</c:v>
                </c:pt>
                <c:pt idx="18">
                  <c:v>28</c:v>
                </c:pt>
                <c:pt idx="19">
                  <c:v>16</c:v>
                </c:pt>
                <c:pt idx="20">
                  <c:v>20</c:v>
                </c:pt>
                <c:pt idx="21">
                  <c:v>19</c:v>
                </c:pt>
                <c:pt idx="22">
                  <c:v>13</c:v>
                </c:pt>
                <c:pt idx="23">
                  <c:v>13</c:v>
                </c:pt>
                <c:pt idx="24">
                  <c:v>25</c:v>
                </c:pt>
                <c:pt idx="25">
                  <c:v>11</c:v>
                </c:pt>
                <c:pt idx="26">
                  <c:v>2</c:v>
                </c:pt>
                <c:pt idx="27">
                  <c:v>19</c:v>
                </c:pt>
                <c:pt idx="28">
                  <c:v>23</c:v>
                </c:pt>
                <c:pt idx="29">
                  <c:v>23</c:v>
                </c:pt>
                <c:pt idx="30">
                  <c:v>36</c:v>
                </c:pt>
                <c:pt idx="31">
                  <c:v>12</c:v>
                </c:pt>
                <c:pt idx="32">
                  <c:v>36</c:v>
                </c:pt>
                <c:pt idx="33">
                  <c:v>24</c:v>
                </c:pt>
                <c:pt idx="34">
                  <c:v>29</c:v>
                </c:pt>
                <c:pt idx="35">
                  <c:v>26</c:v>
                </c:pt>
                <c:pt idx="36">
                  <c:v>21</c:v>
                </c:pt>
                <c:pt idx="37">
                  <c:v>32</c:v>
                </c:pt>
                <c:pt idx="38">
                  <c:v>50</c:v>
                </c:pt>
                <c:pt idx="39">
                  <c:v>23</c:v>
                </c:pt>
                <c:pt idx="40">
                  <c:v>48</c:v>
                </c:pt>
                <c:pt idx="41">
                  <c:v>26</c:v>
                </c:pt>
                <c:pt idx="42">
                  <c:v>39</c:v>
                </c:pt>
                <c:pt idx="43">
                  <c:v>27</c:v>
                </c:pt>
                <c:pt idx="44">
                  <c:v>49</c:v>
                </c:pt>
                <c:pt idx="45">
                  <c:v>31</c:v>
                </c:pt>
                <c:pt idx="46">
                  <c:v>26</c:v>
                </c:pt>
                <c:pt idx="47">
                  <c:v>38</c:v>
                </c:pt>
                <c:pt idx="48">
                  <c:v>7</c:v>
                </c:pt>
                <c:pt idx="49">
                  <c:v>30</c:v>
                </c:pt>
                <c:pt idx="50">
                  <c:v>15</c:v>
                </c:pt>
                <c:pt idx="51">
                  <c:v>22</c:v>
                </c:pt>
                <c:pt idx="52">
                  <c:v>15</c:v>
                </c:pt>
                <c:pt idx="53">
                  <c:v>20</c:v>
                </c:pt>
                <c:pt idx="54">
                  <c:v>22</c:v>
                </c:pt>
                <c:pt idx="55">
                  <c:v>42</c:v>
                </c:pt>
                <c:pt idx="56">
                  <c:v>20</c:v>
                </c:pt>
                <c:pt idx="57">
                  <c:v>22</c:v>
                </c:pt>
                <c:pt idx="58">
                  <c:v>70</c:v>
                </c:pt>
                <c:pt idx="59">
                  <c:v>12</c:v>
                </c:pt>
                <c:pt idx="60">
                  <c:v>27</c:v>
                </c:pt>
                <c:pt idx="61">
                  <c:v>23</c:v>
                </c:pt>
                <c:pt idx="62">
                  <c:v>46</c:v>
                </c:pt>
                <c:pt idx="63">
                  <c:v>19</c:v>
                </c:pt>
                <c:pt idx="64">
                  <c:v>16</c:v>
                </c:pt>
                <c:pt idx="65">
                  <c:v>23</c:v>
                </c:pt>
                <c:pt idx="66">
                  <c:v>35</c:v>
                </c:pt>
                <c:pt idx="67">
                  <c:v>16</c:v>
                </c:pt>
                <c:pt idx="68">
                  <c:v>17</c:v>
                </c:pt>
                <c:pt idx="69">
                  <c:v>23</c:v>
                </c:pt>
                <c:pt idx="70">
                  <c:v>22</c:v>
                </c:pt>
                <c:pt idx="71">
                  <c:v>14</c:v>
                </c:pt>
                <c:pt idx="72">
                  <c:v>21</c:v>
                </c:pt>
                <c:pt idx="73">
                  <c:v>46</c:v>
                </c:pt>
                <c:pt idx="74">
                  <c:v>24</c:v>
                </c:pt>
                <c:pt idx="75">
                  <c:v>30</c:v>
                </c:pt>
                <c:pt idx="76">
                  <c:v>22</c:v>
                </c:pt>
                <c:pt idx="77">
                  <c:v>30</c:v>
                </c:pt>
                <c:pt idx="78">
                  <c:v>16</c:v>
                </c:pt>
                <c:pt idx="79">
                  <c:v>25</c:v>
                </c:pt>
                <c:pt idx="80">
                  <c:v>30</c:v>
                </c:pt>
                <c:pt idx="81">
                  <c:v>17</c:v>
                </c:pt>
                <c:pt idx="82">
                  <c:v>28</c:v>
                </c:pt>
                <c:pt idx="83">
                  <c:v>32</c:v>
                </c:pt>
                <c:pt idx="84">
                  <c:v>40</c:v>
                </c:pt>
                <c:pt idx="85">
                  <c:v>25</c:v>
                </c:pt>
                <c:pt idx="86">
                  <c:v>6</c:v>
                </c:pt>
                <c:pt idx="87">
                  <c:v>22</c:v>
                </c:pt>
                <c:pt idx="88">
                  <c:v>36</c:v>
                </c:pt>
                <c:pt idx="89">
                  <c:v>5</c:v>
                </c:pt>
                <c:pt idx="90">
                  <c:v>17</c:v>
                </c:pt>
                <c:pt idx="91">
                  <c:v>9</c:v>
                </c:pt>
                <c:pt idx="92">
                  <c:v>26</c:v>
                </c:pt>
                <c:pt idx="93">
                  <c:v>8</c:v>
                </c:pt>
                <c:pt idx="94">
                  <c:v>12</c:v>
                </c:pt>
                <c:pt idx="95">
                  <c:v>10</c:v>
                </c:pt>
                <c:pt idx="96">
                  <c:v>23</c:v>
                </c:pt>
                <c:pt idx="97">
                  <c:v>11</c:v>
                </c:pt>
                <c:pt idx="98">
                  <c:v>8</c:v>
                </c:pt>
                <c:pt idx="99">
                  <c:v>12</c:v>
                </c:pt>
                <c:pt idx="100">
                  <c:v>10</c:v>
                </c:pt>
                <c:pt idx="101">
                  <c:v>12</c:v>
                </c:pt>
                <c:pt idx="102">
                  <c:v>34</c:v>
                </c:pt>
                <c:pt idx="103">
                  <c:v>12</c:v>
                </c:pt>
                <c:pt idx="104">
                  <c:v>13</c:v>
                </c:pt>
                <c:pt idx="105">
                  <c:v>5</c:v>
                </c:pt>
                <c:pt idx="106">
                  <c:v>12</c:v>
                </c:pt>
                <c:pt idx="107">
                  <c:v>22</c:v>
                </c:pt>
                <c:pt idx="108">
                  <c:v>22</c:v>
                </c:pt>
                <c:pt idx="109">
                  <c:v>16</c:v>
                </c:pt>
                <c:pt idx="110">
                  <c:v>12</c:v>
                </c:pt>
                <c:pt idx="111">
                  <c:v>11</c:v>
                </c:pt>
                <c:pt idx="112">
                  <c:v>6</c:v>
                </c:pt>
                <c:pt idx="113">
                  <c:v>10</c:v>
                </c:pt>
                <c:pt idx="114">
                  <c:v>6</c:v>
                </c:pt>
                <c:pt idx="115">
                  <c:v>5</c:v>
                </c:pt>
                <c:pt idx="116">
                  <c:v>4</c:v>
                </c:pt>
                <c:pt idx="117">
                  <c:v>2</c:v>
                </c:pt>
                <c:pt idx="118">
                  <c:v>11</c:v>
                </c:pt>
                <c:pt idx="119">
                  <c:v>14</c:v>
                </c:pt>
                <c:pt idx="120">
                  <c:v>14</c:v>
                </c:pt>
                <c:pt idx="121">
                  <c:v>10</c:v>
                </c:pt>
                <c:pt idx="122">
                  <c:v>11</c:v>
                </c:pt>
                <c:pt idx="123">
                  <c:v>12</c:v>
                </c:pt>
                <c:pt idx="124">
                  <c:v>12</c:v>
                </c:pt>
                <c:pt idx="125">
                  <c:v>11</c:v>
                </c:pt>
                <c:pt idx="126">
                  <c:v>7</c:v>
                </c:pt>
                <c:pt idx="127">
                  <c:v>12</c:v>
                </c:pt>
                <c:pt idx="128">
                  <c:v>8</c:v>
                </c:pt>
                <c:pt idx="129">
                  <c:v>13</c:v>
                </c:pt>
                <c:pt idx="130">
                  <c:v>21</c:v>
                </c:pt>
                <c:pt idx="131">
                  <c:v>11</c:v>
                </c:pt>
                <c:pt idx="132">
                  <c:v>6</c:v>
                </c:pt>
                <c:pt idx="133">
                  <c:v>12</c:v>
                </c:pt>
                <c:pt idx="134">
                  <c:v>16</c:v>
                </c:pt>
                <c:pt idx="135">
                  <c:v>14</c:v>
                </c:pt>
                <c:pt idx="136">
                  <c:v>23</c:v>
                </c:pt>
                <c:pt idx="137">
                  <c:v>14</c:v>
                </c:pt>
                <c:pt idx="138">
                  <c:v>15</c:v>
                </c:pt>
                <c:pt idx="139">
                  <c:v>28</c:v>
                </c:pt>
                <c:pt idx="140">
                  <c:v>15</c:v>
                </c:pt>
                <c:pt idx="142">
                  <c:v>17</c:v>
                </c:pt>
                <c:pt idx="143">
                  <c:v>17</c:v>
                </c:pt>
                <c:pt idx="144">
                  <c:v>23</c:v>
                </c:pt>
                <c:pt idx="145">
                  <c:v>26</c:v>
                </c:pt>
                <c:pt idx="146">
                  <c:v>16</c:v>
                </c:pt>
                <c:pt idx="147">
                  <c:v>16</c:v>
                </c:pt>
                <c:pt idx="148">
                  <c:v>23</c:v>
                </c:pt>
                <c:pt idx="149">
                  <c:v>24</c:v>
                </c:pt>
                <c:pt idx="150">
                  <c:v>29</c:v>
                </c:pt>
                <c:pt idx="151">
                  <c:v>22</c:v>
                </c:pt>
                <c:pt idx="152">
                  <c:v>24</c:v>
                </c:pt>
                <c:pt idx="153">
                  <c:v>22</c:v>
                </c:pt>
                <c:pt idx="154">
                  <c:v>24</c:v>
                </c:pt>
                <c:pt idx="155">
                  <c:v>3</c:v>
                </c:pt>
                <c:pt idx="156">
                  <c:v>13</c:v>
                </c:pt>
                <c:pt idx="157">
                  <c:v>13</c:v>
                </c:pt>
                <c:pt idx="158">
                  <c:v>24</c:v>
                </c:pt>
                <c:pt idx="159">
                  <c:v>10</c:v>
                </c:pt>
                <c:pt idx="160">
                  <c:v>16</c:v>
                </c:pt>
                <c:pt idx="161">
                  <c:v>12</c:v>
                </c:pt>
                <c:pt idx="162">
                  <c:v>10</c:v>
                </c:pt>
                <c:pt idx="163">
                  <c:v>16</c:v>
                </c:pt>
                <c:pt idx="164">
                  <c:v>18</c:v>
                </c:pt>
                <c:pt idx="165">
                  <c:v>10</c:v>
                </c:pt>
                <c:pt idx="166">
                  <c:v>15</c:v>
                </c:pt>
                <c:pt idx="167">
                  <c:v>11</c:v>
                </c:pt>
                <c:pt idx="168">
                  <c:v>21</c:v>
                </c:pt>
                <c:pt idx="169">
                  <c:v>18</c:v>
                </c:pt>
                <c:pt idx="170">
                  <c:v>11</c:v>
                </c:pt>
                <c:pt idx="171">
                  <c:v>18</c:v>
                </c:pt>
                <c:pt idx="172">
                  <c:v>2</c:v>
                </c:pt>
                <c:pt idx="173">
                  <c:v>13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28</c:v>
                </c:pt>
                <c:pt idx="178">
                  <c:v>23</c:v>
                </c:pt>
                <c:pt idx="179">
                  <c:v>15</c:v>
                </c:pt>
                <c:pt idx="180">
                  <c:v>12</c:v>
                </c:pt>
                <c:pt idx="181">
                  <c:v>12</c:v>
                </c:pt>
                <c:pt idx="182">
                  <c:v>36</c:v>
                </c:pt>
                <c:pt idx="183">
                  <c:v>27</c:v>
                </c:pt>
                <c:pt idx="184">
                  <c:v>20</c:v>
                </c:pt>
                <c:pt idx="185">
                  <c:v>22</c:v>
                </c:pt>
                <c:pt idx="18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49-466B-B008-4B78C6C2B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499028"/>
        <c:axId val="656130991"/>
      </c:scatterChart>
      <c:valAx>
        <c:axId val="191449902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6130991"/>
        <c:crosses val="autoZero"/>
        <c:crossBetween val="midCat"/>
      </c:valAx>
      <c:valAx>
        <c:axId val="6561309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storey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449902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 of storeys vs Year of Completion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E!$U$1:$U$2</c:f>
              <c:strCache>
                <c:ptCount val="2"/>
                <c:pt idx="1">
                  <c:v>Number of storeys</c:v>
                </c:pt>
              </c:strCache>
            </c:strRef>
          </c:tx>
          <c:spPr>
            <a:ln>
              <a:noFill/>
            </a:ln>
          </c:spPr>
          <c:marker>
            <c:symbol val="x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 line for Number of storeys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  <c:trendlineLbl>
              <c:numFmt formatCode="General" sourceLinked="0"/>
            </c:trendlineLbl>
          </c:trendline>
          <c:xVal>
            <c:strRef>
              <c:f>E!$X$3:$X$1006</c:f>
              <c:strCache>
                <c:ptCount val="140"/>
                <c:pt idx="0">
                  <c:v>1984</c:v>
                </c:pt>
                <c:pt idx="3">
                  <c:v>1972</c:v>
                </c:pt>
                <c:pt idx="4">
                  <c:v>1980</c:v>
                </c:pt>
                <c:pt idx="7">
                  <c:v>2002</c:v>
                </c:pt>
                <c:pt idx="9">
                  <c:v>1965</c:v>
                </c:pt>
                <c:pt idx="10">
                  <c:v>1963</c:v>
                </c:pt>
                <c:pt idx="14">
                  <c:v>2012</c:v>
                </c:pt>
                <c:pt idx="15">
                  <c:v>2005</c:v>
                </c:pt>
                <c:pt idx="17">
                  <c:v>1989</c:v>
                </c:pt>
                <c:pt idx="20">
                  <c:v>1985</c:v>
                </c:pt>
                <c:pt idx="22">
                  <c:v>1987</c:v>
                </c:pt>
                <c:pt idx="23">
                  <c:v>1987</c:v>
                </c:pt>
                <c:pt idx="24">
                  <c:v>1990</c:v>
                </c:pt>
                <c:pt idx="26">
                  <c:v>1981</c:v>
                </c:pt>
                <c:pt idx="29">
                  <c:v>1989</c:v>
                </c:pt>
                <c:pt idx="31">
                  <c:v>1996</c:v>
                </c:pt>
                <c:pt idx="32">
                  <c:v>2013</c:v>
                </c:pt>
                <c:pt idx="33">
                  <c:v>1996</c:v>
                </c:pt>
                <c:pt idx="34">
                  <c:v>1972</c:v>
                </c:pt>
                <c:pt idx="36">
                  <c:v>1965</c:v>
                </c:pt>
                <c:pt idx="37">
                  <c:v>1977</c:v>
                </c:pt>
                <c:pt idx="38">
                  <c:v>1966</c:v>
                </c:pt>
                <c:pt idx="39">
                  <c:v>1979</c:v>
                </c:pt>
                <c:pt idx="40">
                  <c:v>1988</c:v>
                </c:pt>
                <c:pt idx="41">
                  <c:v>1988</c:v>
                </c:pt>
                <c:pt idx="42">
                  <c:v>1991</c:v>
                </c:pt>
                <c:pt idx="43">
                  <c:v>1987</c:v>
                </c:pt>
                <c:pt idx="44">
                  <c:v>1968</c:v>
                </c:pt>
                <c:pt idx="45">
                  <c:v>1972</c:v>
                </c:pt>
                <c:pt idx="46">
                  <c:v>1967</c:v>
                </c:pt>
                <c:pt idx="47">
                  <c:v>1967</c:v>
                </c:pt>
                <c:pt idx="48">
                  <c:v>1994</c:v>
                </c:pt>
                <c:pt idx="49">
                  <c:v>1975</c:v>
                </c:pt>
                <c:pt idx="50">
                  <c:v>1977</c:v>
                </c:pt>
                <c:pt idx="51">
                  <c:v>1964</c:v>
                </c:pt>
                <c:pt idx="52">
                  <c:v>1962</c:v>
                </c:pt>
                <c:pt idx="53">
                  <c:v>1978</c:v>
                </c:pt>
                <c:pt idx="54">
                  <c:v>1965</c:v>
                </c:pt>
                <c:pt idx="55">
                  <c:v>1967</c:v>
                </c:pt>
                <c:pt idx="56">
                  <c:v>1970</c:v>
                </c:pt>
                <c:pt idx="57">
                  <c:v>1977</c:v>
                </c:pt>
                <c:pt idx="58">
                  <c:v>1971</c:v>
                </c:pt>
                <c:pt idx="59">
                  <c:v>1983</c:v>
                </c:pt>
                <c:pt idx="60">
                  <c:v>1966</c:v>
                </c:pt>
                <c:pt idx="61">
                  <c:v>1976</c:v>
                </c:pt>
                <c:pt idx="62">
                  <c:v>1966</c:v>
                </c:pt>
                <c:pt idx="63">
                  <c:v>1965</c:v>
                </c:pt>
                <c:pt idx="64">
                  <c:v>1987</c:v>
                </c:pt>
                <c:pt idx="65">
                  <c:v>2012</c:v>
                </c:pt>
                <c:pt idx="66">
                  <c:v>2004</c:v>
                </c:pt>
                <c:pt idx="67">
                  <c:v>1993</c:v>
                </c:pt>
                <c:pt idx="68">
                  <c:v>1966</c:v>
                </c:pt>
                <c:pt idx="69">
                  <c:v>1984</c:v>
                </c:pt>
                <c:pt idx="70">
                  <c:v>2002</c:v>
                </c:pt>
                <c:pt idx="71">
                  <c:v>1975</c:v>
                </c:pt>
                <c:pt idx="72">
                  <c:v>1978</c:v>
                </c:pt>
                <c:pt idx="73">
                  <c:v>1994</c:v>
                </c:pt>
                <c:pt idx="77">
                  <c:v>2001</c:v>
                </c:pt>
                <c:pt idx="83">
                  <c:v>1989</c:v>
                </c:pt>
                <c:pt idx="85">
                  <c:v>1966</c:v>
                </c:pt>
                <c:pt idx="86">
                  <c:v>1989</c:v>
                </c:pt>
                <c:pt idx="87">
                  <c:v>1974</c:v>
                </c:pt>
                <c:pt idx="89">
                  <c:v>2002</c:v>
                </c:pt>
                <c:pt idx="90">
                  <c:v>1990</c:v>
                </c:pt>
                <c:pt idx="91">
                  <c:v>1975</c:v>
                </c:pt>
                <c:pt idx="93">
                  <c:v>1979</c:v>
                </c:pt>
                <c:pt idx="94">
                  <c:v>1997</c:v>
                </c:pt>
                <c:pt idx="95">
                  <c:v>1988</c:v>
                </c:pt>
                <c:pt idx="96">
                  <c:v>1987</c:v>
                </c:pt>
                <c:pt idx="97">
                  <c:v>1987</c:v>
                </c:pt>
                <c:pt idx="98">
                  <c:v>1967</c:v>
                </c:pt>
                <c:pt idx="99">
                  <c:v>1966</c:v>
                </c:pt>
                <c:pt idx="100">
                  <c:v>1974</c:v>
                </c:pt>
                <c:pt idx="101">
                  <c:v>1974</c:v>
                </c:pt>
                <c:pt idx="102">
                  <c:v>1999</c:v>
                </c:pt>
                <c:pt idx="103">
                  <c:v>1963</c:v>
                </c:pt>
                <c:pt idx="104">
                  <c:v>1958</c:v>
                </c:pt>
                <c:pt idx="105">
                  <c:v>1982</c:v>
                </c:pt>
                <c:pt idx="106">
                  <c:v>1958</c:v>
                </c:pt>
                <c:pt idx="107">
                  <c:v>1985</c:v>
                </c:pt>
                <c:pt idx="108">
                  <c:v>1985</c:v>
                </c:pt>
                <c:pt idx="109">
                  <c:v>1988</c:v>
                </c:pt>
                <c:pt idx="110">
                  <c:v>1996</c:v>
                </c:pt>
                <c:pt idx="111">
                  <c:v>1966</c:v>
                </c:pt>
                <c:pt idx="112">
                  <c:v>1987</c:v>
                </c:pt>
                <c:pt idx="113">
                  <c:v>1959</c:v>
                </c:pt>
                <c:pt idx="114">
                  <c:v>1968</c:v>
                </c:pt>
                <c:pt idx="115">
                  <c:v>1974</c:v>
                </c:pt>
                <c:pt idx="116">
                  <c:v>1996</c:v>
                </c:pt>
                <c:pt idx="118">
                  <c:v>1978</c:v>
                </c:pt>
                <c:pt idx="120">
                  <c:v>1980</c:v>
                </c:pt>
                <c:pt idx="121">
                  <c:v>1980</c:v>
                </c:pt>
                <c:pt idx="124">
                  <c:v>1997</c:v>
                </c:pt>
                <c:pt idx="125">
                  <c:v>1997</c:v>
                </c:pt>
                <c:pt idx="126">
                  <c:v>1998</c:v>
                </c:pt>
                <c:pt idx="127">
                  <c:v>2007</c:v>
                </c:pt>
                <c:pt idx="128">
                  <c:v>1974</c:v>
                </c:pt>
                <c:pt idx="129">
                  <c:v>1954</c:v>
                </c:pt>
                <c:pt idx="130">
                  <c:v>1999</c:v>
                </c:pt>
                <c:pt idx="131">
                  <c:v>1999</c:v>
                </c:pt>
                <c:pt idx="132">
                  <c:v>1999</c:v>
                </c:pt>
                <c:pt idx="133">
                  <c:v>1961</c:v>
                </c:pt>
                <c:pt idx="134">
                  <c:v>1962</c:v>
                </c:pt>
                <c:pt idx="135">
                  <c:v>1958</c:v>
                </c:pt>
                <c:pt idx="138">
                  <c:v>1987</c:v>
                </c:pt>
                <c:pt idx="139">
                  <c:v>1987</c:v>
                </c:pt>
              </c:strCache>
            </c:strRef>
          </c:xVal>
          <c:yVal>
            <c:numRef>
              <c:f>E!$U$3:$U$1006</c:f>
              <c:numCache>
                <c:formatCode>0</c:formatCode>
                <c:ptCount val="1004"/>
                <c:pt idx="0">
                  <c:v>50</c:v>
                </c:pt>
                <c:pt idx="1">
                  <c:v>4</c:v>
                </c:pt>
                <c:pt idx="2">
                  <c:v>3</c:v>
                </c:pt>
                <c:pt idx="3">
                  <c:v>48</c:v>
                </c:pt>
                <c:pt idx="4">
                  <c:v>27</c:v>
                </c:pt>
                <c:pt idx="5">
                  <c:v>0</c:v>
                </c:pt>
                <c:pt idx="6">
                  <c:v>0</c:v>
                </c:pt>
                <c:pt idx="7">
                  <c:v>31</c:v>
                </c:pt>
                <c:pt idx="8">
                  <c:v>0</c:v>
                </c:pt>
                <c:pt idx="9">
                  <c:v>26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27</c:v>
                </c:pt>
                <c:pt idx="15">
                  <c:v>38</c:v>
                </c:pt>
                <c:pt idx="16">
                  <c:v>0</c:v>
                </c:pt>
                <c:pt idx="17">
                  <c:v>72</c:v>
                </c:pt>
                <c:pt idx="18">
                  <c:v>0</c:v>
                </c:pt>
                <c:pt idx="19">
                  <c:v>0</c:v>
                </c:pt>
                <c:pt idx="20">
                  <c:v>20</c:v>
                </c:pt>
                <c:pt idx="21">
                  <c:v>0</c:v>
                </c:pt>
                <c:pt idx="22">
                  <c:v>42</c:v>
                </c:pt>
                <c:pt idx="23">
                  <c:v>46</c:v>
                </c:pt>
                <c:pt idx="24">
                  <c:v>46</c:v>
                </c:pt>
                <c:pt idx="25">
                  <c:v>0</c:v>
                </c:pt>
                <c:pt idx="26">
                  <c:v>35</c:v>
                </c:pt>
                <c:pt idx="27">
                  <c:v>0</c:v>
                </c:pt>
                <c:pt idx="28">
                  <c:v>0</c:v>
                </c:pt>
                <c:pt idx="29">
                  <c:v>35</c:v>
                </c:pt>
                <c:pt idx="30">
                  <c:v>0</c:v>
                </c:pt>
                <c:pt idx="31">
                  <c:v>35</c:v>
                </c:pt>
                <c:pt idx="32">
                  <c:v>21</c:v>
                </c:pt>
                <c:pt idx="33">
                  <c:v>25</c:v>
                </c:pt>
                <c:pt idx="34">
                  <c:v>22</c:v>
                </c:pt>
                <c:pt idx="35">
                  <c:v>19</c:v>
                </c:pt>
                <c:pt idx="36">
                  <c:v>17</c:v>
                </c:pt>
                <c:pt idx="37">
                  <c:v>28</c:v>
                </c:pt>
                <c:pt idx="38">
                  <c:v>16</c:v>
                </c:pt>
                <c:pt idx="39">
                  <c:v>22</c:v>
                </c:pt>
                <c:pt idx="40">
                  <c:v>40</c:v>
                </c:pt>
                <c:pt idx="41">
                  <c:v>32</c:v>
                </c:pt>
                <c:pt idx="42">
                  <c:v>30</c:v>
                </c:pt>
                <c:pt idx="43">
                  <c:v>24</c:v>
                </c:pt>
                <c:pt idx="44">
                  <c:v>16</c:v>
                </c:pt>
                <c:pt idx="45">
                  <c:v>30</c:v>
                </c:pt>
                <c:pt idx="46">
                  <c:v>21</c:v>
                </c:pt>
                <c:pt idx="47">
                  <c:v>14</c:v>
                </c:pt>
                <c:pt idx="48">
                  <c:v>30</c:v>
                </c:pt>
                <c:pt idx="49">
                  <c:v>21</c:v>
                </c:pt>
                <c:pt idx="50">
                  <c:v>22</c:v>
                </c:pt>
                <c:pt idx="51">
                  <c:v>17</c:v>
                </c:pt>
                <c:pt idx="52">
                  <c:v>16</c:v>
                </c:pt>
                <c:pt idx="53">
                  <c:v>23</c:v>
                </c:pt>
                <c:pt idx="54">
                  <c:v>12</c:v>
                </c:pt>
                <c:pt idx="55">
                  <c:v>12</c:v>
                </c:pt>
                <c:pt idx="56">
                  <c:v>16</c:v>
                </c:pt>
                <c:pt idx="57">
                  <c:v>23</c:v>
                </c:pt>
                <c:pt idx="58">
                  <c:v>19</c:v>
                </c:pt>
                <c:pt idx="59">
                  <c:v>23</c:v>
                </c:pt>
                <c:pt idx="60">
                  <c:v>23</c:v>
                </c:pt>
                <c:pt idx="61">
                  <c:v>22</c:v>
                </c:pt>
                <c:pt idx="62">
                  <c:v>15</c:v>
                </c:pt>
                <c:pt idx="63">
                  <c:v>15</c:v>
                </c:pt>
                <c:pt idx="64">
                  <c:v>23</c:v>
                </c:pt>
                <c:pt idx="65">
                  <c:v>40</c:v>
                </c:pt>
                <c:pt idx="66">
                  <c:v>30</c:v>
                </c:pt>
                <c:pt idx="67">
                  <c:v>18</c:v>
                </c:pt>
                <c:pt idx="68">
                  <c:v>12</c:v>
                </c:pt>
                <c:pt idx="69">
                  <c:v>21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49</c:v>
                </c:pt>
                <c:pt idx="84">
                  <c:v>40</c:v>
                </c:pt>
                <c:pt idx="85">
                  <c:v>26</c:v>
                </c:pt>
                <c:pt idx="86">
                  <c:v>30</c:v>
                </c:pt>
                <c:pt idx="87">
                  <c:v>23</c:v>
                </c:pt>
                <c:pt idx="88">
                  <c:v>6</c:v>
                </c:pt>
                <c:pt idx="89">
                  <c:v>32</c:v>
                </c:pt>
                <c:pt idx="90">
                  <c:v>24</c:v>
                </c:pt>
                <c:pt idx="91">
                  <c:v>21</c:v>
                </c:pt>
                <c:pt idx="92">
                  <c:v>0</c:v>
                </c:pt>
                <c:pt idx="93">
                  <c:v>26</c:v>
                </c:pt>
                <c:pt idx="94">
                  <c:v>29</c:v>
                </c:pt>
                <c:pt idx="95">
                  <c:v>24</c:v>
                </c:pt>
                <c:pt idx="96">
                  <c:v>36</c:v>
                </c:pt>
                <c:pt idx="97">
                  <c:v>36</c:v>
                </c:pt>
                <c:pt idx="98">
                  <c:v>12</c:v>
                </c:pt>
                <c:pt idx="99">
                  <c:v>19</c:v>
                </c:pt>
                <c:pt idx="100">
                  <c:v>27</c:v>
                </c:pt>
                <c:pt idx="101">
                  <c:v>27</c:v>
                </c:pt>
                <c:pt idx="102">
                  <c:v>25</c:v>
                </c:pt>
                <c:pt idx="103">
                  <c:v>20</c:v>
                </c:pt>
                <c:pt idx="104">
                  <c:v>16</c:v>
                </c:pt>
                <c:pt idx="105">
                  <c:v>19</c:v>
                </c:pt>
                <c:pt idx="106">
                  <c:v>15</c:v>
                </c:pt>
                <c:pt idx="107">
                  <c:v>23</c:v>
                </c:pt>
                <c:pt idx="108">
                  <c:v>25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24</c:v>
                </c:pt>
                <c:pt idx="113">
                  <c:v>17</c:v>
                </c:pt>
                <c:pt idx="114">
                  <c:v>17</c:v>
                </c:pt>
                <c:pt idx="115">
                  <c:v>20</c:v>
                </c:pt>
                <c:pt idx="116">
                  <c:v>23</c:v>
                </c:pt>
                <c:pt idx="117">
                  <c:v>23</c:v>
                </c:pt>
                <c:pt idx="118">
                  <c:v>22</c:v>
                </c:pt>
                <c:pt idx="119">
                  <c:v>4</c:v>
                </c:pt>
                <c:pt idx="120">
                  <c:v>27</c:v>
                </c:pt>
                <c:pt idx="121">
                  <c:v>27</c:v>
                </c:pt>
                <c:pt idx="122">
                  <c:v>0</c:v>
                </c:pt>
                <c:pt idx="123">
                  <c:v>0</c:v>
                </c:pt>
                <c:pt idx="124">
                  <c:v>27</c:v>
                </c:pt>
                <c:pt idx="125">
                  <c:v>27</c:v>
                </c:pt>
                <c:pt idx="126">
                  <c:v>25</c:v>
                </c:pt>
                <c:pt idx="127">
                  <c:v>35</c:v>
                </c:pt>
                <c:pt idx="128">
                  <c:v>6</c:v>
                </c:pt>
                <c:pt idx="129">
                  <c:v>19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13</c:v>
                </c:pt>
                <c:pt idx="134">
                  <c:v>13</c:v>
                </c:pt>
                <c:pt idx="135">
                  <c:v>11</c:v>
                </c:pt>
                <c:pt idx="136">
                  <c:v>3</c:v>
                </c:pt>
                <c:pt idx="137">
                  <c:v>9</c:v>
                </c:pt>
                <c:pt idx="138">
                  <c:v>23</c:v>
                </c:pt>
                <c:pt idx="139">
                  <c:v>9</c:v>
                </c:pt>
                <c:pt idx="140">
                  <c:v>0</c:v>
                </c:pt>
                <c:pt idx="14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10-4A3D-9B3C-8CF8A322E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99912"/>
        <c:axId val="510279323"/>
      </c:scatterChart>
      <c:valAx>
        <c:axId val="679999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 of Completion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10279323"/>
        <c:crosses val="autoZero"/>
        <c:crossBetween val="midCat"/>
      </c:valAx>
      <c:valAx>
        <c:axId val="5102793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storeys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99991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1466850" cy="8763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466850" cy="8286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923925</xdr:colOff>
      <xdr:row>14</xdr:row>
      <xdr:rowOff>123825</xdr:rowOff>
    </xdr:from>
    <xdr:ext cx="5715000" cy="3533775"/>
    <xdr:graphicFrame macro="">
      <xdr:nvGraphicFramePr>
        <xdr:cNvPr id="153168462" name="Chart 1" title="Chart">
          <a:extLst>
            <a:ext uri="{FF2B5EF4-FFF2-40B4-BE49-F238E27FC236}">
              <a16:creationId xmlns:a16="http://schemas.microsoft.com/office/drawing/2014/main" id="{00000000-0008-0000-0300-00004E2A2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666750</xdr:colOff>
      <xdr:row>39</xdr:row>
      <xdr:rowOff>9525</xdr:rowOff>
    </xdr:from>
    <xdr:ext cx="5715000" cy="3533775"/>
    <xdr:graphicFrame macro="">
      <xdr:nvGraphicFramePr>
        <xdr:cNvPr id="473660961" name="Chart 2" title="Chart">
          <a:extLst>
            <a:ext uri="{FF2B5EF4-FFF2-40B4-BE49-F238E27FC236}">
              <a16:creationId xmlns:a16="http://schemas.microsoft.com/office/drawing/2014/main" id="{00000000-0008-0000-0300-0000217E3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95250</xdr:colOff>
      <xdr:row>0</xdr:row>
      <xdr:rowOff>85725</xdr:rowOff>
    </xdr:from>
    <xdr:ext cx="5715000" cy="3533775"/>
    <xdr:graphicFrame macro="">
      <xdr:nvGraphicFramePr>
        <xdr:cNvPr id="600504354" name="Chart 3" title="Chart">
          <a:extLst>
            <a:ext uri="{FF2B5EF4-FFF2-40B4-BE49-F238E27FC236}">
              <a16:creationId xmlns:a16="http://schemas.microsoft.com/office/drawing/2014/main" id="{00000000-0008-0000-0500-000022F8C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85725</xdr:colOff>
      <xdr:row>18</xdr:row>
      <xdr:rowOff>190500</xdr:rowOff>
    </xdr:from>
    <xdr:ext cx="5715000" cy="3533775"/>
    <xdr:pic>
      <xdr:nvPicPr>
        <xdr:cNvPr id="1155295577" name="Chart4" title="Chart">
          <a:extLst>
            <a:ext uri="{FF2B5EF4-FFF2-40B4-BE49-F238E27FC236}">
              <a16:creationId xmlns:a16="http://schemas.microsoft.com/office/drawing/2014/main" id="{00000000-0008-0000-0500-00005969DC44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371475</xdr:colOff>
      <xdr:row>14</xdr:row>
      <xdr:rowOff>95250</xdr:rowOff>
    </xdr:from>
    <xdr:ext cx="5715000" cy="3533775"/>
    <xdr:graphicFrame macro="">
      <xdr:nvGraphicFramePr>
        <xdr:cNvPr id="1676785697" name="Chart 5" title="Chart">
          <a:extLst>
            <a:ext uri="{FF2B5EF4-FFF2-40B4-BE49-F238E27FC236}">
              <a16:creationId xmlns:a16="http://schemas.microsoft.com/office/drawing/2014/main" id="{00000000-0008-0000-0600-000021B8F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257175" cy="2000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85750" cy="20002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76225" cy="200025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47650" cy="2000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295275" cy="200025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266700" cy="200025"/>
    <xdr:pic>
      <xdr:nvPicPr>
        <xdr:cNvPr id="7" name="image4.p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d/edit?mid=1OF8n3UeNqg19KfyJW49_-UnJx50gMZCk" TargetMode="External"/><Relationship Id="rId2" Type="http://schemas.openxmlformats.org/officeDocument/2006/relationships/hyperlink" Target="https://www.google.com/maps/d/edit?mid=1fAAPYP-5yzbPMoI7Ie-7qRINMYhqIJ6b" TargetMode="External"/><Relationship Id="rId1" Type="http://schemas.openxmlformats.org/officeDocument/2006/relationships/hyperlink" Target="https://www.google.com/maps/d/edit?mid=1bcN9kvptMaO4Oc78IoNeTNM-pOm6JyWz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google.com/maps/d/edit?mid=1OF8n3UeNqg19KfyJW49_-UnJx50gMZCk&amp;usp=sharing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google.com/maps/d/edit?mid=12LKSO1UFNxqtGfERz4ij7c4eJuVaS4sc&amp;usp=sharing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primeoffice.com.hk/hong-kong-office/6620/west-exchange-tower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eetings-conventions.com/Meeting-Event-Venues/Hong-Kong-Hong-Kong/Convention-Hotel/OZO-Wesley-Hong-Kong-p6701817" TargetMode="External"/><Relationship Id="rId13" Type="http://schemas.openxmlformats.org/officeDocument/2006/relationships/hyperlink" Target="https://www.executivehomeshk.com/buildings/north-point/park-towers" TargetMode="External"/><Relationship Id="rId3" Type="http://schemas.openxmlformats.org/officeDocument/2006/relationships/hyperlink" Target="http://www.hongkongoffice.com/building_search/office_profile.asp?B=21276" TargetMode="External"/><Relationship Id="rId7" Type="http://schemas.openxmlformats.org/officeDocument/2006/relationships/hyperlink" Target="https://www.skyscrapercenter.com/building/arsenal-house-west-wing/21314" TargetMode="External"/><Relationship Id="rId12" Type="http://schemas.openxmlformats.org/officeDocument/2006/relationships/hyperlink" Target="https://partnernet.hktb.com/en/e_marketplace/company_directory/index.html?companyID=961&amp;accordionDefault=venue&amp;viewMode=Details" TargetMode="External"/><Relationship Id="rId2" Type="http://schemas.openxmlformats.org/officeDocument/2006/relationships/hyperlink" Target="https://www.amo.gov.hk/en/monuments_37.php" TargetMode="External"/><Relationship Id="rId1" Type="http://schemas.openxmlformats.org/officeDocument/2006/relationships/hyperlink" Target="https://photos.mandarinoriental.com/is/content/MandarinOriental/hong-kong-fact-sheet" TargetMode="External"/><Relationship Id="rId6" Type="http://schemas.openxmlformats.org/officeDocument/2006/relationships/hyperlink" Target="https://www.meetings-conventions.com/Meeting-Event-Venues/Hong-Kong-Hong-Kong/Convention-Hotel/JW-Marriott-Hotel-Hong-Kong-p2128715" TargetMode="External"/><Relationship Id="rId11" Type="http://schemas.openxmlformats.org/officeDocument/2006/relationships/hyperlink" Target="https://www.hkpl.gov.hk/en/hkcl/aboutus/index.html" TargetMode="External"/><Relationship Id="rId5" Type="http://schemas.openxmlformats.org/officeDocument/2006/relationships/hyperlink" Target="http://www.primeoffice.com.hk/hong-kong-office/6620/west-exchange-tower" TargetMode="External"/><Relationship Id="rId10" Type="http://schemas.openxmlformats.org/officeDocument/2006/relationships/hyperlink" Target="http://www.ladder.com.hk/dundas/download/info.jpg" TargetMode="External"/><Relationship Id="rId4" Type="http://schemas.openxmlformats.org/officeDocument/2006/relationships/hyperlink" Target="https://www.amo.gov.hk/en/monuments_49.php" TargetMode="External"/><Relationship Id="rId9" Type="http://schemas.openxmlformats.org/officeDocument/2006/relationships/hyperlink" Target="https://img.themirahotel.com/wp-content/uploads/2013/12/140127_The_Mira_Fact_Sheet_En.pdf" TargetMode="External"/><Relationship Id="rId14" Type="http://schemas.openxmlformats.org/officeDocument/2006/relationships/hyperlink" Target="http://www.hongkongoffice.com/building_search/Office_Profile.asp?B=69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0"/>
  <sheetViews>
    <sheetView tabSelected="1" workbookViewId="0">
      <selection sqref="A1:B1"/>
    </sheetView>
  </sheetViews>
  <sheetFormatPr defaultColWidth="14.453125" defaultRowHeight="15" customHeight="1"/>
  <cols>
    <col min="1" max="1" width="22" customWidth="1"/>
    <col min="2" max="2" width="141.08984375" customWidth="1"/>
  </cols>
  <sheetData>
    <row r="1" spans="1:25" ht="13">
      <c r="A1" s="371" t="s">
        <v>0</v>
      </c>
      <c r="B1" s="37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4.5">
      <c r="A2" s="373" t="s">
        <v>1</v>
      </c>
      <c r="B2" s="372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4.5">
      <c r="A3" s="373" t="s">
        <v>2</v>
      </c>
      <c r="B3" s="37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409.6" customHeight="1">
      <c r="A4" s="374"/>
      <c r="B4" s="37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409.6" customHeight="1">
      <c r="A5" s="374"/>
      <c r="B5" s="37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3">
      <c r="A6" s="371" t="s">
        <v>3</v>
      </c>
      <c r="B6" s="37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3">
      <c r="A7" s="375" t="s">
        <v>4</v>
      </c>
      <c r="B7" s="37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">
      <c r="A8" s="375" t="s">
        <v>5</v>
      </c>
      <c r="B8" s="37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">
      <c r="A9" s="378" t="s">
        <v>6</v>
      </c>
      <c r="B9" s="37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3">
      <c r="A10" s="378" t="s">
        <v>7</v>
      </c>
      <c r="B10" s="372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3">
      <c r="A11" s="378" t="s">
        <v>8</v>
      </c>
      <c r="B11" s="37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3">
      <c r="A12" s="378" t="s">
        <v>9</v>
      </c>
      <c r="B12" s="372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3">
      <c r="A13" s="378" t="s">
        <v>10</v>
      </c>
      <c r="B13" s="372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3">
      <c r="A14" s="2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3">
      <c r="A15" s="371" t="s">
        <v>11</v>
      </c>
      <c r="B15" s="37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3">
      <c r="A16" s="5" t="s">
        <v>12</v>
      </c>
      <c r="B16" s="6" t="s">
        <v>13</v>
      </c>
      <c r="C16" s="7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4">
      <c r="A17" s="5" t="s">
        <v>14</v>
      </c>
      <c r="B17" s="8" t="s">
        <v>15</v>
      </c>
      <c r="C17" s="9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3">
      <c r="A18" s="5" t="s">
        <v>16</v>
      </c>
      <c r="B18" s="8" t="s">
        <v>17</v>
      </c>
      <c r="C18" s="10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3">
      <c r="A19" s="5" t="s">
        <v>18</v>
      </c>
      <c r="B19" s="11" t="s">
        <v>19</v>
      </c>
      <c r="C19" s="12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3">
      <c r="A20" s="13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3">
      <c r="A21" s="371" t="s">
        <v>20</v>
      </c>
      <c r="B21" s="37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3">
      <c r="A22" s="4" t="s">
        <v>21</v>
      </c>
      <c r="B22" s="1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3">
      <c r="A23" s="5" t="s">
        <v>22</v>
      </c>
      <c r="B23" s="4" t="s">
        <v>23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3">
      <c r="A24" s="376" t="s">
        <v>24</v>
      </c>
      <c r="B24" s="4" t="s">
        <v>25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3">
      <c r="A25" s="372"/>
      <c r="B25" s="4" t="s">
        <v>26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3">
      <c r="A26" s="372"/>
      <c r="B26" s="4" t="s">
        <v>27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3">
      <c r="A27" s="4" t="s">
        <v>28</v>
      </c>
      <c r="B27" s="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3">
      <c r="A28" s="5" t="s">
        <v>29</v>
      </c>
      <c r="B28" s="4" t="s">
        <v>30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3">
      <c r="A29" s="5" t="s">
        <v>31</v>
      </c>
      <c r="B29" s="4" t="s">
        <v>32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3">
      <c r="A30" s="5" t="s">
        <v>33</v>
      </c>
      <c r="B30" s="4" t="s">
        <v>34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3">
      <c r="A31" s="13"/>
      <c r="B31" s="15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3">
      <c r="A32" s="371" t="s">
        <v>35</v>
      </c>
      <c r="B32" s="37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3">
      <c r="A33" s="5" t="s">
        <v>36</v>
      </c>
      <c r="B33" s="4" t="s">
        <v>37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3">
      <c r="A34" s="5" t="s">
        <v>38</v>
      </c>
      <c r="B34" s="16" t="s">
        <v>39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3">
      <c r="A35" s="377" t="s">
        <v>40</v>
      </c>
      <c r="B35" s="16" t="s">
        <v>41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3">
      <c r="A36" s="372"/>
      <c r="B36" s="16" t="s">
        <v>42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3">
      <c r="A37" s="5" t="s">
        <v>43</v>
      </c>
      <c r="B37" s="16" t="s">
        <v>44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3">
      <c r="A38" s="5" t="s">
        <v>45</v>
      </c>
      <c r="B38" s="16" t="s">
        <v>46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3">
      <c r="A39" s="5" t="s">
        <v>47</v>
      </c>
      <c r="B39" s="16" t="s">
        <v>48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3">
      <c r="A40" s="5" t="s">
        <v>49</v>
      </c>
      <c r="B40" s="16" t="s">
        <v>50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3">
      <c r="A41" s="5" t="s">
        <v>51</v>
      </c>
      <c r="B41" s="4" t="s">
        <v>52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3">
      <c r="A42" s="377" t="s">
        <v>53</v>
      </c>
      <c r="B42" s="15" t="s">
        <v>54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3">
      <c r="A43" s="372"/>
      <c r="B43" s="15" t="s">
        <v>55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3">
      <c r="A44" s="372"/>
      <c r="B44" s="15" t="s">
        <v>56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3">
      <c r="A45" s="372"/>
      <c r="B45" s="15" t="s">
        <v>57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3">
      <c r="A46" s="372"/>
      <c r="B46" s="15" t="s">
        <v>58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3">
      <c r="A47" s="372"/>
      <c r="B47" s="15" t="s">
        <v>59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3">
      <c r="A48" s="372"/>
      <c r="B48" s="15" t="s">
        <v>60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3">
      <c r="A49" s="372"/>
      <c r="B49" s="15" t="s">
        <v>61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3">
      <c r="A50" s="372"/>
      <c r="B50" s="15" t="s">
        <v>62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3">
      <c r="A51" s="5" t="s">
        <v>63</v>
      </c>
      <c r="B51" s="16" t="s">
        <v>64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3">
      <c r="A52" s="5" t="s">
        <v>65</v>
      </c>
      <c r="B52" s="16" t="s">
        <v>66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3">
      <c r="A53" s="5" t="s">
        <v>67</v>
      </c>
      <c r="B53" s="16" t="s">
        <v>68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3">
      <c r="A54" s="5" t="s">
        <v>69</v>
      </c>
      <c r="B54" s="16" t="s">
        <v>70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3">
      <c r="A55" s="5" t="s">
        <v>71</v>
      </c>
      <c r="B55" s="16" t="s">
        <v>72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3">
      <c r="A56" s="5" t="s">
        <v>73</v>
      </c>
      <c r="B56" s="16" t="s">
        <v>74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3">
      <c r="A57" s="1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3">
      <c r="A58" s="13"/>
      <c r="B58" s="14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3">
      <c r="A59" s="13"/>
      <c r="B59" s="14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3">
      <c r="A60" s="13"/>
      <c r="B60" s="14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3">
      <c r="A61" s="13"/>
      <c r="B61" s="14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3">
      <c r="A62" s="13"/>
      <c r="B62" s="14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3">
      <c r="A63" s="13"/>
      <c r="B63" s="14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3">
      <c r="A64" s="13"/>
      <c r="B64" s="14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3">
      <c r="A65" s="13"/>
      <c r="B65" s="14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3">
      <c r="A66" s="13"/>
      <c r="B66" s="14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3">
      <c r="A67" s="13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3">
      <c r="A68" s="13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3">
      <c r="A69" s="13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3">
      <c r="A70" s="13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3">
      <c r="A71" s="13"/>
      <c r="B71" s="14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3">
      <c r="A72" s="13"/>
      <c r="B72" s="14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3">
      <c r="A73" s="13"/>
      <c r="B73" s="14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3">
      <c r="A74" s="13"/>
      <c r="B74" s="14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3">
      <c r="A75" s="13"/>
      <c r="B75" s="14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3">
      <c r="A76" s="13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3">
      <c r="A77" s="13"/>
      <c r="B77" s="14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3">
      <c r="A78" s="13"/>
      <c r="B78" s="14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3">
      <c r="A79" s="13"/>
      <c r="B79" s="14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3">
      <c r="A80" s="13"/>
      <c r="B80" s="14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3">
      <c r="A81" s="13"/>
      <c r="B81" s="14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3">
      <c r="A82" s="13"/>
      <c r="B82" s="14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3">
      <c r="A83" s="13"/>
      <c r="B83" s="14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3">
      <c r="A84" s="13"/>
      <c r="B84" s="14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3">
      <c r="A85" s="13"/>
      <c r="B85" s="14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3">
      <c r="A86" s="13"/>
      <c r="B86" s="14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3">
      <c r="A87" s="13"/>
      <c r="B87" s="14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3">
      <c r="A88" s="13"/>
      <c r="B88" s="14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3">
      <c r="A89" s="13"/>
      <c r="B89" s="14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3">
      <c r="A90" s="13"/>
      <c r="B90" s="14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3">
      <c r="A91" s="13"/>
      <c r="B91" s="14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3">
      <c r="A92" s="13"/>
      <c r="B92" s="14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3">
      <c r="A93" s="13"/>
      <c r="B93" s="14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3">
      <c r="A94" s="13"/>
      <c r="B94" s="14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3">
      <c r="A95" s="13"/>
      <c r="B95" s="14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3">
      <c r="A96" s="13"/>
      <c r="B96" s="14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3">
      <c r="A97" s="13"/>
      <c r="B97" s="1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3">
      <c r="A98" s="13"/>
      <c r="B98" s="1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3">
      <c r="A99" s="13"/>
      <c r="B99" s="1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3">
      <c r="A100" s="13"/>
      <c r="B100" s="1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3">
      <c r="A101" s="13"/>
      <c r="B101" s="1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3">
      <c r="A102" s="13"/>
      <c r="B102" s="1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3">
      <c r="A103" s="13"/>
      <c r="B103" s="1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3">
      <c r="A104" s="13"/>
      <c r="B104" s="1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3">
      <c r="A105" s="13"/>
      <c r="B105" s="1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3">
      <c r="A106" s="13"/>
      <c r="B106" s="1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3">
      <c r="A107" s="13"/>
      <c r="B107" s="1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3">
      <c r="A108" s="13"/>
      <c r="B108" s="1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3">
      <c r="A109" s="13"/>
      <c r="B109" s="1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3">
      <c r="A110" s="13"/>
      <c r="B110" s="1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3">
      <c r="A111" s="13"/>
      <c r="B111" s="1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3">
      <c r="A112" s="13"/>
      <c r="B112" s="1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3">
      <c r="A113" s="13"/>
      <c r="B113" s="1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3">
      <c r="A114" s="13"/>
      <c r="B114" s="1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3">
      <c r="A115" s="13"/>
      <c r="B115" s="1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3">
      <c r="A116" s="13"/>
      <c r="B116" s="14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3">
      <c r="A117" s="13"/>
      <c r="B117" s="14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3">
      <c r="A118" s="13"/>
      <c r="B118" s="14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3">
      <c r="A119" s="13"/>
      <c r="B119" s="14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3">
      <c r="A120" s="13"/>
      <c r="B120" s="14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3">
      <c r="A121" s="13"/>
      <c r="B121" s="14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3">
      <c r="A122" s="13"/>
      <c r="B122" s="14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3">
      <c r="A123" s="13"/>
      <c r="B123" s="14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3">
      <c r="A124" s="13"/>
      <c r="B124" s="14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3">
      <c r="A125" s="13"/>
      <c r="B125" s="14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3">
      <c r="A126" s="13"/>
      <c r="B126" s="14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3">
      <c r="A127" s="13"/>
      <c r="B127" s="14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3">
      <c r="A128" s="13"/>
      <c r="B128" s="14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3">
      <c r="A129" s="13"/>
      <c r="B129" s="14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3">
      <c r="A130" s="13"/>
      <c r="B130" s="14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3">
      <c r="A131" s="13"/>
      <c r="B131" s="14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3">
      <c r="A132" s="13"/>
      <c r="B132" s="14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3">
      <c r="A133" s="13"/>
      <c r="B133" s="14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3">
      <c r="A134" s="13"/>
      <c r="B134" s="14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3">
      <c r="A135" s="13"/>
      <c r="B135" s="14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3">
      <c r="A136" s="13"/>
      <c r="B136" s="14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3">
      <c r="A137" s="13"/>
      <c r="B137" s="14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3">
      <c r="A138" s="13"/>
      <c r="B138" s="14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3">
      <c r="A139" s="13"/>
      <c r="B139" s="14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3">
      <c r="A140" s="13"/>
      <c r="B140" s="14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3">
      <c r="A141" s="13"/>
      <c r="B141" s="14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3">
      <c r="A142" s="13"/>
      <c r="B142" s="14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3">
      <c r="A143" s="13"/>
      <c r="B143" s="14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3">
      <c r="A144" s="13"/>
      <c r="B144" s="14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3">
      <c r="A145" s="13"/>
      <c r="B145" s="14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3">
      <c r="A146" s="13"/>
      <c r="B146" s="14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3">
      <c r="A147" s="13"/>
      <c r="B147" s="14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3">
      <c r="A148" s="13"/>
      <c r="B148" s="14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3">
      <c r="A149" s="13"/>
      <c r="B149" s="14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3">
      <c r="A150" s="13"/>
      <c r="B150" s="14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3">
      <c r="A151" s="13"/>
      <c r="B151" s="14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3">
      <c r="A152" s="13"/>
      <c r="B152" s="14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3">
      <c r="A153" s="13"/>
      <c r="B153" s="14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3">
      <c r="A154" s="13"/>
      <c r="B154" s="14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3">
      <c r="A155" s="13"/>
      <c r="B155" s="14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3">
      <c r="A156" s="13"/>
      <c r="B156" s="14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3">
      <c r="A157" s="13"/>
      <c r="B157" s="14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3">
      <c r="A158" s="13"/>
      <c r="B158" s="14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3">
      <c r="A159" s="13"/>
      <c r="B159" s="14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3">
      <c r="A160" s="13"/>
      <c r="B160" s="14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3">
      <c r="A161" s="13"/>
      <c r="B161" s="14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3">
      <c r="A162" s="13"/>
      <c r="B162" s="14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3">
      <c r="A163" s="13"/>
      <c r="B163" s="14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3">
      <c r="A164" s="13"/>
      <c r="B164" s="14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3">
      <c r="A165" s="13"/>
      <c r="B165" s="14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3">
      <c r="A166" s="13"/>
      <c r="B166" s="14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3">
      <c r="A167" s="13"/>
      <c r="B167" s="14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3">
      <c r="A168" s="13"/>
      <c r="B168" s="14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3">
      <c r="A169" s="13"/>
      <c r="B169" s="14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3">
      <c r="A170" s="13"/>
      <c r="B170" s="14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3">
      <c r="A171" s="13"/>
      <c r="B171" s="14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3">
      <c r="A172" s="13"/>
      <c r="B172" s="14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3">
      <c r="A173" s="13"/>
      <c r="B173" s="14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3">
      <c r="A174" s="13"/>
      <c r="B174" s="14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3">
      <c r="A175" s="13"/>
      <c r="B175" s="14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3">
      <c r="A176" s="13"/>
      <c r="B176" s="14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3">
      <c r="A177" s="13"/>
      <c r="B177" s="14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3">
      <c r="A178" s="13"/>
      <c r="B178" s="14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3">
      <c r="A179" s="13"/>
      <c r="B179" s="14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3">
      <c r="A180" s="13"/>
      <c r="B180" s="14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3">
      <c r="A181" s="13"/>
      <c r="B181" s="14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3">
      <c r="A182" s="13"/>
      <c r="B182" s="14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3">
      <c r="A183" s="13"/>
      <c r="B183" s="14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3">
      <c r="A184" s="13"/>
      <c r="B184" s="14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3">
      <c r="A185" s="13"/>
      <c r="B185" s="14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3">
      <c r="A186" s="13"/>
      <c r="B186" s="14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3">
      <c r="A187" s="13"/>
      <c r="B187" s="14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3">
      <c r="A188" s="13"/>
      <c r="B188" s="14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3">
      <c r="A189" s="13"/>
      <c r="B189" s="14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3">
      <c r="A190" s="13"/>
      <c r="B190" s="14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3">
      <c r="A191" s="13"/>
      <c r="B191" s="14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3">
      <c r="A192" s="13"/>
      <c r="B192" s="14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3">
      <c r="A193" s="13"/>
      <c r="B193" s="14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3">
      <c r="A194" s="13"/>
      <c r="B194" s="14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3">
      <c r="A195" s="13"/>
      <c r="B195" s="14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3">
      <c r="A196" s="13"/>
      <c r="B196" s="14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3">
      <c r="A197" s="13"/>
      <c r="B197" s="14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3">
      <c r="A198" s="13"/>
      <c r="B198" s="14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3">
      <c r="A199" s="13"/>
      <c r="B199" s="14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3">
      <c r="A200" s="13"/>
      <c r="B200" s="14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3">
      <c r="A201" s="13"/>
      <c r="B201" s="14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3">
      <c r="A202" s="13"/>
      <c r="B202" s="14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3">
      <c r="A203" s="13"/>
      <c r="B203" s="14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3">
      <c r="A204" s="13"/>
      <c r="B204" s="14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3">
      <c r="A205" s="13"/>
      <c r="B205" s="14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3">
      <c r="A206" s="13"/>
      <c r="B206" s="14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3">
      <c r="A207" s="13"/>
      <c r="B207" s="14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3">
      <c r="A208" s="13"/>
      <c r="B208" s="14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3">
      <c r="A209" s="13"/>
      <c r="B209" s="14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3">
      <c r="A210" s="13"/>
      <c r="B210" s="14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3">
      <c r="A211" s="13"/>
      <c r="B211" s="14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3">
      <c r="A212" s="13"/>
      <c r="B212" s="14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3">
      <c r="A213" s="13"/>
      <c r="B213" s="14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3">
      <c r="A214" s="13"/>
      <c r="B214" s="14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3">
      <c r="A215" s="13"/>
      <c r="B215" s="14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3">
      <c r="A216" s="13"/>
      <c r="B216" s="14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3">
      <c r="A217" s="13"/>
      <c r="B217" s="14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3">
      <c r="A218" s="13"/>
      <c r="B218" s="14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3">
      <c r="A219" s="13"/>
      <c r="B219" s="14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3">
      <c r="A220" s="13"/>
      <c r="B220" s="14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3">
      <c r="A221" s="13"/>
      <c r="B221" s="14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3">
      <c r="A222" s="13"/>
      <c r="B222" s="14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3">
      <c r="A223" s="13"/>
      <c r="B223" s="14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3">
      <c r="A224" s="13"/>
      <c r="B224" s="14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3">
      <c r="A225" s="13"/>
      <c r="B225" s="14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3">
      <c r="A226" s="13"/>
      <c r="B226" s="14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3">
      <c r="A227" s="13"/>
      <c r="B227" s="14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3">
      <c r="A228" s="13"/>
      <c r="B228" s="14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3">
      <c r="A229" s="13"/>
      <c r="B229" s="14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3">
      <c r="A230" s="13"/>
      <c r="B230" s="14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3">
      <c r="A231" s="13"/>
      <c r="B231" s="14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3">
      <c r="A232" s="13"/>
      <c r="B232" s="14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3">
      <c r="A233" s="13"/>
      <c r="B233" s="14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3">
      <c r="A234" s="13"/>
      <c r="B234" s="14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3">
      <c r="A235" s="13"/>
      <c r="B235" s="14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3">
      <c r="A236" s="13"/>
      <c r="B236" s="14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3">
      <c r="A237" s="13"/>
      <c r="B237" s="14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3">
      <c r="A238" s="13"/>
      <c r="B238" s="14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3">
      <c r="A239" s="13"/>
      <c r="B239" s="14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3">
      <c r="A240" s="13"/>
      <c r="B240" s="14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3">
      <c r="A241" s="13"/>
      <c r="B241" s="14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3">
      <c r="A242" s="13"/>
      <c r="B242" s="14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3">
      <c r="A243" s="13"/>
      <c r="B243" s="14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3">
      <c r="A244" s="13"/>
      <c r="B244" s="14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3">
      <c r="A245" s="13"/>
      <c r="B245" s="14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3">
      <c r="A246" s="13"/>
      <c r="B246" s="14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3">
      <c r="A247" s="13"/>
      <c r="B247" s="14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3">
      <c r="A248" s="13"/>
      <c r="B248" s="14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3">
      <c r="A249" s="13"/>
      <c r="B249" s="14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3">
      <c r="A250" s="13"/>
      <c r="B250" s="14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3">
      <c r="A251" s="13"/>
      <c r="B251" s="14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3">
      <c r="A252" s="13"/>
      <c r="B252" s="14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3">
      <c r="A253" s="13"/>
      <c r="B253" s="14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3">
      <c r="A254" s="13"/>
      <c r="B254" s="14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3">
      <c r="A255" s="13"/>
      <c r="B255" s="14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3">
      <c r="A256" s="13"/>
      <c r="B256" s="14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3">
      <c r="A257" s="13"/>
      <c r="B257" s="14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3">
      <c r="A258" s="13"/>
      <c r="B258" s="14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3">
      <c r="A259" s="13"/>
      <c r="B259" s="14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3">
      <c r="A260" s="13"/>
      <c r="B260" s="14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3">
      <c r="A261" s="13"/>
      <c r="B261" s="14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3">
      <c r="A262" s="13"/>
      <c r="B262" s="14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3">
      <c r="A263" s="13"/>
      <c r="B263" s="14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3">
      <c r="A264" s="13"/>
      <c r="B264" s="14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3">
      <c r="A265" s="13"/>
      <c r="B265" s="14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3">
      <c r="A266" s="13"/>
      <c r="B266" s="14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3">
      <c r="A267" s="13"/>
      <c r="B267" s="14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3">
      <c r="A268" s="13"/>
      <c r="B268" s="14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3">
      <c r="A269" s="13"/>
      <c r="B269" s="14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3">
      <c r="A270" s="13"/>
      <c r="B270" s="14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3">
      <c r="A271" s="13"/>
      <c r="B271" s="14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3">
      <c r="A272" s="13"/>
      <c r="B272" s="14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3">
      <c r="A273" s="13"/>
      <c r="B273" s="14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3">
      <c r="A274" s="13"/>
      <c r="B274" s="14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3">
      <c r="A275" s="13"/>
      <c r="B275" s="14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3">
      <c r="A276" s="13"/>
      <c r="B276" s="14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3">
      <c r="A277" s="13"/>
      <c r="B277" s="14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3">
      <c r="A278" s="13"/>
      <c r="B278" s="14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3">
      <c r="A279" s="13"/>
      <c r="B279" s="14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3">
      <c r="A280" s="13"/>
      <c r="B280" s="14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3">
      <c r="A281" s="13"/>
      <c r="B281" s="14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3">
      <c r="A282" s="13"/>
      <c r="B282" s="14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3">
      <c r="A283" s="13"/>
      <c r="B283" s="14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3">
      <c r="A284" s="13"/>
      <c r="B284" s="14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3">
      <c r="A285" s="13"/>
      <c r="B285" s="14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3">
      <c r="A286" s="13"/>
      <c r="B286" s="14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3">
      <c r="A287" s="13"/>
      <c r="B287" s="14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3">
      <c r="A288" s="13"/>
      <c r="B288" s="14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3">
      <c r="A289" s="13"/>
      <c r="B289" s="14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3">
      <c r="A290" s="13"/>
      <c r="B290" s="14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3">
      <c r="A291" s="13"/>
      <c r="B291" s="14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3">
      <c r="A292" s="13"/>
      <c r="B292" s="14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3">
      <c r="A293" s="13"/>
      <c r="B293" s="14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3">
      <c r="A294" s="13"/>
      <c r="B294" s="14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3">
      <c r="A295" s="13"/>
      <c r="B295" s="14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3">
      <c r="A296" s="13"/>
      <c r="B296" s="14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3">
      <c r="A297" s="13"/>
      <c r="B297" s="14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3">
      <c r="A298" s="13"/>
      <c r="B298" s="14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3">
      <c r="A299" s="13"/>
      <c r="B299" s="14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3">
      <c r="A300" s="13"/>
      <c r="B300" s="14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3">
      <c r="A301" s="13"/>
      <c r="B301" s="14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3">
      <c r="A302" s="13"/>
      <c r="B302" s="14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3">
      <c r="A303" s="13"/>
      <c r="B303" s="14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3">
      <c r="A304" s="13"/>
      <c r="B304" s="14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3">
      <c r="A305" s="13"/>
      <c r="B305" s="14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3">
      <c r="A306" s="13"/>
      <c r="B306" s="14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3">
      <c r="A307" s="13"/>
      <c r="B307" s="14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3">
      <c r="A308" s="13"/>
      <c r="B308" s="14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3">
      <c r="A309" s="13"/>
      <c r="B309" s="14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3">
      <c r="A310" s="13"/>
      <c r="B310" s="14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3">
      <c r="A311" s="13"/>
      <c r="B311" s="14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3">
      <c r="A312" s="13"/>
      <c r="B312" s="14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3">
      <c r="A313" s="13"/>
      <c r="B313" s="14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3">
      <c r="A314" s="13"/>
      <c r="B314" s="14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3">
      <c r="A315" s="13"/>
      <c r="B315" s="14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3">
      <c r="A316" s="13"/>
      <c r="B316" s="14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3">
      <c r="A317" s="13"/>
      <c r="B317" s="14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3">
      <c r="A318" s="13"/>
      <c r="B318" s="14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3">
      <c r="A319" s="13"/>
      <c r="B319" s="14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3">
      <c r="A320" s="13"/>
      <c r="B320" s="14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3">
      <c r="A321" s="13"/>
      <c r="B321" s="14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3">
      <c r="A322" s="13"/>
      <c r="B322" s="14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3">
      <c r="A323" s="13"/>
      <c r="B323" s="14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3">
      <c r="A324" s="13"/>
      <c r="B324" s="14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3">
      <c r="A325" s="13"/>
      <c r="B325" s="14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3">
      <c r="A326" s="13"/>
      <c r="B326" s="14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3">
      <c r="A327" s="13"/>
      <c r="B327" s="14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3">
      <c r="A328" s="13"/>
      <c r="B328" s="14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3">
      <c r="A329" s="13"/>
      <c r="B329" s="14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3">
      <c r="A330" s="13"/>
      <c r="B330" s="14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3">
      <c r="A331" s="13"/>
      <c r="B331" s="14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3">
      <c r="A332" s="13"/>
      <c r="B332" s="14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3">
      <c r="A333" s="13"/>
      <c r="B333" s="14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3">
      <c r="A334" s="13"/>
      <c r="B334" s="14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3">
      <c r="A335" s="13"/>
      <c r="B335" s="14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3">
      <c r="A336" s="13"/>
      <c r="B336" s="14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3">
      <c r="A337" s="13"/>
      <c r="B337" s="14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3">
      <c r="A338" s="13"/>
      <c r="B338" s="14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3">
      <c r="A339" s="13"/>
      <c r="B339" s="14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3">
      <c r="A340" s="13"/>
      <c r="B340" s="14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3">
      <c r="A341" s="13"/>
      <c r="B341" s="14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3">
      <c r="A342" s="13"/>
      <c r="B342" s="14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3">
      <c r="A343" s="13"/>
      <c r="B343" s="14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3">
      <c r="A344" s="13"/>
      <c r="B344" s="14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3">
      <c r="A345" s="13"/>
      <c r="B345" s="14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3">
      <c r="A346" s="13"/>
      <c r="B346" s="14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3">
      <c r="A347" s="13"/>
      <c r="B347" s="14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3">
      <c r="A348" s="13"/>
      <c r="B348" s="14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3">
      <c r="A349" s="13"/>
      <c r="B349" s="14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3">
      <c r="A350" s="13"/>
      <c r="B350" s="14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3">
      <c r="A351" s="13"/>
      <c r="B351" s="14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3">
      <c r="A352" s="13"/>
      <c r="B352" s="14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3">
      <c r="A353" s="13"/>
      <c r="B353" s="14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3">
      <c r="A354" s="13"/>
      <c r="B354" s="14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3">
      <c r="A355" s="13"/>
      <c r="B355" s="14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3">
      <c r="A356" s="13"/>
      <c r="B356" s="14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3">
      <c r="A357" s="13"/>
      <c r="B357" s="14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3">
      <c r="A358" s="13"/>
      <c r="B358" s="14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3">
      <c r="A359" s="13"/>
      <c r="B359" s="14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3">
      <c r="A360" s="13"/>
      <c r="B360" s="14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3">
      <c r="A361" s="13"/>
      <c r="B361" s="14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3">
      <c r="A362" s="13"/>
      <c r="B362" s="14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3">
      <c r="A363" s="13"/>
      <c r="B363" s="14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3">
      <c r="A364" s="13"/>
      <c r="B364" s="14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3">
      <c r="A365" s="13"/>
      <c r="B365" s="14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3">
      <c r="A366" s="13"/>
      <c r="B366" s="14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3">
      <c r="A367" s="13"/>
      <c r="B367" s="14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3">
      <c r="A368" s="13"/>
      <c r="B368" s="14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3">
      <c r="A369" s="13"/>
      <c r="B369" s="14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3">
      <c r="A370" s="13"/>
      <c r="B370" s="14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3">
      <c r="A371" s="13"/>
      <c r="B371" s="14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3">
      <c r="A372" s="13"/>
      <c r="B372" s="14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3">
      <c r="A373" s="13"/>
      <c r="B373" s="14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3">
      <c r="A374" s="13"/>
      <c r="B374" s="14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3">
      <c r="A375" s="13"/>
      <c r="B375" s="14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3">
      <c r="A376" s="13"/>
      <c r="B376" s="14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3">
      <c r="A377" s="13"/>
      <c r="B377" s="14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3">
      <c r="A378" s="13"/>
      <c r="B378" s="14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3">
      <c r="A379" s="13"/>
      <c r="B379" s="14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3">
      <c r="A380" s="13"/>
      <c r="B380" s="14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3">
      <c r="A381" s="13"/>
      <c r="B381" s="14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3">
      <c r="A382" s="13"/>
      <c r="B382" s="14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3">
      <c r="A383" s="13"/>
      <c r="B383" s="14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3">
      <c r="A384" s="13"/>
      <c r="B384" s="14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3">
      <c r="A385" s="13"/>
      <c r="B385" s="14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3">
      <c r="A386" s="13"/>
      <c r="B386" s="14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3">
      <c r="A387" s="13"/>
      <c r="B387" s="14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3">
      <c r="A388" s="13"/>
      <c r="B388" s="14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3">
      <c r="A389" s="13"/>
      <c r="B389" s="14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3">
      <c r="A390" s="13"/>
      <c r="B390" s="14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3">
      <c r="A391" s="13"/>
      <c r="B391" s="14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3">
      <c r="A392" s="13"/>
      <c r="B392" s="14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3">
      <c r="A393" s="13"/>
      <c r="B393" s="14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3">
      <c r="A394" s="13"/>
      <c r="B394" s="14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3">
      <c r="A395" s="13"/>
      <c r="B395" s="14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3">
      <c r="A396" s="13"/>
      <c r="B396" s="14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3">
      <c r="A397" s="13"/>
      <c r="B397" s="14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3">
      <c r="A398" s="13"/>
      <c r="B398" s="14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3">
      <c r="A399" s="13"/>
      <c r="B399" s="14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3">
      <c r="A400" s="13"/>
      <c r="B400" s="14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3">
      <c r="A401" s="13"/>
      <c r="B401" s="14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3">
      <c r="A402" s="13"/>
      <c r="B402" s="14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3">
      <c r="A403" s="13"/>
      <c r="B403" s="14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3">
      <c r="A404" s="13"/>
      <c r="B404" s="14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3">
      <c r="A405" s="13"/>
      <c r="B405" s="14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3">
      <c r="A406" s="13"/>
      <c r="B406" s="14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3">
      <c r="A407" s="13"/>
      <c r="B407" s="14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3">
      <c r="A408" s="13"/>
      <c r="B408" s="14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3">
      <c r="A409" s="13"/>
      <c r="B409" s="14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3">
      <c r="A410" s="13"/>
      <c r="B410" s="14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3">
      <c r="A411" s="13"/>
      <c r="B411" s="14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3">
      <c r="A412" s="13"/>
      <c r="B412" s="14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3">
      <c r="A413" s="13"/>
      <c r="B413" s="14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3">
      <c r="A414" s="13"/>
      <c r="B414" s="14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3">
      <c r="A415" s="13"/>
      <c r="B415" s="14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3">
      <c r="A416" s="13"/>
      <c r="B416" s="14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3">
      <c r="A417" s="13"/>
      <c r="B417" s="14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3">
      <c r="A418" s="13"/>
      <c r="B418" s="14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3">
      <c r="A419" s="13"/>
      <c r="B419" s="14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3">
      <c r="A420" s="13"/>
      <c r="B420" s="14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3">
      <c r="A421" s="13"/>
      <c r="B421" s="14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3">
      <c r="A422" s="13"/>
      <c r="B422" s="14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3">
      <c r="A423" s="13"/>
      <c r="B423" s="14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3">
      <c r="A424" s="13"/>
      <c r="B424" s="14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3">
      <c r="A425" s="13"/>
      <c r="B425" s="14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3">
      <c r="A426" s="13"/>
      <c r="B426" s="14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3">
      <c r="A427" s="13"/>
      <c r="B427" s="14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3">
      <c r="A428" s="13"/>
      <c r="B428" s="14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3">
      <c r="A429" s="13"/>
      <c r="B429" s="14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3">
      <c r="A430" s="13"/>
      <c r="B430" s="14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3">
      <c r="A431" s="13"/>
      <c r="B431" s="14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3">
      <c r="A432" s="13"/>
      <c r="B432" s="14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3">
      <c r="A433" s="13"/>
      <c r="B433" s="14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3">
      <c r="A434" s="13"/>
      <c r="B434" s="14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3">
      <c r="A435" s="13"/>
      <c r="B435" s="14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3">
      <c r="A436" s="13"/>
      <c r="B436" s="14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3">
      <c r="A437" s="13"/>
      <c r="B437" s="14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3">
      <c r="A438" s="13"/>
      <c r="B438" s="14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3">
      <c r="A439" s="13"/>
      <c r="B439" s="14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3">
      <c r="A440" s="13"/>
      <c r="B440" s="14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3">
      <c r="A441" s="13"/>
      <c r="B441" s="14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3">
      <c r="A442" s="13"/>
      <c r="B442" s="14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3">
      <c r="A443" s="13"/>
      <c r="B443" s="14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3">
      <c r="A444" s="13"/>
      <c r="B444" s="14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3">
      <c r="A445" s="13"/>
      <c r="B445" s="14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3">
      <c r="A446" s="13"/>
      <c r="B446" s="14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3">
      <c r="A447" s="13"/>
      <c r="B447" s="14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3">
      <c r="A448" s="13"/>
      <c r="B448" s="14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3">
      <c r="A449" s="13"/>
      <c r="B449" s="14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3">
      <c r="A450" s="13"/>
      <c r="B450" s="14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3">
      <c r="A451" s="13"/>
      <c r="B451" s="14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3">
      <c r="A452" s="13"/>
      <c r="B452" s="14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3">
      <c r="A453" s="13"/>
      <c r="B453" s="14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3">
      <c r="A454" s="13"/>
      <c r="B454" s="14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3">
      <c r="A455" s="13"/>
      <c r="B455" s="14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3">
      <c r="A456" s="13"/>
      <c r="B456" s="14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3">
      <c r="A457" s="13"/>
      <c r="B457" s="14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3">
      <c r="A458" s="13"/>
      <c r="B458" s="14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3">
      <c r="A459" s="13"/>
      <c r="B459" s="14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3">
      <c r="A460" s="13"/>
      <c r="B460" s="14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3">
      <c r="A461" s="13"/>
      <c r="B461" s="14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3">
      <c r="A462" s="13"/>
      <c r="B462" s="14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3">
      <c r="A463" s="13"/>
      <c r="B463" s="14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3">
      <c r="A464" s="13"/>
      <c r="B464" s="14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3">
      <c r="A465" s="13"/>
      <c r="B465" s="14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3">
      <c r="A466" s="13"/>
      <c r="B466" s="14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3">
      <c r="A467" s="13"/>
      <c r="B467" s="14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3">
      <c r="A468" s="13"/>
      <c r="B468" s="14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3">
      <c r="A469" s="13"/>
      <c r="B469" s="14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3">
      <c r="A470" s="13"/>
      <c r="B470" s="14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3">
      <c r="A471" s="13"/>
      <c r="B471" s="14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3">
      <c r="A472" s="13"/>
      <c r="B472" s="14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3">
      <c r="A473" s="13"/>
      <c r="B473" s="14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3">
      <c r="A474" s="13"/>
      <c r="B474" s="14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3">
      <c r="A475" s="13"/>
      <c r="B475" s="14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3">
      <c r="A476" s="13"/>
      <c r="B476" s="14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3">
      <c r="A477" s="13"/>
      <c r="B477" s="14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3">
      <c r="A478" s="13"/>
      <c r="B478" s="14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3">
      <c r="A479" s="13"/>
      <c r="B479" s="14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3">
      <c r="A480" s="13"/>
      <c r="B480" s="14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3">
      <c r="A481" s="13"/>
      <c r="B481" s="14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3">
      <c r="A482" s="13"/>
      <c r="B482" s="14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3">
      <c r="A483" s="13"/>
      <c r="B483" s="14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3">
      <c r="A484" s="13"/>
      <c r="B484" s="14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3">
      <c r="A485" s="13"/>
      <c r="B485" s="14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3">
      <c r="A486" s="13"/>
      <c r="B486" s="14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3">
      <c r="A487" s="13"/>
      <c r="B487" s="14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3">
      <c r="A488" s="13"/>
      <c r="B488" s="14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3">
      <c r="A489" s="13"/>
      <c r="B489" s="14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3">
      <c r="A490" s="13"/>
      <c r="B490" s="14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3">
      <c r="A491" s="13"/>
      <c r="B491" s="14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3">
      <c r="A492" s="13"/>
      <c r="B492" s="14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3">
      <c r="A493" s="13"/>
      <c r="B493" s="14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3">
      <c r="A494" s="13"/>
      <c r="B494" s="14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3">
      <c r="A495" s="13"/>
      <c r="B495" s="14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3">
      <c r="A496" s="13"/>
      <c r="B496" s="14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3">
      <c r="A497" s="13"/>
      <c r="B497" s="14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3">
      <c r="A498" s="13"/>
      <c r="B498" s="14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3">
      <c r="A499" s="13"/>
      <c r="B499" s="14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3">
      <c r="A500" s="13"/>
      <c r="B500" s="14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3">
      <c r="A501" s="13"/>
      <c r="B501" s="14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3">
      <c r="A502" s="13"/>
      <c r="B502" s="14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3">
      <c r="A503" s="13"/>
      <c r="B503" s="14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3">
      <c r="A504" s="13"/>
      <c r="B504" s="14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3">
      <c r="A505" s="13"/>
      <c r="B505" s="14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3">
      <c r="A506" s="13"/>
      <c r="B506" s="14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3">
      <c r="A507" s="13"/>
      <c r="B507" s="14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3">
      <c r="A508" s="13"/>
      <c r="B508" s="14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3">
      <c r="A509" s="13"/>
      <c r="B509" s="14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3">
      <c r="A510" s="13"/>
      <c r="B510" s="14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3">
      <c r="A511" s="13"/>
      <c r="B511" s="14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3">
      <c r="A512" s="13"/>
      <c r="B512" s="14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3">
      <c r="A513" s="13"/>
      <c r="B513" s="14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3">
      <c r="A514" s="13"/>
      <c r="B514" s="14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3">
      <c r="A515" s="13"/>
      <c r="B515" s="14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3">
      <c r="A516" s="13"/>
      <c r="B516" s="14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3">
      <c r="A517" s="13"/>
      <c r="B517" s="14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3">
      <c r="A518" s="13"/>
      <c r="B518" s="14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3">
      <c r="A519" s="13"/>
      <c r="B519" s="14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3">
      <c r="A520" s="13"/>
      <c r="B520" s="14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3">
      <c r="A521" s="13"/>
      <c r="B521" s="14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3">
      <c r="A522" s="13"/>
      <c r="B522" s="14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3">
      <c r="A523" s="13"/>
      <c r="B523" s="14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3">
      <c r="A524" s="13"/>
      <c r="B524" s="14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3">
      <c r="A525" s="13"/>
      <c r="B525" s="14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3">
      <c r="A526" s="13"/>
      <c r="B526" s="14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3">
      <c r="A527" s="13"/>
      <c r="B527" s="14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3">
      <c r="A528" s="13"/>
      <c r="B528" s="14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3">
      <c r="A529" s="13"/>
      <c r="B529" s="14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3">
      <c r="A530" s="13"/>
      <c r="B530" s="14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3">
      <c r="A531" s="13"/>
      <c r="B531" s="14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3">
      <c r="A532" s="13"/>
      <c r="B532" s="14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3">
      <c r="A533" s="13"/>
      <c r="B533" s="14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3">
      <c r="A534" s="13"/>
      <c r="B534" s="14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3">
      <c r="A535" s="13"/>
      <c r="B535" s="14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3">
      <c r="A536" s="13"/>
      <c r="B536" s="14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3">
      <c r="A537" s="13"/>
      <c r="B537" s="14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3">
      <c r="A538" s="13"/>
      <c r="B538" s="14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3">
      <c r="A539" s="13"/>
      <c r="B539" s="14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3">
      <c r="A540" s="13"/>
      <c r="B540" s="14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3">
      <c r="A541" s="13"/>
      <c r="B541" s="14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3">
      <c r="A542" s="13"/>
      <c r="B542" s="14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3">
      <c r="A543" s="13"/>
      <c r="B543" s="14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3">
      <c r="A544" s="13"/>
      <c r="B544" s="14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3">
      <c r="A545" s="13"/>
      <c r="B545" s="14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3">
      <c r="A546" s="13"/>
      <c r="B546" s="14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3">
      <c r="A547" s="13"/>
      <c r="B547" s="14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3">
      <c r="A548" s="13"/>
      <c r="B548" s="14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3">
      <c r="A549" s="13"/>
      <c r="B549" s="14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3">
      <c r="A550" s="13"/>
      <c r="B550" s="14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3">
      <c r="A551" s="13"/>
      <c r="B551" s="14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3">
      <c r="A552" s="13"/>
      <c r="B552" s="14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3">
      <c r="A553" s="13"/>
      <c r="B553" s="14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3">
      <c r="A554" s="13"/>
      <c r="B554" s="14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3">
      <c r="A555" s="13"/>
      <c r="B555" s="14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3">
      <c r="A556" s="13"/>
      <c r="B556" s="14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3">
      <c r="A557" s="13"/>
      <c r="B557" s="14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3">
      <c r="A558" s="13"/>
      <c r="B558" s="14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3">
      <c r="A559" s="13"/>
      <c r="B559" s="14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3">
      <c r="A560" s="13"/>
      <c r="B560" s="14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3">
      <c r="A561" s="13"/>
      <c r="B561" s="14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3">
      <c r="A562" s="13"/>
      <c r="B562" s="14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3">
      <c r="A563" s="13"/>
      <c r="B563" s="14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3">
      <c r="A564" s="13"/>
      <c r="B564" s="14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3">
      <c r="A565" s="13"/>
      <c r="B565" s="14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3">
      <c r="A566" s="13"/>
      <c r="B566" s="14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3">
      <c r="A567" s="13"/>
      <c r="B567" s="14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3">
      <c r="A568" s="13"/>
      <c r="B568" s="14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3">
      <c r="A569" s="13"/>
      <c r="B569" s="14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3">
      <c r="A570" s="13"/>
      <c r="B570" s="14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3">
      <c r="A571" s="13"/>
      <c r="B571" s="14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3">
      <c r="A572" s="13"/>
      <c r="B572" s="14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3">
      <c r="A573" s="13"/>
      <c r="B573" s="14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3">
      <c r="A574" s="13"/>
      <c r="B574" s="14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3">
      <c r="A575" s="13"/>
      <c r="B575" s="14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3">
      <c r="A576" s="13"/>
      <c r="B576" s="14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3">
      <c r="A577" s="13"/>
      <c r="B577" s="14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3">
      <c r="A578" s="13"/>
      <c r="B578" s="14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3">
      <c r="A579" s="13"/>
      <c r="B579" s="14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3">
      <c r="A580" s="13"/>
      <c r="B580" s="14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3">
      <c r="A581" s="13"/>
      <c r="B581" s="14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3">
      <c r="A582" s="13"/>
      <c r="B582" s="14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3">
      <c r="A583" s="13"/>
      <c r="B583" s="14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3">
      <c r="A584" s="13"/>
      <c r="B584" s="14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3">
      <c r="A585" s="13"/>
      <c r="B585" s="14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3">
      <c r="A586" s="13"/>
      <c r="B586" s="14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3">
      <c r="A587" s="13"/>
      <c r="B587" s="14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3">
      <c r="A588" s="13"/>
      <c r="B588" s="14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3">
      <c r="A589" s="13"/>
      <c r="B589" s="14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3">
      <c r="A590" s="13"/>
      <c r="B590" s="14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3">
      <c r="A591" s="13"/>
      <c r="B591" s="14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3">
      <c r="A592" s="13"/>
      <c r="B592" s="14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3">
      <c r="A593" s="13"/>
      <c r="B593" s="14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3">
      <c r="A594" s="13"/>
      <c r="B594" s="14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3">
      <c r="A595" s="13"/>
      <c r="B595" s="14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3">
      <c r="A596" s="13"/>
      <c r="B596" s="14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3">
      <c r="A597" s="13"/>
      <c r="B597" s="14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3">
      <c r="A598" s="13"/>
      <c r="B598" s="14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3">
      <c r="A599" s="13"/>
      <c r="B599" s="14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3">
      <c r="A600" s="13"/>
      <c r="B600" s="14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3">
      <c r="A601" s="13"/>
      <c r="B601" s="14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3">
      <c r="A602" s="13"/>
      <c r="B602" s="14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3">
      <c r="A603" s="13"/>
      <c r="B603" s="14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3">
      <c r="A604" s="13"/>
      <c r="B604" s="14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3">
      <c r="A605" s="13"/>
      <c r="B605" s="14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3">
      <c r="A606" s="13"/>
      <c r="B606" s="14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3">
      <c r="A607" s="13"/>
      <c r="B607" s="14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3">
      <c r="A608" s="13"/>
      <c r="B608" s="14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3">
      <c r="A609" s="13"/>
      <c r="B609" s="14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3">
      <c r="A610" s="13"/>
      <c r="B610" s="14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3">
      <c r="A611" s="13"/>
      <c r="B611" s="14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3">
      <c r="A612" s="13"/>
      <c r="B612" s="14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3">
      <c r="A613" s="13"/>
      <c r="B613" s="14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3">
      <c r="A614" s="13"/>
      <c r="B614" s="14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3">
      <c r="A615" s="13"/>
      <c r="B615" s="14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3">
      <c r="A616" s="13"/>
      <c r="B616" s="14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3">
      <c r="A617" s="13"/>
      <c r="B617" s="14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3">
      <c r="A618" s="13"/>
      <c r="B618" s="14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3">
      <c r="A619" s="13"/>
      <c r="B619" s="14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3">
      <c r="A620" s="13"/>
      <c r="B620" s="14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3">
      <c r="A621" s="13"/>
      <c r="B621" s="14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3">
      <c r="A622" s="13"/>
      <c r="B622" s="14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3">
      <c r="A623" s="13"/>
      <c r="B623" s="14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3">
      <c r="A624" s="13"/>
      <c r="B624" s="14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3">
      <c r="A625" s="13"/>
      <c r="B625" s="14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3">
      <c r="A626" s="13"/>
      <c r="B626" s="14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3">
      <c r="A627" s="13"/>
      <c r="B627" s="14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3">
      <c r="A628" s="13"/>
      <c r="B628" s="14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3">
      <c r="A629" s="13"/>
      <c r="B629" s="14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3">
      <c r="A630" s="13"/>
      <c r="B630" s="14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3">
      <c r="A631" s="13"/>
      <c r="B631" s="14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3">
      <c r="A632" s="13"/>
      <c r="B632" s="14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3">
      <c r="A633" s="13"/>
      <c r="B633" s="14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3">
      <c r="A634" s="13"/>
      <c r="B634" s="14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3">
      <c r="A635" s="13"/>
      <c r="B635" s="14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3">
      <c r="A636" s="13"/>
      <c r="B636" s="14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3">
      <c r="A637" s="13"/>
      <c r="B637" s="14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3">
      <c r="A638" s="13"/>
      <c r="B638" s="14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3">
      <c r="A639" s="13"/>
      <c r="B639" s="14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3">
      <c r="A640" s="13"/>
      <c r="B640" s="14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3">
      <c r="A641" s="13"/>
      <c r="B641" s="14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3">
      <c r="A642" s="13"/>
      <c r="B642" s="14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3">
      <c r="A643" s="13"/>
      <c r="B643" s="14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3">
      <c r="A644" s="13"/>
      <c r="B644" s="14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3">
      <c r="A645" s="13"/>
      <c r="B645" s="14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3">
      <c r="A646" s="13"/>
      <c r="B646" s="14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3">
      <c r="A647" s="13"/>
      <c r="B647" s="14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3">
      <c r="A648" s="13"/>
      <c r="B648" s="14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3">
      <c r="A649" s="13"/>
      <c r="B649" s="14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3">
      <c r="A650" s="13"/>
      <c r="B650" s="14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3">
      <c r="A651" s="13"/>
      <c r="B651" s="14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3">
      <c r="A652" s="13"/>
      <c r="B652" s="14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3">
      <c r="A653" s="13"/>
      <c r="B653" s="14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3">
      <c r="A654" s="13"/>
      <c r="B654" s="14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3">
      <c r="A655" s="13"/>
      <c r="B655" s="14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3">
      <c r="A656" s="13"/>
      <c r="B656" s="14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3">
      <c r="A657" s="13"/>
      <c r="B657" s="14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3">
      <c r="A658" s="13"/>
      <c r="B658" s="14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3">
      <c r="A659" s="13"/>
      <c r="B659" s="14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3">
      <c r="A660" s="13"/>
      <c r="B660" s="14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3">
      <c r="A661" s="13"/>
      <c r="B661" s="14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3">
      <c r="A662" s="13"/>
      <c r="B662" s="14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3">
      <c r="A663" s="13"/>
      <c r="B663" s="14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3">
      <c r="A664" s="13"/>
      <c r="B664" s="14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3">
      <c r="A665" s="13"/>
      <c r="B665" s="14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3">
      <c r="A666" s="13"/>
      <c r="B666" s="14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3">
      <c r="A667" s="13"/>
      <c r="B667" s="14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3">
      <c r="A668" s="13"/>
      <c r="B668" s="14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3">
      <c r="A669" s="13"/>
      <c r="B669" s="14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3">
      <c r="A670" s="13"/>
      <c r="B670" s="14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3">
      <c r="A671" s="13"/>
      <c r="B671" s="14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3">
      <c r="A672" s="13"/>
      <c r="B672" s="14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3">
      <c r="A673" s="13"/>
      <c r="B673" s="14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3">
      <c r="A674" s="13"/>
      <c r="B674" s="14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3">
      <c r="A675" s="13"/>
      <c r="B675" s="14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3">
      <c r="A676" s="13"/>
      <c r="B676" s="14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3">
      <c r="A677" s="13"/>
      <c r="B677" s="14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3">
      <c r="A678" s="13"/>
      <c r="B678" s="14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3">
      <c r="A679" s="13"/>
      <c r="B679" s="14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3">
      <c r="A680" s="13"/>
      <c r="B680" s="14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3">
      <c r="A681" s="13"/>
      <c r="B681" s="14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3">
      <c r="A682" s="13"/>
      <c r="B682" s="14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3">
      <c r="A683" s="13"/>
      <c r="B683" s="14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3">
      <c r="A684" s="13"/>
      <c r="B684" s="14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3">
      <c r="A685" s="13"/>
      <c r="B685" s="14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3">
      <c r="A686" s="13"/>
      <c r="B686" s="14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3">
      <c r="A687" s="13"/>
      <c r="B687" s="14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3">
      <c r="A688" s="13"/>
      <c r="B688" s="14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3">
      <c r="A689" s="13"/>
      <c r="B689" s="14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3">
      <c r="A690" s="13"/>
      <c r="B690" s="14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3">
      <c r="A691" s="13"/>
      <c r="B691" s="14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3">
      <c r="A692" s="13"/>
      <c r="B692" s="14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3">
      <c r="A693" s="13"/>
      <c r="B693" s="14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3">
      <c r="A694" s="13"/>
      <c r="B694" s="14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3">
      <c r="A695" s="13"/>
      <c r="B695" s="14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3">
      <c r="A696" s="13"/>
      <c r="B696" s="14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3">
      <c r="A697" s="13"/>
      <c r="B697" s="14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3">
      <c r="A698" s="13"/>
      <c r="B698" s="14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3">
      <c r="A699" s="13"/>
      <c r="B699" s="14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3">
      <c r="A700" s="13"/>
      <c r="B700" s="14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3">
      <c r="A701" s="13"/>
      <c r="B701" s="14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3">
      <c r="A702" s="13"/>
      <c r="B702" s="14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3">
      <c r="A703" s="13"/>
      <c r="B703" s="14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3">
      <c r="A704" s="13"/>
      <c r="B704" s="14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3">
      <c r="A705" s="13"/>
      <c r="B705" s="14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3">
      <c r="A706" s="13"/>
      <c r="B706" s="14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3">
      <c r="A707" s="13"/>
      <c r="B707" s="14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3">
      <c r="A708" s="13"/>
      <c r="B708" s="14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3">
      <c r="A709" s="13"/>
      <c r="B709" s="14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3">
      <c r="A710" s="13"/>
      <c r="B710" s="14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3">
      <c r="A711" s="13"/>
      <c r="B711" s="14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3">
      <c r="A712" s="13"/>
      <c r="B712" s="14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3">
      <c r="A713" s="13"/>
      <c r="B713" s="14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3">
      <c r="A714" s="13"/>
      <c r="B714" s="14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3">
      <c r="A715" s="13"/>
      <c r="B715" s="14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3">
      <c r="A716" s="13"/>
      <c r="B716" s="14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3">
      <c r="A717" s="13"/>
      <c r="B717" s="14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3">
      <c r="A718" s="13"/>
      <c r="B718" s="14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3">
      <c r="A719" s="13"/>
      <c r="B719" s="14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3">
      <c r="A720" s="13"/>
      <c r="B720" s="14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3">
      <c r="A721" s="13"/>
      <c r="B721" s="14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3">
      <c r="A722" s="13"/>
      <c r="B722" s="14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3">
      <c r="A723" s="13"/>
      <c r="B723" s="14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3">
      <c r="A724" s="13"/>
      <c r="B724" s="14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3">
      <c r="A725" s="13"/>
      <c r="B725" s="14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3">
      <c r="A726" s="13"/>
      <c r="B726" s="14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3">
      <c r="A727" s="13"/>
      <c r="B727" s="14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3">
      <c r="A728" s="13"/>
      <c r="B728" s="14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3">
      <c r="A729" s="13"/>
      <c r="B729" s="14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3">
      <c r="A730" s="13"/>
      <c r="B730" s="14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3">
      <c r="A731" s="13"/>
      <c r="B731" s="14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3">
      <c r="A732" s="13"/>
      <c r="B732" s="14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3">
      <c r="A733" s="13"/>
      <c r="B733" s="14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3">
      <c r="A734" s="13"/>
      <c r="B734" s="14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3">
      <c r="A735" s="13"/>
      <c r="B735" s="14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3">
      <c r="A736" s="13"/>
      <c r="B736" s="14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3">
      <c r="A737" s="13"/>
      <c r="B737" s="14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3">
      <c r="A738" s="13"/>
      <c r="B738" s="14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3">
      <c r="A739" s="13"/>
      <c r="B739" s="14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3">
      <c r="A740" s="13"/>
      <c r="B740" s="14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3">
      <c r="A741" s="13"/>
      <c r="B741" s="14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3">
      <c r="A742" s="13"/>
      <c r="B742" s="14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3">
      <c r="A743" s="13"/>
      <c r="B743" s="14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3">
      <c r="A744" s="13"/>
      <c r="B744" s="14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3">
      <c r="A745" s="13"/>
      <c r="B745" s="14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3">
      <c r="A746" s="13"/>
      <c r="B746" s="14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3">
      <c r="A747" s="13"/>
      <c r="B747" s="14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3">
      <c r="A748" s="13"/>
      <c r="B748" s="14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3">
      <c r="A749" s="13"/>
      <c r="B749" s="14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3">
      <c r="A750" s="13"/>
      <c r="B750" s="14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3">
      <c r="A751" s="13"/>
      <c r="B751" s="14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3">
      <c r="A752" s="13"/>
      <c r="B752" s="14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3">
      <c r="A753" s="13"/>
      <c r="B753" s="14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3">
      <c r="A754" s="13"/>
      <c r="B754" s="14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3">
      <c r="A755" s="13"/>
      <c r="B755" s="14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3">
      <c r="A756" s="13"/>
      <c r="B756" s="14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3">
      <c r="A757" s="13"/>
      <c r="B757" s="14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3">
      <c r="A758" s="13"/>
      <c r="B758" s="14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3">
      <c r="A759" s="13"/>
      <c r="B759" s="14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3">
      <c r="A760" s="13"/>
      <c r="B760" s="14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3">
      <c r="A761" s="13"/>
      <c r="B761" s="14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3">
      <c r="A762" s="13"/>
      <c r="B762" s="14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3">
      <c r="A763" s="13"/>
      <c r="B763" s="14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3">
      <c r="A764" s="13"/>
      <c r="B764" s="14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3">
      <c r="A765" s="13"/>
      <c r="B765" s="14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3">
      <c r="A766" s="13"/>
      <c r="B766" s="14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3">
      <c r="A767" s="13"/>
      <c r="B767" s="14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3">
      <c r="A768" s="13"/>
      <c r="B768" s="14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3">
      <c r="A769" s="13"/>
      <c r="B769" s="14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3">
      <c r="A770" s="13"/>
      <c r="B770" s="14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3">
      <c r="A771" s="13"/>
      <c r="B771" s="14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3">
      <c r="A772" s="13"/>
      <c r="B772" s="14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3">
      <c r="A773" s="13"/>
      <c r="B773" s="14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3">
      <c r="A774" s="13"/>
      <c r="B774" s="14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3">
      <c r="A775" s="13"/>
      <c r="B775" s="14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3">
      <c r="A776" s="13"/>
      <c r="B776" s="14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3">
      <c r="A777" s="13"/>
      <c r="B777" s="14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3">
      <c r="A778" s="13"/>
      <c r="B778" s="14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3">
      <c r="A779" s="13"/>
      <c r="B779" s="14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3">
      <c r="A780" s="13"/>
      <c r="B780" s="14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3">
      <c r="A781" s="13"/>
      <c r="B781" s="14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3">
      <c r="A782" s="13"/>
      <c r="B782" s="14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3">
      <c r="A783" s="13"/>
      <c r="B783" s="14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3">
      <c r="A784" s="13"/>
      <c r="B784" s="14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3">
      <c r="A785" s="13"/>
      <c r="B785" s="14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3">
      <c r="A786" s="13"/>
      <c r="B786" s="14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3">
      <c r="A787" s="13"/>
      <c r="B787" s="14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3">
      <c r="A788" s="13"/>
      <c r="B788" s="14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3">
      <c r="A789" s="13"/>
      <c r="B789" s="14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3">
      <c r="A790" s="13"/>
      <c r="B790" s="14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3">
      <c r="A791" s="13"/>
      <c r="B791" s="14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3">
      <c r="A792" s="13"/>
      <c r="B792" s="14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3">
      <c r="A793" s="13"/>
      <c r="B793" s="14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3">
      <c r="A794" s="13"/>
      <c r="B794" s="14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3">
      <c r="A795" s="13"/>
      <c r="B795" s="14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3">
      <c r="A796" s="13"/>
      <c r="B796" s="14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3">
      <c r="A797" s="13"/>
      <c r="B797" s="14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3">
      <c r="A798" s="13"/>
      <c r="B798" s="14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3">
      <c r="A799" s="13"/>
      <c r="B799" s="14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3">
      <c r="A800" s="13"/>
      <c r="B800" s="14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3">
      <c r="A801" s="13"/>
      <c r="B801" s="14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3">
      <c r="A802" s="13"/>
      <c r="B802" s="14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3">
      <c r="A803" s="13"/>
      <c r="B803" s="14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3">
      <c r="A804" s="13"/>
      <c r="B804" s="14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3">
      <c r="A805" s="13"/>
      <c r="B805" s="14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3">
      <c r="A806" s="13"/>
      <c r="B806" s="14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3">
      <c r="A807" s="13"/>
      <c r="B807" s="14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3">
      <c r="A808" s="13"/>
      <c r="B808" s="14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3">
      <c r="A809" s="13"/>
      <c r="B809" s="14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3">
      <c r="A810" s="13"/>
      <c r="B810" s="14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3">
      <c r="A811" s="13"/>
      <c r="B811" s="14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3">
      <c r="A812" s="13"/>
      <c r="B812" s="14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3">
      <c r="A813" s="13"/>
      <c r="B813" s="14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3">
      <c r="A814" s="13"/>
      <c r="B814" s="14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3">
      <c r="A815" s="13"/>
      <c r="B815" s="14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3">
      <c r="A816" s="13"/>
      <c r="B816" s="14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3">
      <c r="A817" s="13"/>
      <c r="B817" s="14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3">
      <c r="A818" s="13"/>
      <c r="B818" s="14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3">
      <c r="A819" s="13"/>
      <c r="B819" s="14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3">
      <c r="A820" s="13"/>
      <c r="B820" s="14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3">
      <c r="A821" s="13"/>
      <c r="B821" s="14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3">
      <c r="A822" s="13"/>
      <c r="B822" s="14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3">
      <c r="A823" s="13"/>
      <c r="B823" s="14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3">
      <c r="A824" s="13"/>
      <c r="B824" s="14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3">
      <c r="A825" s="13"/>
      <c r="B825" s="14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3">
      <c r="A826" s="13"/>
      <c r="B826" s="14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3">
      <c r="A827" s="13"/>
      <c r="B827" s="14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3">
      <c r="A828" s="13"/>
      <c r="B828" s="14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3">
      <c r="A829" s="13"/>
      <c r="B829" s="14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3">
      <c r="A830" s="13"/>
      <c r="B830" s="14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3">
      <c r="A831" s="13"/>
      <c r="B831" s="14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3">
      <c r="A832" s="13"/>
      <c r="B832" s="14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3">
      <c r="A833" s="13"/>
      <c r="B833" s="14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3">
      <c r="A834" s="13"/>
      <c r="B834" s="14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3">
      <c r="A835" s="13"/>
      <c r="B835" s="14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3">
      <c r="A836" s="13"/>
      <c r="B836" s="14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3">
      <c r="A837" s="13"/>
      <c r="B837" s="14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3">
      <c r="A838" s="13"/>
      <c r="B838" s="14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3">
      <c r="A839" s="13"/>
      <c r="B839" s="14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3">
      <c r="A840" s="13"/>
      <c r="B840" s="14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3">
      <c r="A841" s="13"/>
      <c r="B841" s="14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3">
      <c r="A842" s="13"/>
      <c r="B842" s="14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3">
      <c r="A843" s="13"/>
      <c r="B843" s="14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3">
      <c r="A844" s="13"/>
      <c r="B844" s="14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3">
      <c r="A845" s="13"/>
      <c r="B845" s="14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3">
      <c r="A846" s="13"/>
      <c r="B846" s="14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3">
      <c r="A847" s="13"/>
      <c r="B847" s="14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3">
      <c r="A848" s="13"/>
      <c r="B848" s="14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3">
      <c r="A849" s="13"/>
      <c r="B849" s="14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3">
      <c r="A850" s="13"/>
      <c r="B850" s="14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3">
      <c r="A851" s="13"/>
      <c r="B851" s="14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3">
      <c r="A852" s="13"/>
      <c r="B852" s="14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3">
      <c r="A853" s="13"/>
      <c r="B853" s="14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3">
      <c r="A854" s="13"/>
      <c r="B854" s="14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3">
      <c r="A855" s="13"/>
      <c r="B855" s="14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3">
      <c r="A856" s="13"/>
      <c r="B856" s="14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3">
      <c r="A857" s="13"/>
      <c r="B857" s="14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3">
      <c r="A858" s="13"/>
      <c r="B858" s="14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3">
      <c r="A859" s="13"/>
      <c r="B859" s="14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3">
      <c r="A860" s="13"/>
      <c r="B860" s="14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3">
      <c r="A861" s="13"/>
      <c r="B861" s="14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3">
      <c r="A862" s="13"/>
      <c r="B862" s="14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3">
      <c r="A863" s="13"/>
      <c r="B863" s="14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3">
      <c r="A864" s="13"/>
      <c r="B864" s="14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3">
      <c r="A865" s="13"/>
      <c r="B865" s="14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3">
      <c r="A866" s="13"/>
      <c r="B866" s="14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3">
      <c r="A867" s="13"/>
      <c r="B867" s="14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3">
      <c r="A868" s="13"/>
      <c r="B868" s="14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3">
      <c r="A869" s="13"/>
      <c r="B869" s="14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3">
      <c r="A870" s="13"/>
      <c r="B870" s="14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3">
      <c r="A871" s="13"/>
      <c r="B871" s="14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3">
      <c r="A872" s="13"/>
      <c r="B872" s="14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3">
      <c r="A873" s="13"/>
      <c r="B873" s="14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3">
      <c r="A874" s="13"/>
      <c r="B874" s="14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3">
      <c r="A875" s="13"/>
      <c r="B875" s="14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3">
      <c r="A876" s="13"/>
      <c r="B876" s="14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3">
      <c r="A877" s="13"/>
      <c r="B877" s="14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3">
      <c r="A878" s="13"/>
      <c r="B878" s="14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3">
      <c r="A879" s="13"/>
      <c r="B879" s="14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3">
      <c r="A880" s="13"/>
      <c r="B880" s="14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3">
      <c r="A881" s="13"/>
      <c r="B881" s="14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3">
      <c r="A882" s="13"/>
      <c r="B882" s="14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3">
      <c r="A883" s="13"/>
      <c r="B883" s="14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3">
      <c r="A884" s="13"/>
      <c r="B884" s="14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3">
      <c r="A885" s="13"/>
      <c r="B885" s="14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3">
      <c r="A886" s="13"/>
      <c r="B886" s="14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3">
      <c r="A887" s="13"/>
      <c r="B887" s="14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3">
      <c r="A888" s="13"/>
      <c r="B888" s="14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3">
      <c r="A889" s="13"/>
      <c r="B889" s="14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3">
      <c r="A890" s="13"/>
      <c r="B890" s="14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3">
      <c r="A891" s="13"/>
      <c r="B891" s="14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3">
      <c r="A892" s="13"/>
      <c r="B892" s="14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3">
      <c r="A893" s="13"/>
      <c r="B893" s="14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3">
      <c r="A894" s="13"/>
      <c r="B894" s="14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3">
      <c r="A895" s="13"/>
      <c r="B895" s="14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3">
      <c r="A896" s="13"/>
      <c r="B896" s="14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3">
      <c r="A897" s="13"/>
      <c r="B897" s="14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3">
      <c r="A898" s="13"/>
      <c r="B898" s="14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3">
      <c r="A899" s="13"/>
      <c r="B899" s="14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3">
      <c r="A900" s="13"/>
      <c r="B900" s="14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3">
      <c r="A901" s="13"/>
      <c r="B901" s="14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3">
      <c r="A902" s="13"/>
      <c r="B902" s="14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3">
      <c r="A903" s="13"/>
      <c r="B903" s="14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3">
      <c r="A904" s="13"/>
      <c r="B904" s="14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3">
      <c r="A905" s="13"/>
      <c r="B905" s="14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3">
      <c r="A906" s="13"/>
      <c r="B906" s="14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3">
      <c r="A907" s="13"/>
      <c r="B907" s="14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3">
      <c r="A908" s="13"/>
      <c r="B908" s="14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3">
      <c r="A909" s="13"/>
      <c r="B909" s="14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3">
      <c r="A910" s="13"/>
      <c r="B910" s="14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3">
      <c r="A911" s="13"/>
      <c r="B911" s="14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3">
      <c r="A912" s="13"/>
      <c r="B912" s="14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3">
      <c r="A913" s="13"/>
      <c r="B913" s="14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3">
      <c r="A914" s="13"/>
      <c r="B914" s="14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3">
      <c r="A915" s="13"/>
      <c r="B915" s="14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3">
      <c r="A916" s="13"/>
      <c r="B916" s="14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3">
      <c r="A917" s="13"/>
      <c r="B917" s="14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3">
      <c r="A918" s="13"/>
      <c r="B918" s="14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3">
      <c r="A919" s="13"/>
      <c r="B919" s="14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3">
      <c r="A920" s="13"/>
      <c r="B920" s="14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3">
      <c r="A921" s="13"/>
      <c r="B921" s="14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3">
      <c r="A922" s="13"/>
      <c r="B922" s="14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3">
      <c r="A923" s="13"/>
      <c r="B923" s="14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3">
      <c r="A924" s="13"/>
      <c r="B924" s="14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3">
      <c r="A925" s="13"/>
      <c r="B925" s="14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3">
      <c r="A926" s="13"/>
      <c r="B926" s="14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3">
      <c r="A927" s="13"/>
      <c r="B927" s="14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3">
      <c r="A928" s="13"/>
      <c r="B928" s="14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3">
      <c r="A929" s="13"/>
      <c r="B929" s="14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3">
      <c r="A930" s="13"/>
      <c r="B930" s="14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3">
      <c r="A931" s="13"/>
      <c r="B931" s="14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3">
      <c r="A932" s="13"/>
      <c r="B932" s="14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3">
      <c r="A933" s="13"/>
      <c r="B933" s="14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3">
      <c r="A934" s="13"/>
      <c r="B934" s="14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3">
      <c r="A935" s="13"/>
      <c r="B935" s="14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3">
      <c r="A936" s="13"/>
      <c r="B936" s="14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3">
      <c r="A937" s="13"/>
      <c r="B937" s="14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3">
      <c r="A938" s="13"/>
      <c r="B938" s="14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3">
      <c r="A939" s="13"/>
      <c r="B939" s="14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3">
      <c r="A940" s="13"/>
      <c r="B940" s="14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3">
      <c r="A941" s="13"/>
      <c r="B941" s="14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3">
      <c r="A942" s="13"/>
      <c r="B942" s="14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3">
      <c r="A943" s="13"/>
      <c r="B943" s="14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3">
      <c r="A944" s="13"/>
      <c r="B944" s="14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3">
      <c r="A945" s="13"/>
      <c r="B945" s="14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3">
      <c r="A946" s="13"/>
      <c r="B946" s="14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3">
      <c r="A947" s="13"/>
      <c r="B947" s="14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3">
      <c r="A948" s="13"/>
      <c r="B948" s="14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3">
      <c r="A949" s="13"/>
      <c r="B949" s="14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3">
      <c r="A950" s="13"/>
      <c r="B950" s="14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3">
      <c r="A951" s="13"/>
      <c r="B951" s="14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3">
      <c r="A952" s="13"/>
      <c r="B952" s="14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3">
      <c r="A953" s="13"/>
      <c r="B953" s="14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3">
      <c r="A954" s="13"/>
      <c r="B954" s="14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3">
      <c r="A955" s="13"/>
      <c r="B955" s="14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3">
      <c r="A956" s="13"/>
      <c r="B956" s="14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3">
      <c r="A957" s="13"/>
      <c r="B957" s="14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3">
      <c r="A958" s="13"/>
      <c r="B958" s="14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3">
      <c r="A959" s="13"/>
      <c r="B959" s="14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3">
      <c r="A960" s="13"/>
      <c r="B960" s="14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3">
      <c r="A961" s="13"/>
      <c r="B961" s="14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3">
      <c r="A962" s="13"/>
      <c r="B962" s="14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3">
      <c r="A963" s="13"/>
      <c r="B963" s="14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3">
      <c r="A964" s="13"/>
      <c r="B964" s="14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3">
      <c r="A965" s="13"/>
      <c r="B965" s="14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3">
      <c r="A966" s="13"/>
      <c r="B966" s="14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3">
      <c r="A967" s="13"/>
      <c r="B967" s="14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3">
      <c r="A968" s="13"/>
      <c r="B968" s="14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3">
      <c r="A969" s="13"/>
      <c r="B969" s="14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3">
      <c r="A970" s="13"/>
      <c r="B970" s="14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3">
      <c r="A971" s="13"/>
      <c r="B971" s="14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3">
      <c r="A972" s="13"/>
      <c r="B972" s="14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3">
      <c r="A973" s="13"/>
      <c r="B973" s="14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3">
      <c r="A974" s="13"/>
      <c r="B974" s="14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3">
      <c r="A975" s="13"/>
      <c r="B975" s="14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3">
      <c r="A976" s="13"/>
      <c r="B976" s="14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3">
      <c r="A977" s="13"/>
      <c r="B977" s="14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3">
      <c r="A978" s="13"/>
      <c r="B978" s="14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3">
      <c r="A979" s="13"/>
      <c r="B979" s="14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3">
      <c r="A980" s="13"/>
      <c r="B980" s="14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3">
      <c r="A981" s="13"/>
      <c r="B981" s="14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3">
      <c r="A982" s="13"/>
      <c r="B982" s="14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3">
      <c r="A983" s="13"/>
      <c r="B983" s="14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3">
      <c r="A984" s="13"/>
      <c r="B984" s="14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3">
      <c r="A985" s="13"/>
      <c r="B985" s="14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3">
      <c r="A986" s="13"/>
      <c r="B986" s="14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3">
      <c r="A987" s="13"/>
      <c r="B987" s="14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3">
      <c r="A988" s="13"/>
      <c r="B988" s="14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3">
      <c r="A989" s="13"/>
      <c r="B989" s="14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3">
      <c r="A990" s="13"/>
      <c r="B990" s="14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3">
      <c r="A991" s="13"/>
      <c r="B991" s="14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3">
      <c r="A992" s="13"/>
      <c r="B992" s="14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3">
      <c r="A993" s="13"/>
      <c r="B993" s="14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3">
      <c r="A994" s="13"/>
      <c r="B994" s="14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3">
      <c r="A995" s="13"/>
      <c r="B995" s="14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3">
      <c r="A996" s="13"/>
      <c r="B996" s="14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3">
      <c r="A997" s="13"/>
      <c r="B997" s="14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3">
      <c r="A998" s="13"/>
      <c r="B998" s="14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3">
      <c r="A999" s="13"/>
      <c r="B999" s="14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3">
      <c r="A1000" s="13"/>
      <c r="B1000" s="14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19">
    <mergeCell ref="A35:A36"/>
    <mergeCell ref="A42:A50"/>
    <mergeCell ref="A8:B8"/>
    <mergeCell ref="A9:B9"/>
    <mergeCell ref="A10:B10"/>
    <mergeCell ref="A11:B11"/>
    <mergeCell ref="A12:B12"/>
    <mergeCell ref="A13:B13"/>
    <mergeCell ref="A15:B15"/>
    <mergeCell ref="A6:B6"/>
    <mergeCell ref="A7:B7"/>
    <mergeCell ref="A21:B21"/>
    <mergeCell ref="A24:A26"/>
    <mergeCell ref="A32:B32"/>
    <mergeCell ref="A1:B1"/>
    <mergeCell ref="A2:B2"/>
    <mergeCell ref="A3:B3"/>
    <mergeCell ref="A4:B4"/>
    <mergeCell ref="A5:B5"/>
  </mergeCells>
  <hyperlinks>
    <hyperlink ref="B16" r:id="rId1" xr:uid="{00000000-0004-0000-0000-000000000000}"/>
    <hyperlink ref="B17" r:id="rId2" xr:uid="{00000000-0004-0000-0000-000001000000}"/>
    <hyperlink ref="B18" r:id="rId3" xr:uid="{00000000-0004-0000-0000-000002000000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E599"/>
    <outlinePr summaryBelow="0" summaryRight="0"/>
  </sheetPr>
  <dimension ref="A1:J978"/>
  <sheetViews>
    <sheetView workbookViewId="0"/>
  </sheetViews>
  <sheetFormatPr defaultColWidth="14.453125" defaultRowHeight="15" customHeight="1"/>
  <cols>
    <col min="1" max="1" width="3.81640625" customWidth="1"/>
    <col min="2" max="2" width="68.08984375" customWidth="1"/>
    <col min="3" max="4" width="14.453125" customWidth="1"/>
    <col min="5" max="5" width="17.08984375" customWidth="1"/>
    <col min="6" max="7" width="14.453125" customWidth="1"/>
    <col min="8" max="8" width="30.81640625" customWidth="1"/>
    <col min="9" max="9" width="17.54296875" customWidth="1"/>
  </cols>
  <sheetData>
    <row r="1" spans="1:7" ht="15.75" customHeight="1">
      <c r="C1" s="17"/>
    </row>
    <row r="2" spans="1:7" ht="15.75" customHeight="1">
      <c r="A2" s="18"/>
      <c r="B2" s="18"/>
      <c r="C2" s="19" t="s">
        <v>75</v>
      </c>
      <c r="D2" s="19" t="s">
        <v>76</v>
      </c>
      <c r="E2" s="19" t="s">
        <v>77</v>
      </c>
      <c r="F2" s="19" t="s">
        <v>78</v>
      </c>
      <c r="G2" s="20" t="s">
        <v>79</v>
      </c>
    </row>
    <row r="3" spans="1:7" ht="15.75" customHeight="1">
      <c r="A3" s="21"/>
      <c r="B3" s="21" t="s">
        <v>80</v>
      </c>
      <c r="C3" s="22">
        <f ca="1">N_analysis!$N2</f>
        <v>15.294117647058799</v>
      </c>
      <c r="D3" s="23">
        <f ca="1">E_analysis!$N2</f>
        <v>19.877697841726601</v>
      </c>
      <c r="E3" s="23">
        <f ca="1">S_analysis!$N2</f>
        <v>28.7083333333333</v>
      </c>
      <c r="F3" s="23">
        <f ca="1">W_analysis!$N2</f>
        <v>18.176470588235201</v>
      </c>
      <c r="G3" s="23">
        <f ca="1">C_analysis!$N2</f>
        <v>19.427710843373401</v>
      </c>
    </row>
    <row r="4" spans="1:7" ht="15.75" customHeight="1">
      <c r="A4" s="21"/>
      <c r="B4" s="21" t="s">
        <v>81</v>
      </c>
      <c r="C4" s="22">
        <f ca="1">N_analysis!$N3</f>
        <v>7.7269299610578601</v>
      </c>
      <c r="D4" s="23">
        <f ca="1">E_analysis!$N3</f>
        <v>13.252541693136701</v>
      </c>
      <c r="E4" s="23">
        <f ca="1">S_analysis!$N3</f>
        <v>23.3041872831372</v>
      </c>
      <c r="F4" s="23">
        <f ca="1">W_analysis!$N3</f>
        <v>12.2266422777139</v>
      </c>
      <c r="G4" s="23">
        <f ca="1">C_analysis!$N3</f>
        <v>11.535216675336001</v>
      </c>
    </row>
    <row r="5" spans="1:7" ht="15.75" customHeight="1">
      <c r="A5" s="21"/>
      <c r="B5" s="21" t="s">
        <v>82</v>
      </c>
      <c r="C5" s="22">
        <f ca="1">N_analysis!$N4</f>
        <v>16.330645161290299</v>
      </c>
      <c r="D5" s="23">
        <f ca="1">E_analysis!$N4</f>
        <v>24.962264150943302</v>
      </c>
      <c r="E5" s="23">
        <f ca="1">S_analysis!$N4</f>
        <v>40.071428571428498</v>
      </c>
      <c r="F5" s="23">
        <f ca="1">W_analysis!$N4</f>
        <v>21.629629629629601</v>
      </c>
      <c r="G5" s="23">
        <f ca="1">C_analysis!$N4</f>
        <v>21.130136986301299</v>
      </c>
    </row>
    <row r="6" spans="1:7" ht="15.75" customHeight="1">
      <c r="A6" s="21"/>
      <c r="B6" s="21" t="s">
        <v>83</v>
      </c>
      <c r="C6" s="24">
        <f ca="1">N_analysis!$N5</f>
        <v>7.0856797921560197</v>
      </c>
      <c r="D6" s="23">
        <f ca="1">E_analysis!$N5</f>
        <v>10.0739404767727</v>
      </c>
      <c r="E6" s="23">
        <f ca="1">S_analysis!$N5</f>
        <v>16.578318954003102</v>
      </c>
      <c r="F6" s="23">
        <f ca="1">W_analysis!$N5</f>
        <v>10.2355213825894</v>
      </c>
      <c r="G6" s="23">
        <f ca="1">C_analysis!$N5</f>
        <v>10.644691947061499</v>
      </c>
    </row>
    <row r="7" spans="1:7" ht="15.75" customHeight="1">
      <c r="A7" s="21"/>
      <c r="B7" s="21" t="s">
        <v>84</v>
      </c>
      <c r="C7" s="22">
        <f ca="1">N_analysis!$N8</f>
        <v>15.4745762711864</v>
      </c>
      <c r="D7" s="23">
        <f ca="1">E_analysis!$N8</f>
        <v>23.545454545454501</v>
      </c>
      <c r="E7" s="23">
        <f ca="1">S_analysis!$N8</f>
        <v>40.071428571428498</v>
      </c>
      <c r="F7" s="23">
        <f ca="1">W_analysis!$N8</f>
        <v>20.078431372549002</v>
      </c>
      <c r="G7" s="23">
        <f ca="1">C_analysis!$N6</f>
        <v>19.6630824372759</v>
      </c>
    </row>
    <row r="8" spans="1:7" ht="15.75" customHeight="1">
      <c r="A8" s="21"/>
      <c r="B8" s="21" t="s">
        <v>85</v>
      </c>
      <c r="C8" s="24">
        <f ca="1">N_analysis!$N9</f>
        <v>6.1110966246387699</v>
      </c>
      <c r="D8" s="25">
        <f ca="1">E_analysis!$N9</f>
        <v>7.2734809442509798</v>
      </c>
      <c r="E8" s="23">
        <f ca="1">S_analysis!$N9</f>
        <v>16.578318954003102</v>
      </c>
      <c r="F8" s="25">
        <f ca="1">W_analysis!$N9</f>
        <v>8.1678470535506502</v>
      </c>
      <c r="G8" s="25">
        <f ca="1">C_analysis!$N7</f>
        <v>8.0859434274477007</v>
      </c>
    </row>
    <row r="9" spans="1:7" ht="15.75" customHeight="1">
      <c r="A9" s="21"/>
      <c r="B9" s="21" t="s">
        <v>86</v>
      </c>
      <c r="C9" s="22">
        <f ca="1">N_analysis!$N6</f>
        <v>30.502004745602338</v>
      </c>
      <c r="D9" s="23">
        <f ca="1">E_analysis!$N6</f>
        <v>45.110145104488701</v>
      </c>
      <c r="E9" s="23">
        <f ca="1">S_analysis!$N6</f>
        <v>73.228066479434702</v>
      </c>
      <c r="F9" s="23">
        <f ca="1">W_analysis!$N6</f>
        <v>42.100672394808399</v>
      </c>
      <c r="G9" s="23">
        <f ca="1">C_analysis!$N8</f>
        <v>27.749025864723599</v>
      </c>
    </row>
    <row r="10" spans="1:7" ht="15.75" customHeight="1">
      <c r="A10" s="21"/>
      <c r="B10" s="21" t="s">
        <v>87</v>
      </c>
      <c r="C10" s="24">
        <f ca="1">N_analysis!$N7</f>
        <v>2.1592855769782595</v>
      </c>
      <c r="D10" s="23">
        <f ca="1">E_analysis!$N7</f>
        <v>4.8143831973979019</v>
      </c>
      <c r="E10" s="23">
        <f ca="1">S_analysis!$N7</f>
        <v>6.9147906634222949</v>
      </c>
      <c r="F10" s="23">
        <f ca="1">W_analysis!$N7</f>
        <v>1.1585868644508004</v>
      </c>
      <c r="G10" s="23">
        <f ca="1">C_analysis!$N9</f>
        <v>11.577139009828199</v>
      </c>
    </row>
    <row r="11" spans="1:7" ht="15.75" customHeight="1">
      <c r="A11" s="21"/>
      <c r="B11" s="21" t="s">
        <v>88</v>
      </c>
      <c r="C11" s="26">
        <f ca="1">N_analysis!$N11</f>
        <v>-0.45660809778456835</v>
      </c>
      <c r="D11" s="27" t="e">
        <f ca="1">E_analysis!$N11</f>
        <v>#VALUE!</v>
      </c>
      <c r="E11" s="27">
        <f ca="1">S_analysis!$N11</f>
        <v>-0.25714285714285712</v>
      </c>
      <c r="F11" s="27" t="e">
        <f ca="1">W_analysis!$N11</f>
        <v>#VALUE!</v>
      </c>
      <c r="G11" s="27" t="e">
        <f ca="1">C_analysis!$N11</f>
        <v>#VALUE!</v>
      </c>
    </row>
    <row r="12" spans="1:7" ht="15.75" customHeight="1">
      <c r="A12" s="21"/>
      <c r="B12" s="21" t="s">
        <v>89</v>
      </c>
      <c r="C12" s="24">
        <f ca="1">N_analysis!$N12</f>
        <v>2.9032915985906866</v>
      </c>
      <c r="D12" s="28" t="e">
        <f ca="1">E_analysis!$N12</f>
        <v>#VALUE!</v>
      </c>
      <c r="E12" s="27">
        <f ca="1">S_analysis!$N12</f>
        <v>0.53218115639017427</v>
      </c>
      <c r="F12" s="28" t="e">
        <f ca="1">W_analysis!$N12</f>
        <v>#VALUE!</v>
      </c>
      <c r="G12" s="28" t="e">
        <f ca="1">C_analysis!$N12</f>
        <v>#VALUE!</v>
      </c>
    </row>
    <row r="13" spans="1:7" ht="15.75" customHeight="1">
      <c r="A13" s="29"/>
      <c r="B13" s="29" t="s">
        <v>90</v>
      </c>
      <c r="C13" s="24">
        <f ca="1">N_analysis!$N13</f>
        <v>2.0369333434601011</v>
      </c>
      <c r="D13" s="28">
        <f ca="1">E_analysis!$N13</f>
        <v>2.0452296421327048</v>
      </c>
      <c r="E13" s="28">
        <f ca="1">S_analysis!$N13</f>
        <v>2.7764451051977934</v>
      </c>
      <c r="F13" s="28">
        <f ca="1">W_analysis!$N13</f>
        <v>2.1447866879178044</v>
      </c>
      <c r="G13" s="28">
        <f ca="1">C_analysis!$N13</f>
        <v>2.0226909200367595</v>
      </c>
    </row>
    <row r="14" spans="1:7" ht="15.75" customHeight="1">
      <c r="A14" s="21"/>
      <c r="B14" s="21" t="s">
        <v>91</v>
      </c>
      <c r="C14" s="30" t="b">
        <f ca="1">N_analysis!$N14</f>
        <v>1</v>
      </c>
      <c r="D14" s="31" t="e">
        <f ca="1">E_analysis!$N14</f>
        <v>#VALUE!</v>
      </c>
      <c r="E14" s="31" t="b">
        <f ca="1">S_analysis!$N14</f>
        <v>0</v>
      </c>
      <c r="F14" s="31" t="e">
        <f ca="1">W_analysis!$N14</f>
        <v>#VALUE!</v>
      </c>
      <c r="G14" s="31" t="e">
        <f ca="1">C_analysis!$N14</f>
        <v>#VALUE!</v>
      </c>
    </row>
    <row r="15" spans="1:7" ht="15.75" customHeight="1">
      <c r="C15" s="32"/>
      <c r="D15" s="33"/>
    </row>
    <row r="16" spans="1:7" ht="15.75" customHeight="1">
      <c r="A16" s="17"/>
      <c r="B16" s="17"/>
      <c r="C16" s="32"/>
      <c r="D16" s="33"/>
    </row>
    <row r="17" spans="1:4" ht="15.75" customHeight="1">
      <c r="A17" s="32"/>
      <c r="B17" s="32"/>
      <c r="C17" s="32"/>
      <c r="D17" s="34"/>
    </row>
    <row r="18" spans="1:4" ht="15.75" customHeight="1">
      <c r="A18" s="17"/>
      <c r="B18" s="17"/>
      <c r="C18" s="32"/>
      <c r="D18" s="34"/>
    </row>
    <row r="19" spans="1:4" ht="15.75" customHeight="1">
      <c r="A19" s="17"/>
      <c r="B19" s="17"/>
      <c r="C19" s="32"/>
      <c r="D19" s="34"/>
    </row>
    <row r="20" spans="1:4" ht="15.75" customHeight="1">
      <c r="A20" s="17"/>
      <c r="B20" s="17"/>
    </row>
    <row r="21" spans="1:4" ht="15.75" customHeight="1">
      <c r="A21" s="17"/>
      <c r="B21" s="17"/>
    </row>
    <row r="22" spans="1:4" ht="15.75" customHeight="1">
      <c r="A22" s="17"/>
      <c r="B22" s="17"/>
    </row>
    <row r="23" spans="1:4" ht="15.75" customHeight="1">
      <c r="A23" s="17"/>
      <c r="B23" s="17"/>
    </row>
    <row r="24" spans="1:4" ht="15.75" customHeight="1"/>
    <row r="25" spans="1:4" ht="15.75" customHeight="1"/>
    <row r="26" spans="1:4" ht="15.75" customHeight="1"/>
    <row r="27" spans="1:4" ht="15.75" customHeight="1"/>
    <row r="28" spans="1:4" ht="15.75" customHeight="1"/>
    <row r="29" spans="1:4" ht="15.75" customHeight="1"/>
    <row r="30" spans="1:4" ht="15.75" customHeight="1"/>
    <row r="31" spans="1:4" ht="15.75" customHeight="1"/>
    <row r="32" spans="1:4" ht="15.75" customHeight="1"/>
    <row r="33" spans="7:7" ht="15.75" customHeight="1"/>
    <row r="34" spans="7:7" ht="15.75" customHeight="1"/>
    <row r="35" spans="7:7" ht="15.75" customHeight="1"/>
    <row r="36" spans="7:7" ht="15.75" customHeight="1"/>
    <row r="37" spans="7:7" ht="15.75" customHeight="1"/>
    <row r="38" spans="7:7" ht="15.75" customHeight="1"/>
    <row r="39" spans="7:7" ht="15.75" customHeight="1">
      <c r="G39" s="17"/>
    </row>
    <row r="40" spans="7:7" ht="15.75" customHeight="1"/>
    <row r="41" spans="7:7" ht="15.75" customHeight="1">
      <c r="G41" s="17"/>
    </row>
    <row r="42" spans="7:7" ht="15.75" customHeight="1">
      <c r="G42" s="17"/>
    </row>
    <row r="43" spans="7:7" ht="15.75" customHeight="1">
      <c r="G43" s="17"/>
    </row>
    <row r="44" spans="7:7" ht="15.75" customHeight="1">
      <c r="G44" s="17"/>
    </row>
    <row r="45" spans="7:7" ht="15.75" customHeight="1"/>
    <row r="46" spans="7:7" ht="15.75" customHeight="1"/>
    <row r="47" spans="7:7" ht="15.75" customHeight="1"/>
    <row r="48" spans="7:7" ht="15.75" customHeight="1"/>
    <row r="49" spans="1:10" ht="15.75" customHeight="1">
      <c r="G49" s="17"/>
    </row>
    <row r="50" spans="1:10" ht="15.75" customHeight="1"/>
    <row r="51" spans="1:10" ht="15.75" customHeight="1"/>
    <row r="52" spans="1:10" ht="15.75" customHeight="1">
      <c r="G52" s="35"/>
      <c r="H52" s="35"/>
      <c r="I52" s="35"/>
      <c r="J52" s="35"/>
    </row>
    <row r="53" spans="1:10" ht="15.75" customHeight="1">
      <c r="H53" s="35"/>
      <c r="I53" s="35"/>
    </row>
    <row r="54" spans="1:10" ht="15.75" customHeight="1">
      <c r="A54" s="35"/>
      <c r="B54" s="35"/>
      <c r="E54" s="35"/>
    </row>
    <row r="55" spans="1:10" ht="15.75" customHeight="1">
      <c r="C55" s="35"/>
      <c r="E55" s="35"/>
    </row>
    <row r="56" spans="1:10" ht="15.75" customHeight="1">
      <c r="A56" s="35"/>
      <c r="B56" s="35"/>
      <c r="E56" s="35"/>
    </row>
    <row r="57" spans="1:10" ht="15.75" customHeight="1">
      <c r="A57" s="35"/>
      <c r="B57" s="35"/>
      <c r="E57" s="35"/>
    </row>
    <row r="58" spans="1:10" ht="15.75" customHeight="1">
      <c r="E58" s="35"/>
    </row>
    <row r="59" spans="1:10" ht="15.75" customHeight="1"/>
    <row r="60" spans="1:10" ht="15.75" customHeight="1"/>
    <row r="61" spans="1:10" ht="15.75" customHeight="1"/>
    <row r="62" spans="1:10" ht="15.75" customHeight="1">
      <c r="F62" s="35"/>
      <c r="G62" s="35"/>
    </row>
    <row r="63" spans="1:10" ht="15.75" customHeight="1"/>
    <row r="64" spans="1:10" ht="15.75" customHeight="1">
      <c r="G64" s="35"/>
    </row>
    <row r="65" spans="5:8" ht="15.75" customHeight="1">
      <c r="G65" s="35"/>
    </row>
    <row r="66" spans="5:8" ht="15.75" customHeight="1"/>
    <row r="67" spans="5:8" ht="15.75" customHeight="1">
      <c r="G67" s="35"/>
    </row>
    <row r="68" spans="5:8" ht="15.75" customHeight="1">
      <c r="G68" s="35"/>
    </row>
    <row r="69" spans="5:8" ht="15.75" customHeight="1">
      <c r="E69" s="35"/>
      <c r="F69" s="35"/>
      <c r="G69" s="35"/>
      <c r="H69" s="35"/>
    </row>
    <row r="70" spans="5:8" ht="15.75" customHeight="1">
      <c r="E70" s="35"/>
      <c r="G70" s="35"/>
    </row>
    <row r="71" spans="5:8" ht="15.75" customHeight="1">
      <c r="E71" s="35"/>
      <c r="F71" s="35"/>
      <c r="G71" s="35"/>
      <c r="H71" s="35"/>
    </row>
    <row r="72" spans="5:8" ht="15.75" customHeight="1">
      <c r="G72" s="35"/>
      <c r="H72" s="35"/>
    </row>
    <row r="73" spans="5:8" ht="15.75" customHeight="1"/>
    <row r="74" spans="5:8" ht="15.75" customHeight="1"/>
    <row r="75" spans="5:8" ht="15.75" customHeight="1"/>
    <row r="76" spans="5:8" ht="15.75" customHeight="1"/>
    <row r="77" spans="5:8" ht="15.75" customHeight="1"/>
    <row r="78" spans="5:8" ht="15.75" customHeight="1"/>
    <row r="79" spans="5:8" ht="15.75" customHeight="1"/>
    <row r="80" spans="5:8" ht="15.75" customHeight="1"/>
    <row r="81" spans="7:7" ht="15.75" customHeight="1"/>
    <row r="82" spans="7:7" ht="15.75" customHeight="1"/>
    <row r="83" spans="7:7" ht="15.75" customHeight="1"/>
    <row r="84" spans="7:7" ht="15.75" customHeight="1"/>
    <row r="85" spans="7:7" ht="15.75" customHeight="1"/>
    <row r="86" spans="7:7" ht="15.75" customHeight="1"/>
    <row r="87" spans="7:7" ht="15.75" customHeight="1"/>
    <row r="88" spans="7:7" ht="15.75" customHeight="1"/>
    <row r="89" spans="7:7" ht="15.75" customHeight="1"/>
    <row r="90" spans="7:7" ht="15.75" customHeight="1"/>
    <row r="91" spans="7:7" ht="15.75" customHeight="1"/>
    <row r="92" spans="7:7" ht="15.75" customHeight="1"/>
    <row r="93" spans="7:7" ht="15.75" customHeight="1"/>
    <row r="94" spans="7:7" ht="15.75" customHeight="1"/>
    <row r="95" spans="7:7" ht="15.75" customHeight="1"/>
    <row r="96" spans="7:7" ht="15.75" customHeight="1">
      <c r="G96" s="17"/>
    </row>
    <row r="97" spans="7:7" ht="15.75" customHeight="1">
      <c r="G97" s="17"/>
    </row>
    <row r="98" spans="7:7" ht="15.75" customHeight="1"/>
    <row r="99" spans="7:7" ht="15.75" customHeight="1"/>
    <row r="100" spans="7:7" ht="15.75" customHeight="1"/>
    <row r="101" spans="7:7" ht="15.75" customHeight="1"/>
    <row r="102" spans="7:7" ht="15.75" customHeight="1"/>
    <row r="103" spans="7:7" ht="15.75" customHeight="1"/>
    <row r="104" spans="7:7" ht="15.75" customHeight="1"/>
    <row r="105" spans="7:7" ht="15.75" customHeight="1"/>
    <row r="106" spans="7:7" ht="15.75" customHeight="1">
      <c r="G106" s="17"/>
    </row>
    <row r="107" spans="7:7" ht="15.75" customHeight="1">
      <c r="G107" s="17"/>
    </row>
    <row r="108" spans="7:7" ht="15.75" customHeight="1"/>
    <row r="109" spans="7:7" ht="15.75" customHeight="1"/>
    <row r="110" spans="7:7" ht="15.75" customHeight="1"/>
    <row r="111" spans="7:7" ht="15.75" customHeight="1"/>
    <row r="112" spans="7:7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spans="1:8" ht="15.75" customHeight="1"/>
    <row r="130" spans="1:8" ht="15.75" customHeight="1"/>
    <row r="131" spans="1:8" ht="15.75" customHeight="1"/>
    <row r="132" spans="1:8" ht="15.75" customHeight="1"/>
    <row r="133" spans="1:8" ht="15.75" customHeight="1"/>
    <row r="134" spans="1:8" ht="15.75" customHeight="1"/>
    <row r="135" spans="1:8" ht="15.75" customHeight="1"/>
    <row r="136" spans="1:8" ht="15.75" customHeight="1">
      <c r="G136" s="17"/>
    </row>
    <row r="137" spans="1:8" ht="15.75" customHeight="1">
      <c r="H137" s="36"/>
    </row>
    <row r="138" spans="1:8" ht="15.75" customHeight="1">
      <c r="A138" s="17"/>
      <c r="B138" s="17" t="s">
        <v>92</v>
      </c>
      <c r="G138" s="17"/>
      <c r="H138" s="35"/>
    </row>
    <row r="139" spans="1:8" ht="15.75" customHeight="1">
      <c r="H139" s="35"/>
    </row>
    <row r="140" spans="1:8" ht="15.75" customHeight="1">
      <c r="H140" s="35"/>
    </row>
    <row r="141" spans="1:8" ht="15.75" customHeight="1">
      <c r="H141" s="35"/>
    </row>
    <row r="142" spans="1:8" ht="15.75" customHeight="1">
      <c r="H142" s="35"/>
    </row>
    <row r="143" spans="1:8" ht="15.75" customHeight="1">
      <c r="H143" s="35"/>
    </row>
    <row r="144" spans="1:8" ht="15.75" customHeight="1">
      <c r="H144" s="35"/>
    </row>
    <row r="145" spans="8:8" ht="15.75" customHeight="1">
      <c r="H145" s="35"/>
    </row>
    <row r="146" spans="8:8" ht="15.75" customHeight="1">
      <c r="H146" s="35"/>
    </row>
    <row r="147" spans="8:8" ht="15.75" customHeight="1">
      <c r="H147" s="35"/>
    </row>
    <row r="148" spans="8:8" ht="15.75" customHeight="1">
      <c r="H148" s="35"/>
    </row>
    <row r="149" spans="8:8" ht="15.75" customHeight="1">
      <c r="H149" s="35"/>
    </row>
    <row r="150" spans="8:8" ht="15.75" customHeight="1">
      <c r="H150" s="35"/>
    </row>
    <row r="151" spans="8:8" ht="15.75" customHeight="1">
      <c r="H151" s="35"/>
    </row>
    <row r="152" spans="8:8" ht="15.75" customHeight="1">
      <c r="H152" s="35"/>
    </row>
    <row r="153" spans="8:8" ht="15.75" customHeight="1"/>
    <row r="154" spans="8:8" ht="15.75" customHeight="1">
      <c r="H154" s="35"/>
    </row>
    <row r="155" spans="8:8" ht="15.75" customHeight="1">
      <c r="H155" s="35"/>
    </row>
    <row r="156" spans="8:8" ht="15.75" customHeight="1">
      <c r="H156" s="35"/>
    </row>
    <row r="157" spans="8:8" ht="15.75" customHeight="1">
      <c r="H157" s="35"/>
    </row>
    <row r="158" spans="8:8" ht="15.75" customHeight="1">
      <c r="H158" s="35"/>
    </row>
    <row r="159" spans="8:8" ht="15.75" customHeight="1">
      <c r="H159" s="35"/>
    </row>
    <row r="160" spans="8:8" ht="15.75" customHeight="1">
      <c r="H160" s="35"/>
    </row>
    <row r="161" spans="8:8" ht="15.75" customHeight="1">
      <c r="H161" s="35"/>
    </row>
    <row r="162" spans="8:8" ht="15.75" customHeight="1">
      <c r="H162" s="35"/>
    </row>
    <row r="163" spans="8:8" ht="15.75" customHeight="1">
      <c r="H163" s="35"/>
    </row>
    <row r="164" spans="8:8" ht="15.75" customHeight="1">
      <c r="H164" s="35"/>
    </row>
    <row r="165" spans="8:8" ht="15.75" customHeight="1">
      <c r="H165" s="35"/>
    </row>
    <row r="166" spans="8:8" ht="15.75" customHeight="1">
      <c r="H166" s="35"/>
    </row>
    <row r="167" spans="8:8" ht="15.75" customHeight="1">
      <c r="H167" s="35"/>
    </row>
    <row r="168" spans="8:8" ht="15.75" customHeight="1">
      <c r="H168" s="35"/>
    </row>
    <row r="169" spans="8:8" ht="15.75" customHeight="1">
      <c r="H169" s="35"/>
    </row>
    <row r="170" spans="8:8" ht="15.75" customHeight="1">
      <c r="H170" s="35"/>
    </row>
    <row r="171" spans="8:8" ht="15.75" customHeight="1">
      <c r="H171" s="35"/>
    </row>
    <row r="172" spans="8:8" ht="15.75" customHeight="1">
      <c r="H172" s="35"/>
    </row>
    <row r="173" spans="8:8" ht="15.75" customHeight="1">
      <c r="H173" s="35"/>
    </row>
    <row r="174" spans="8:8" ht="15.75" customHeight="1"/>
    <row r="175" spans="8:8" ht="15.75" customHeight="1"/>
    <row r="176" spans="8:8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</sheetData>
  <conditionalFormatting sqref="C14:G14">
    <cfRule type="cellIs" dxfId="34" priority="1" operator="equal">
      <formula>"false"</formula>
    </cfRule>
  </conditionalFormatting>
  <conditionalFormatting sqref="C14:G14">
    <cfRule type="containsText" dxfId="33" priority="2" operator="containsText" text="true">
      <formula>NOT(ISERROR(SEARCH(("true"),(C14))))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9DAF8"/>
    <outlinePr summaryBelow="0" summaryRight="0"/>
  </sheetPr>
  <dimension ref="A1:Z1006"/>
  <sheetViews>
    <sheetView workbookViewId="0">
      <pane ySplit="2" topLeftCell="A3" activePane="bottomLeft" state="frozen"/>
      <selection pane="bottomLeft" activeCell="B4" sqref="B4"/>
    </sheetView>
  </sheetViews>
  <sheetFormatPr defaultColWidth="14.453125" defaultRowHeight="15" customHeight="1"/>
  <cols>
    <col min="1" max="1" width="7.26953125" customWidth="1"/>
    <col min="2" max="3" width="5.453125" customWidth="1"/>
    <col min="4" max="4" width="7.08984375" customWidth="1"/>
    <col min="5" max="5" width="22.7265625" hidden="1" customWidth="1"/>
    <col min="6" max="6" width="13.453125" hidden="1" customWidth="1"/>
    <col min="7" max="7" width="56.54296875" customWidth="1"/>
    <col min="8" max="8" width="25.81640625" hidden="1" customWidth="1"/>
    <col min="9" max="10" width="12.7265625" hidden="1" customWidth="1"/>
    <col min="11" max="11" width="7.453125" hidden="1" customWidth="1"/>
    <col min="12" max="12" width="13.7265625" hidden="1" customWidth="1"/>
    <col min="13" max="13" width="7.453125" hidden="1" customWidth="1"/>
    <col min="14" max="14" width="12.7265625" hidden="1" customWidth="1"/>
    <col min="15" max="15" width="9.54296875" hidden="1" customWidth="1"/>
    <col min="16" max="16" width="27" hidden="1" customWidth="1"/>
    <col min="17" max="17" width="11.54296875" customWidth="1"/>
    <col min="18" max="18" width="8.453125" customWidth="1"/>
    <col min="19" max="19" width="7.453125" customWidth="1"/>
    <col min="20" max="20" width="10.54296875" customWidth="1"/>
    <col min="21" max="21" width="25" customWidth="1"/>
    <col min="22" max="23" width="10.54296875" customWidth="1"/>
    <col min="24" max="24" width="11.54296875" customWidth="1"/>
    <col min="25" max="25" width="13.54296875" customWidth="1"/>
    <col min="26" max="26" width="29.453125" customWidth="1"/>
  </cols>
  <sheetData>
    <row r="1" spans="1:26" ht="15" customHeight="1">
      <c r="A1" s="37" t="s">
        <v>93</v>
      </c>
      <c r="B1" s="38"/>
      <c r="C1" s="39"/>
      <c r="D1" s="40"/>
      <c r="E1" s="40"/>
      <c r="F1" s="40"/>
      <c r="G1" s="41"/>
      <c r="H1" s="40"/>
      <c r="I1" s="40"/>
      <c r="J1" s="40"/>
      <c r="K1" s="40"/>
      <c r="L1" s="40"/>
      <c r="M1" s="40"/>
      <c r="N1" s="40"/>
      <c r="O1" s="40"/>
      <c r="P1" s="42"/>
      <c r="Q1" s="43"/>
      <c r="R1" s="43"/>
      <c r="S1" s="43"/>
      <c r="T1" s="43"/>
      <c r="U1" s="44"/>
      <c r="V1" s="45" t="s">
        <v>94</v>
      </c>
      <c r="W1" s="40"/>
      <c r="X1" s="40"/>
      <c r="Y1" s="40"/>
      <c r="Z1" s="40"/>
    </row>
    <row r="2" spans="1:26" ht="15" customHeight="1">
      <c r="A2" s="46" t="s">
        <v>36</v>
      </c>
      <c r="B2" s="47" t="s">
        <v>95</v>
      </c>
      <c r="C2" s="47" t="s">
        <v>38</v>
      </c>
      <c r="D2" s="48" t="s">
        <v>40</v>
      </c>
      <c r="E2" s="49" t="s">
        <v>43</v>
      </c>
      <c r="F2" s="50" t="s">
        <v>45</v>
      </c>
      <c r="G2" s="47" t="s">
        <v>96</v>
      </c>
      <c r="H2" s="50" t="s">
        <v>97</v>
      </c>
      <c r="I2" s="50" t="s">
        <v>98</v>
      </c>
      <c r="J2" s="50" t="s">
        <v>99</v>
      </c>
      <c r="K2" s="48" t="s">
        <v>100</v>
      </c>
      <c r="L2" s="50" t="s">
        <v>101</v>
      </c>
      <c r="M2" s="48" t="s">
        <v>102</v>
      </c>
      <c r="N2" s="50" t="s">
        <v>103</v>
      </c>
      <c r="O2" s="48" t="s">
        <v>104</v>
      </c>
      <c r="P2" s="51" t="s">
        <v>105</v>
      </c>
      <c r="Q2" s="52" t="s">
        <v>63</v>
      </c>
      <c r="R2" s="52" t="s">
        <v>65</v>
      </c>
      <c r="S2" s="52" t="s">
        <v>67</v>
      </c>
      <c r="T2" s="52"/>
      <c r="U2" s="53" t="s">
        <v>71</v>
      </c>
      <c r="V2" s="54" t="s">
        <v>106</v>
      </c>
      <c r="W2" s="54" t="s">
        <v>107</v>
      </c>
      <c r="X2" s="54" t="s">
        <v>108</v>
      </c>
      <c r="Y2" s="54" t="s">
        <v>73</v>
      </c>
      <c r="Z2" s="55" t="s">
        <v>109</v>
      </c>
    </row>
    <row r="3" spans="1:26" ht="15" customHeight="1">
      <c r="A3" s="56" t="str">
        <f t="shared" ref="A3:A138" si="0">CONCATENATE("N",B3,C3)</f>
        <v>N0NE</v>
      </c>
      <c r="B3" s="57">
        <v>0</v>
      </c>
      <c r="C3" s="58" t="s">
        <v>110</v>
      </c>
      <c r="D3" s="59">
        <f t="shared" ref="D3:D138" si="1">B3*200+1800</f>
        <v>1800</v>
      </c>
      <c r="E3" s="60" t="s">
        <v>111</v>
      </c>
      <c r="F3" s="60">
        <v>1108244238</v>
      </c>
      <c r="G3" s="58" t="s">
        <v>112</v>
      </c>
      <c r="H3" s="60" t="s">
        <v>113</v>
      </c>
      <c r="I3" s="60">
        <v>114.1725788</v>
      </c>
      <c r="J3" s="60">
        <v>22.295873159999999</v>
      </c>
      <c r="K3" s="61">
        <v>3.7</v>
      </c>
      <c r="L3" s="60" t="s">
        <v>114</v>
      </c>
      <c r="M3" s="61">
        <v>113.400002</v>
      </c>
      <c r="N3" s="60" t="s">
        <v>115</v>
      </c>
      <c r="O3" s="61">
        <v>109.700002</v>
      </c>
      <c r="P3" s="62"/>
      <c r="Q3" s="43" t="b">
        <v>0</v>
      </c>
      <c r="R3" s="43" t="b">
        <v>0</v>
      </c>
      <c r="S3" s="43" t="b">
        <v>0</v>
      </c>
      <c r="T3" s="63"/>
      <c r="U3" s="64">
        <f>IFERROR(VLOOKUP($F3,NE_bmis!$A:$K,6,FALSE),"")</f>
        <v>28</v>
      </c>
      <c r="V3" s="60">
        <f>IFERROR(VLOOKUP($F3,NE_bmis!$A:$K,7,FALSE),"")</f>
        <v>0</v>
      </c>
      <c r="W3" s="59">
        <f>IFERROR(VLOOKUP($F3,NE_bmis!$A:$K,8,FALSE),"")</f>
        <v>26</v>
      </c>
      <c r="X3" s="60">
        <f>IFERROR(VLOOKUP($F3,NE_bmis!$A:$K,9,FALSE),"")</f>
        <v>1998</v>
      </c>
      <c r="Y3" s="65" t="str">
        <f>IFERROR(VLOOKUP($F3,NE_bmis!$A:$K,11,FALSE),"")</f>
        <v>BMIS_auto</v>
      </c>
      <c r="Z3" s="66" t="s">
        <v>112</v>
      </c>
    </row>
    <row r="4" spans="1:26" ht="15" customHeight="1">
      <c r="A4" s="56" t="str">
        <f t="shared" si="0"/>
        <v>N0SE</v>
      </c>
      <c r="B4" s="57">
        <v>0</v>
      </c>
      <c r="C4" s="58" t="s">
        <v>116</v>
      </c>
      <c r="D4" s="59">
        <f t="shared" si="1"/>
        <v>1800</v>
      </c>
      <c r="E4" s="60" t="s">
        <v>117</v>
      </c>
      <c r="F4" s="60">
        <v>1108244285</v>
      </c>
      <c r="G4" s="58" t="s">
        <v>118</v>
      </c>
      <c r="H4" s="60" t="s">
        <v>119</v>
      </c>
      <c r="I4" s="60">
        <v>114.172826</v>
      </c>
      <c r="J4" s="60">
        <v>22.295198419999998</v>
      </c>
      <c r="K4" s="61">
        <v>19.600000000000001</v>
      </c>
      <c r="L4" s="60" t="s">
        <v>114</v>
      </c>
      <c r="M4" s="61">
        <v>60.599997999999999</v>
      </c>
      <c r="N4" s="60" t="s">
        <v>115</v>
      </c>
      <c r="O4" s="61">
        <v>40.999997999999998</v>
      </c>
      <c r="P4" s="67"/>
      <c r="Q4" s="43" t="b">
        <v>0</v>
      </c>
      <c r="R4" s="43" t="b">
        <v>0</v>
      </c>
      <c r="S4" s="43" t="b">
        <v>0</v>
      </c>
      <c r="T4" s="63"/>
      <c r="U4" s="68">
        <v>18</v>
      </c>
      <c r="V4" s="60" t="str">
        <f>IFERROR(VLOOKUP($F4,NE_bmis!$A:$K,7,FALSE),"")</f>
        <v/>
      </c>
      <c r="W4" s="59" t="str">
        <f>IFERROR(VLOOKUP($F4,NE_bmis!$A:$K,8,FALSE),"")</f>
        <v/>
      </c>
      <c r="X4" s="60" t="str">
        <f>IFERROR(VLOOKUP($F4,NE_bmis!$A:$K,9,FALSE),"")</f>
        <v/>
      </c>
      <c r="Y4" s="60" t="s">
        <v>120</v>
      </c>
      <c r="Z4" s="66" t="s">
        <v>1850</v>
      </c>
    </row>
    <row r="5" spans="1:26" ht="15" customHeight="1">
      <c r="A5" s="56" t="str">
        <f t="shared" si="0"/>
        <v>N0SW</v>
      </c>
      <c r="B5" s="57">
        <v>0</v>
      </c>
      <c r="C5" s="58" t="s">
        <v>121</v>
      </c>
      <c r="D5" s="59">
        <f t="shared" si="1"/>
        <v>1800</v>
      </c>
      <c r="E5" s="60" t="s">
        <v>122</v>
      </c>
      <c r="F5" s="60" t="s">
        <v>123</v>
      </c>
      <c r="G5" s="58" t="s">
        <v>124</v>
      </c>
      <c r="H5" s="60" t="s">
        <v>125</v>
      </c>
      <c r="I5" s="60">
        <v>114.1717747</v>
      </c>
      <c r="J5" s="60">
        <v>22.295225259999999</v>
      </c>
      <c r="K5" s="61">
        <v>3.2</v>
      </c>
      <c r="L5" s="60" t="s">
        <v>126</v>
      </c>
      <c r="M5" s="61">
        <v>120</v>
      </c>
      <c r="N5" s="60" t="s">
        <v>114</v>
      </c>
      <c r="O5" s="61">
        <v>116.8</v>
      </c>
      <c r="P5" s="67"/>
      <c r="Q5" s="43" t="b">
        <v>0</v>
      </c>
      <c r="R5" s="43" t="b">
        <v>0</v>
      </c>
      <c r="S5" s="43" t="b">
        <v>0</v>
      </c>
      <c r="T5" s="63"/>
      <c r="U5" s="68">
        <v>30</v>
      </c>
      <c r="V5" s="65" t="str">
        <f>IFERROR(VLOOKUP($F5,NE_bmis!$A:$K,7,FALSE),"")</f>
        <v/>
      </c>
      <c r="W5" s="66" t="str">
        <f>IFERROR(VLOOKUP($F5,NE_bmis!$A:$K,8,FALSE),"")</f>
        <v/>
      </c>
      <c r="X5" s="65" t="str">
        <f>IFERROR(VLOOKUP($F5,NE_bmis!$A:$K,9,FALSE),"")</f>
        <v/>
      </c>
      <c r="Y5" s="60" t="s">
        <v>120</v>
      </c>
      <c r="Z5" s="66" t="s">
        <v>1852</v>
      </c>
    </row>
    <row r="6" spans="1:26" ht="15" customHeight="1">
      <c r="A6" s="56" t="str">
        <f t="shared" si="0"/>
        <v>N0NW</v>
      </c>
      <c r="B6" s="57">
        <v>0</v>
      </c>
      <c r="C6" s="58" t="s">
        <v>127</v>
      </c>
      <c r="D6" s="59">
        <f t="shared" si="1"/>
        <v>1800</v>
      </c>
      <c r="E6" s="60" t="s">
        <v>128</v>
      </c>
      <c r="F6" s="60">
        <v>1108244258</v>
      </c>
      <c r="G6" s="58" t="s">
        <v>129</v>
      </c>
      <c r="H6" s="60" t="s">
        <v>130</v>
      </c>
      <c r="I6" s="60">
        <v>114.17175140000001</v>
      </c>
      <c r="J6" s="60">
        <v>22.295782110000001</v>
      </c>
      <c r="K6" s="61">
        <v>3.8</v>
      </c>
      <c r="L6" s="60" t="s">
        <v>114</v>
      </c>
      <c r="M6" s="61">
        <v>60.5</v>
      </c>
      <c r="N6" s="60">
        <v>3</v>
      </c>
      <c r="O6" s="61">
        <v>56.7</v>
      </c>
      <c r="P6" s="62"/>
      <c r="Q6" s="43" t="b">
        <v>0</v>
      </c>
      <c r="R6" s="43" t="b">
        <v>0</v>
      </c>
      <c r="S6" s="43" t="b">
        <v>0</v>
      </c>
      <c r="T6" s="63"/>
      <c r="U6" s="64">
        <v>18</v>
      </c>
      <c r="V6" s="60" t="str">
        <f>IFERROR(VLOOKUP($F6,NE_bmis!$A:$K,7,FALSE),"")</f>
        <v/>
      </c>
      <c r="W6" s="59" t="str">
        <f>IFERROR(VLOOKUP($F6,NE_bmis!$A:$K,8,FALSE),"")</f>
        <v/>
      </c>
      <c r="X6" s="60" t="str">
        <f>IFERROR(VLOOKUP($F6,NE_bmis!$A:$K,9,FALSE),"")</f>
        <v/>
      </c>
      <c r="Y6" s="65" t="s">
        <v>131</v>
      </c>
      <c r="Z6" s="66" t="s">
        <v>1854</v>
      </c>
    </row>
    <row r="7" spans="1:26" ht="15" customHeight="1">
      <c r="A7" s="56" t="str">
        <f t="shared" si="0"/>
        <v>N1NE</v>
      </c>
      <c r="B7" s="57">
        <v>1</v>
      </c>
      <c r="C7" s="58" t="s">
        <v>110</v>
      </c>
      <c r="D7" s="59">
        <f t="shared" si="1"/>
        <v>2000</v>
      </c>
      <c r="E7" s="60" t="s">
        <v>132</v>
      </c>
      <c r="F7" s="60">
        <v>1108244148</v>
      </c>
      <c r="G7" s="58" t="s">
        <v>133</v>
      </c>
      <c r="H7" s="60" t="s">
        <v>134</v>
      </c>
      <c r="I7" s="60">
        <v>114.17275220000001</v>
      </c>
      <c r="J7" s="60">
        <v>22.296815509999998</v>
      </c>
      <c r="K7" s="61">
        <v>16.200001</v>
      </c>
      <c r="L7" s="60" t="s">
        <v>114</v>
      </c>
      <c r="M7" s="61">
        <v>57.200001</v>
      </c>
      <c r="N7" s="60" t="s">
        <v>114</v>
      </c>
      <c r="O7" s="61">
        <v>41</v>
      </c>
      <c r="P7" s="62"/>
      <c r="Q7" s="43" t="b">
        <v>0</v>
      </c>
      <c r="R7" s="43" t="b">
        <v>0</v>
      </c>
      <c r="S7" s="43" t="b">
        <v>0</v>
      </c>
      <c r="T7" s="63"/>
      <c r="U7" s="68">
        <v>20</v>
      </c>
      <c r="V7" s="60" t="str">
        <f>IFERROR(VLOOKUP($F7,NE_bmis!$A:$K,7,FALSE),"")</f>
        <v/>
      </c>
      <c r="W7" s="59" t="str">
        <f>IFERROR(VLOOKUP($F7,NE_bmis!$A:$K,8,FALSE),"")</f>
        <v/>
      </c>
      <c r="X7" s="60" t="str">
        <f>IFERROR(VLOOKUP($F7,NE_bmis!$A:$K,9,FALSE),"")</f>
        <v/>
      </c>
      <c r="Y7" s="60" t="s">
        <v>135</v>
      </c>
      <c r="Z7" s="66" t="s">
        <v>1868</v>
      </c>
    </row>
    <row r="8" spans="1:26" ht="15" customHeight="1">
      <c r="A8" s="56" t="str">
        <f t="shared" si="0"/>
        <v>N1SE</v>
      </c>
      <c r="B8" s="57">
        <v>1</v>
      </c>
      <c r="C8" s="58" t="s">
        <v>116</v>
      </c>
      <c r="D8" s="59">
        <f t="shared" si="1"/>
        <v>2000</v>
      </c>
      <c r="E8" s="60" t="s">
        <v>136</v>
      </c>
      <c r="F8" s="60">
        <v>1108244060</v>
      </c>
      <c r="G8" s="58" t="s">
        <v>137</v>
      </c>
      <c r="H8" s="60" t="s">
        <v>138</v>
      </c>
      <c r="I8" s="60">
        <v>114.1726141</v>
      </c>
      <c r="J8" s="60">
        <v>22.29734715</v>
      </c>
      <c r="K8" s="61">
        <v>4.5</v>
      </c>
      <c r="L8" s="60" t="s">
        <v>126</v>
      </c>
      <c r="M8" s="61">
        <v>55.5</v>
      </c>
      <c r="N8" s="60" t="s">
        <v>115</v>
      </c>
      <c r="O8" s="61">
        <v>51</v>
      </c>
      <c r="P8" s="69"/>
      <c r="Q8" s="43" t="b">
        <v>0</v>
      </c>
      <c r="R8" s="43" t="b">
        <v>0</v>
      </c>
      <c r="S8" s="43" t="b">
        <v>0</v>
      </c>
      <c r="T8" s="63"/>
      <c r="U8" s="68">
        <f>IFERROR(VLOOKUP($F8,NE_bmis!$A:$K,6,FALSE),"")</f>
        <v>17</v>
      </c>
      <c r="V8" s="65">
        <f>IFERROR(VLOOKUP($F8,NE_bmis!$A:$K,7,FALSE),"")</f>
        <v>0</v>
      </c>
      <c r="W8" s="66">
        <f>IFERROR(VLOOKUP($F8,NE_bmis!$A:$K,8,FALSE),"")</f>
        <v>674</v>
      </c>
      <c r="X8" s="65">
        <f>IFERROR(VLOOKUP($F8,NE_bmis!$A:$K,9,FALSE),"")</f>
        <v>1959</v>
      </c>
      <c r="Y8" s="60" t="str">
        <f>IFERROR(VLOOKUP($F8,NE_bmis!$A:$K,11,FALSE),"")</f>
        <v>BMIS_auto</v>
      </c>
      <c r="Z8" s="66" t="s">
        <v>1870</v>
      </c>
    </row>
    <row r="9" spans="1:26" ht="15" customHeight="1">
      <c r="A9" s="56" t="str">
        <f t="shared" si="0"/>
        <v>N1SW</v>
      </c>
      <c r="B9" s="57">
        <v>1</v>
      </c>
      <c r="C9" s="58" t="s">
        <v>121</v>
      </c>
      <c r="D9" s="59">
        <f t="shared" si="1"/>
        <v>2000</v>
      </c>
      <c r="E9" s="60" t="s">
        <v>139</v>
      </c>
      <c r="F9" s="60">
        <v>1108244151</v>
      </c>
      <c r="G9" s="58" t="s">
        <v>140</v>
      </c>
      <c r="H9" s="60" t="s">
        <v>141</v>
      </c>
      <c r="I9" s="60">
        <v>114.1718556</v>
      </c>
      <c r="J9" s="60">
        <v>22.296998469999998</v>
      </c>
      <c r="K9" s="61">
        <v>59.099997999999999</v>
      </c>
      <c r="L9" s="60" t="s">
        <v>114</v>
      </c>
      <c r="M9" s="61">
        <v>78.699996999999996</v>
      </c>
      <c r="N9" s="60" t="s">
        <v>114</v>
      </c>
      <c r="O9" s="61">
        <v>78.7</v>
      </c>
      <c r="P9" s="69" t="s">
        <v>142</v>
      </c>
      <c r="Q9" s="43" t="b">
        <v>0</v>
      </c>
      <c r="R9" s="43" t="b">
        <v>0</v>
      </c>
      <c r="S9" s="43" t="b">
        <v>0</v>
      </c>
      <c r="T9" s="63"/>
      <c r="U9" s="68">
        <v>21</v>
      </c>
      <c r="V9" s="65"/>
      <c r="W9" s="66"/>
      <c r="X9" s="65">
        <v>2009</v>
      </c>
      <c r="Y9" s="60" t="str">
        <f>IFERROR(VLOOKUP($F9,NE_bmis!$A:$K,11,FALSE),"")</f>
        <v>BMIS_auto</v>
      </c>
      <c r="Z9" s="66" t="s">
        <v>1872</v>
      </c>
    </row>
    <row r="10" spans="1:26" ht="15" customHeight="1">
      <c r="A10" s="56" t="str">
        <f t="shared" si="0"/>
        <v>N1NW</v>
      </c>
      <c r="B10" s="57">
        <v>1</v>
      </c>
      <c r="C10" s="58" t="s">
        <v>127</v>
      </c>
      <c r="D10" s="59">
        <f t="shared" si="1"/>
        <v>2000</v>
      </c>
      <c r="E10" s="60" t="s">
        <v>143</v>
      </c>
      <c r="F10" s="60">
        <v>1108244082</v>
      </c>
      <c r="G10" s="58" t="s">
        <v>140</v>
      </c>
      <c r="H10" s="60" t="s">
        <v>141</v>
      </c>
      <c r="I10" s="60">
        <v>114.1718556</v>
      </c>
      <c r="J10" s="60">
        <v>22.296998469999998</v>
      </c>
      <c r="K10" s="61">
        <v>59.099997999999999</v>
      </c>
      <c r="L10" s="60" t="s">
        <v>114</v>
      </c>
      <c r="M10" s="61">
        <v>134.39999399999999</v>
      </c>
      <c r="N10" s="60" t="s">
        <v>114</v>
      </c>
      <c r="O10" s="61">
        <v>134.4</v>
      </c>
      <c r="P10" s="62" t="s">
        <v>144</v>
      </c>
      <c r="Q10" s="43" t="b">
        <v>0</v>
      </c>
      <c r="R10" s="43" t="b">
        <v>0</v>
      </c>
      <c r="S10" s="43" t="b">
        <v>0</v>
      </c>
      <c r="T10" s="63"/>
      <c r="U10" s="68">
        <v>31</v>
      </c>
      <c r="V10" s="60">
        <f>IFERROR(VLOOKUP($F10,NE_bmis!$A:$K,7,FALSE),"")</f>
        <v>0</v>
      </c>
      <c r="W10" s="59">
        <v>0</v>
      </c>
      <c r="X10" s="60">
        <v>2009</v>
      </c>
      <c r="Y10" s="60" t="str">
        <f>IFERROR(VLOOKUP($F10,NE_bmis!$A:$K,11,FALSE),"")</f>
        <v>BMIS_auto</v>
      </c>
      <c r="Z10" s="66" t="s">
        <v>1872</v>
      </c>
    </row>
    <row r="11" spans="1:26" ht="15" customHeight="1">
      <c r="A11" s="56" t="str">
        <f t="shared" si="0"/>
        <v>N2NE</v>
      </c>
      <c r="B11" s="57">
        <v>2</v>
      </c>
      <c r="C11" s="58" t="s">
        <v>110</v>
      </c>
      <c r="D11" s="59">
        <f t="shared" si="1"/>
        <v>2200</v>
      </c>
      <c r="E11" s="60" t="s">
        <v>145</v>
      </c>
      <c r="F11" s="60">
        <v>1108243793</v>
      </c>
      <c r="G11" s="58" t="s">
        <v>146</v>
      </c>
      <c r="H11" s="60" t="s">
        <v>147</v>
      </c>
      <c r="I11" s="60">
        <v>114.1723496</v>
      </c>
      <c r="J11" s="60">
        <v>22.29900237</v>
      </c>
      <c r="K11" s="61">
        <v>7.6</v>
      </c>
      <c r="L11" s="60" t="s">
        <v>126</v>
      </c>
      <c r="M11" s="61">
        <v>50.799999</v>
      </c>
      <c r="N11" s="60" t="s">
        <v>115</v>
      </c>
      <c r="O11" s="61">
        <v>43.199998999999998</v>
      </c>
      <c r="P11" s="69"/>
      <c r="Q11" s="43" t="b">
        <v>0</v>
      </c>
      <c r="R11" s="43" t="b">
        <v>0</v>
      </c>
      <c r="S11" s="43" t="b">
        <v>0</v>
      </c>
      <c r="T11" s="63"/>
      <c r="U11" s="68">
        <f>IFERROR(VLOOKUP($F11,NE_bmis!$A:$K,6,FALSE),"")</f>
        <v>13</v>
      </c>
      <c r="V11" s="65">
        <f>IFERROR(VLOOKUP($F11,NE_bmis!$A:$K,7,FALSE),"")</f>
        <v>0</v>
      </c>
      <c r="W11" s="66">
        <f>IFERROR(VLOOKUP($F11,NE_bmis!$A:$K,8,FALSE),"")</f>
        <v>78</v>
      </c>
      <c r="X11" s="65">
        <f>IFERROR(VLOOKUP($F11,NE_bmis!$A:$K,9,FALSE),"")</f>
        <v>1958</v>
      </c>
      <c r="Y11" s="60" t="str">
        <f>IFERROR(VLOOKUP($F11,NE_bmis!$A:$K,11,FALSE),"")</f>
        <v>BMIS_auto</v>
      </c>
      <c r="Z11" s="66" t="s">
        <v>1887</v>
      </c>
    </row>
    <row r="12" spans="1:26" ht="15" customHeight="1">
      <c r="A12" s="56" t="str">
        <f t="shared" si="0"/>
        <v>N2SE</v>
      </c>
      <c r="B12" s="57">
        <v>2</v>
      </c>
      <c r="C12" s="58" t="s">
        <v>116</v>
      </c>
      <c r="D12" s="59">
        <f t="shared" si="1"/>
        <v>2200</v>
      </c>
      <c r="E12" s="60" t="s">
        <v>148</v>
      </c>
      <c r="F12" s="60">
        <v>1108243826</v>
      </c>
      <c r="G12" s="58" t="s">
        <v>149</v>
      </c>
      <c r="H12" s="60" t="s">
        <v>150</v>
      </c>
      <c r="I12" s="60">
        <v>114.17245339999999</v>
      </c>
      <c r="J12" s="60">
        <v>22.298851259999999</v>
      </c>
      <c r="K12" s="61">
        <v>5.9</v>
      </c>
      <c r="L12" s="60" t="s">
        <v>126</v>
      </c>
      <c r="M12" s="61">
        <v>60.1</v>
      </c>
      <c r="N12" s="60" t="s">
        <v>114</v>
      </c>
      <c r="O12" s="61">
        <f>M12-K12</f>
        <v>54.2</v>
      </c>
      <c r="P12" s="62" t="s">
        <v>151</v>
      </c>
      <c r="Q12" s="43" t="b">
        <v>0</v>
      </c>
      <c r="R12" s="43" t="b">
        <v>0</v>
      </c>
      <c r="S12" s="43" t="b">
        <v>0</v>
      </c>
      <c r="T12" s="63"/>
      <c r="U12" s="64">
        <v>14</v>
      </c>
      <c r="V12" s="60" t="str">
        <f>IFERROR(VLOOKUP($F12,NE_bmis!$A:$K,7,FALSE),"")</f>
        <v/>
      </c>
      <c r="W12" s="59" t="str">
        <f>IFERROR(VLOOKUP($F12,NE_bmis!$A:$K,8,FALSE),"")</f>
        <v/>
      </c>
      <c r="X12" s="65" t="str">
        <f>IFERROR(VLOOKUP($F12,NE_bmis!$A:$K,9,FALSE),"")</f>
        <v/>
      </c>
      <c r="Y12" s="65" t="s">
        <v>152</v>
      </c>
      <c r="Z12" s="66" t="s">
        <v>1889</v>
      </c>
    </row>
    <row r="13" spans="1:26" ht="15" customHeight="1">
      <c r="A13" s="56" t="str">
        <f t="shared" si="0"/>
        <v>N2SW</v>
      </c>
      <c r="B13" s="57">
        <v>2</v>
      </c>
      <c r="C13" s="58" t="s">
        <v>121</v>
      </c>
      <c r="D13" s="59">
        <f t="shared" si="1"/>
        <v>2200</v>
      </c>
      <c r="E13" s="60" t="s">
        <v>153</v>
      </c>
      <c r="F13" s="60">
        <v>1108243833</v>
      </c>
      <c r="G13" s="58" t="s">
        <v>154</v>
      </c>
      <c r="H13" s="60" t="s">
        <v>155</v>
      </c>
      <c r="I13" s="60">
        <v>114.17169250000001</v>
      </c>
      <c r="J13" s="60">
        <v>22.29872915</v>
      </c>
      <c r="K13" s="61">
        <v>10.3</v>
      </c>
      <c r="L13" s="60" t="s">
        <v>126</v>
      </c>
      <c r="M13" s="61">
        <v>26.4</v>
      </c>
      <c r="N13" s="60" t="s">
        <v>115</v>
      </c>
      <c r="O13" s="61">
        <v>16.100000000000001</v>
      </c>
      <c r="P13" s="62" t="s">
        <v>156</v>
      </c>
      <c r="Q13" s="43" t="b">
        <v>0</v>
      </c>
      <c r="R13" s="43" t="b">
        <v>1</v>
      </c>
      <c r="S13" s="43" t="b">
        <v>0</v>
      </c>
      <c r="T13" s="63"/>
      <c r="U13" s="68">
        <v>2</v>
      </c>
      <c r="V13" s="65" t="str">
        <f>IFERROR(VLOOKUP($F13,NE_bmis!$A:$K,7,FALSE),"")</f>
        <v/>
      </c>
      <c r="W13" s="66" t="str">
        <f>IFERROR(VLOOKUP($F13,NE_bmis!$A:$K,8,FALSE),"")</f>
        <v/>
      </c>
      <c r="X13" s="65" t="str">
        <f>IFERROR(VLOOKUP($F13,NE_bmis!$A:$K,9,FALSE),"")</f>
        <v/>
      </c>
      <c r="Y13" s="60" t="s">
        <v>152</v>
      </c>
      <c r="Z13" s="66" t="s">
        <v>1891</v>
      </c>
    </row>
    <row r="14" spans="1:26" ht="15" customHeight="1">
      <c r="A14" s="56" t="str">
        <f t="shared" si="0"/>
        <v>N2NW</v>
      </c>
      <c r="B14" s="57">
        <v>2</v>
      </c>
      <c r="C14" s="58" t="s">
        <v>127</v>
      </c>
      <c r="D14" s="59">
        <f t="shared" si="1"/>
        <v>2200</v>
      </c>
      <c r="E14" s="60" t="s">
        <v>157</v>
      </c>
      <c r="F14" s="60">
        <v>1108243542</v>
      </c>
      <c r="G14" s="58" t="s">
        <v>158</v>
      </c>
      <c r="H14" s="60" t="s">
        <v>159</v>
      </c>
      <c r="I14" s="60">
        <v>114.1717285</v>
      </c>
      <c r="J14" s="60">
        <v>22.299615110000001</v>
      </c>
      <c r="K14" s="61">
        <v>10.4</v>
      </c>
      <c r="L14" s="60" t="s">
        <v>126</v>
      </c>
      <c r="M14" s="61">
        <v>17.399999999999999</v>
      </c>
      <c r="N14" s="60" t="s">
        <v>115</v>
      </c>
      <c r="O14" s="61">
        <v>7</v>
      </c>
      <c r="P14" s="69" t="s">
        <v>160</v>
      </c>
      <c r="Q14" s="43" t="b">
        <v>0</v>
      </c>
      <c r="R14" s="43" t="b">
        <v>1</v>
      </c>
      <c r="S14" s="43" t="b">
        <v>0</v>
      </c>
      <c r="T14" s="63"/>
      <c r="U14" s="68">
        <f>IFERROR(VLOOKUP($F14,NE_bmis!$A:$K,6,FALSE),"")</f>
        <v>2</v>
      </c>
      <c r="V14" s="65">
        <f>IFERROR(VLOOKUP($F14,NE_bmis!$A:$K,7,FALSE),"")</f>
        <v>0</v>
      </c>
      <c r="W14" s="66">
        <f>IFERROR(VLOOKUP($F14,NE_bmis!$A:$K,8,FALSE),"")</f>
        <v>68</v>
      </c>
      <c r="X14" s="65">
        <f>IFERROR(VLOOKUP($F14,NE_bmis!$A:$K,9,FALSE),"")</f>
        <v>1985</v>
      </c>
      <c r="Y14" s="60" t="str">
        <f>IFERROR(VLOOKUP($F14,NE_bmis!$A:$K,11,FALSE),"")</f>
        <v>BMIS_auto</v>
      </c>
      <c r="Z14" s="66" t="s">
        <v>1893</v>
      </c>
    </row>
    <row r="15" spans="1:26" ht="15" customHeight="1">
      <c r="A15" s="56" t="str">
        <f t="shared" si="0"/>
        <v>N3NE</v>
      </c>
      <c r="B15" s="57">
        <v>3</v>
      </c>
      <c r="C15" s="58" t="s">
        <v>110</v>
      </c>
      <c r="D15" s="59">
        <f t="shared" si="1"/>
        <v>2400</v>
      </c>
      <c r="E15" s="60" t="s">
        <v>161</v>
      </c>
      <c r="F15" s="60">
        <v>1108243250</v>
      </c>
      <c r="G15" s="58" t="s">
        <v>162</v>
      </c>
      <c r="H15" s="60" t="s">
        <v>163</v>
      </c>
      <c r="I15" s="60">
        <v>114.1725665</v>
      </c>
      <c r="J15" s="60">
        <v>22.30091032</v>
      </c>
      <c r="K15" s="61">
        <v>25.799999</v>
      </c>
      <c r="L15" s="60" t="s">
        <v>115</v>
      </c>
      <c r="M15" s="61">
        <v>61</v>
      </c>
      <c r="N15" s="60" t="s">
        <v>114</v>
      </c>
      <c r="O15" s="61">
        <v>35.200001</v>
      </c>
      <c r="P15" s="69"/>
      <c r="Q15" s="43" t="b">
        <v>0</v>
      </c>
      <c r="R15" s="43" t="b">
        <v>0</v>
      </c>
      <c r="S15" s="43" t="b">
        <v>0</v>
      </c>
      <c r="T15" s="63"/>
      <c r="U15" s="64">
        <f>IFERROR(VLOOKUP($F15,NE_bmis!$A:$K,6,FALSE),"")</f>
        <v>18</v>
      </c>
      <c r="V15" s="65">
        <f>IFERROR(VLOOKUP($F15,NE_bmis!$A:$K,7,FALSE),"")</f>
        <v>0</v>
      </c>
      <c r="W15" s="66">
        <f>IFERROR(VLOOKUP($F15,NE_bmis!$A:$K,8,FALSE),"")</f>
        <v>531</v>
      </c>
      <c r="X15" s="65">
        <f>IFERROR(VLOOKUP($F15,NE_bmis!$A:$K,9,FALSE),"")</f>
        <v>1993</v>
      </c>
      <c r="Y15" s="65" t="str">
        <f>IFERROR(VLOOKUP($F15,NE_bmis!$A:$K,11,FALSE),"")</f>
        <v>BMIS_auto</v>
      </c>
      <c r="Z15" s="66" t="s">
        <v>1907</v>
      </c>
    </row>
    <row r="16" spans="1:26" ht="14">
      <c r="A16" s="56" t="str">
        <f t="shared" si="0"/>
        <v>N3SE</v>
      </c>
      <c r="B16" s="57">
        <v>3</v>
      </c>
      <c r="C16" s="58" t="s">
        <v>116</v>
      </c>
      <c r="D16" s="59">
        <f t="shared" si="1"/>
        <v>2400</v>
      </c>
      <c r="E16" s="60" t="s">
        <v>164</v>
      </c>
      <c r="F16" s="60">
        <v>1109609183</v>
      </c>
      <c r="G16" s="58" t="s">
        <v>165</v>
      </c>
      <c r="H16" s="60"/>
      <c r="I16" s="60">
        <v>114.1724327</v>
      </c>
      <c r="J16" s="60">
        <v>22.300162100000001</v>
      </c>
      <c r="K16" s="61">
        <v>24.6</v>
      </c>
      <c r="L16" s="60" t="s">
        <v>114</v>
      </c>
      <c r="M16" s="61">
        <v>60.700001</v>
      </c>
      <c r="N16" s="60">
        <v>3</v>
      </c>
      <c r="O16" s="61">
        <v>36.100000999999999</v>
      </c>
      <c r="P16" s="69"/>
      <c r="Q16" s="43" t="b">
        <v>0</v>
      </c>
      <c r="R16" s="43" t="b">
        <v>0</v>
      </c>
      <c r="S16" s="43" t="b">
        <v>0</v>
      </c>
      <c r="T16" s="63"/>
      <c r="U16" s="64">
        <v>18</v>
      </c>
      <c r="V16" s="65" t="str">
        <f>IFERROR(VLOOKUP($F16,NE_bmis!$A:$K,7,FALSE),"")</f>
        <v/>
      </c>
      <c r="W16" s="66" t="str">
        <f>IFERROR(VLOOKUP($F16,NE_bmis!$A:$K,8,FALSE),"")</f>
        <v/>
      </c>
      <c r="X16" s="65" t="str">
        <f>IFERROR(VLOOKUP($F16,NE_bmis!$A:$K,9,FALSE),"")</f>
        <v/>
      </c>
      <c r="Y16" s="70" t="s">
        <v>166</v>
      </c>
      <c r="Z16" s="66" t="s">
        <v>1909</v>
      </c>
    </row>
    <row r="17" spans="1:26" ht="14">
      <c r="A17" s="56" t="str">
        <f t="shared" si="0"/>
        <v>N3SW</v>
      </c>
      <c r="B17" s="57">
        <v>3</v>
      </c>
      <c r="C17" s="58" t="s">
        <v>121</v>
      </c>
      <c r="D17" s="59">
        <f t="shared" si="1"/>
        <v>2400</v>
      </c>
      <c r="E17" s="60"/>
      <c r="F17" s="60"/>
      <c r="G17" s="58"/>
      <c r="H17" s="60"/>
      <c r="I17" s="60"/>
      <c r="J17" s="60"/>
      <c r="K17" s="61"/>
      <c r="L17" s="60"/>
      <c r="M17" s="61"/>
      <c r="N17" s="60"/>
      <c r="O17" s="61"/>
      <c r="P17" s="62" t="s">
        <v>167</v>
      </c>
      <c r="Q17" s="43" t="b">
        <v>1</v>
      </c>
      <c r="R17" s="43" t="b">
        <v>1</v>
      </c>
      <c r="S17" s="43" t="b">
        <v>0</v>
      </c>
      <c r="T17" s="63"/>
      <c r="U17" s="64">
        <v>0</v>
      </c>
      <c r="V17" s="60" t="str">
        <f>IFERROR(VLOOKUP($F17,NE_bmis!$A:$K,7,FALSE),"")</f>
        <v/>
      </c>
      <c r="W17" s="59" t="str">
        <f>IFERROR(VLOOKUP($F17,NE_bmis!$A:$K,8,FALSE),"")</f>
        <v/>
      </c>
      <c r="X17" s="60" t="str">
        <f>IFERROR(VLOOKUP($F17,NE_bmis!$A:$K,9,FALSE),"")</f>
        <v/>
      </c>
      <c r="Y17" s="60"/>
      <c r="Z17" s="66" t="s">
        <v>556</v>
      </c>
    </row>
    <row r="18" spans="1:26" ht="14">
      <c r="A18" s="56" t="str">
        <f t="shared" si="0"/>
        <v>N3NW</v>
      </c>
      <c r="B18" s="57">
        <v>3</v>
      </c>
      <c r="C18" s="58" t="s">
        <v>127</v>
      </c>
      <c r="D18" s="59">
        <f t="shared" si="1"/>
        <v>2400</v>
      </c>
      <c r="E18" s="60" t="s">
        <v>168</v>
      </c>
      <c r="F18" s="60">
        <v>1108243228</v>
      </c>
      <c r="G18" s="58" t="s">
        <v>158</v>
      </c>
      <c r="H18" s="60" t="s">
        <v>169</v>
      </c>
      <c r="I18" s="60">
        <v>114.17164409999999</v>
      </c>
      <c r="J18" s="60">
        <v>22.30084347</v>
      </c>
      <c r="K18" s="61">
        <v>11.4</v>
      </c>
      <c r="L18" s="60" t="s">
        <v>126</v>
      </c>
      <c r="M18" s="61">
        <v>17</v>
      </c>
      <c r="N18" s="60" t="s">
        <v>114</v>
      </c>
      <c r="O18" s="61">
        <v>5.6</v>
      </c>
      <c r="P18" s="62" t="s">
        <v>160</v>
      </c>
      <c r="Q18" s="43" t="b">
        <v>0</v>
      </c>
      <c r="R18" s="43" t="b">
        <v>1</v>
      </c>
      <c r="S18" s="43" t="b">
        <v>0</v>
      </c>
      <c r="T18" s="63"/>
      <c r="U18" s="68">
        <v>2</v>
      </c>
      <c r="V18" s="60" t="str">
        <f>IFERROR(VLOOKUP($F18,NE_bmis!$A:$K,7,FALSE),"")</f>
        <v/>
      </c>
      <c r="W18" s="59" t="str">
        <f>IFERROR(VLOOKUP($F18,NE_bmis!$A:$K,8,FALSE),"")</f>
        <v/>
      </c>
      <c r="X18" s="60" t="str">
        <f>IFERROR(VLOOKUP($F18,NE_bmis!$A:$K,9,FALSE),"")</f>
        <v/>
      </c>
      <c r="Y18" s="60" t="s">
        <v>152</v>
      </c>
      <c r="Z18" s="66" t="s">
        <v>1912</v>
      </c>
    </row>
    <row r="19" spans="1:26" ht="14">
      <c r="A19" s="56" t="str">
        <f t="shared" si="0"/>
        <v>N4NE</v>
      </c>
      <c r="B19" s="57">
        <v>4</v>
      </c>
      <c r="C19" s="58" t="s">
        <v>110</v>
      </c>
      <c r="D19" s="59">
        <f t="shared" si="1"/>
        <v>2600</v>
      </c>
      <c r="E19" s="60" t="s">
        <v>170</v>
      </c>
      <c r="F19" s="60">
        <v>1108242804</v>
      </c>
      <c r="G19" s="58" t="s">
        <v>171</v>
      </c>
      <c r="H19" s="60" t="s">
        <v>172</v>
      </c>
      <c r="I19" s="60">
        <v>114.1720885</v>
      </c>
      <c r="J19" s="60">
        <v>22.30276031</v>
      </c>
      <c r="K19" s="61">
        <v>13.5</v>
      </c>
      <c r="L19" s="60" t="s">
        <v>126</v>
      </c>
      <c r="M19" s="61">
        <v>52.900002000000001</v>
      </c>
      <c r="N19" s="60" t="s">
        <v>115</v>
      </c>
      <c r="O19" s="61">
        <v>39.400002000000001</v>
      </c>
      <c r="P19" s="69"/>
      <c r="Q19" s="43" t="b">
        <v>0</v>
      </c>
      <c r="R19" s="43" t="b">
        <v>0</v>
      </c>
      <c r="S19" s="43" t="b">
        <v>0</v>
      </c>
      <c r="T19" s="63"/>
      <c r="U19" s="68">
        <v>11</v>
      </c>
      <c r="V19" s="65">
        <v>0</v>
      </c>
      <c r="W19" s="66">
        <v>26</v>
      </c>
      <c r="X19" s="65">
        <v>1966</v>
      </c>
      <c r="Y19" s="60" t="s">
        <v>173</v>
      </c>
      <c r="Z19" s="66" t="s">
        <v>1926</v>
      </c>
    </row>
    <row r="20" spans="1:26" ht="14">
      <c r="A20" s="56" t="str">
        <f t="shared" si="0"/>
        <v>N4SE</v>
      </c>
      <c r="B20" s="57">
        <v>4</v>
      </c>
      <c r="C20" s="58" t="s">
        <v>116</v>
      </c>
      <c r="D20" s="59">
        <f t="shared" si="1"/>
        <v>2600</v>
      </c>
      <c r="E20" s="60" t="s">
        <v>174</v>
      </c>
      <c r="F20" s="60">
        <v>1108242855</v>
      </c>
      <c r="G20" s="58" t="s">
        <v>175</v>
      </c>
      <c r="H20" s="60" t="s">
        <v>176</v>
      </c>
      <c r="I20" s="60">
        <v>114.1721036</v>
      </c>
      <c r="J20" s="60">
        <v>22.302578960000002</v>
      </c>
      <c r="K20" s="61">
        <v>13.6</v>
      </c>
      <c r="L20" s="60" t="s">
        <v>126</v>
      </c>
      <c r="M20" s="61">
        <v>56.900002000000001</v>
      </c>
      <c r="N20" s="60">
        <v>3</v>
      </c>
      <c r="O20" s="61">
        <v>43.300001999999999</v>
      </c>
      <c r="P20" s="62"/>
      <c r="Q20" s="43" t="b">
        <v>0</v>
      </c>
      <c r="R20" s="43" t="b">
        <v>0</v>
      </c>
      <c r="S20" s="43" t="b">
        <v>0</v>
      </c>
      <c r="T20" s="63"/>
      <c r="U20" s="68">
        <v>12</v>
      </c>
      <c r="V20" s="60">
        <f>IFERROR(VLOOKUP($F20,NE_bmis!$A:$K,7,FALSE),"")</f>
        <v>0</v>
      </c>
      <c r="W20" s="59">
        <f>IFERROR(VLOOKUP($F20,NE_bmis!$A:$K,8,FALSE),"")</f>
        <v>25</v>
      </c>
      <c r="X20" s="60">
        <f>IFERROR(VLOOKUP($F20,NE_bmis!$A:$K,9,FALSE),"")</f>
        <v>1971</v>
      </c>
      <c r="Y20" s="60" t="s">
        <v>177</v>
      </c>
      <c r="Z20" s="66" t="s">
        <v>1928</v>
      </c>
    </row>
    <row r="21" spans="1:26" ht="14">
      <c r="A21" s="56" t="str">
        <f t="shared" si="0"/>
        <v>N4SW</v>
      </c>
      <c r="B21" s="57">
        <v>4</v>
      </c>
      <c r="C21" s="58" t="s">
        <v>121</v>
      </c>
      <c r="D21" s="59">
        <f t="shared" si="1"/>
        <v>2600</v>
      </c>
      <c r="E21" s="60" t="s">
        <v>178</v>
      </c>
      <c r="F21" s="60">
        <v>1108242973</v>
      </c>
      <c r="G21" s="58" t="s">
        <v>158</v>
      </c>
      <c r="H21" s="60" t="s">
        <v>169</v>
      </c>
      <c r="I21" s="60">
        <v>114.1715796</v>
      </c>
      <c r="J21" s="60">
        <v>22.301785779999999</v>
      </c>
      <c r="K21" s="61">
        <v>12</v>
      </c>
      <c r="L21" s="60" t="s">
        <v>126</v>
      </c>
      <c r="M21" s="61">
        <v>16.899999999999999</v>
      </c>
      <c r="N21" s="60" t="s">
        <v>115</v>
      </c>
      <c r="O21" s="61">
        <v>4.9000000000000004</v>
      </c>
      <c r="P21" s="69" t="s">
        <v>160</v>
      </c>
      <c r="Q21" s="43" t="b">
        <v>0</v>
      </c>
      <c r="R21" s="43" t="b">
        <v>1</v>
      </c>
      <c r="S21" s="43" t="b">
        <v>0</v>
      </c>
      <c r="T21" s="63"/>
      <c r="U21" s="68">
        <v>2</v>
      </c>
      <c r="V21" s="65" t="str">
        <f>IFERROR(VLOOKUP($F21,NE_bmis!$A:$K,7,FALSE),"")</f>
        <v/>
      </c>
      <c r="W21" s="66" t="str">
        <f>IFERROR(VLOOKUP($F21,NE_bmis!$A:$K,8,FALSE),"")</f>
        <v/>
      </c>
      <c r="X21" s="65" t="str">
        <f>IFERROR(VLOOKUP($F21,NE_bmis!$A:$K,9,FALSE),"")</f>
        <v/>
      </c>
      <c r="Y21" s="60" t="s">
        <v>152</v>
      </c>
      <c r="Z21" s="66" t="s">
        <v>1930</v>
      </c>
    </row>
    <row r="22" spans="1:26" ht="14">
      <c r="A22" s="56" t="str">
        <f t="shared" si="0"/>
        <v>N4NW</v>
      </c>
      <c r="B22" s="57">
        <v>4</v>
      </c>
      <c r="C22" s="58" t="s">
        <v>127</v>
      </c>
      <c r="D22" s="59">
        <f t="shared" si="1"/>
        <v>2600</v>
      </c>
      <c r="E22" s="60" t="s">
        <v>179</v>
      </c>
      <c r="F22" s="60">
        <v>1108242808</v>
      </c>
      <c r="G22" s="58" t="s">
        <v>180</v>
      </c>
      <c r="H22" s="60" t="s">
        <v>181</v>
      </c>
      <c r="I22" s="60">
        <v>114.17121090000001</v>
      </c>
      <c r="J22" s="60">
        <v>22.302608930000002</v>
      </c>
      <c r="K22" s="61">
        <v>16</v>
      </c>
      <c r="L22" s="60" t="s">
        <v>126</v>
      </c>
      <c r="M22" s="61">
        <v>48.799999</v>
      </c>
      <c r="N22" s="60">
        <v>3</v>
      </c>
      <c r="O22" s="61">
        <v>32.799999</v>
      </c>
      <c r="P22" s="69" t="s">
        <v>182</v>
      </c>
      <c r="Q22" s="43" t="b">
        <v>0</v>
      </c>
      <c r="R22" s="43" t="b">
        <v>1</v>
      </c>
      <c r="S22" s="43" t="b">
        <v>0</v>
      </c>
      <c r="T22" s="63"/>
      <c r="U22" s="68">
        <v>11</v>
      </c>
      <c r="V22" s="65" t="str">
        <f>IFERROR(VLOOKUP($F22,NE_bmis!$A:$K,7,FALSE),"")</f>
        <v/>
      </c>
      <c r="W22" s="66" t="str">
        <f>IFERROR(VLOOKUP($F22,NE_bmis!$A:$K,8,FALSE),"")</f>
        <v/>
      </c>
      <c r="X22" s="65" t="str">
        <f>IFERROR(VLOOKUP($F22,NE_bmis!$A:$K,9,FALSE),"")</f>
        <v/>
      </c>
      <c r="Y22" s="60" t="s">
        <v>152</v>
      </c>
      <c r="Z22" s="66" t="s">
        <v>1932</v>
      </c>
    </row>
    <row r="23" spans="1:26" ht="14">
      <c r="A23" s="56" t="str">
        <f t="shared" si="0"/>
        <v>N5NE</v>
      </c>
      <c r="B23" s="57">
        <v>5</v>
      </c>
      <c r="C23" s="58" t="s">
        <v>110</v>
      </c>
      <c r="D23" s="59">
        <f t="shared" si="1"/>
        <v>2800</v>
      </c>
      <c r="E23" s="60" t="s">
        <v>183</v>
      </c>
      <c r="F23" s="60">
        <v>1108242144</v>
      </c>
      <c r="G23" s="58" t="s">
        <v>184</v>
      </c>
      <c r="H23" s="60"/>
      <c r="I23" s="60">
        <v>114.1719403</v>
      </c>
      <c r="J23" s="60">
        <v>22.304814520000001</v>
      </c>
      <c r="K23" s="61">
        <v>23.9</v>
      </c>
      <c r="L23" s="60" t="s">
        <v>114</v>
      </c>
      <c r="M23" s="61">
        <v>87.099997999999999</v>
      </c>
      <c r="N23" s="60" t="s">
        <v>115</v>
      </c>
      <c r="O23" s="61">
        <v>63.199998000000001</v>
      </c>
      <c r="P23" s="67"/>
      <c r="Q23" s="43" t="b">
        <v>0</v>
      </c>
      <c r="R23" s="43" t="b">
        <v>0</v>
      </c>
      <c r="S23" s="43" t="b">
        <v>1</v>
      </c>
      <c r="T23" s="63"/>
      <c r="U23" s="68">
        <f>IFERROR(VLOOKUP($F23,NE_bmis!$A:$K,6,FALSE),"")</f>
        <v>21</v>
      </c>
      <c r="V23" s="65">
        <f>IFERROR(VLOOKUP($F23,NE_bmis!$A:$K,7,FALSE),"")</f>
        <v>0</v>
      </c>
      <c r="W23" s="66">
        <f>IFERROR(VLOOKUP($F23,NE_bmis!$A:$K,8,FALSE),"")</f>
        <v>42</v>
      </c>
      <c r="X23" s="65">
        <f>IFERROR(VLOOKUP($F23,NE_bmis!$A:$K,9,FALSE),"")</f>
        <v>1999</v>
      </c>
      <c r="Y23" s="60" t="str">
        <f>IFERROR(VLOOKUP($F23,NE_bmis!$A:$K,11,FALSE),"")</f>
        <v>BMIS_auto</v>
      </c>
      <c r="Z23" s="66" t="s">
        <v>1946</v>
      </c>
    </row>
    <row r="24" spans="1:26" ht="14">
      <c r="A24" s="56" t="str">
        <f t="shared" si="0"/>
        <v>N5SE</v>
      </c>
      <c r="B24" s="57">
        <v>5</v>
      </c>
      <c r="C24" s="58" t="s">
        <v>116</v>
      </c>
      <c r="D24" s="59">
        <f t="shared" si="1"/>
        <v>2800</v>
      </c>
      <c r="E24" s="60" t="s">
        <v>185</v>
      </c>
      <c r="F24" s="60">
        <v>1108242261</v>
      </c>
      <c r="G24" s="58" t="s">
        <v>186</v>
      </c>
      <c r="H24" s="60" t="s">
        <v>187</v>
      </c>
      <c r="I24" s="60">
        <v>114.1719781</v>
      </c>
      <c r="J24" s="60">
        <v>22.30433141</v>
      </c>
      <c r="K24" s="61">
        <v>25.799999</v>
      </c>
      <c r="L24" s="60" t="s">
        <v>114</v>
      </c>
      <c r="M24" s="61">
        <v>66</v>
      </c>
      <c r="N24" s="60" t="s">
        <v>115</v>
      </c>
      <c r="O24" s="61">
        <v>40.200001</v>
      </c>
      <c r="P24" s="69"/>
      <c r="Q24" s="43" t="b">
        <v>0</v>
      </c>
      <c r="R24" s="43" t="b">
        <v>0</v>
      </c>
      <c r="S24" s="43" t="b">
        <v>0</v>
      </c>
      <c r="T24" s="63"/>
      <c r="U24" s="68">
        <v>22</v>
      </c>
      <c r="V24" s="65">
        <v>0</v>
      </c>
      <c r="W24" s="66">
        <v>88</v>
      </c>
      <c r="X24" s="65">
        <v>1982</v>
      </c>
      <c r="Y24" s="60" t="s">
        <v>173</v>
      </c>
      <c r="Z24" s="66" t="s">
        <v>1948</v>
      </c>
    </row>
    <row r="25" spans="1:26" ht="14">
      <c r="A25" s="56" t="str">
        <f t="shared" si="0"/>
        <v>N5SW</v>
      </c>
      <c r="B25" s="57">
        <v>5</v>
      </c>
      <c r="C25" s="58" t="s">
        <v>121</v>
      </c>
      <c r="D25" s="59">
        <f t="shared" si="1"/>
        <v>2800</v>
      </c>
      <c r="E25" s="60" t="s">
        <v>188</v>
      </c>
      <c r="F25" s="60">
        <v>1108242382</v>
      </c>
      <c r="G25" s="58" t="s">
        <v>189</v>
      </c>
      <c r="H25" s="60" t="s">
        <v>190</v>
      </c>
      <c r="I25" s="60">
        <v>114.17143900000001</v>
      </c>
      <c r="J25" s="60">
        <v>22.304129790000001</v>
      </c>
      <c r="K25" s="61">
        <v>9.5</v>
      </c>
      <c r="L25" s="60" t="s">
        <v>126</v>
      </c>
      <c r="M25" s="61">
        <v>48.799999</v>
      </c>
      <c r="N25" s="60" t="s">
        <v>115</v>
      </c>
      <c r="O25" s="61">
        <v>39.299999</v>
      </c>
      <c r="P25" s="62"/>
      <c r="Q25" s="43" t="b">
        <v>0</v>
      </c>
      <c r="R25" s="43" t="b">
        <v>0</v>
      </c>
      <c r="S25" s="43" t="b">
        <v>0</v>
      </c>
      <c r="T25" s="63"/>
      <c r="U25" s="68">
        <v>10</v>
      </c>
      <c r="V25" s="60" t="str">
        <f>IFERROR(VLOOKUP($F25,NE_bmis!$A:$K,7,FALSE),"")</f>
        <v/>
      </c>
      <c r="W25" s="59" t="str">
        <f>IFERROR(VLOOKUP($F25,NE_bmis!$A:$K,8,FALSE),"")</f>
        <v/>
      </c>
      <c r="X25" s="60" t="str">
        <f>IFERROR(VLOOKUP($F25,NE_bmis!$A:$K,9,FALSE),"")</f>
        <v/>
      </c>
      <c r="Y25" s="60" t="s">
        <v>152</v>
      </c>
      <c r="Z25" s="66" t="s">
        <v>1950</v>
      </c>
    </row>
    <row r="26" spans="1:26" ht="14">
      <c r="A26" s="56" t="str">
        <f t="shared" si="0"/>
        <v>N5NW</v>
      </c>
      <c r="B26" s="57">
        <v>5</v>
      </c>
      <c r="C26" s="58" t="s">
        <v>127</v>
      </c>
      <c r="D26" s="59">
        <f t="shared" si="1"/>
        <v>2800</v>
      </c>
      <c r="E26" s="60" t="s">
        <v>191</v>
      </c>
      <c r="F26" s="60">
        <v>1108242315</v>
      </c>
      <c r="G26" s="58" t="s">
        <v>192</v>
      </c>
      <c r="H26" s="60" t="s">
        <v>193</v>
      </c>
      <c r="I26" s="60">
        <v>114.1713733</v>
      </c>
      <c r="J26" s="60">
        <v>22.304461969999998</v>
      </c>
      <c r="K26" s="61">
        <v>24.700001</v>
      </c>
      <c r="L26" s="60" t="s">
        <v>194</v>
      </c>
      <c r="M26" s="61">
        <v>79</v>
      </c>
      <c r="N26" s="60" t="s">
        <v>115</v>
      </c>
      <c r="O26" s="61">
        <v>54.299999</v>
      </c>
      <c r="P26" s="62"/>
      <c r="Q26" s="43" t="b">
        <v>0</v>
      </c>
      <c r="R26" s="43" t="b">
        <v>0</v>
      </c>
      <c r="S26" s="43" t="b">
        <v>0</v>
      </c>
      <c r="T26" s="63"/>
      <c r="U26" s="68">
        <f>IFERROR(VLOOKUP($F26,NE_bmis!$A:$K,6,FALSE),"")</f>
        <v>18</v>
      </c>
      <c r="V26" s="60">
        <f>IFERROR(VLOOKUP($F26,NE_bmis!$A:$K,7,FALSE),"")</f>
        <v>0</v>
      </c>
      <c r="W26" s="59">
        <f>IFERROR(VLOOKUP($F26,NE_bmis!$A:$K,8,FALSE),"")</f>
        <v>18</v>
      </c>
      <c r="X26" s="60">
        <f>IFERROR(VLOOKUP($F26,NE_bmis!$A:$K,9,FALSE),"")</f>
        <v>1993</v>
      </c>
      <c r="Y26" s="60" t="str">
        <f>IFERROR(VLOOKUP($F26,NE_bmis!$A:$K,11,FALSE),"")</f>
        <v>BMIS_auto</v>
      </c>
      <c r="Z26" s="66" t="s">
        <v>1952</v>
      </c>
    </row>
    <row r="27" spans="1:26" ht="14">
      <c r="A27" s="56" t="str">
        <f t="shared" si="0"/>
        <v>N6NE</v>
      </c>
      <c r="B27" s="57">
        <v>6</v>
      </c>
      <c r="C27" s="58" t="s">
        <v>110</v>
      </c>
      <c r="D27" s="59">
        <f t="shared" si="1"/>
        <v>3000</v>
      </c>
      <c r="E27" s="60" t="s">
        <v>195</v>
      </c>
      <c r="F27" s="60">
        <v>1108241669</v>
      </c>
      <c r="G27" s="58" t="s">
        <v>196</v>
      </c>
      <c r="H27" s="60"/>
      <c r="I27" s="60">
        <v>114.17176859999999</v>
      </c>
      <c r="J27" s="60">
        <v>22.306226989999999</v>
      </c>
      <c r="K27" s="61">
        <v>7</v>
      </c>
      <c r="L27" s="60" t="s">
        <v>126</v>
      </c>
      <c r="M27" s="61">
        <v>51.400002000000001</v>
      </c>
      <c r="N27" s="60" t="s">
        <v>115</v>
      </c>
      <c r="O27" s="61">
        <v>44.400002000000001</v>
      </c>
      <c r="P27" s="62"/>
      <c r="Q27" s="43" t="b">
        <v>0</v>
      </c>
      <c r="R27" s="43" t="b">
        <v>0</v>
      </c>
      <c r="S27" s="43" t="b">
        <v>0</v>
      </c>
      <c r="T27" s="63"/>
      <c r="U27" s="68">
        <v>25</v>
      </c>
      <c r="V27" s="60">
        <v>0</v>
      </c>
      <c r="W27" s="59">
        <v>25</v>
      </c>
      <c r="X27" s="60">
        <v>1999</v>
      </c>
      <c r="Y27" s="60" t="s">
        <v>173</v>
      </c>
      <c r="Z27" s="66" t="s">
        <v>1966</v>
      </c>
    </row>
    <row r="28" spans="1:26" ht="14">
      <c r="A28" s="56" t="str">
        <f t="shared" si="0"/>
        <v>N6SE</v>
      </c>
      <c r="B28" s="57">
        <v>6</v>
      </c>
      <c r="C28" s="58" t="s">
        <v>116</v>
      </c>
      <c r="D28" s="59">
        <f t="shared" si="1"/>
        <v>3000</v>
      </c>
      <c r="E28" s="60" t="s">
        <v>197</v>
      </c>
      <c r="F28" s="60">
        <v>1108241768</v>
      </c>
      <c r="G28" s="58" t="s">
        <v>198</v>
      </c>
      <c r="H28" s="60" t="s">
        <v>199</v>
      </c>
      <c r="I28" s="60">
        <v>114.1718084</v>
      </c>
      <c r="J28" s="60">
        <v>22.306039689999999</v>
      </c>
      <c r="K28" s="61">
        <v>7.1</v>
      </c>
      <c r="L28" s="60" t="s">
        <v>126</v>
      </c>
      <c r="M28" s="61">
        <v>47.799999</v>
      </c>
      <c r="N28" s="60" t="s">
        <v>115</v>
      </c>
      <c r="O28" s="61">
        <v>40.699998999999998</v>
      </c>
      <c r="P28" s="69"/>
      <c r="Q28" s="43" t="b">
        <v>0</v>
      </c>
      <c r="R28" s="43" t="b">
        <v>0</v>
      </c>
      <c r="S28" s="43" t="b">
        <v>0</v>
      </c>
      <c r="T28" s="63"/>
      <c r="U28" s="64">
        <f>IFERROR(VLOOKUP($F28,NE_bmis!$A:$K,6,FALSE),"")</f>
        <v>11</v>
      </c>
      <c r="V28" s="65">
        <f>IFERROR(VLOOKUP($F28,NE_bmis!$A:$K,7,FALSE),"")</f>
        <v>0</v>
      </c>
      <c r="W28" s="66">
        <f>IFERROR(VLOOKUP($F28,NE_bmis!$A:$K,8,FALSE),"")</f>
        <v>22</v>
      </c>
      <c r="X28" s="65">
        <f>IFERROR(VLOOKUP($F28,NE_bmis!$A:$K,9,FALSE),"")</f>
        <v>1965</v>
      </c>
      <c r="Y28" s="65" t="str">
        <f>IFERROR(VLOOKUP($F28,NE_bmis!$A:$K,11,FALSE),"")</f>
        <v>BMIS_auto</v>
      </c>
      <c r="Z28" s="66" t="s">
        <v>1968</v>
      </c>
    </row>
    <row r="29" spans="1:26" ht="14">
      <c r="A29" s="56" t="str">
        <f t="shared" si="0"/>
        <v>N6SW</v>
      </c>
      <c r="B29" s="57">
        <v>6</v>
      </c>
      <c r="C29" s="58" t="s">
        <v>121</v>
      </c>
      <c r="D29" s="59">
        <f t="shared" si="1"/>
        <v>3000</v>
      </c>
      <c r="E29" s="60" t="s">
        <v>200</v>
      </c>
      <c r="F29" s="60">
        <v>1108241727</v>
      </c>
      <c r="G29" s="58" t="s">
        <v>201</v>
      </c>
      <c r="H29" s="60" t="s">
        <v>202</v>
      </c>
      <c r="I29" s="60">
        <v>114.1712864</v>
      </c>
      <c r="J29" s="60">
        <v>22.306064249999999</v>
      </c>
      <c r="K29" s="61">
        <v>6.8</v>
      </c>
      <c r="L29" s="60" t="s">
        <v>126</v>
      </c>
      <c r="M29" s="61">
        <v>55.200001</v>
      </c>
      <c r="N29" s="60">
        <v>3</v>
      </c>
      <c r="O29" s="61">
        <v>48.400001000000003</v>
      </c>
      <c r="P29" s="62"/>
      <c r="Q29" s="43" t="b">
        <v>0</v>
      </c>
      <c r="R29" s="43" t="b">
        <v>0</v>
      </c>
      <c r="S29" s="43" t="b">
        <v>0</v>
      </c>
      <c r="T29" s="63"/>
      <c r="U29" s="64">
        <f>IFERROR(VLOOKUP($F29,NE_bmis!$A:$K,6,FALSE),"")</f>
        <v>15</v>
      </c>
      <c r="V29" s="60">
        <f>IFERROR(VLOOKUP($F29,NE_bmis!$A:$K,7,FALSE),"")</f>
        <v>0</v>
      </c>
      <c r="W29" s="59">
        <f>IFERROR(VLOOKUP($F29,NE_bmis!$A:$K,8,FALSE),"")</f>
        <v>94</v>
      </c>
      <c r="X29" s="60">
        <f>IFERROR(VLOOKUP($F29,NE_bmis!$A:$K,9,FALSE),"")</f>
        <v>1964</v>
      </c>
      <c r="Y29" s="65" t="str">
        <f>IFERROR(VLOOKUP($F29,NE_bmis!$A:$K,11,FALSE),"")</f>
        <v>BMIS_auto</v>
      </c>
      <c r="Z29" s="66" t="s">
        <v>1970</v>
      </c>
    </row>
    <row r="30" spans="1:26" ht="14">
      <c r="A30" s="56" t="str">
        <f t="shared" si="0"/>
        <v>N6NW</v>
      </c>
      <c r="B30" s="57">
        <v>6</v>
      </c>
      <c r="C30" s="58" t="s">
        <v>127</v>
      </c>
      <c r="D30" s="59">
        <f t="shared" si="1"/>
        <v>3000</v>
      </c>
      <c r="E30" s="60" t="s">
        <v>203</v>
      </c>
      <c r="F30" s="60">
        <v>1108241688</v>
      </c>
      <c r="G30" s="58" t="s">
        <v>204</v>
      </c>
      <c r="H30" s="60"/>
      <c r="I30" s="60">
        <v>114.1712813</v>
      </c>
      <c r="J30" s="60">
        <v>22.306179319999998</v>
      </c>
      <c r="K30" s="61">
        <v>6.5</v>
      </c>
      <c r="L30" s="60" t="s">
        <v>126</v>
      </c>
      <c r="M30" s="61">
        <v>42.599997999999999</v>
      </c>
      <c r="N30" s="60">
        <v>3</v>
      </c>
      <c r="O30" s="61">
        <v>36.099997999999999</v>
      </c>
      <c r="P30" s="69"/>
      <c r="Q30" s="43" t="b">
        <v>0</v>
      </c>
      <c r="R30" s="43" t="b">
        <v>0</v>
      </c>
      <c r="S30" s="43" t="b">
        <v>1</v>
      </c>
      <c r="T30" s="63"/>
      <c r="U30" s="64">
        <f>IFERROR(VLOOKUP($F30,NE_bmis!$A:$K,6,FALSE),"")</f>
        <v>10</v>
      </c>
      <c r="V30" s="65">
        <f>IFERROR(VLOOKUP($F30,NE_bmis!$A:$K,7,FALSE),"")</f>
        <v>0</v>
      </c>
      <c r="W30" s="66">
        <f>IFERROR(VLOOKUP($F30,NE_bmis!$A:$K,8,FALSE),"")</f>
        <v>20</v>
      </c>
      <c r="X30" s="65">
        <f>IFERROR(VLOOKUP($F30,NE_bmis!$A:$K,9,FALSE),"")</f>
        <v>1965</v>
      </c>
      <c r="Y30" s="65" t="str">
        <f>IFERROR(VLOOKUP($F30,NE_bmis!$A:$K,11,FALSE),"")</f>
        <v>BMIS_auto</v>
      </c>
      <c r="Z30" s="66" t="s">
        <v>1972</v>
      </c>
    </row>
    <row r="31" spans="1:26" ht="14">
      <c r="A31" s="56" t="str">
        <f t="shared" si="0"/>
        <v>N7NE</v>
      </c>
      <c r="B31" s="57">
        <v>7</v>
      </c>
      <c r="C31" s="58" t="s">
        <v>110</v>
      </c>
      <c r="D31" s="59">
        <f t="shared" si="1"/>
        <v>3200</v>
      </c>
      <c r="E31" s="60" t="s">
        <v>205</v>
      </c>
      <c r="F31" s="60">
        <v>1108240652</v>
      </c>
      <c r="G31" s="58" t="s">
        <v>206</v>
      </c>
      <c r="H31" s="60"/>
      <c r="I31" s="60">
        <v>114.1718235</v>
      </c>
      <c r="J31" s="60">
        <v>22.308042350000001</v>
      </c>
      <c r="K31" s="61">
        <v>20.9</v>
      </c>
      <c r="L31" s="60" t="s">
        <v>115</v>
      </c>
      <c r="M31" s="61">
        <v>32.599997999999999</v>
      </c>
      <c r="N31" s="60" t="s">
        <v>115</v>
      </c>
      <c r="O31" s="61">
        <v>11.699998000000001</v>
      </c>
      <c r="P31" s="69"/>
      <c r="Q31" s="43" t="b">
        <v>0</v>
      </c>
      <c r="R31" s="43" t="b">
        <v>0</v>
      </c>
      <c r="S31" s="43" t="b">
        <v>0</v>
      </c>
      <c r="T31" s="63"/>
      <c r="U31" s="68">
        <f>IFERROR(VLOOKUP($F31,NE_bmis!$A:$K,6,FALSE),"")</f>
        <v>10</v>
      </c>
      <c r="V31" s="65">
        <f>IFERROR(VLOOKUP($F31,NE_bmis!$A:$K,7,FALSE),"")</f>
        <v>0</v>
      </c>
      <c r="W31" s="66">
        <f>IFERROR(VLOOKUP($F31,NE_bmis!$A:$K,8,FALSE),"")</f>
        <v>20</v>
      </c>
      <c r="X31" s="65">
        <f>IFERROR(VLOOKUP($F31,NE_bmis!$A:$K,9,FALSE),"")</f>
        <v>1965</v>
      </c>
      <c r="Y31" s="60" t="str">
        <f>IFERROR(VLOOKUP($F31,NE_bmis!$A:$K,11,FALSE),"")</f>
        <v>BMIS_auto</v>
      </c>
      <c r="Z31" s="66" t="s">
        <v>1986</v>
      </c>
    </row>
    <row r="32" spans="1:26" ht="14">
      <c r="A32" s="56" t="str">
        <f t="shared" si="0"/>
        <v>N7SE</v>
      </c>
      <c r="B32" s="57">
        <v>7</v>
      </c>
      <c r="C32" s="58" t="s">
        <v>116</v>
      </c>
      <c r="D32" s="59">
        <f t="shared" si="1"/>
        <v>3200</v>
      </c>
      <c r="E32" s="60" t="s">
        <v>207</v>
      </c>
      <c r="F32" s="60">
        <v>1108240865</v>
      </c>
      <c r="G32" s="58" t="s">
        <v>208</v>
      </c>
      <c r="H32" s="60" t="s">
        <v>209</v>
      </c>
      <c r="I32" s="60">
        <v>114.17108159999999</v>
      </c>
      <c r="J32" s="60">
        <v>22.307448050000001</v>
      </c>
      <c r="K32" s="61">
        <v>17.799999</v>
      </c>
      <c r="L32" s="60" t="s">
        <v>115</v>
      </c>
      <c r="M32" s="61">
        <v>59.099997999999999</v>
      </c>
      <c r="N32" s="60" t="s">
        <v>115</v>
      </c>
      <c r="O32" s="61">
        <v>41.299999</v>
      </c>
      <c r="P32" s="62"/>
      <c r="Q32" s="43" t="b">
        <v>0</v>
      </c>
      <c r="R32" s="43" t="b">
        <v>0</v>
      </c>
      <c r="S32" s="43" t="b">
        <v>0</v>
      </c>
      <c r="T32" s="63"/>
      <c r="U32" s="68">
        <f>IFERROR(VLOOKUP($F32,NE_bmis!$A:$K,6,FALSE),"")</f>
        <v>18</v>
      </c>
      <c r="V32" s="65">
        <f>IFERROR(VLOOKUP($F32,NE_bmis!$A:$K,7,FALSE),"")</f>
        <v>0</v>
      </c>
      <c r="W32" s="66">
        <f>IFERROR(VLOOKUP($F32,NE_bmis!$A:$K,8,FALSE),"")</f>
        <v>21</v>
      </c>
      <c r="X32" s="65">
        <f>IFERROR(VLOOKUP($F32,NE_bmis!$A:$K,9,FALSE),"")</f>
        <v>1999</v>
      </c>
      <c r="Y32" s="60" t="str">
        <f>IFERROR(VLOOKUP($F32,NE_bmis!$A:$K,11,FALSE),"")</f>
        <v>BMIS_auto</v>
      </c>
      <c r="Z32" s="66" t="s">
        <v>1988</v>
      </c>
    </row>
    <row r="33" spans="1:26" ht="14">
      <c r="A33" s="56" t="str">
        <f t="shared" si="0"/>
        <v>N7SW</v>
      </c>
      <c r="B33" s="57">
        <v>7</v>
      </c>
      <c r="C33" s="58" t="s">
        <v>121</v>
      </c>
      <c r="D33" s="59">
        <f t="shared" si="1"/>
        <v>3200</v>
      </c>
      <c r="E33" s="60" t="s">
        <v>210</v>
      </c>
      <c r="F33" s="60">
        <v>1108240829</v>
      </c>
      <c r="G33" s="58" t="s">
        <v>211</v>
      </c>
      <c r="H33" s="60" t="s">
        <v>212</v>
      </c>
      <c r="I33" s="60">
        <v>114.171665</v>
      </c>
      <c r="J33" s="60">
        <v>22.307628170000001</v>
      </c>
      <c r="K33" s="61">
        <v>5.5</v>
      </c>
      <c r="L33" s="60" t="s">
        <v>126</v>
      </c>
      <c r="M33" s="61">
        <v>59.700001</v>
      </c>
      <c r="N33" s="60" t="s">
        <v>115</v>
      </c>
      <c r="O33" s="61">
        <v>54.200001</v>
      </c>
      <c r="P33" s="69"/>
      <c r="Q33" s="43" t="b">
        <v>0</v>
      </c>
      <c r="R33" s="43" t="b">
        <v>0</v>
      </c>
      <c r="S33" s="43" t="b">
        <v>0</v>
      </c>
      <c r="T33" s="63"/>
      <c r="U33" s="68">
        <v>16</v>
      </c>
      <c r="V33" s="65" t="str">
        <f>IFERROR(VLOOKUP($F33,NE_bmis!$A:$K,7,FALSE),"")</f>
        <v/>
      </c>
      <c r="W33" s="66" t="str">
        <f>IFERROR(VLOOKUP($F33,NE_bmis!$A:$K,8,FALSE),"")</f>
        <v/>
      </c>
      <c r="X33" s="65" t="str">
        <f>IFERROR(VLOOKUP($F33,NE_bmis!$A:$K,9,FALSE),"")</f>
        <v/>
      </c>
      <c r="Y33" s="60" t="s">
        <v>152</v>
      </c>
      <c r="Z33" s="66" t="s">
        <v>1990</v>
      </c>
    </row>
    <row r="34" spans="1:26" ht="14">
      <c r="A34" s="56" t="str">
        <f t="shared" si="0"/>
        <v>N7NW</v>
      </c>
      <c r="B34" s="57">
        <v>7</v>
      </c>
      <c r="C34" s="58" t="s">
        <v>127</v>
      </c>
      <c r="D34" s="59">
        <f t="shared" si="1"/>
        <v>3200</v>
      </c>
      <c r="E34" s="60" t="s">
        <v>213</v>
      </c>
      <c r="F34" s="60">
        <v>1108240658</v>
      </c>
      <c r="G34" s="58" t="s">
        <v>214</v>
      </c>
      <c r="H34" s="60" t="s">
        <v>215</v>
      </c>
      <c r="I34" s="60">
        <v>114.1710676</v>
      </c>
      <c r="J34" s="60">
        <v>22.30796114</v>
      </c>
      <c r="K34" s="61">
        <v>20.399999999999999</v>
      </c>
      <c r="L34" s="60" t="s">
        <v>115</v>
      </c>
      <c r="M34" s="61">
        <v>60.700001</v>
      </c>
      <c r="N34" s="60" t="s">
        <v>115</v>
      </c>
      <c r="O34" s="61">
        <v>40.300001000000002</v>
      </c>
      <c r="P34" s="67"/>
      <c r="Q34" s="43" t="b">
        <v>0</v>
      </c>
      <c r="R34" s="43" t="b">
        <v>0</v>
      </c>
      <c r="S34" s="43" t="b">
        <v>0</v>
      </c>
      <c r="T34" s="63"/>
      <c r="U34" s="68">
        <f>IFERROR(VLOOKUP($F34,NE_bmis!$A:$K,6,FALSE),"")</f>
        <v>16</v>
      </c>
      <c r="V34" s="60">
        <f>IFERROR(VLOOKUP($F34,NE_bmis!$A:$K,7,FALSE),"")</f>
        <v>0</v>
      </c>
      <c r="W34" s="59">
        <f>IFERROR(VLOOKUP($F34,NE_bmis!$A:$K,8,FALSE),"")</f>
        <v>110</v>
      </c>
      <c r="X34" s="65">
        <f>IFERROR(VLOOKUP($F34,NE_bmis!$A:$K,9,FALSE),"")</f>
        <v>1975</v>
      </c>
      <c r="Y34" s="60" t="str">
        <f>IFERROR(VLOOKUP($F34,NE_bmis!$A:$K,11,FALSE),"")</f>
        <v>BMIS_auto</v>
      </c>
      <c r="Z34" s="66" t="s">
        <v>1992</v>
      </c>
    </row>
    <row r="35" spans="1:26" ht="14">
      <c r="A35" s="56" t="str">
        <f t="shared" si="0"/>
        <v>N8NE</v>
      </c>
      <c r="B35" s="57">
        <v>8</v>
      </c>
      <c r="C35" s="58" t="s">
        <v>110</v>
      </c>
      <c r="D35" s="59">
        <f t="shared" si="1"/>
        <v>3400</v>
      </c>
      <c r="E35" s="60" t="s">
        <v>216</v>
      </c>
      <c r="F35" s="60">
        <v>1108240186</v>
      </c>
      <c r="G35" s="58" t="s">
        <v>217</v>
      </c>
      <c r="H35" s="60" t="s">
        <v>218</v>
      </c>
      <c r="I35" s="60">
        <v>114.17150719999999</v>
      </c>
      <c r="J35" s="60">
        <v>22.30991908</v>
      </c>
      <c r="K35" s="61">
        <v>6</v>
      </c>
      <c r="L35" s="60" t="s">
        <v>126</v>
      </c>
      <c r="M35" s="61">
        <v>55.200001</v>
      </c>
      <c r="N35" s="60" t="s">
        <v>115</v>
      </c>
      <c r="O35" s="61">
        <v>49.200001</v>
      </c>
      <c r="P35" s="69"/>
      <c r="Q35" s="43" t="b">
        <v>0</v>
      </c>
      <c r="R35" s="43" t="b">
        <v>0</v>
      </c>
      <c r="S35" s="43" t="b">
        <v>0</v>
      </c>
      <c r="T35" s="63"/>
      <c r="U35" s="68">
        <f>IFERROR(VLOOKUP($F35,NE_bmis!$A:$K,6,FALSE),"")</f>
        <v>16</v>
      </c>
      <c r="V35" s="60">
        <f>IFERROR(VLOOKUP($F35,NE_bmis!$A:$K,7,FALSE),"")</f>
        <v>0</v>
      </c>
      <c r="W35" s="66">
        <f>IFERROR(VLOOKUP($F35,NE_bmis!$A:$K,8,FALSE),"")</f>
        <v>90</v>
      </c>
      <c r="X35" s="65">
        <f>IFERROR(VLOOKUP($F35,NE_bmis!$A:$K,9,FALSE),"")</f>
        <v>1966</v>
      </c>
      <c r="Y35" s="60" t="str">
        <f>IFERROR(VLOOKUP($F35,NE_bmis!$A:$K,11,FALSE),"")</f>
        <v>BMIS_auto</v>
      </c>
      <c r="Z35" s="66" t="s">
        <v>2006</v>
      </c>
    </row>
    <row r="36" spans="1:26" ht="14">
      <c r="A36" s="56" t="str">
        <f t="shared" si="0"/>
        <v>N8SE</v>
      </c>
      <c r="B36" s="57">
        <v>8</v>
      </c>
      <c r="C36" s="58" t="s">
        <v>116</v>
      </c>
      <c r="D36" s="59">
        <f t="shared" si="1"/>
        <v>3400</v>
      </c>
      <c r="E36" s="60" t="s">
        <v>219</v>
      </c>
      <c r="F36" s="60">
        <v>1108240221</v>
      </c>
      <c r="G36" s="58" t="s">
        <v>220</v>
      </c>
      <c r="H36" s="60" t="s">
        <v>221</v>
      </c>
      <c r="I36" s="60">
        <v>114.17153829999999</v>
      </c>
      <c r="J36" s="60">
        <v>22.309790240000002</v>
      </c>
      <c r="K36" s="61">
        <v>5.9</v>
      </c>
      <c r="L36" s="60" t="s">
        <v>126</v>
      </c>
      <c r="M36" s="61">
        <v>45.599997999999999</v>
      </c>
      <c r="N36" s="60" t="s">
        <v>115</v>
      </c>
      <c r="O36" s="61">
        <v>39.699998000000001</v>
      </c>
      <c r="P36" s="62"/>
      <c r="Q36" s="43" t="b">
        <v>0</v>
      </c>
      <c r="R36" s="43" t="b">
        <v>0</v>
      </c>
      <c r="S36" s="43" t="b">
        <v>0</v>
      </c>
      <c r="T36" s="63"/>
      <c r="U36" s="68">
        <f>IFERROR(VLOOKUP($F36,NE_bmis!$A:$K,6,FALSE),"")</f>
        <v>12</v>
      </c>
      <c r="V36" s="60">
        <f>IFERROR(VLOOKUP($F36,NE_bmis!$A:$K,7,FALSE),"")</f>
        <v>0</v>
      </c>
      <c r="W36" s="59">
        <f>IFERROR(VLOOKUP($F36,NE_bmis!$A:$K,8,FALSE),"")</f>
        <v>24</v>
      </c>
      <c r="X36" s="60">
        <f>IFERROR(VLOOKUP($F36,NE_bmis!$A:$K,9,FALSE),"")</f>
        <v>1962</v>
      </c>
      <c r="Y36" s="60" t="str">
        <f>IFERROR(VLOOKUP($F36,NE_bmis!$A:$K,11,FALSE),"")</f>
        <v>BMIS_auto</v>
      </c>
      <c r="Z36" s="66" t="s">
        <v>2008</v>
      </c>
    </row>
    <row r="37" spans="1:26" ht="14">
      <c r="A37" s="56" t="str">
        <f t="shared" si="0"/>
        <v>N8SW</v>
      </c>
      <c r="B37" s="57">
        <v>8</v>
      </c>
      <c r="C37" s="58" t="s">
        <v>121</v>
      </c>
      <c r="D37" s="59">
        <f t="shared" si="1"/>
        <v>3400</v>
      </c>
      <c r="E37" s="60" t="s">
        <v>222</v>
      </c>
      <c r="F37" s="60">
        <v>1108240283</v>
      </c>
      <c r="G37" s="58" t="s">
        <v>223</v>
      </c>
      <c r="H37" s="60" t="s">
        <v>224</v>
      </c>
      <c r="I37" s="60">
        <v>114.17092270000001</v>
      </c>
      <c r="J37" s="60">
        <v>22.309456099999998</v>
      </c>
      <c r="K37" s="61">
        <v>19.600000000000001</v>
      </c>
      <c r="L37" s="60" t="s">
        <v>115</v>
      </c>
      <c r="M37" s="61">
        <v>67.599997999999999</v>
      </c>
      <c r="N37" s="60" t="s">
        <v>115</v>
      </c>
      <c r="O37" s="61">
        <v>47.999997999999998</v>
      </c>
      <c r="P37" s="62" t="s">
        <v>182</v>
      </c>
      <c r="Q37" s="43" t="b">
        <v>0</v>
      </c>
      <c r="R37" s="43" t="b">
        <v>1</v>
      </c>
      <c r="S37" s="43" t="b">
        <v>0</v>
      </c>
      <c r="T37" s="63"/>
      <c r="U37" s="68">
        <v>19</v>
      </c>
      <c r="V37" s="60" t="str">
        <f>IFERROR(VLOOKUP($F37,NE_bmis!$A:$K,7,FALSE),"")</f>
        <v/>
      </c>
      <c r="W37" s="59" t="str">
        <f>IFERROR(VLOOKUP($F37,NE_bmis!$A:$K,8,FALSE),"")</f>
        <v/>
      </c>
      <c r="X37" s="60" t="str">
        <f>IFERROR(VLOOKUP($F37,NE_bmis!$A:$K,9,FALSE),"")</f>
        <v/>
      </c>
      <c r="Y37" s="60" t="s">
        <v>152</v>
      </c>
      <c r="Z37" s="66" t="s">
        <v>2010</v>
      </c>
    </row>
    <row r="38" spans="1:26" ht="14">
      <c r="A38" s="56" t="str">
        <f t="shared" si="0"/>
        <v>N8NW</v>
      </c>
      <c r="B38" s="57">
        <v>8</v>
      </c>
      <c r="C38" s="58" t="s">
        <v>127</v>
      </c>
      <c r="D38" s="59">
        <f t="shared" si="1"/>
        <v>3400</v>
      </c>
      <c r="E38" s="60" t="s">
        <v>225</v>
      </c>
      <c r="F38" s="60">
        <v>1108240246</v>
      </c>
      <c r="G38" s="58" t="s">
        <v>226</v>
      </c>
      <c r="H38" s="60"/>
      <c r="I38" s="60">
        <v>114.1707203</v>
      </c>
      <c r="J38" s="60">
        <v>22.30971456</v>
      </c>
      <c r="K38" s="61">
        <v>6.1</v>
      </c>
      <c r="L38" s="60" t="s">
        <v>126</v>
      </c>
      <c r="M38" s="61">
        <v>13.3</v>
      </c>
      <c r="N38" s="60">
        <v>3</v>
      </c>
      <c r="O38" s="61">
        <v>7.2</v>
      </c>
      <c r="P38" s="71" t="s">
        <v>156</v>
      </c>
      <c r="Q38" s="43" t="b">
        <v>0</v>
      </c>
      <c r="R38" s="43" t="b">
        <v>1</v>
      </c>
      <c r="S38" s="43" t="b">
        <v>0</v>
      </c>
      <c r="T38" s="63"/>
      <c r="U38" s="68">
        <v>2</v>
      </c>
      <c r="V38" s="65" t="str">
        <f>IFERROR(VLOOKUP($F38,NE_bmis!$A:$K,7,FALSE),"")</f>
        <v/>
      </c>
      <c r="W38" s="66" t="str">
        <f>IFERROR(VLOOKUP($F38,NE_bmis!$A:$K,8,FALSE),"")</f>
        <v/>
      </c>
      <c r="X38" s="65" t="str">
        <f>IFERROR(VLOOKUP($F38,NE_bmis!$A:$K,9,FALSE),"")</f>
        <v/>
      </c>
      <c r="Y38" s="60" t="s">
        <v>227</v>
      </c>
      <c r="Z38" s="66" t="s">
        <v>2012</v>
      </c>
    </row>
    <row r="39" spans="1:26" ht="14">
      <c r="A39" s="56" t="str">
        <f t="shared" si="0"/>
        <v>N9NE</v>
      </c>
      <c r="B39" s="57">
        <v>9</v>
      </c>
      <c r="C39" s="58" t="s">
        <v>110</v>
      </c>
      <c r="D39" s="59">
        <f t="shared" si="1"/>
        <v>3600</v>
      </c>
      <c r="E39" s="60" t="s">
        <v>228</v>
      </c>
      <c r="F39" s="60">
        <v>1108239661</v>
      </c>
      <c r="G39" s="58" t="s">
        <v>229</v>
      </c>
      <c r="H39" s="60" t="s">
        <v>230</v>
      </c>
      <c r="I39" s="60">
        <v>114.1711861</v>
      </c>
      <c r="J39" s="60">
        <v>22.311567019999998</v>
      </c>
      <c r="K39" s="61">
        <v>21.799999</v>
      </c>
      <c r="L39" s="60" t="s">
        <v>115</v>
      </c>
      <c r="M39" s="61">
        <v>77.199996999999996</v>
      </c>
      <c r="N39" s="60">
        <v>3</v>
      </c>
      <c r="O39" s="61">
        <v>55.399997999999997</v>
      </c>
      <c r="P39" s="62"/>
      <c r="Q39" s="43" t="b">
        <v>0</v>
      </c>
      <c r="R39" s="43" t="b">
        <v>0</v>
      </c>
      <c r="S39" s="43" t="b">
        <v>0</v>
      </c>
      <c r="T39" s="63"/>
      <c r="U39" s="68">
        <f>IFERROR(VLOOKUP($F39,NE_bmis!$A:$K,6,FALSE),"")</f>
        <v>24</v>
      </c>
      <c r="V39" s="60">
        <f>IFERROR(VLOOKUP($F39,NE_bmis!$A:$K,7,FALSE),"")</f>
        <v>0</v>
      </c>
      <c r="W39" s="59">
        <f>IFERROR(VLOOKUP($F39,NE_bmis!$A:$K,8,FALSE),"")</f>
        <v>48</v>
      </c>
      <c r="X39" s="60">
        <f>IFERROR(VLOOKUP($F39,NE_bmis!$A:$K,9,FALSE),"")</f>
        <v>1976</v>
      </c>
      <c r="Y39" s="60" t="str">
        <f>IFERROR(VLOOKUP($F39,NE_bmis!$A:$K,11,FALSE),"")</f>
        <v>BMIS_auto</v>
      </c>
      <c r="Z39" s="66" t="s">
        <v>2026</v>
      </c>
    </row>
    <row r="40" spans="1:26" ht="14">
      <c r="A40" s="56" t="str">
        <f t="shared" si="0"/>
        <v>N9SE</v>
      </c>
      <c r="B40" s="57">
        <v>9</v>
      </c>
      <c r="C40" s="58" t="s">
        <v>116</v>
      </c>
      <c r="D40" s="59">
        <f t="shared" si="1"/>
        <v>3600</v>
      </c>
      <c r="E40" s="60" t="s">
        <v>231</v>
      </c>
      <c r="F40" s="60">
        <v>1108239696</v>
      </c>
      <c r="G40" s="58" t="s">
        <v>232</v>
      </c>
      <c r="H40" s="60" t="s">
        <v>233</v>
      </c>
      <c r="I40" s="60">
        <v>114.1712057</v>
      </c>
      <c r="J40" s="60">
        <v>22.311485009999998</v>
      </c>
      <c r="K40" s="61">
        <v>5.5</v>
      </c>
      <c r="L40" s="60" t="s">
        <v>126</v>
      </c>
      <c r="M40" s="61">
        <v>46.799999</v>
      </c>
      <c r="N40" s="60">
        <v>3</v>
      </c>
      <c r="O40" s="61">
        <v>41.299999</v>
      </c>
      <c r="P40" s="69"/>
      <c r="Q40" s="43" t="b">
        <v>0</v>
      </c>
      <c r="R40" s="43" t="b">
        <v>0</v>
      </c>
      <c r="S40" s="43" t="b">
        <v>0</v>
      </c>
      <c r="T40" s="63"/>
      <c r="U40" s="68">
        <v>24</v>
      </c>
      <c r="V40" s="60">
        <f>IFERROR(VLOOKUP($F40,NE_bmis!$A:$K,7,FALSE),"")</f>
        <v>0</v>
      </c>
      <c r="W40" s="59">
        <v>24</v>
      </c>
      <c r="X40" s="60">
        <v>1974</v>
      </c>
      <c r="Y40" s="60" t="s">
        <v>173</v>
      </c>
      <c r="Z40" s="66" t="s">
        <v>2028</v>
      </c>
    </row>
    <row r="41" spans="1:26" ht="14">
      <c r="A41" s="56" t="str">
        <f t="shared" si="0"/>
        <v>N9NW</v>
      </c>
      <c r="B41" s="58">
        <v>9</v>
      </c>
      <c r="C41" s="58" t="s">
        <v>127</v>
      </c>
      <c r="D41" s="59">
        <f t="shared" si="1"/>
        <v>3600</v>
      </c>
      <c r="E41" s="60" t="s">
        <v>234</v>
      </c>
      <c r="F41" s="60">
        <v>1108239676</v>
      </c>
      <c r="G41" s="58" t="s">
        <v>235</v>
      </c>
      <c r="H41" s="60"/>
      <c r="I41" s="60">
        <v>114.1707248</v>
      </c>
      <c r="J41" s="60">
        <v>22.311497230000001</v>
      </c>
      <c r="K41" s="61">
        <v>5.4</v>
      </c>
      <c r="L41" s="60" t="s">
        <v>126</v>
      </c>
      <c r="M41" s="61">
        <v>54.799999</v>
      </c>
      <c r="N41" s="60" t="s">
        <v>115</v>
      </c>
      <c r="O41" s="61">
        <v>49.399999000000001</v>
      </c>
      <c r="P41" s="62"/>
      <c r="Q41" s="43" t="b">
        <v>0</v>
      </c>
      <c r="R41" s="43" t="b">
        <v>0</v>
      </c>
      <c r="S41" s="43" t="b">
        <v>0</v>
      </c>
      <c r="T41" s="63"/>
      <c r="U41" s="68">
        <v>15</v>
      </c>
      <c r="V41" s="65" t="str">
        <f>IFERROR(VLOOKUP($F41,NE_bmis!$A:$K,7,FALSE),"")</f>
        <v/>
      </c>
      <c r="W41" s="66" t="str">
        <f>IFERROR(VLOOKUP($F41,NE_bmis!$A:$K,8,FALSE),"")</f>
        <v/>
      </c>
      <c r="X41" s="65" t="str">
        <f>IFERROR(VLOOKUP($F41,NE_bmis!$A:$K,9,FALSE),"")</f>
        <v/>
      </c>
      <c r="Y41" s="60" t="s">
        <v>227</v>
      </c>
      <c r="Z41" s="66" t="s">
        <v>2030</v>
      </c>
    </row>
    <row r="42" spans="1:26" ht="14">
      <c r="A42" s="56" t="str">
        <f t="shared" si="0"/>
        <v>N9SW</v>
      </c>
      <c r="B42" s="58">
        <v>9</v>
      </c>
      <c r="C42" s="58" t="s">
        <v>121</v>
      </c>
      <c r="D42" s="59">
        <f t="shared" si="1"/>
        <v>3600</v>
      </c>
      <c r="E42" s="60" t="s">
        <v>236</v>
      </c>
      <c r="F42" s="60">
        <v>1810095790</v>
      </c>
      <c r="G42" s="58" t="s">
        <v>237</v>
      </c>
      <c r="H42" s="60"/>
      <c r="I42" s="60">
        <v>114.17075509999999</v>
      </c>
      <c r="J42" s="60">
        <v>22.311339700000001</v>
      </c>
      <c r="K42" s="61">
        <v>5.4</v>
      </c>
      <c r="L42" s="60" t="s">
        <v>126</v>
      </c>
      <c r="M42" s="61">
        <v>51.299999</v>
      </c>
      <c r="N42" s="60">
        <v>3</v>
      </c>
      <c r="O42" s="61">
        <v>45.899999000000001</v>
      </c>
      <c r="P42" s="62"/>
      <c r="Q42" s="43" t="b">
        <v>0</v>
      </c>
      <c r="R42" s="43" t="b">
        <v>0</v>
      </c>
      <c r="S42" s="43" t="b">
        <v>0</v>
      </c>
      <c r="T42" s="63"/>
      <c r="U42" s="64">
        <v>14</v>
      </c>
      <c r="V42" s="65" t="str">
        <f>IFERROR(VLOOKUP($F42,NE_bmis!$A:$K,7,FALSE),"")</f>
        <v/>
      </c>
      <c r="W42" s="66" t="str">
        <f>IFERROR(VLOOKUP($F42,NE_bmis!$A:$K,8,FALSE),"")</f>
        <v/>
      </c>
      <c r="X42" s="65" t="str">
        <f>IFERROR(VLOOKUP($F42,NE_bmis!$A:$K,9,FALSE),"")</f>
        <v/>
      </c>
      <c r="Y42" s="65" t="s">
        <v>227</v>
      </c>
      <c r="Z42" s="66" t="s">
        <v>2032</v>
      </c>
    </row>
    <row r="43" spans="1:26" ht="14">
      <c r="A43" s="56" t="str">
        <f t="shared" si="0"/>
        <v>N10NE</v>
      </c>
      <c r="B43" s="58">
        <v>10</v>
      </c>
      <c r="C43" s="58" t="s">
        <v>110</v>
      </c>
      <c r="D43" s="59">
        <f t="shared" si="1"/>
        <v>3800</v>
      </c>
      <c r="E43" s="60" t="s">
        <v>238</v>
      </c>
      <c r="F43" s="60">
        <v>1108238725</v>
      </c>
      <c r="G43" s="58" t="s">
        <v>239</v>
      </c>
      <c r="H43" s="60" t="s">
        <v>240</v>
      </c>
      <c r="I43" s="60">
        <v>114.1708527</v>
      </c>
      <c r="J43" s="60">
        <v>22.31335666</v>
      </c>
      <c r="K43" s="61">
        <v>20.200001</v>
      </c>
      <c r="L43" s="60" t="s">
        <v>115</v>
      </c>
      <c r="M43" s="61">
        <v>58</v>
      </c>
      <c r="N43" s="60">
        <v>3</v>
      </c>
      <c r="O43" s="61">
        <v>37.799999</v>
      </c>
      <c r="P43" s="62"/>
      <c r="Q43" s="43" t="b">
        <v>0</v>
      </c>
      <c r="R43" s="43" t="b">
        <v>0</v>
      </c>
      <c r="S43" s="43" t="b">
        <v>0</v>
      </c>
      <c r="T43" s="63"/>
      <c r="U43" s="68">
        <v>16</v>
      </c>
      <c r="V43" s="60"/>
      <c r="W43" s="59">
        <v>52</v>
      </c>
      <c r="X43" s="60">
        <v>1969</v>
      </c>
      <c r="Y43" s="60" t="s">
        <v>173</v>
      </c>
      <c r="Z43" s="66" t="s">
        <v>2041</v>
      </c>
    </row>
    <row r="44" spans="1:26" ht="14">
      <c r="A44" s="56" t="str">
        <f t="shared" si="0"/>
        <v>N10SE</v>
      </c>
      <c r="B44" s="58">
        <v>10</v>
      </c>
      <c r="C44" s="58" t="s">
        <v>116</v>
      </c>
      <c r="D44" s="59">
        <f t="shared" si="1"/>
        <v>3800</v>
      </c>
      <c r="E44" s="60" t="s">
        <v>241</v>
      </c>
      <c r="F44" s="60">
        <v>1108238831</v>
      </c>
      <c r="G44" s="58" t="s">
        <v>242</v>
      </c>
      <c r="H44" s="60" t="s">
        <v>243</v>
      </c>
      <c r="I44" s="60">
        <v>114.17088560000001</v>
      </c>
      <c r="J44" s="60">
        <v>22.31321578</v>
      </c>
      <c r="K44" s="61">
        <v>4.7</v>
      </c>
      <c r="L44" s="60" t="s">
        <v>126</v>
      </c>
      <c r="M44" s="61">
        <v>49.200001</v>
      </c>
      <c r="N44" s="60">
        <v>3</v>
      </c>
      <c r="O44" s="61">
        <v>44.500000999999997</v>
      </c>
      <c r="P44" s="62"/>
      <c r="Q44" s="43" t="b">
        <v>0</v>
      </c>
      <c r="R44" s="43" t="b">
        <v>0</v>
      </c>
      <c r="S44" s="43" t="b">
        <v>0</v>
      </c>
      <c r="T44" s="63"/>
      <c r="U44" s="68">
        <f>IFERROR(VLOOKUP($F44,NE_bmis!$A:$K,6,FALSE),"")</f>
        <v>13</v>
      </c>
      <c r="V44" s="60">
        <f>IFERROR(VLOOKUP($F44,NE_bmis!$A:$K,7,FALSE),"")</f>
        <v>0</v>
      </c>
      <c r="W44" s="59">
        <f>IFERROR(VLOOKUP($F44,NE_bmis!$A:$K,8,FALSE),"")</f>
        <v>26</v>
      </c>
      <c r="X44" s="60">
        <f>IFERROR(VLOOKUP($F44,NE_bmis!$A:$K,9,FALSE),"")</f>
        <v>1974</v>
      </c>
      <c r="Y44" s="60" t="str">
        <f>IFERROR(VLOOKUP($F44,NE_bmis!$A:$K,11,FALSE),"")</f>
        <v>BMIS_auto</v>
      </c>
      <c r="Z44" s="66" t="s">
        <v>2043</v>
      </c>
    </row>
    <row r="45" spans="1:26" ht="14">
      <c r="A45" s="56" t="str">
        <f t="shared" si="0"/>
        <v>N10SW</v>
      </c>
      <c r="B45" s="58">
        <v>10</v>
      </c>
      <c r="C45" s="58" t="s">
        <v>121</v>
      </c>
      <c r="D45" s="59">
        <f t="shared" si="1"/>
        <v>3800</v>
      </c>
      <c r="E45" s="60" t="s">
        <v>244</v>
      </c>
      <c r="F45" s="60">
        <v>1108239101</v>
      </c>
      <c r="G45" s="58" t="s">
        <v>245</v>
      </c>
      <c r="H45" s="60" t="s">
        <v>246</v>
      </c>
      <c r="I45" s="60">
        <v>114.1704589</v>
      </c>
      <c r="J45" s="60">
        <v>22.312755159999998</v>
      </c>
      <c r="K45" s="61">
        <v>4.5</v>
      </c>
      <c r="L45" s="60" t="s">
        <v>126</v>
      </c>
      <c r="M45" s="61">
        <v>49.799999</v>
      </c>
      <c r="N45" s="60" t="s">
        <v>115</v>
      </c>
      <c r="O45" s="61">
        <v>45.299999</v>
      </c>
      <c r="P45" s="62"/>
      <c r="Q45" s="43" t="b">
        <v>0</v>
      </c>
      <c r="R45" s="43" t="b">
        <v>0</v>
      </c>
      <c r="S45" s="43" t="b">
        <v>0</v>
      </c>
      <c r="T45" s="63"/>
      <c r="U45" s="68">
        <f>IFERROR(VLOOKUP($F45,NE_bmis!$A:$K,6,FALSE),"")</f>
        <v>13</v>
      </c>
      <c r="V45" s="60">
        <f>IFERROR(VLOOKUP($F45,NE_bmis!$A:$K,7,FALSE),"")</f>
        <v>0</v>
      </c>
      <c r="W45" s="59">
        <f>IFERROR(VLOOKUP($F45,NE_bmis!$A:$K,8,FALSE),"")</f>
        <v>48</v>
      </c>
      <c r="X45" s="60">
        <f>IFERROR(VLOOKUP($F45,NE_bmis!$A:$K,9,FALSE),"")</f>
        <v>1967</v>
      </c>
      <c r="Y45" s="60" t="str">
        <f>IFERROR(VLOOKUP($F45,NE_bmis!$A:$K,11,FALSE),"")</f>
        <v>BMIS_auto</v>
      </c>
      <c r="Z45" s="66" t="s">
        <v>2045</v>
      </c>
    </row>
    <row r="46" spans="1:26" ht="14">
      <c r="A46" s="56" t="str">
        <f t="shared" si="0"/>
        <v>N10NW</v>
      </c>
      <c r="B46" s="58">
        <v>10</v>
      </c>
      <c r="C46" s="58" t="s">
        <v>127</v>
      </c>
      <c r="D46" s="59">
        <f t="shared" si="1"/>
        <v>3800</v>
      </c>
      <c r="E46" s="60" t="s">
        <v>247</v>
      </c>
      <c r="F46" s="60">
        <v>1108238565</v>
      </c>
      <c r="G46" s="58" t="s">
        <v>248</v>
      </c>
      <c r="H46" s="60" t="s">
        <v>249</v>
      </c>
      <c r="I46" s="60">
        <v>114.1703284</v>
      </c>
      <c r="J46" s="60">
        <v>22.313439110000001</v>
      </c>
      <c r="K46" s="61">
        <v>4.4000000000000004</v>
      </c>
      <c r="L46" s="60" t="s">
        <v>126</v>
      </c>
      <c r="M46" s="61">
        <v>70.400002000000001</v>
      </c>
      <c r="N46" s="60" t="s">
        <v>115</v>
      </c>
      <c r="O46" s="61">
        <v>66.000001999999995</v>
      </c>
      <c r="P46" s="62"/>
      <c r="Q46" s="43" t="b">
        <v>0</v>
      </c>
      <c r="R46" s="43" t="b">
        <v>0</v>
      </c>
      <c r="S46" s="43" t="b">
        <v>0</v>
      </c>
      <c r="T46" s="63"/>
      <c r="U46" s="68">
        <v>22</v>
      </c>
      <c r="V46" s="60">
        <v>0</v>
      </c>
      <c r="W46" s="59">
        <v>362</v>
      </c>
      <c r="X46" s="60">
        <v>1969</v>
      </c>
      <c r="Y46" s="60" t="s">
        <v>173</v>
      </c>
      <c r="Z46" s="66" t="s">
        <v>2047</v>
      </c>
    </row>
    <row r="47" spans="1:26" ht="14">
      <c r="A47" s="56" t="str">
        <f t="shared" si="0"/>
        <v>N11NE</v>
      </c>
      <c r="B47" s="58">
        <v>11</v>
      </c>
      <c r="C47" s="58" t="s">
        <v>110</v>
      </c>
      <c r="D47" s="59">
        <f t="shared" si="1"/>
        <v>4000</v>
      </c>
      <c r="E47" s="60" t="s">
        <v>250</v>
      </c>
      <c r="F47" s="60">
        <v>1108237754</v>
      </c>
      <c r="G47" s="58" t="s">
        <v>251</v>
      </c>
      <c r="H47" s="60" t="s">
        <v>252</v>
      </c>
      <c r="I47" s="60">
        <v>114.17048870000001</v>
      </c>
      <c r="J47" s="60">
        <v>22.31517131</v>
      </c>
      <c r="K47" s="61">
        <v>5.0999999999999996</v>
      </c>
      <c r="L47" s="60" t="s">
        <v>126</v>
      </c>
      <c r="M47" s="61">
        <v>82.300003000000004</v>
      </c>
      <c r="N47" s="60">
        <v>3</v>
      </c>
      <c r="O47" s="61">
        <v>77.200002999999995</v>
      </c>
      <c r="P47" s="62"/>
      <c r="Q47" s="43" t="b">
        <v>0</v>
      </c>
      <c r="R47" s="43" t="b">
        <v>0</v>
      </c>
      <c r="S47" s="43" t="b">
        <v>0</v>
      </c>
      <c r="T47" s="63"/>
      <c r="U47" s="68">
        <f>IFERROR(VLOOKUP($F47,NE_bmis!$A:$K,6,FALSE),"")</f>
        <v>24</v>
      </c>
      <c r="V47" s="60">
        <f>IFERROR(VLOOKUP($F47,NE_bmis!$A:$K,7,FALSE),"")</f>
        <v>0</v>
      </c>
      <c r="W47" s="59">
        <f>IFERROR(VLOOKUP($F47,NE_bmis!$A:$K,8,FALSE),"")</f>
        <v>24</v>
      </c>
      <c r="X47" s="60">
        <f>IFERROR(VLOOKUP($F47,NE_bmis!$A:$K,9,FALSE),"")</f>
        <v>1997</v>
      </c>
      <c r="Y47" s="60" t="str">
        <f>IFERROR(VLOOKUP($F47,NE_bmis!$A:$K,11,FALSE),"")</f>
        <v>BMIS_auto</v>
      </c>
      <c r="Z47" s="66" t="s">
        <v>2055</v>
      </c>
    </row>
    <row r="48" spans="1:26" ht="14">
      <c r="A48" s="56" t="str">
        <f t="shared" si="0"/>
        <v>N11SE</v>
      </c>
      <c r="B48" s="58">
        <v>11</v>
      </c>
      <c r="C48" s="58" t="s">
        <v>116</v>
      </c>
      <c r="D48" s="59">
        <f t="shared" si="1"/>
        <v>4000</v>
      </c>
      <c r="E48" s="60" t="s">
        <v>253</v>
      </c>
      <c r="F48" s="60">
        <v>1108237821</v>
      </c>
      <c r="G48" s="58" t="s">
        <v>254</v>
      </c>
      <c r="H48" s="60" t="s">
        <v>255</v>
      </c>
      <c r="I48" s="60">
        <v>114.1705116</v>
      </c>
      <c r="J48" s="60">
        <v>22.315060290000002</v>
      </c>
      <c r="K48" s="61">
        <v>5.0999999999999996</v>
      </c>
      <c r="L48" s="60" t="s">
        <v>126</v>
      </c>
      <c r="M48" s="61">
        <v>74.699996999999996</v>
      </c>
      <c r="N48" s="60">
        <v>3</v>
      </c>
      <c r="O48" s="61">
        <v>69.599997000000002</v>
      </c>
      <c r="P48" s="62"/>
      <c r="Q48" s="43" t="b">
        <v>0</v>
      </c>
      <c r="R48" s="43" t="b">
        <v>0</v>
      </c>
      <c r="S48" s="43" t="b">
        <v>0</v>
      </c>
      <c r="T48" s="63"/>
      <c r="U48" s="68">
        <f>IFERROR(VLOOKUP($F48,NE_bmis!$A:$K,6,FALSE),"")</f>
        <v>22</v>
      </c>
      <c r="V48" s="60">
        <f>IFERROR(VLOOKUP($F48,NE_bmis!$A:$K,7,FALSE),"")</f>
        <v>0</v>
      </c>
      <c r="W48" s="59">
        <f>IFERROR(VLOOKUP($F48,NE_bmis!$A:$K,8,FALSE),"")</f>
        <v>30</v>
      </c>
      <c r="X48" s="60">
        <f>IFERROR(VLOOKUP($F48,NE_bmis!$A:$K,9,FALSE),"")</f>
        <v>1975</v>
      </c>
      <c r="Y48" s="60" t="str">
        <f>IFERROR(VLOOKUP($F48,NE_bmis!$A:$K,11,FALSE),"")</f>
        <v>BMIS_auto</v>
      </c>
      <c r="Z48" s="66" t="s">
        <v>2057</v>
      </c>
    </row>
    <row r="49" spans="1:26" ht="14">
      <c r="A49" s="56" t="str">
        <f t="shared" si="0"/>
        <v>N11SW</v>
      </c>
      <c r="B49" s="58">
        <v>11</v>
      </c>
      <c r="C49" s="58" t="s">
        <v>121</v>
      </c>
      <c r="D49" s="59">
        <f t="shared" si="1"/>
        <v>4000</v>
      </c>
      <c r="E49" s="60" t="s">
        <v>256</v>
      </c>
      <c r="F49" s="60">
        <v>1108237866</v>
      </c>
      <c r="G49" s="58" t="s">
        <v>257</v>
      </c>
      <c r="H49" s="60" t="s">
        <v>258</v>
      </c>
      <c r="I49" s="60">
        <v>114.1700129</v>
      </c>
      <c r="J49" s="60">
        <v>22.314952949999999</v>
      </c>
      <c r="K49" s="61">
        <v>20.200001</v>
      </c>
      <c r="L49" s="60" t="s">
        <v>115</v>
      </c>
      <c r="M49" s="61">
        <v>88.400002000000001</v>
      </c>
      <c r="N49" s="60" t="s">
        <v>115</v>
      </c>
      <c r="O49" s="61">
        <v>68.200001</v>
      </c>
      <c r="P49" s="62"/>
      <c r="Q49" s="43" t="b">
        <v>0</v>
      </c>
      <c r="R49" s="43" t="b">
        <v>0</v>
      </c>
      <c r="S49" s="43" t="b">
        <v>0</v>
      </c>
      <c r="T49" s="63"/>
      <c r="U49" s="68">
        <f>IFERROR(VLOOKUP($F49,NE_bmis!$A:$K,6,FALSE),"")</f>
        <v>24</v>
      </c>
      <c r="V49" s="60">
        <f>IFERROR(VLOOKUP($F49,NE_bmis!$A:$K,7,FALSE),"")</f>
        <v>1</v>
      </c>
      <c r="W49" s="59">
        <f>IFERROR(VLOOKUP($F49,NE_bmis!$A:$K,8,FALSE),"")</f>
        <v>26</v>
      </c>
      <c r="X49" s="60">
        <f>IFERROR(VLOOKUP($F49,NE_bmis!$A:$K,9,FALSE),"")</f>
        <v>1995</v>
      </c>
      <c r="Y49" s="60" t="str">
        <f>IFERROR(VLOOKUP($F49,NE_bmis!$A:$K,11,FALSE),"")</f>
        <v>BMIS_auto</v>
      </c>
      <c r="Z49" s="66" t="s">
        <v>2059</v>
      </c>
    </row>
    <row r="50" spans="1:26" ht="14">
      <c r="A50" s="56" t="str">
        <f t="shared" si="0"/>
        <v>N11NW</v>
      </c>
      <c r="B50" s="58">
        <v>11</v>
      </c>
      <c r="C50" s="58" t="s">
        <v>127</v>
      </c>
      <c r="D50" s="59">
        <f t="shared" si="1"/>
        <v>4000</v>
      </c>
      <c r="E50" s="60" t="s">
        <v>259</v>
      </c>
      <c r="F50" s="60">
        <v>1810178822</v>
      </c>
      <c r="G50" s="58" t="s">
        <v>260</v>
      </c>
      <c r="H50" s="60"/>
      <c r="I50" s="60">
        <v>114.16997840000001</v>
      </c>
      <c r="J50" s="60">
        <v>22.315117149999999</v>
      </c>
      <c r="K50" s="61">
        <v>21</v>
      </c>
      <c r="L50" s="60" t="s">
        <v>114</v>
      </c>
      <c r="M50" s="61">
        <v>94</v>
      </c>
      <c r="N50" s="60" t="s">
        <v>114</v>
      </c>
      <c r="O50" s="61">
        <v>73</v>
      </c>
      <c r="P50" s="62"/>
      <c r="Q50" s="43" t="b">
        <v>0</v>
      </c>
      <c r="R50" s="43" t="b">
        <v>0</v>
      </c>
      <c r="S50" s="43" t="b">
        <v>0</v>
      </c>
      <c r="T50" s="63"/>
      <c r="U50" s="68">
        <v>19</v>
      </c>
      <c r="V50" s="60" t="str">
        <f>IFERROR(VLOOKUP($F50,NE_bmis!$A:$K,7,FALSE),"")</f>
        <v/>
      </c>
      <c r="W50" s="59" t="str">
        <f>IFERROR(VLOOKUP($F50,NE_bmis!$A:$K,8,FALSE),"")</f>
        <v/>
      </c>
      <c r="X50" s="60" t="str">
        <f>IFERROR(VLOOKUP($F50,NE_bmis!$A:$K,9,FALSE),"")</f>
        <v/>
      </c>
      <c r="Y50" s="60" t="s">
        <v>261</v>
      </c>
      <c r="Z50" s="66" t="s">
        <v>2061</v>
      </c>
    </row>
    <row r="51" spans="1:26" ht="14">
      <c r="A51" s="56" t="str">
        <f t="shared" si="0"/>
        <v>N12NE</v>
      </c>
      <c r="B51" s="58">
        <v>12</v>
      </c>
      <c r="C51" s="58" t="s">
        <v>110</v>
      </c>
      <c r="D51" s="59">
        <f t="shared" si="1"/>
        <v>4200</v>
      </c>
      <c r="E51" s="60" t="s">
        <v>262</v>
      </c>
      <c r="F51" s="60">
        <v>1108236167</v>
      </c>
      <c r="G51" s="58" t="s">
        <v>263</v>
      </c>
      <c r="H51" s="60" t="s">
        <v>264</v>
      </c>
      <c r="I51" s="60">
        <v>114.1701272</v>
      </c>
      <c r="J51" s="60">
        <v>22.317305449999999</v>
      </c>
      <c r="K51" s="61">
        <v>20.5</v>
      </c>
      <c r="L51" s="60" t="s">
        <v>114</v>
      </c>
      <c r="M51" s="61">
        <v>75.400002000000001</v>
      </c>
      <c r="N51" s="60" t="s">
        <v>115</v>
      </c>
      <c r="O51" s="61">
        <v>54.900002000000001</v>
      </c>
      <c r="P51" s="62"/>
      <c r="Q51" s="43" t="b">
        <v>0</v>
      </c>
      <c r="R51" s="43" t="b">
        <v>0</v>
      </c>
      <c r="S51" s="43" t="b">
        <v>0</v>
      </c>
      <c r="T51" s="63"/>
      <c r="U51" s="68">
        <v>22</v>
      </c>
      <c r="V51" s="60">
        <f>IFERROR(VLOOKUP($F51,NE_bmis!$A:$K,7,FALSE),"")</f>
        <v>0</v>
      </c>
      <c r="W51" s="59">
        <f>IFERROR(VLOOKUP($F51,NE_bmis!$A:$K,8,FALSE),"")</f>
        <v>189</v>
      </c>
      <c r="X51" s="60">
        <f>IFERROR(VLOOKUP($F51,NE_bmis!$A:$K,9,FALSE),"")</f>
        <v>1971</v>
      </c>
      <c r="Y51" s="60" t="s">
        <v>265</v>
      </c>
      <c r="Z51" s="66" t="s">
        <v>2068</v>
      </c>
    </row>
    <row r="52" spans="1:26" ht="14">
      <c r="A52" s="56" t="str">
        <f t="shared" si="0"/>
        <v>N12SE</v>
      </c>
      <c r="B52" s="58">
        <v>12</v>
      </c>
      <c r="C52" s="58" t="s">
        <v>116</v>
      </c>
      <c r="D52" s="59">
        <f t="shared" si="1"/>
        <v>4200</v>
      </c>
      <c r="E52" s="60" t="s">
        <v>266</v>
      </c>
      <c r="F52" s="60">
        <v>1108236428</v>
      </c>
      <c r="G52" s="58" t="s">
        <v>267</v>
      </c>
      <c r="H52" s="60" t="s">
        <v>268</v>
      </c>
      <c r="I52" s="60">
        <v>114.17020669999999</v>
      </c>
      <c r="J52" s="60">
        <v>22.31690279</v>
      </c>
      <c r="K52" s="61">
        <v>19.899999999999999</v>
      </c>
      <c r="L52" s="60" t="s">
        <v>115</v>
      </c>
      <c r="M52" s="61">
        <v>85.099997999999999</v>
      </c>
      <c r="N52" s="60" t="s">
        <v>115</v>
      </c>
      <c r="O52" s="61">
        <v>65.199997999999994</v>
      </c>
      <c r="P52" s="69"/>
      <c r="Q52" s="43" t="b">
        <v>0</v>
      </c>
      <c r="R52" s="43" t="b">
        <v>0</v>
      </c>
      <c r="S52" s="43" t="b">
        <v>0</v>
      </c>
      <c r="T52" s="63"/>
      <c r="U52" s="68">
        <f>IFERROR(VLOOKUP($F52,NE_bmis!$A:$K,6,FALSE),"")</f>
        <v>22</v>
      </c>
      <c r="V52" s="65">
        <f>IFERROR(VLOOKUP($F52,NE_bmis!$A:$K,7,FALSE),"")</f>
        <v>0</v>
      </c>
      <c r="W52" s="66">
        <f>IFERROR(VLOOKUP($F52,NE_bmis!$A:$K,8,FALSE),"")</f>
        <v>345</v>
      </c>
      <c r="X52" s="65">
        <f>IFERROR(VLOOKUP($F52,NE_bmis!$A:$K,9,FALSE),"")</f>
        <v>1984</v>
      </c>
      <c r="Y52" s="60" t="str">
        <f>IFERROR(VLOOKUP($F52,NE_bmis!$A:$K,11,FALSE),"")</f>
        <v>BMIS_auto</v>
      </c>
      <c r="Z52" s="66" t="s">
        <v>2070</v>
      </c>
    </row>
    <row r="53" spans="1:26" ht="14">
      <c r="A53" s="56" t="str">
        <f t="shared" si="0"/>
        <v>N12SW</v>
      </c>
      <c r="B53" s="58">
        <v>12</v>
      </c>
      <c r="C53" s="58" t="s">
        <v>121</v>
      </c>
      <c r="D53" s="59">
        <f t="shared" si="1"/>
        <v>4200</v>
      </c>
      <c r="E53" s="60" t="s">
        <v>269</v>
      </c>
      <c r="F53" s="60">
        <v>1108236423</v>
      </c>
      <c r="G53" s="58" t="s">
        <v>270</v>
      </c>
      <c r="H53" s="60" t="s">
        <v>271</v>
      </c>
      <c r="I53" s="60">
        <v>114.169569</v>
      </c>
      <c r="J53" s="60">
        <v>22.316845570000002</v>
      </c>
      <c r="K53" s="61">
        <v>19.899999999999999</v>
      </c>
      <c r="L53" s="60" t="s">
        <v>115</v>
      </c>
      <c r="M53" s="61">
        <v>88.099997999999999</v>
      </c>
      <c r="N53" s="60" t="s">
        <v>114</v>
      </c>
      <c r="O53" s="61">
        <v>68.199997999999994</v>
      </c>
      <c r="P53" s="62"/>
      <c r="Q53" s="43" t="b">
        <v>0</v>
      </c>
      <c r="R53" s="43" t="b">
        <v>0</v>
      </c>
      <c r="S53" s="43" t="b">
        <v>0</v>
      </c>
      <c r="T53" s="63"/>
      <c r="U53" s="68">
        <f>IFERROR(VLOOKUP($F53,NE_bmis!$A:$K,6,FALSE),"")</f>
        <v>29</v>
      </c>
      <c r="V53" s="60">
        <f>IFERROR(VLOOKUP($F53,NE_bmis!$A:$K,7,FALSE),"")</f>
        <v>2</v>
      </c>
      <c r="W53" s="59">
        <f>IFERROR(VLOOKUP($F53,NE_bmis!$A:$K,8,FALSE),"")</f>
        <v>453</v>
      </c>
      <c r="X53" s="60">
        <f>IFERROR(VLOOKUP($F53,NE_bmis!$A:$K,9,FALSE),"")</f>
        <v>1966</v>
      </c>
      <c r="Y53" s="60" t="str">
        <f>IFERROR(VLOOKUP($F53,NE_bmis!$A:$K,11,FALSE),"")</f>
        <v>BMIS_auto</v>
      </c>
      <c r="Z53" s="66" t="s">
        <v>2072</v>
      </c>
    </row>
    <row r="54" spans="1:26" ht="14">
      <c r="A54" s="56" t="str">
        <f t="shared" si="0"/>
        <v>N12NW</v>
      </c>
      <c r="B54" s="58">
        <v>12</v>
      </c>
      <c r="C54" s="58" t="s">
        <v>127</v>
      </c>
      <c r="D54" s="59">
        <f t="shared" si="1"/>
        <v>4200</v>
      </c>
      <c r="E54" s="60" t="s">
        <v>272</v>
      </c>
      <c r="F54" s="60">
        <v>1108236334</v>
      </c>
      <c r="G54" s="58" t="s">
        <v>273</v>
      </c>
      <c r="H54" s="60" t="s">
        <v>274</v>
      </c>
      <c r="I54" s="60">
        <v>114.16955299999999</v>
      </c>
      <c r="J54" s="60">
        <v>22.317162849999999</v>
      </c>
      <c r="K54" s="61">
        <v>4.8</v>
      </c>
      <c r="L54" s="60" t="s">
        <v>114</v>
      </c>
      <c r="M54" s="61">
        <v>89.800003000000004</v>
      </c>
      <c r="N54" s="60" t="s">
        <v>114</v>
      </c>
      <c r="O54" s="61">
        <v>85.000003000000007</v>
      </c>
      <c r="P54" s="62"/>
      <c r="Q54" s="43" t="b">
        <v>0</v>
      </c>
      <c r="R54" s="43" t="b">
        <v>0</v>
      </c>
      <c r="S54" s="43" t="b">
        <v>0</v>
      </c>
      <c r="T54" s="63"/>
      <c r="U54" s="68">
        <f>IFERROR(VLOOKUP($F54,NE_bmis!$A:$K,6,FALSE),"")</f>
        <v>24</v>
      </c>
      <c r="V54" s="60">
        <f>IFERROR(VLOOKUP($F54,NE_bmis!$A:$K,7,FALSE),"")</f>
        <v>0</v>
      </c>
      <c r="W54" s="59">
        <f>IFERROR(VLOOKUP($F54,NE_bmis!$A:$K,8,FALSE),"")</f>
        <v>24</v>
      </c>
      <c r="X54" s="60">
        <f>IFERROR(VLOOKUP($F54,NE_bmis!$A:$K,9,FALSE),"")</f>
        <v>2002</v>
      </c>
      <c r="Y54" s="60" t="str">
        <f>IFERROR(VLOOKUP($F54,NE_bmis!$A:$K,11,FALSE),"")</f>
        <v>BMIS_auto</v>
      </c>
      <c r="Z54" s="66" t="s">
        <v>2074</v>
      </c>
    </row>
    <row r="55" spans="1:26" ht="14">
      <c r="A55" s="56" t="str">
        <f t="shared" si="0"/>
        <v>N13NE</v>
      </c>
      <c r="B55" s="58">
        <v>13</v>
      </c>
      <c r="C55" s="58" t="s">
        <v>110</v>
      </c>
      <c r="D55" s="59">
        <f t="shared" si="1"/>
        <v>4400</v>
      </c>
      <c r="E55" s="60" t="s">
        <v>275</v>
      </c>
      <c r="F55" s="60">
        <v>1108235355</v>
      </c>
      <c r="G55" s="58" t="s">
        <v>276</v>
      </c>
      <c r="H55" s="60" t="s">
        <v>277</v>
      </c>
      <c r="I55" s="60">
        <v>114.1697238</v>
      </c>
      <c r="J55" s="60">
        <v>22.31873573</v>
      </c>
      <c r="K55" s="61">
        <v>5</v>
      </c>
      <c r="L55" s="60" t="s">
        <v>114</v>
      </c>
      <c r="M55" s="61">
        <v>56.900002000000001</v>
      </c>
      <c r="N55" s="60" t="s">
        <v>115</v>
      </c>
      <c r="O55" s="61">
        <v>51.900002000000001</v>
      </c>
      <c r="P55" s="62"/>
      <c r="Q55" s="43" t="b">
        <v>0</v>
      </c>
      <c r="R55" s="43" t="b">
        <v>0</v>
      </c>
      <c r="S55" s="43" t="b">
        <v>0</v>
      </c>
      <c r="T55" s="63"/>
      <c r="U55" s="68">
        <f>IFERROR(VLOOKUP($F55,NE_bmis!$A:$K,6,FALSE),"")</f>
        <v>16</v>
      </c>
      <c r="V55" s="60">
        <f>IFERROR(VLOOKUP($F55,NE_bmis!$A:$K,7,FALSE),"")</f>
        <v>0</v>
      </c>
      <c r="W55" s="59">
        <f>IFERROR(VLOOKUP($F55,NE_bmis!$A:$K,8,FALSE),"")</f>
        <v>53</v>
      </c>
      <c r="X55" s="60">
        <f>IFERROR(VLOOKUP($F55,NE_bmis!$A:$K,9,FALSE),"")</f>
        <v>1963</v>
      </c>
      <c r="Y55" s="60" t="str">
        <f>IFERROR(VLOOKUP($F55,NE_bmis!$A:$K,11,FALSE),"")</f>
        <v>BMIS_auto</v>
      </c>
      <c r="Z55" s="66" t="s">
        <v>2082</v>
      </c>
    </row>
    <row r="56" spans="1:26" ht="14">
      <c r="A56" s="56" t="str">
        <f t="shared" si="0"/>
        <v>N13SE</v>
      </c>
      <c r="B56" s="58">
        <v>13</v>
      </c>
      <c r="C56" s="58" t="s">
        <v>116</v>
      </c>
      <c r="D56" s="59">
        <f t="shared" si="1"/>
        <v>4400</v>
      </c>
      <c r="E56" s="60" t="s">
        <v>278</v>
      </c>
      <c r="F56" s="60">
        <v>1108235445</v>
      </c>
      <c r="G56" s="58" t="s">
        <v>279</v>
      </c>
      <c r="H56" s="60" t="s">
        <v>280</v>
      </c>
      <c r="I56" s="60">
        <v>114.1697446</v>
      </c>
      <c r="J56" s="60">
        <v>22.318625740000002</v>
      </c>
      <c r="K56" s="61">
        <v>4.9000000000000004</v>
      </c>
      <c r="L56" s="60" t="s">
        <v>114</v>
      </c>
      <c r="M56" s="61">
        <v>56.200001</v>
      </c>
      <c r="N56" s="60" t="s">
        <v>115</v>
      </c>
      <c r="O56" s="61">
        <v>51.300001000000002</v>
      </c>
      <c r="P56" s="62"/>
      <c r="Q56" s="43" t="b">
        <v>0</v>
      </c>
      <c r="R56" s="43" t="b">
        <v>0</v>
      </c>
      <c r="S56" s="43" t="b">
        <v>0</v>
      </c>
      <c r="T56" s="63"/>
      <c r="U56" s="68">
        <f>IFERROR(VLOOKUP($F56,NE_bmis!$A:$K,6,FALSE),"")</f>
        <v>16</v>
      </c>
      <c r="V56" s="60">
        <f>IFERROR(VLOOKUP($F56,NE_bmis!$A:$K,7,FALSE),"")</f>
        <v>0</v>
      </c>
      <c r="W56" s="59">
        <f>IFERROR(VLOOKUP($F56,NE_bmis!$A:$K,8,FALSE),"")</f>
        <v>16</v>
      </c>
      <c r="X56" s="60">
        <f>IFERROR(VLOOKUP($F56,NE_bmis!$A:$K,9,FALSE),"")</f>
        <v>1967</v>
      </c>
      <c r="Y56" s="60" t="str">
        <f>IFERROR(VLOOKUP($F56,NE_bmis!$A:$K,11,FALSE),"")</f>
        <v>BMIS_auto</v>
      </c>
      <c r="Z56" s="66" t="s">
        <v>2084</v>
      </c>
    </row>
    <row r="57" spans="1:26" ht="14">
      <c r="A57" s="56" t="str">
        <f t="shared" si="0"/>
        <v>N13SW</v>
      </c>
      <c r="B57" s="58">
        <v>13</v>
      </c>
      <c r="C57" s="58" t="s">
        <v>121</v>
      </c>
      <c r="D57" s="59">
        <f t="shared" si="1"/>
        <v>4400</v>
      </c>
      <c r="E57" s="60" t="s">
        <v>281</v>
      </c>
      <c r="F57" s="60">
        <v>1108235450</v>
      </c>
      <c r="G57" s="58" t="s">
        <v>282</v>
      </c>
      <c r="H57" s="60" t="s">
        <v>283</v>
      </c>
      <c r="I57" s="60">
        <v>114.1692747</v>
      </c>
      <c r="J57" s="60">
        <v>22.318500950000001</v>
      </c>
      <c r="K57" s="61">
        <v>32.799999</v>
      </c>
      <c r="L57" s="60" t="s">
        <v>114</v>
      </c>
      <c r="M57" s="61">
        <v>91.099997999999999</v>
      </c>
      <c r="N57" s="60">
        <v>3</v>
      </c>
      <c r="O57" s="61">
        <v>58.299999</v>
      </c>
      <c r="P57" s="62"/>
      <c r="Q57" s="43" t="b">
        <v>0</v>
      </c>
      <c r="R57" s="43" t="b">
        <v>0</v>
      </c>
      <c r="S57" s="43" t="b">
        <v>0</v>
      </c>
      <c r="T57" s="63"/>
      <c r="U57" s="68">
        <v>26</v>
      </c>
      <c r="V57" s="60">
        <v>0</v>
      </c>
      <c r="W57" s="59">
        <v>312</v>
      </c>
      <c r="X57" s="60">
        <v>1966</v>
      </c>
      <c r="Y57" s="60" t="s">
        <v>173</v>
      </c>
      <c r="Z57" s="66" t="s">
        <v>2086</v>
      </c>
    </row>
    <row r="58" spans="1:26" ht="14">
      <c r="A58" s="56" t="str">
        <f t="shared" si="0"/>
        <v>N13NW</v>
      </c>
      <c r="B58" s="58">
        <v>13</v>
      </c>
      <c r="C58" s="58" t="s">
        <v>127</v>
      </c>
      <c r="D58" s="59">
        <f t="shared" si="1"/>
        <v>4400</v>
      </c>
      <c r="E58" s="60" t="s">
        <v>284</v>
      </c>
      <c r="F58" s="60">
        <v>1108246338</v>
      </c>
      <c r="G58" s="58" t="s">
        <v>285</v>
      </c>
      <c r="H58" s="60"/>
      <c r="I58" s="60">
        <v>114.1691885</v>
      </c>
      <c r="J58" s="60">
        <v>22.318897400000001</v>
      </c>
      <c r="K58" s="61">
        <v>4.5999999999999996</v>
      </c>
      <c r="L58" s="60" t="s">
        <v>126</v>
      </c>
      <c r="M58" s="61">
        <v>31.6</v>
      </c>
      <c r="N58" s="60" t="s">
        <v>115</v>
      </c>
      <c r="O58" s="61">
        <v>27</v>
      </c>
      <c r="P58" s="62"/>
      <c r="Q58" s="43" t="b">
        <v>0</v>
      </c>
      <c r="R58" s="43" t="b">
        <v>0</v>
      </c>
      <c r="S58" s="43" t="b">
        <v>0</v>
      </c>
      <c r="T58" s="63"/>
      <c r="U58" s="68">
        <v>17</v>
      </c>
      <c r="V58" s="60" t="str">
        <f>IFERROR(VLOOKUP($F58,NE_bmis!$A:$K,7,FALSE),"")</f>
        <v/>
      </c>
      <c r="W58" s="59" t="str">
        <f>IFERROR(VLOOKUP($F58,NE_bmis!$A:$K,8,FALSE),"")</f>
        <v/>
      </c>
      <c r="X58" s="60">
        <v>1969</v>
      </c>
      <c r="Y58" s="60" t="s">
        <v>177</v>
      </c>
      <c r="Z58" s="66" t="s">
        <v>2088</v>
      </c>
    </row>
    <row r="59" spans="1:26" ht="14">
      <c r="A59" s="56" t="str">
        <f t="shared" si="0"/>
        <v>N14NE</v>
      </c>
      <c r="B59" s="58">
        <v>14</v>
      </c>
      <c r="C59" s="58" t="s">
        <v>110</v>
      </c>
      <c r="D59" s="59">
        <f t="shared" si="1"/>
        <v>4600</v>
      </c>
      <c r="E59" s="60" t="s">
        <v>286</v>
      </c>
      <c r="F59" s="60">
        <v>1108233780</v>
      </c>
      <c r="G59" s="58" t="s">
        <v>287</v>
      </c>
      <c r="H59" s="60"/>
      <c r="I59" s="60">
        <v>114.16945200000001</v>
      </c>
      <c r="J59" s="60">
        <v>22.32058005</v>
      </c>
      <c r="K59" s="61">
        <v>21.700001</v>
      </c>
      <c r="L59" s="60" t="s">
        <v>114</v>
      </c>
      <c r="M59" s="61">
        <v>75.699996999999996</v>
      </c>
      <c r="N59" s="60">
        <v>3</v>
      </c>
      <c r="O59" s="61">
        <v>53.999996000000003</v>
      </c>
      <c r="P59" s="62"/>
      <c r="Q59" s="43" t="b">
        <v>0</v>
      </c>
      <c r="R59" s="43" t="b">
        <v>0</v>
      </c>
      <c r="S59" s="43" t="b">
        <v>0</v>
      </c>
      <c r="T59" s="63"/>
      <c r="U59" s="68">
        <f>IFERROR(VLOOKUP($F59,NE_bmis!$A:$K,6,FALSE),"")</f>
        <v>23</v>
      </c>
      <c r="V59" s="60">
        <f>IFERROR(VLOOKUP($F59,NE_bmis!$A:$K,7,FALSE),"")</f>
        <v>1</v>
      </c>
      <c r="W59" s="59">
        <f>IFERROR(VLOOKUP($F59,NE_bmis!$A:$K,8,FALSE),"")</f>
        <v>110</v>
      </c>
      <c r="X59" s="60">
        <f>IFERROR(VLOOKUP($F59,NE_bmis!$A:$K,9,FALSE),"")</f>
        <v>1984</v>
      </c>
      <c r="Y59" s="60" t="str">
        <f>IFERROR(VLOOKUP($F59,NE_bmis!$A:$K,11,FALSE),"")</f>
        <v>BMIS_auto</v>
      </c>
      <c r="Z59" s="66" t="s">
        <v>2097</v>
      </c>
    </row>
    <row r="60" spans="1:26" ht="14">
      <c r="A60" s="56" t="str">
        <f t="shared" si="0"/>
        <v>N14SE</v>
      </c>
      <c r="B60" s="58">
        <v>14</v>
      </c>
      <c r="C60" s="58" t="s">
        <v>116</v>
      </c>
      <c r="D60" s="59">
        <f t="shared" si="1"/>
        <v>4600</v>
      </c>
      <c r="E60" s="60" t="s">
        <v>288</v>
      </c>
      <c r="F60" s="60">
        <v>1108246239</v>
      </c>
      <c r="G60" s="58" t="s">
        <v>289</v>
      </c>
      <c r="H60" s="60"/>
      <c r="I60" s="60">
        <v>114.16962669999999</v>
      </c>
      <c r="J60" s="60">
        <v>22.319971639999999</v>
      </c>
      <c r="K60" s="61">
        <v>4.7</v>
      </c>
      <c r="L60" s="60" t="s">
        <v>126</v>
      </c>
      <c r="M60" s="61">
        <v>20.5</v>
      </c>
      <c r="N60" s="60" t="s">
        <v>115</v>
      </c>
      <c r="O60" s="61">
        <v>72.599999999999994</v>
      </c>
      <c r="P60" s="67"/>
      <c r="Q60" s="43" t="b">
        <v>0</v>
      </c>
      <c r="R60" s="43" t="b">
        <v>0</v>
      </c>
      <c r="S60" s="43" t="b">
        <v>0</v>
      </c>
      <c r="T60" s="63"/>
      <c r="U60" s="68">
        <f>IFERROR(VLOOKUP($F60,NE_bmis!$A:$K,6,FALSE),"")</f>
        <v>23</v>
      </c>
      <c r="V60" s="60">
        <f>IFERROR(VLOOKUP($F60,NE_bmis!$A:$K,7,FALSE),"")</f>
        <v>1</v>
      </c>
      <c r="W60" s="59">
        <f>IFERROR(VLOOKUP($F60,NE_bmis!$A:$K,8,FALSE),"")</f>
        <v>110</v>
      </c>
      <c r="X60" s="60">
        <f>IFERROR(VLOOKUP($F60,NE_bmis!$A:$K,9,FALSE),"")</f>
        <v>1984</v>
      </c>
      <c r="Y60" s="60" t="str">
        <f>IFERROR(VLOOKUP($F60,NE_bmis!$A:$K,11,FALSE),"")</f>
        <v>BMIS_auto</v>
      </c>
      <c r="Z60" s="66" t="s">
        <v>2099</v>
      </c>
    </row>
    <row r="61" spans="1:26" ht="14">
      <c r="A61" s="56" t="str">
        <f t="shared" si="0"/>
        <v>N14SW</v>
      </c>
      <c r="B61" s="58">
        <v>14</v>
      </c>
      <c r="C61" s="58" t="s">
        <v>121</v>
      </c>
      <c r="D61" s="59">
        <f t="shared" si="1"/>
        <v>4600</v>
      </c>
      <c r="E61" s="60" t="s">
        <v>290</v>
      </c>
      <c r="F61" s="60">
        <v>1810106386</v>
      </c>
      <c r="G61" s="58" t="s">
        <v>291</v>
      </c>
      <c r="H61" s="60" t="s">
        <v>292</v>
      </c>
      <c r="I61" s="60">
        <v>114.1688979</v>
      </c>
      <c r="J61" s="60">
        <v>22.320320379999998</v>
      </c>
      <c r="K61" s="61">
        <v>37.099997999999999</v>
      </c>
      <c r="L61" s="60" t="s">
        <v>194</v>
      </c>
      <c r="M61" s="61">
        <v>96.900002000000001</v>
      </c>
      <c r="N61" s="60" t="s">
        <v>293</v>
      </c>
      <c r="O61" s="61">
        <v>59.800004000000001</v>
      </c>
      <c r="P61" s="62"/>
      <c r="Q61" s="43" t="b">
        <v>0</v>
      </c>
      <c r="R61" s="43" t="b">
        <v>0</v>
      </c>
      <c r="S61" s="43" t="b">
        <v>0</v>
      </c>
      <c r="T61" s="63"/>
      <c r="U61" s="68">
        <f>IFERROR(VLOOKUP($F61,NE_bmis!$A:$K,6,FALSE),"")</f>
        <v>20</v>
      </c>
      <c r="V61" s="60">
        <f>IFERROR(VLOOKUP($F61,NE_bmis!$A:$K,7,FALSE),"")</f>
        <v>0</v>
      </c>
      <c r="W61" s="59">
        <f>IFERROR(VLOOKUP($F61,NE_bmis!$A:$K,8,FALSE),"")</f>
        <v>21</v>
      </c>
      <c r="X61" s="60">
        <f>IFERROR(VLOOKUP($F61,NE_bmis!$A:$K,9,FALSE),"")</f>
        <v>1958</v>
      </c>
      <c r="Y61" s="60" t="str">
        <f>IFERROR(VLOOKUP($F61,NE_bmis!$A:$K,11,FALSE),"")</f>
        <v>BMIS_auto</v>
      </c>
      <c r="Z61" s="66" t="s">
        <v>2101</v>
      </c>
    </row>
    <row r="62" spans="1:26" ht="14">
      <c r="A62" s="56" t="str">
        <f t="shared" si="0"/>
        <v>N14NW</v>
      </c>
      <c r="B62" s="58">
        <v>14</v>
      </c>
      <c r="C62" s="58" t="s">
        <v>127</v>
      </c>
      <c r="D62" s="59">
        <f t="shared" si="1"/>
        <v>4600</v>
      </c>
      <c r="E62" s="60" t="s">
        <v>294</v>
      </c>
      <c r="F62" s="60">
        <v>1108233928</v>
      </c>
      <c r="G62" s="58" t="s">
        <v>295</v>
      </c>
      <c r="H62" s="60" t="s">
        <v>296</v>
      </c>
      <c r="I62" s="60">
        <v>114.1688884</v>
      </c>
      <c r="J62" s="60">
        <v>22.320401369999999</v>
      </c>
      <c r="K62" s="61">
        <v>19.899999999999999</v>
      </c>
      <c r="L62" s="60" t="s">
        <v>114</v>
      </c>
      <c r="M62" s="61">
        <v>83.800003000000004</v>
      </c>
      <c r="N62" s="60">
        <v>3</v>
      </c>
      <c r="O62" s="61">
        <v>63.900002999999998</v>
      </c>
      <c r="P62" s="62"/>
      <c r="Q62" s="43" t="b">
        <v>0</v>
      </c>
      <c r="R62" s="43" t="b">
        <v>0</v>
      </c>
      <c r="S62" s="43" t="b">
        <v>0</v>
      </c>
      <c r="T62" s="63"/>
      <c r="U62" s="68">
        <f>IFERROR(VLOOKUP($F62,NE_bmis!$A:$K,6,FALSE),"")</f>
        <v>26</v>
      </c>
      <c r="V62" s="60">
        <f>IFERROR(VLOOKUP($F62,NE_bmis!$A:$K,7,FALSE),"")</f>
        <v>1</v>
      </c>
      <c r="W62" s="59">
        <f>IFERROR(VLOOKUP($F62,NE_bmis!$A:$K,8,FALSE),"")</f>
        <v>69</v>
      </c>
      <c r="X62" s="60">
        <f>IFERROR(VLOOKUP($F62,NE_bmis!$A:$K,9,FALSE),"")</f>
        <v>1994</v>
      </c>
      <c r="Y62" s="60" t="str">
        <f>IFERROR(VLOOKUP($F62,NE_bmis!$A:$K,11,FALSE),"")</f>
        <v>BMIS_auto</v>
      </c>
      <c r="Z62" s="66" t="s">
        <v>2103</v>
      </c>
    </row>
    <row r="63" spans="1:26" ht="14">
      <c r="A63" s="56" t="str">
        <f t="shared" si="0"/>
        <v>N15NE</v>
      </c>
      <c r="B63" s="58">
        <v>15</v>
      </c>
      <c r="C63" s="58" t="s">
        <v>110</v>
      </c>
      <c r="D63" s="59">
        <f t="shared" si="1"/>
        <v>4800</v>
      </c>
      <c r="E63" s="60" t="s">
        <v>297</v>
      </c>
      <c r="F63" s="60">
        <v>1108232023</v>
      </c>
      <c r="G63" s="58" t="s">
        <v>298</v>
      </c>
      <c r="H63" s="60" t="s">
        <v>299</v>
      </c>
      <c r="I63" s="60">
        <v>114.1690485</v>
      </c>
      <c r="J63" s="60">
        <v>22.322558409999999</v>
      </c>
      <c r="K63" s="61">
        <v>20.700001</v>
      </c>
      <c r="L63" s="60" t="s">
        <v>114</v>
      </c>
      <c r="M63" s="61">
        <v>92</v>
      </c>
      <c r="N63" s="60" t="s">
        <v>115</v>
      </c>
      <c r="O63" s="61">
        <v>71.299999</v>
      </c>
      <c r="P63" s="62"/>
      <c r="Q63" s="43" t="b">
        <v>0</v>
      </c>
      <c r="R63" s="43" t="b">
        <v>0</v>
      </c>
      <c r="S63" s="43" t="b">
        <v>0</v>
      </c>
      <c r="T63" s="63"/>
      <c r="U63" s="68">
        <v>25</v>
      </c>
      <c r="V63" s="65">
        <f>IFERROR(VLOOKUP($F63,NE_bmis!$A:$K,7,FALSE),"")</f>
        <v>0</v>
      </c>
      <c r="W63" s="66">
        <f>IFERROR(VLOOKUP($F63,NE_bmis!$A:$K,8,FALSE),"")</f>
        <v>0</v>
      </c>
      <c r="X63" s="65">
        <f>IFERROR(VLOOKUP($F63,NE_bmis!$A:$K,9,FALSE),"")</f>
        <v>1995</v>
      </c>
      <c r="Y63" s="60" t="s">
        <v>177</v>
      </c>
      <c r="Z63" s="66" t="s">
        <v>2113</v>
      </c>
    </row>
    <row r="64" spans="1:26" ht="14">
      <c r="A64" s="56" t="str">
        <f t="shared" si="0"/>
        <v>N15SE</v>
      </c>
      <c r="B64" s="58">
        <v>15</v>
      </c>
      <c r="C64" s="58" t="s">
        <v>116</v>
      </c>
      <c r="D64" s="59">
        <f t="shared" si="1"/>
        <v>4800</v>
      </c>
      <c r="E64" s="60" t="s">
        <v>300</v>
      </c>
      <c r="F64" s="60">
        <v>1108232710</v>
      </c>
      <c r="G64" s="58" t="s">
        <v>301</v>
      </c>
      <c r="H64" s="60" t="s">
        <v>302</v>
      </c>
      <c r="I64" s="60">
        <v>114.16905850000001</v>
      </c>
      <c r="J64" s="60">
        <v>22.32192405</v>
      </c>
      <c r="K64" s="61">
        <v>5.4</v>
      </c>
      <c r="L64" s="60" t="s">
        <v>114</v>
      </c>
      <c r="M64" s="61">
        <v>58</v>
      </c>
      <c r="N64" s="60">
        <v>3</v>
      </c>
      <c r="O64" s="61">
        <v>52.6</v>
      </c>
      <c r="P64" s="62"/>
      <c r="Q64" s="43" t="b">
        <v>0</v>
      </c>
      <c r="R64" s="43" t="b">
        <v>0</v>
      </c>
      <c r="S64" s="43" t="b">
        <v>0</v>
      </c>
      <c r="T64" s="63"/>
      <c r="U64" s="68">
        <f>IFERROR(VLOOKUP($F64,NE_bmis!$A:$K,6,FALSE),"")</f>
        <v>17</v>
      </c>
      <c r="V64" s="60">
        <f>IFERROR(VLOOKUP($F64,NE_bmis!$A:$K,7,FALSE),"")</f>
        <v>0</v>
      </c>
      <c r="W64" s="59">
        <f>IFERROR(VLOOKUP($F64,NE_bmis!$A:$K,8,FALSE),"")</f>
        <v>62</v>
      </c>
      <c r="X64" s="60">
        <f>IFERROR(VLOOKUP($F64,NE_bmis!$A:$K,9,FALSE),"")</f>
        <v>1963</v>
      </c>
      <c r="Y64" s="60" t="str">
        <f>IFERROR(VLOOKUP($F64,NE_bmis!$A:$K,11,FALSE),"")</f>
        <v>BMIS_auto</v>
      </c>
      <c r="Z64" s="66" t="s">
        <v>2115</v>
      </c>
    </row>
    <row r="65" spans="1:26" ht="14">
      <c r="A65" s="56" t="str">
        <f t="shared" si="0"/>
        <v>N15SW</v>
      </c>
      <c r="B65" s="58">
        <v>15</v>
      </c>
      <c r="C65" s="58" t="s">
        <v>121</v>
      </c>
      <c r="D65" s="59">
        <f t="shared" si="1"/>
        <v>4800</v>
      </c>
      <c r="E65" s="60" t="s">
        <v>303</v>
      </c>
      <c r="F65" s="60">
        <v>1108232776</v>
      </c>
      <c r="G65" s="58" t="s">
        <v>304</v>
      </c>
      <c r="H65" s="60" t="s">
        <v>305</v>
      </c>
      <c r="I65" s="60">
        <v>114.1686103</v>
      </c>
      <c r="J65" s="60">
        <v>22.321768890000001</v>
      </c>
      <c r="K65" s="61">
        <v>4.8</v>
      </c>
      <c r="L65" s="60" t="s">
        <v>114</v>
      </c>
      <c r="M65" s="61">
        <v>60.599997999999999</v>
      </c>
      <c r="N65" s="60" t="s">
        <v>115</v>
      </c>
      <c r="O65" s="61">
        <v>55.799998000000002</v>
      </c>
      <c r="P65" s="72"/>
      <c r="Q65" s="43" t="b">
        <v>0</v>
      </c>
      <c r="R65" s="43" t="b">
        <v>0</v>
      </c>
      <c r="S65" s="43" t="b">
        <v>0</v>
      </c>
      <c r="T65" s="63"/>
      <c r="U65" s="68">
        <f>IFERROR(VLOOKUP($F65,NE_bmis!$A:$K,6,FALSE),"")</f>
        <v>17</v>
      </c>
      <c r="V65" s="60">
        <f>IFERROR(VLOOKUP($F65,NE_bmis!$A:$K,7,FALSE),"")</f>
        <v>0</v>
      </c>
      <c r="W65" s="59">
        <f>IFERROR(VLOOKUP($F65,NE_bmis!$A:$K,8,FALSE),"")</f>
        <v>147</v>
      </c>
      <c r="X65" s="60">
        <f>IFERROR(VLOOKUP($F65,NE_bmis!$A:$K,9,FALSE),"")</f>
        <v>1958</v>
      </c>
      <c r="Y65" s="60" t="str">
        <f>IFERROR(VLOOKUP($F65,NE_bmis!$A:$K,11,FALSE),"")</f>
        <v>BMIS_auto</v>
      </c>
      <c r="Z65" s="66" t="s">
        <v>2117</v>
      </c>
    </row>
    <row r="66" spans="1:26" ht="14">
      <c r="A66" s="56" t="str">
        <f t="shared" si="0"/>
        <v>N15NW</v>
      </c>
      <c r="B66" s="58">
        <v>15</v>
      </c>
      <c r="C66" s="58" t="s">
        <v>127</v>
      </c>
      <c r="D66" s="59">
        <f t="shared" si="1"/>
        <v>4800</v>
      </c>
      <c r="E66" s="60" t="s">
        <v>306</v>
      </c>
      <c r="F66" s="60">
        <v>1109261336</v>
      </c>
      <c r="G66" s="58" t="s">
        <v>307</v>
      </c>
      <c r="H66" s="60" t="s">
        <v>308</v>
      </c>
      <c r="I66" s="60">
        <v>114.1684319</v>
      </c>
      <c r="J66" s="60">
        <v>22.322146329999999</v>
      </c>
      <c r="K66" s="61">
        <v>13.9</v>
      </c>
      <c r="L66" s="60" t="s">
        <v>114</v>
      </c>
      <c r="M66" s="61">
        <v>48.700001</v>
      </c>
      <c r="N66" s="60" t="s">
        <v>114</v>
      </c>
      <c r="O66" s="61">
        <v>34.800001000000002</v>
      </c>
      <c r="P66" s="62"/>
      <c r="Q66" s="43" t="b">
        <v>0</v>
      </c>
      <c r="R66" s="43" t="b">
        <v>0</v>
      </c>
      <c r="S66" s="43" t="b">
        <v>0</v>
      </c>
      <c r="T66" s="63"/>
      <c r="U66" s="68">
        <f>IFERROR(VLOOKUP($F66,NE_bmis!$A:$K,6,FALSE),"")</f>
        <v>15</v>
      </c>
      <c r="V66" s="60">
        <f>IFERROR(VLOOKUP($F66,NE_bmis!$A:$K,7,FALSE),"")</f>
        <v>0</v>
      </c>
      <c r="W66" s="59">
        <f>IFERROR(VLOOKUP($F66,NE_bmis!$A:$K,8,FALSE),"")</f>
        <v>57</v>
      </c>
      <c r="X66" s="60">
        <f>IFERROR(VLOOKUP($F66,NE_bmis!$A:$K,9,FALSE),"")</f>
        <v>1979</v>
      </c>
      <c r="Y66" s="60" t="str">
        <f>IFERROR(VLOOKUP($F66,NE_bmis!$A:$K,11,FALSE),"")</f>
        <v>BMIS_auto</v>
      </c>
      <c r="Z66" s="66" t="s">
        <v>2119</v>
      </c>
    </row>
    <row r="67" spans="1:26" ht="14">
      <c r="A67" s="56" t="str">
        <f t="shared" si="0"/>
        <v>N16NE</v>
      </c>
      <c r="B67" s="58">
        <v>16</v>
      </c>
      <c r="C67" s="58" t="s">
        <v>110</v>
      </c>
      <c r="D67" s="59">
        <f t="shared" si="1"/>
        <v>5000</v>
      </c>
      <c r="E67" s="60" t="s">
        <v>309</v>
      </c>
      <c r="F67" s="60">
        <v>1108230953</v>
      </c>
      <c r="G67" s="58" t="s">
        <v>310</v>
      </c>
      <c r="H67" s="60" t="s">
        <v>311</v>
      </c>
      <c r="I67" s="60">
        <v>114.1689185</v>
      </c>
      <c r="J67" s="60">
        <v>22.32441914</v>
      </c>
      <c r="K67" s="61">
        <v>5.3</v>
      </c>
      <c r="L67" s="60" t="s">
        <v>126</v>
      </c>
      <c r="M67" s="61">
        <v>40.799999</v>
      </c>
      <c r="N67" s="60">
        <v>3</v>
      </c>
      <c r="O67" s="61">
        <v>35.499999000000003</v>
      </c>
      <c r="P67" s="62" t="s">
        <v>182</v>
      </c>
      <c r="Q67" s="43" t="b">
        <v>0</v>
      </c>
      <c r="R67" s="43" t="b">
        <v>1</v>
      </c>
      <c r="S67" s="43" t="b">
        <v>0</v>
      </c>
      <c r="T67" s="63"/>
      <c r="U67" s="68">
        <v>10</v>
      </c>
      <c r="V67" s="60" t="str">
        <f>IFERROR(VLOOKUP($F67,NE_bmis!$A:$K,7,FALSE),"")</f>
        <v/>
      </c>
      <c r="W67" s="59" t="str">
        <f>IFERROR(VLOOKUP($F67,NE_bmis!$A:$K,8,FALSE),"")</f>
        <v/>
      </c>
      <c r="X67" s="60" t="str">
        <f>IFERROR(VLOOKUP($F67,NE_bmis!$A:$K,9,FALSE),"")</f>
        <v/>
      </c>
      <c r="Y67" s="60" t="s">
        <v>227</v>
      </c>
      <c r="Z67" s="66" t="s">
        <v>2128</v>
      </c>
    </row>
    <row r="68" spans="1:26" ht="14">
      <c r="A68" s="56" t="str">
        <f t="shared" si="0"/>
        <v>N16SE</v>
      </c>
      <c r="B68" s="58">
        <v>16</v>
      </c>
      <c r="C68" s="58" t="s">
        <v>116</v>
      </c>
      <c r="D68" s="59">
        <f t="shared" si="1"/>
        <v>5000</v>
      </c>
      <c r="E68" s="60" t="s">
        <v>312</v>
      </c>
      <c r="F68" s="60">
        <v>1108231548</v>
      </c>
      <c r="G68" s="58" t="s">
        <v>313</v>
      </c>
      <c r="H68" s="60" t="s">
        <v>314</v>
      </c>
      <c r="I68" s="60">
        <v>114.16809499999999</v>
      </c>
      <c r="J68" s="60">
        <v>22.32372943</v>
      </c>
      <c r="K68" s="61">
        <v>5.3</v>
      </c>
      <c r="L68" s="60" t="s">
        <v>315</v>
      </c>
      <c r="M68" s="61">
        <v>50</v>
      </c>
      <c r="N68" s="60" t="s">
        <v>115</v>
      </c>
      <c r="O68" s="61">
        <v>44.7</v>
      </c>
      <c r="P68" s="62"/>
      <c r="Q68" s="43" t="b">
        <v>0</v>
      </c>
      <c r="R68" s="43" t="b">
        <v>0</v>
      </c>
      <c r="S68" s="43" t="b">
        <v>0</v>
      </c>
      <c r="T68" s="63"/>
      <c r="U68" s="68">
        <f>IFERROR(VLOOKUP($F68,NE_bmis!$A:$K,6,FALSE),"")</f>
        <v>15</v>
      </c>
      <c r="V68" s="60">
        <f>IFERROR(VLOOKUP($F68,NE_bmis!$A:$K,7,FALSE),"")</f>
        <v>0</v>
      </c>
      <c r="W68" s="59">
        <f>IFERROR(VLOOKUP($F68,NE_bmis!$A:$K,8,FALSE),"")</f>
        <v>136</v>
      </c>
      <c r="X68" s="60">
        <f>IFERROR(VLOOKUP($F68,NE_bmis!$A:$K,9,FALSE),"")</f>
        <v>1970</v>
      </c>
      <c r="Y68" s="60" t="str">
        <f>IFERROR(VLOOKUP($F68,NE_bmis!$A:$K,11,FALSE),"")</f>
        <v>BMIS_auto</v>
      </c>
      <c r="Z68" s="66" t="s">
        <v>2130</v>
      </c>
    </row>
    <row r="69" spans="1:26" ht="14">
      <c r="A69" s="56" t="str">
        <f t="shared" si="0"/>
        <v>N16SW</v>
      </c>
      <c r="B69" s="58">
        <v>16</v>
      </c>
      <c r="C69" s="58" t="s">
        <v>121</v>
      </c>
      <c r="D69" s="59">
        <f t="shared" si="1"/>
        <v>5000</v>
      </c>
      <c r="E69" s="60" t="s">
        <v>316</v>
      </c>
      <c r="F69" s="60">
        <v>1108231496</v>
      </c>
      <c r="G69" s="58" t="s">
        <v>317</v>
      </c>
      <c r="H69" s="60" t="s">
        <v>318</v>
      </c>
      <c r="I69" s="60">
        <v>114.1687745</v>
      </c>
      <c r="J69" s="60">
        <v>22.32385622</v>
      </c>
      <c r="K69" s="61">
        <v>16.299999</v>
      </c>
      <c r="L69" s="60" t="s">
        <v>115</v>
      </c>
      <c r="M69" s="61">
        <v>99.599997999999999</v>
      </c>
      <c r="N69" s="60" t="s">
        <v>115</v>
      </c>
      <c r="O69" s="61">
        <v>83.299999</v>
      </c>
      <c r="P69" s="62"/>
      <c r="Q69" s="43" t="b">
        <v>0</v>
      </c>
      <c r="R69" s="43" t="b">
        <v>0</v>
      </c>
      <c r="S69" s="43" t="b">
        <v>0</v>
      </c>
      <c r="T69" s="63"/>
      <c r="U69" s="68">
        <f>IFERROR(VLOOKUP($F69,NE_bmis!$A:$K,6,FALSE),"")</f>
        <v>28</v>
      </c>
      <c r="V69" s="60">
        <f>IFERROR(VLOOKUP($F69,NE_bmis!$A:$K,7,FALSE),"")</f>
        <v>0</v>
      </c>
      <c r="W69" s="59">
        <f>IFERROR(VLOOKUP($F69,NE_bmis!$A:$K,8,FALSE),"")</f>
        <v>186</v>
      </c>
      <c r="X69" s="60">
        <f>IFERROR(VLOOKUP($F69,NE_bmis!$A:$K,9,FALSE),"")</f>
        <v>2003</v>
      </c>
      <c r="Y69" s="60" t="str">
        <f>IFERROR(VLOOKUP($F69,NE_bmis!$A:$K,11,FALSE),"")</f>
        <v>BMIS_auto</v>
      </c>
      <c r="Z69" s="66" t="s">
        <v>2132</v>
      </c>
    </row>
    <row r="70" spans="1:26" ht="14">
      <c r="A70" s="56" t="str">
        <f t="shared" si="0"/>
        <v>N16NW</v>
      </c>
      <c r="B70" s="58">
        <v>16</v>
      </c>
      <c r="C70" s="58" t="s">
        <v>127</v>
      </c>
      <c r="D70" s="59">
        <f t="shared" si="1"/>
        <v>5000</v>
      </c>
      <c r="E70" s="60" t="s">
        <v>319</v>
      </c>
      <c r="F70" s="60">
        <v>1108231299</v>
      </c>
      <c r="G70" s="58" t="s">
        <v>320</v>
      </c>
      <c r="H70" s="60" t="s">
        <v>321</v>
      </c>
      <c r="I70" s="60">
        <v>114.16814960000001</v>
      </c>
      <c r="J70" s="60">
        <v>22.324209119999999</v>
      </c>
      <c r="K70" s="61">
        <v>5.4</v>
      </c>
      <c r="L70" s="60" t="s">
        <v>126</v>
      </c>
      <c r="M70" s="61">
        <v>48.599997999999999</v>
      </c>
      <c r="N70" s="60">
        <v>3</v>
      </c>
      <c r="O70" s="61">
        <v>43.199998000000001</v>
      </c>
      <c r="P70" s="62"/>
      <c r="Q70" s="43" t="b">
        <v>0</v>
      </c>
      <c r="R70" s="43" t="b">
        <v>0</v>
      </c>
      <c r="S70" s="43" t="b">
        <v>0</v>
      </c>
      <c r="T70" s="63"/>
      <c r="U70" s="68">
        <v>14</v>
      </c>
      <c r="V70" s="60">
        <v>0</v>
      </c>
      <c r="W70" s="59">
        <v>42</v>
      </c>
      <c r="X70" s="60">
        <v>1983</v>
      </c>
      <c r="Y70" s="60" t="s">
        <v>173</v>
      </c>
      <c r="Z70" s="66" t="s">
        <v>2134</v>
      </c>
    </row>
    <row r="71" spans="1:26" ht="13">
      <c r="A71" s="39" t="str">
        <f t="shared" si="0"/>
        <v>N17NE</v>
      </c>
      <c r="B71" s="39">
        <v>17</v>
      </c>
      <c r="C71" s="39" t="s">
        <v>110</v>
      </c>
      <c r="D71" s="59">
        <f t="shared" si="1"/>
        <v>5200</v>
      </c>
      <c r="E71" s="73" t="s">
        <v>322</v>
      </c>
      <c r="F71" s="73">
        <v>1108230402</v>
      </c>
      <c r="G71" s="39" t="s">
        <v>323</v>
      </c>
      <c r="H71" s="60" t="s">
        <v>324</v>
      </c>
      <c r="I71" s="60">
        <v>114.16826469999999</v>
      </c>
      <c r="J71" s="60">
        <v>22.325801550000001</v>
      </c>
      <c r="K71" s="61">
        <v>5.5</v>
      </c>
      <c r="L71" s="60" t="s">
        <v>315</v>
      </c>
      <c r="M71" s="61">
        <v>48.5</v>
      </c>
      <c r="N71" s="60" t="s">
        <v>114</v>
      </c>
      <c r="O71" s="61">
        <v>43</v>
      </c>
      <c r="P71" s="74"/>
      <c r="Q71" s="75" t="b">
        <v>0</v>
      </c>
      <c r="R71" s="75" t="b">
        <v>0</v>
      </c>
      <c r="S71" s="75" t="b">
        <v>0</v>
      </c>
      <c r="T71" s="75"/>
      <c r="U71" s="76">
        <f>IFERROR(VLOOKUP($F71,NE_bmis!$A:$K,6,FALSE),"")</f>
        <v>23</v>
      </c>
      <c r="V71" s="73">
        <f>IFERROR(VLOOKUP($F71,NE_bmis!$A:$K,7,FALSE),"")</f>
        <v>0</v>
      </c>
      <c r="W71" s="77">
        <f>IFERROR(VLOOKUP($F71,NE_bmis!$A:$K,8,FALSE),"")</f>
        <v>30</v>
      </c>
      <c r="X71" s="73">
        <f>IFERROR(VLOOKUP($F71,NE_bmis!$A:$K,9,FALSE),"")</f>
        <v>1994</v>
      </c>
      <c r="Y71" s="73" t="str">
        <f>IFERROR(VLOOKUP($F71,NE_bmis!$A:$K,11,FALSE),"")</f>
        <v>BMIS_auto</v>
      </c>
      <c r="Z71" s="66" t="s">
        <v>2143</v>
      </c>
    </row>
    <row r="72" spans="1:26" ht="13">
      <c r="A72" s="39" t="str">
        <f t="shared" si="0"/>
        <v>N17SE</v>
      </c>
      <c r="B72" s="39">
        <v>17</v>
      </c>
      <c r="C72" s="39" t="s">
        <v>116</v>
      </c>
      <c r="D72" s="59">
        <f t="shared" si="1"/>
        <v>5200</v>
      </c>
      <c r="E72" s="73" t="s">
        <v>325</v>
      </c>
      <c r="F72" s="73">
        <v>1108230452</v>
      </c>
      <c r="G72" s="39" t="s">
        <v>326</v>
      </c>
      <c r="H72" s="60" t="s">
        <v>327</v>
      </c>
      <c r="I72" s="60">
        <v>114.1682715</v>
      </c>
      <c r="J72" s="60">
        <v>22.32573051</v>
      </c>
      <c r="K72" s="61">
        <v>5.5</v>
      </c>
      <c r="L72" s="60" t="s">
        <v>315</v>
      </c>
      <c r="M72" s="61">
        <v>51.400002000000001</v>
      </c>
      <c r="N72" s="60">
        <v>3</v>
      </c>
      <c r="O72" s="61">
        <v>45.900002000000001</v>
      </c>
      <c r="P72" s="74"/>
      <c r="Q72" s="75" t="b">
        <v>0</v>
      </c>
      <c r="R72" s="75" t="b">
        <v>0</v>
      </c>
      <c r="S72" s="75" t="b">
        <v>0</v>
      </c>
      <c r="T72" s="75"/>
      <c r="U72" s="76">
        <f>IFERROR(VLOOKUP($F72,NE_bmis!$A:$K,6,FALSE),"")</f>
        <v>15</v>
      </c>
      <c r="V72" s="73">
        <f>IFERROR(VLOOKUP($F72,NE_bmis!$A:$K,7,FALSE),"")</f>
        <v>0</v>
      </c>
      <c r="W72" s="77">
        <f>IFERROR(VLOOKUP($F72,NE_bmis!$A:$K,8,FALSE),"")</f>
        <v>15</v>
      </c>
      <c r="X72" s="73">
        <f>IFERROR(VLOOKUP($F72,NE_bmis!$A:$K,9,FALSE),"")</f>
        <v>1981</v>
      </c>
      <c r="Y72" s="73" t="str">
        <f>IFERROR(VLOOKUP($F72,NE_bmis!$A:$K,11,FALSE),"")</f>
        <v>BMIS_auto</v>
      </c>
      <c r="Z72" s="66" t="s">
        <v>2145</v>
      </c>
    </row>
    <row r="73" spans="1:26" ht="13">
      <c r="A73" s="39" t="str">
        <f t="shared" si="0"/>
        <v>N17SW</v>
      </c>
      <c r="B73" s="39">
        <v>17</v>
      </c>
      <c r="C73" s="39" t="s">
        <v>121</v>
      </c>
      <c r="D73" s="59">
        <f t="shared" si="1"/>
        <v>5200</v>
      </c>
      <c r="E73" s="73" t="s">
        <v>328</v>
      </c>
      <c r="F73" s="73">
        <v>1108230503</v>
      </c>
      <c r="G73" s="39" t="s">
        <v>329</v>
      </c>
      <c r="H73" s="60" t="s">
        <v>330</v>
      </c>
      <c r="I73" s="60">
        <v>114.1678362</v>
      </c>
      <c r="J73" s="60">
        <v>22.325548909999998</v>
      </c>
      <c r="K73" s="61">
        <v>17.799999</v>
      </c>
      <c r="L73" s="60" t="s">
        <v>115</v>
      </c>
      <c r="M73" s="61">
        <v>51.5</v>
      </c>
      <c r="N73" s="60">
        <v>3</v>
      </c>
      <c r="O73" s="61">
        <v>33.700001</v>
      </c>
      <c r="P73" s="74"/>
      <c r="Q73" s="75" t="b">
        <v>0</v>
      </c>
      <c r="R73" s="75" t="b">
        <v>0</v>
      </c>
      <c r="S73" s="75" t="b">
        <v>0</v>
      </c>
      <c r="T73" s="75"/>
      <c r="U73" s="76">
        <v>13</v>
      </c>
      <c r="V73" s="73">
        <v>0</v>
      </c>
      <c r="W73" s="77">
        <v>47</v>
      </c>
      <c r="X73" s="73">
        <v>1978</v>
      </c>
      <c r="Y73" s="73" t="s">
        <v>173</v>
      </c>
      <c r="Z73" s="66" t="s">
        <v>2147</v>
      </c>
    </row>
    <row r="74" spans="1:26" ht="13">
      <c r="A74" s="39" t="str">
        <f t="shared" si="0"/>
        <v>N17NW</v>
      </c>
      <c r="B74" s="39">
        <v>17</v>
      </c>
      <c r="C74" s="78" t="s">
        <v>127</v>
      </c>
      <c r="D74" s="59">
        <f t="shared" si="1"/>
        <v>5200</v>
      </c>
      <c r="E74" s="79" t="s">
        <v>331</v>
      </c>
      <c r="F74" s="79">
        <v>1108230410</v>
      </c>
      <c r="G74" s="41" t="s">
        <v>332</v>
      </c>
      <c r="H74" s="60" t="s">
        <v>333</v>
      </c>
      <c r="I74" s="60">
        <v>114.1678002</v>
      </c>
      <c r="J74" s="60">
        <v>22.32576328</v>
      </c>
      <c r="K74" s="61">
        <v>5.3</v>
      </c>
      <c r="L74" s="60" t="s">
        <v>315</v>
      </c>
      <c r="M74" s="61">
        <v>48.900002000000001</v>
      </c>
      <c r="N74" s="60">
        <v>3</v>
      </c>
      <c r="O74" s="61">
        <v>43.600002000000003</v>
      </c>
      <c r="P74" s="42"/>
      <c r="Q74" s="75" t="b">
        <v>0</v>
      </c>
      <c r="R74" s="75" t="b">
        <v>0</v>
      </c>
      <c r="S74" s="75" t="b">
        <v>0</v>
      </c>
      <c r="T74" s="75"/>
      <c r="U74" s="80">
        <f>IFERROR(VLOOKUP($F74,NE_bmis!$A:$K,6,FALSE),"")</f>
        <v>14</v>
      </c>
      <c r="V74" s="40">
        <f>IFERROR(VLOOKUP($F74,NE_bmis!$A:$K,7,FALSE),"")</f>
        <v>0</v>
      </c>
      <c r="W74" s="81">
        <f>IFERROR(VLOOKUP($F74,NE_bmis!$A:$K,8,FALSE),"")</f>
        <v>56</v>
      </c>
      <c r="X74" s="40">
        <f>IFERROR(VLOOKUP($F74,NE_bmis!$A:$K,9,FALSE),"")</f>
        <v>1963</v>
      </c>
      <c r="Y74" s="40" t="str">
        <f>IFERROR(VLOOKUP($F74,NE_bmis!$A:$K,11,FALSE),"")</f>
        <v>BMIS_auto</v>
      </c>
      <c r="Z74" s="66" t="s">
        <v>2149</v>
      </c>
    </row>
    <row r="75" spans="1:26" ht="13">
      <c r="A75" s="39" t="str">
        <f t="shared" si="0"/>
        <v>N18NE</v>
      </c>
      <c r="B75" s="39">
        <v>18</v>
      </c>
      <c r="C75" s="78" t="s">
        <v>110</v>
      </c>
      <c r="D75" s="59">
        <f t="shared" si="1"/>
        <v>5400</v>
      </c>
      <c r="E75" s="79" t="s">
        <v>334</v>
      </c>
      <c r="F75" s="79">
        <v>1108229291</v>
      </c>
      <c r="G75" s="41" t="s">
        <v>335</v>
      </c>
      <c r="H75" s="60" t="s">
        <v>336</v>
      </c>
      <c r="I75" s="60">
        <v>114.1675795</v>
      </c>
      <c r="J75" s="60">
        <v>22.32753726</v>
      </c>
      <c r="K75" s="61">
        <v>11.3</v>
      </c>
      <c r="L75" s="60" t="s">
        <v>115</v>
      </c>
      <c r="M75" s="61">
        <v>51.200001</v>
      </c>
      <c r="N75" s="60" t="s">
        <v>115</v>
      </c>
      <c r="O75" s="61">
        <v>39.900001000000003</v>
      </c>
      <c r="P75" s="42" t="s">
        <v>337</v>
      </c>
      <c r="Q75" s="75" t="b">
        <v>0</v>
      </c>
      <c r="R75" s="75" t="b">
        <v>0</v>
      </c>
      <c r="S75" s="75" t="b">
        <v>0</v>
      </c>
      <c r="T75" s="75"/>
      <c r="U75" s="80">
        <f>IFERROR(VLOOKUP($F75,NE_bmis!$A:$K,6,FALSE),"")</f>
        <v>16</v>
      </c>
      <c r="V75" s="40">
        <f>IFERROR(VLOOKUP($F75,NE_bmis!$A:$K,7,FALSE),"")</f>
        <v>0</v>
      </c>
      <c r="W75" s="81">
        <f>IFERROR(VLOOKUP($F75,NE_bmis!$A:$K,8,FALSE),"")</f>
        <v>139</v>
      </c>
      <c r="X75" s="40">
        <f>IFERROR(VLOOKUP($F75,NE_bmis!$A:$K,9,FALSE),"")</f>
        <v>1979</v>
      </c>
      <c r="Y75" s="40" t="str">
        <f>IFERROR(VLOOKUP($F75,NE_bmis!$A:$K,11,FALSE),"")</f>
        <v>BMIS_auto</v>
      </c>
      <c r="Z75" s="66" t="s">
        <v>2159</v>
      </c>
    </row>
    <row r="76" spans="1:26" ht="13">
      <c r="A76" s="39" t="str">
        <f t="shared" si="0"/>
        <v>N18SE</v>
      </c>
      <c r="B76" s="39">
        <v>18</v>
      </c>
      <c r="C76" s="78" t="s">
        <v>116</v>
      </c>
      <c r="D76" s="59">
        <f t="shared" si="1"/>
        <v>5400</v>
      </c>
      <c r="E76" s="79" t="s">
        <v>338</v>
      </c>
      <c r="F76" s="79">
        <v>1810000587</v>
      </c>
      <c r="G76" s="41" t="s">
        <v>339</v>
      </c>
      <c r="H76" s="60" t="s">
        <v>340</v>
      </c>
      <c r="I76" s="60">
        <v>114.1676831</v>
      </c>
      <c r="J76" s="60">
        <v>22.32729458</v>
      </c>
      <c r="K76" s="61">
        <v>15.7</v>
      </c>
      <c r="L76" s="60" t="s">
        <v>194</v>
      </c>
      <c r="M76" s="61">
        <v>129</v>
      </c>
      <c r="N76" s="60" t="s">
        <v>194</v>
      </c>
      <c r="O76" s="61">
        <v>113.3</v>
      </c>
      <c r="P76" s="42" t="s">
        <v>337</v>
      </c>
      <c r="Q76" s="75" t="b">
        <v>0</v>
      </c>
      <c r="R76" s="75" t="b">
        <v>0</v>
      </c>
      <c r="S76" s="75" t="b">
        <v>0</v>
      </c>
      <c r="T76" s="75"/>
      <c r="U76" s="80">
        <v>34</v>
      </c>
      <c r="V76" s="40"/>
      <c r="W76" s="81">
        <v>53</v>
      </c>
      <c r="X76" s="40">
        <v>2009</v>
      </c>
      <c r="Y76" s="40" t="s">
        <v>173</v>
      </c>
      <c r="Z76" s="66" t="s">
        <v>2161</v>
      </c>
    </row>
    <row r="77" spans="1:26" ht="13">
      <c r="A77" s="39" t="str">
        <f t="shared" si="0"/>
        <v>N18SW</v>
      </c>
      <c r="B77" s="39">
        <v>18</v>
      </c>
      <c r="C77" s="78" t="s">
        <v>121</v>
      </c>
      <c r="D77" s="59">
        <f t="shared" si="1"/>
        <v>5400</v>
      </c>
      <c r="E77" s="79" t="s">
        <v>341</v>
      </c>
      <c r="F77" s="79">
        <v>1108229363</v>
      </c>
      <c r="G77" s="41" t="s">
        <v>214</v>
      </c>
      <c r="H77" s="60" t="s">
        <v>342</v>
      </c>
      <c r="I77" s="60">
        <v>114.1669699</v>
      </c>
      <c r="J77" s="60">
        <v>22.327421510000001</v>
      </c>
      <c r="K77" s="61">
        <v>5.3</v>
      </c>
      <c r="L77" s="60" t="s">
        <v>126</v>
      </c>
      <c r="M77" s="61">
        <v>51.299999</v>
      </c>
      <c r="N77" s="60" t="s">
        <v>115</v>
      </c>
      <c r="O77" s="61">
        <v>45.999999000000003</v>
      </c>
      <c r="P77" s="42" t="s">
        <v>337</v>
      </c>
      <c r="Q77" s="75" t="b">
        <v>0</v>
      </c>
      <c r="R77" s="75" t="b">
        <v>0</v>
      </c>
      <c r="S77" s="75" t="b">
        <v>0</v>
      </c>
      <c r="T77" s="75"/>
      <c r="U77" s="80">
        <f>IFERROR(VLOOKUP($F77,NE_bmis!$A:$K,6,FALSE),"")</f>
        <v>14</v>
      </c>
      <c r="V77" s="40">
        <f>IFERROR(VLOOKUP($F77,NE_bmis!$A:$K,7,FALSE),"")</f>
        <v>0</v>
      </c>
      <c r="W77" s="81">
        <f>IFERROR(VLOOKUP($F77,NE_bmis!$A:$K,8,FALSE),"")</f>
        <v>28</v>
      </c>
      <c r="X77" s="40">
        <f>IFERROR(VLOOKUP($F77,NE_bmis!$A:$K,9,FALSE),"")</f>
        <v>1964</v>
      </c>
      <c r="Y77" s="40" t="str">
        <f>IFERROR(VLOOKUP($F77,NE_bmis!$A:$K,11,FALSE),"")</f>
        <v>BMIS_auto</v>
      </c>
      <c r="Z77" s="66" t="s">
        <v>2163</v>
      </c>
    </row>
    <row r="78" spans="1:26" ht="13">
      <c r="A78" s="39" t="str">
        <f t="shared" si="0"/>
        <v>N18NW</v>
      </c>
      <c r="B78" s="39">
        <v>18</v>
      </c>
      <c r="C78" s="39" t="s">
        <v>127</v>
      </c>
      <c r="D78" s="59">
        <f t="shared" si="1"/>
        <v>5400</v>
      </c>
      <c r="E78" s="73" t="s">
        <v>343</v>
      </c>
      <c r="F78" s="73">
        <v>1108229242</v>
      </c>
      <c r="G78" s="39" t="s">
        <v>344</v>
      </c>
      <c r="H78" s="60" t="s">
        <v>345</v>
      </c>
      <c r="I78" s="60">
        <v>114.16711239999999</v>
      </c>
      <c r="J78" s="60">
        <v>22.327583260000001</v>
      </c>
      <c r="K78" s="61">
        <v>5.5</v>
      </c>
      <c r="L78" s="60" t="s">
        <v>126</v>
      </c>
      <c r="M78" s="61">
        <v>40.599997999999999</v>
      </c>
      <c r="N78" s="60" t="s">
        <v>115</v>
      </c>
      <c r="O78" s="61">
        <v>35.099997999999999</v>
      </c>
      <c r="P78" s="74" t="s">
        <v>337</v>
      </c>
      <c r="Q78" s="75" t="b">
        <v>0</v>
      </c>
      <c r="R78" s="75" t="b">
        <v>0</v>
      </c>
      <c r="S78" s="75" t="b">
        <v>0</v>
      </c>
      <c r="T78" s="75"/>
      <c r="U78" s="76">
        <f>IFERROR(VLOOKUP($F78,NE_bmis!$A:$K,6,FALSE),"")</f>
        <v>12</v>
      </c>
      <c r="V78" s="73">
        <f>IFERROR(VLOOKUP($F78,NE_bmis!$A:$K,7,FALSE),"")</f>
        <v>0</v>
      </c>
      <c r="W78" s="77">
        <f>IFERROR(VLOOKUP($F78,NE_bmis!$A:$K,8,FALSE),"")</f>
        <v>47</v>
      </c>
      <c r="X78" s="73">
        <f>IFERROR(VLOOKUP($F78,NE_bmis!$A:$K,9,FALSE),"")</f>
        <v>1966</v>
      </c>
      <c r="Y78" s="73" t="str">
        <f>IFERROR(VLOOKUP($F78,NE_bmis!$A:$K,11,FALSE),"")</f>
        <v>BMIS_auto</v>
      </c>
      <c r="Z78" s="66" t="s">
        <v>2165</v>
      </c>
    </row>
    <row r="79" spans="1:26" ht="13">
      <c r="A79" s="39" t="str">
        <f t="shared" si="0"/>
        <v>N19NE</v>
      </c>
      <c r="B79" s="39">
        <v>19</v>
      </c>
      <c r="C79" s="39" t="s">
        <v>110</v>
      </c>
      <c r="D79" s="59">
        <f t="shared" si="1"/>
        <v>5600</v>
      </c>
      <c r="E79" s="73" t="s">
        <v>346</v>
      </c>
      <c r="F79" s="73">
        <v>1108228236</v>
      </c>
      <c r="G79" s="39" t="s">
        <v>347</v>
      </c>
      <c r="H79" s="60" t="s">
        <v>348</v>
      </c>
      <c r="I79" s="60">
        <v>114.1665059</v>
      </c>
      <c r="J79" s="60">
        <v>22.32880536</v>
      </c>
      <c r="K79" s="61">
        <v>13.7</v>
      </c>
      <c r="L79" s="60" t="s">
        <v>194</v>
      </c>
      <c r="M79" s="61">
        <v>72.400002000000001</v>
      </c>
      <c r="N79" s="60" t="s">
        <v>194</v>
      </c>
      <c r="O79" s="61">
        <v>58.700001999999998</v>
      </c>
      <c r="P79" s="74"/>
      <c r="Q79" s="75" t="b">
        <v>0</v>
      </c>
      <c r="R79" s="75" t="b">
        <v>0</v>
      </c>
      <c r="S79" s="75" t="b">
        <v>0</v>
      </c>
      <c r="T79" s="75"/>
      <c r="U79" s="76">
        <f>IFERROR(VLOOKUP($F79,NE_bmis!$A:$K,6,FALSE),"")</f>
        <v>21</v>
      </c>
      <c r="V79" s="73">
        <f>IFERROR(VLOOKUP($F79,NE_bmis!$A:$K,7,FALSE),"")</f>
        <v>0</v>
      </c>
      <c r="W79" s="77">
        <f>IFERROR(VLOOKUP($F79,NE_bmis!$A:$K,8,FALSE),"")</f>
        <v>42</v>
      </c>
      <c r="X79" s="73">
        <f>IFERROR(VLOOKUP($F79,NE_bmis!$A:$K,9,FALSE),"")</f>
        <v>1999</v>
      </c>
      <c r="Y79" s="73" t="str">
        <f>IFERROR(VLOOKUP($F79,NE_bmis!$A:$K,11,FALSE),"")</f>
        <v>BMIS_auto</v>
      </c>
      <c r="Z79" s="66" t="s">
        <v>2175</v>
      </c>
    </row>
    <row r="80" spans="1:26" ht="13">
      <c r="A80" s="39" t="str">
        <f t="shared" si="0"/>
        <v>N19SE</v>
      </c>
      <c r="B80" s="39">
        <v>19</v>
      </c>
      <c r="C80" s="39" t="s">
        <v>116</v>
      </c>
      <c r="D80" s="59">
        <f t="shared" si="1"/>
        <v>5600</v>
      </c>
      <c r="E80" s="73" t="s">
        <v>349</v>
      </c>
      <c r="F80" s="73">
        <v>1108228278</v>
      </c>
      <c r="G80" s="39" t="s">
        <v>350</v>
      </c>
      <c r="H80" s="60" t="s">
        <v>351</v>
      </c>
      <c r="I80" s="60">
        <v>114.16697979999999</v>
      </c>
      <c r="J80" s="60">
        <v>22.328759309999999</v>
      </c>
      <c r="K80" s="61">
        <v>5.8</v>
      </c>
      <c r="L80" s="60" t="s">
        <v>126</v>
      </c>
      <c r="M80" s="61">
        <v>45.099997999999999</v>
      </c>
      <c r="N80" s="60">
        <v>3</v>
      </c>
      <c r="O80" s="61">
        <v>39.299998000000002</v>
      </c>
      <c r="P80" s="74"/>
      <c r="Q80" s="75" t="b">
        <v>0</v>
      </c>
      <c r="R80" s="75" t="b">
        <v>0</v>
      </c>
      <c r="S80" s="75" t="b">
        <v>0</v>
      </c>
      <c r="T80" s="75"/>
      <c r="U80" s="76">
        <f>IFERROR(VLOOKUP($F80,NE_bmis!$A:$K,6,FALSE),"")</f>
        <v>11</v>
      </c>
      <c r="V80" s="73">
        <f>IFERROR(VLOOKUP($F80,NE_bmis!$A:$K,7,FALSE),"")</f>
        <v>0</v>
      </c>
      <c r="W80" s="77">
        <f>IFERROR(VLOOKUP($F80,NE_bmis!$A:$K,8,FALSE),"")</f>
        <v>88</v>
      </c>
      <c r="X80" s="73">
        <f>IFERROR(VLOOKUP($F80,NE_bmis!$A:$K,9,FALSE),"")</f>
        <v>1963</v>
      </c>
      <c r="Y80" s="73" t="str">
        <f>IFERROR(VLOOKUP($F80,NE_bmis!$A:$K,11,FALSE),"")</f>
        <v>BMIS_auto</v>
      </c>
      <c r="Z80" s="66" t="s">
        <v>2177</v>
      </c>
    </row>
    <row r="81" spans="1:26" ht="13">
      <c r="A81" s="39" t="str">
        <f t="shared" si="0"/>
        <v>N19SW</v>
      </c>
      <c r="B81" s="39">
        <v>19</v>
      </c>
      <c r="C81" s="39" t="s">
        <v>121</v>
      </c>
      <c r="D81" s="59">
        <f t="shared" si="1"/>
        <v>5600</v>
      </c>
      <c r="E81" s="73" t="s">
        <v>352</v>
      </c>
      <c r="F81" s="73">
        <v>1108228341</v>
      </c>
      <c r="G81" s="39" t="s">
        <v>353</v>
      </c>
      <c r="H81" s="60"/>
      <c r="I81" s="60">
        <v>114.1665802</v>
      </c>
      <c r="J81" s="60">
        <v>22.328715840000001</v>
      </c>
      <c r="K81" s="61">
        <v>5.8</v>
      </c>
      <c r="L81" s="60" t="s">
        <v>126</v>
      </c>
      <c r="M81" s="61">
        <v>27.700001</v>
      </c>
      <c r="N81" s="60" t="s">
        <v>115</v>
      </c>
      <c r="O81" s="61">
        <v>21.900001</v>
      </c>
      <c r="P81" s="74"/>
      <c r="Q81" s="75" t="b">
        <v>0</v>
      </c>
      <c r="R81" s="75" t="b">
        <v>0</v>
      </c>
      <c r="S81" s="75" t="b">
        <v>1</v>
      </c>
      <c r="T81" s="75"/>
      <c r="U81" s="76">
        <f>IFERROR(VLOOKUP($F81,NE_bmis!$A:$K,6,FALSE),"")</f>
        <v>6</v>
      </c>
      <c r="V81" s="73">
        <f>IFERROR(VLOOKUP($F81,NE_bmis!$A:$K,7,FALSE),"")</f>
        <v>0</v>
      </c>
      <c r="W81" s="77">
        <f>IFERROR(VLOOKUP($F81,NE_bmis!$A:$K,8,FALSE),"")</f>
        <v>13</v>
      </c>
      <c r="X81" s="73">
        <f>IFERROR(VLOOKUP($F81,NE_bmis!$A:$K,9,FALSE),"")</f>
        <v>1973</v>
      </c>
      <c r="Y81" s="73" t="str">
        <f>IFERROR(VLOOKUP($F81,NE_bmis!$A:$K,11,FALSE),"")</f>
        <v>BMIS_auto</v>
      </c>
      <c r="Z81" s="66" t="s">
        <v>2179</v>
      </c>
    </row>
    <row r="82" spans="1:26" ht="13">
      <c r="A82" s="39" t="str">
        <f t="shared" si="0"/>
        <v>N19NW</v>
      </c>
      <c r="B82" s="39">
        <v>19</v>
      </c>
      <c r="C82" s="78" t="s">
        <v>127</v>
      </c>
      <c r="D82" s="59">
        <f t="shared" si="1"/>
        <v>5600</v>
      </c>
      <c r="E82" s="79" t="s">
        <v>354</v>
      </c>
      <c r="F82" s="79">
        <v>1108228149</v>
      </c>
      <c r="G82" s="41" t="s">
        <v>355</v>
      </c>
      <c r="H82" s="60" t="s">
        <v>356</v>
      </c>
      <c r="I82" s="60">
        <v>114.16693789999999</v>
      </c>
      <c r="J82" s="60">
        <v>22.328965270000001</v>
      </c>
      <c r="K82" s="61">
        <v>10.199999999999999</v>
      </c>
      <c r="L82" s="60" t="s">
        <v>115</v>
      </c>
      <c r="M82" s="61">
        <v>50.200001</v>
      </c>
      <c r="N82" s="60">
        <v>3</v>
      </c>
      <c r="O82" s="61">
        <v>40.000000999999997</v>
      </c>
      <c r="P82" s="42"/>
      <c r="Q82" s="75" t="b">
        <v>0</v>
      </c>
      <c r="R82" s="75" t="b">
        <v>0</v>
      </c>
      <c r="S82" s="75" t="b">
        <v>0</v>
      </c>
      <c r="T82" s="75"/>
      <c r="U82" s="80">
        <v>15</v>
      </c>
      <c r="V82" s="40">
        <v>0</v>
      </c>
      <c r="W82" s="81">
        <v>123</v>
      </c>
      <c r="X82" s="40">
        <v>1988</v>
      </c>
      <c r="Y82" s="40" t="s">
        <v>173</v>
      </c>
      <c r="Z82" s="66" t="s">
        <v>2181</v>
      </c>
    </row>
    <row r="83" spans="1:26" ht="13">
      <c r="A83" s="39" t="str">
        <f t="shared" si="0"/>
        <v>N20NE</v>
      </c>
      <c r="B83" s="39">
        <v>20</v>
      </c>
      <c r="C83" s="78" t="s">
        <v>110</v>
      </c>
      <c r="D83" s="59">
        <f t="shared" si="1"/>
        <v>5800</v>
      </c>
      <c r="E83" s="79" t="s">
        <v>357</v>
      </c>
      <c r="F83" s="79">
        <v>1108226640</v>
      </c>
      <c r="G83" s="41" t="s">
        <v>358</v>
      </c>
      <c r="H83" s="60" t="s">
        <v>359</v>
      </c>
      <c r="I83" s="60">
        <v>114.1658972</v>
      </c>
      <c r="J83" s="60">
        <v>22.330775119999998</v>
      </c>
      <c r="K83" s="61">
        <v>5.9</v>
      </c>
      <c r="L83" s="60" t="s">
        <v>126</v>
      </c>
      <c r="M83" s="61">
        <v>32.799999</v>
      </c>
      <c r="N83" s="60" t="s">
        <v>115</v>
      </c>
      <c r="O83" s="61">
        <v>26.899999000000001</v>
      </c>
      <c r="P83" s="42"/>
      <c r="Q83" s="75" t="b">
        <v>0</v>
      </c>
      <c r="R83" s="75" t="b">
        <v>0</v>
      </c>
      <c r="S83" s="75" t="b">
        <v>0</v>
      </c>
      <c r="T83" s="75"/>
      <c r="U83" s="80">
        <f>IFERROR(VLOOKUP($F83,NE_bmis!$A:$K,6,FALSE),"")</f>
        <v>7</v>
      </c>
      <c r="V83" s="40">
        <f>IFERROR(VLOOKUP($F83,NE_bmis!$A:$K,7,FALSE),"")</f>
        <v>0</v>
      </c>
      <c r="W83" s="81">
        <f>IFERROR(VLOOKUP($F83,NE_bmis!$A:$K,8,FALSE),"")</f>
        <v>42</v>
      </c>
      <c r="X83" s="40">
        <f>IFERROR(VLOOKUP($F83,NE_bmis!$A:$K,9,FALSE),"")</f>
        <v>1956</v>
      </c>
      <c r="Y83" s="40" t="str">
        <f>IFERROR(VLOOKUP($F83,NE_bmis!$A:$K,11,FALSE),"")</f>
        <v>BMIS_auto</v>
      </c>
      <c r="Z83" s="66" t="s">
        <v>2191</v>
      </c>
    </row>
    <row r="84" spans="1:26" ht="13">
      <c r="A84" s="39" t="str">
        <f t="shared" si="0"/>
        <v>N20SE</v>
      </c>
      <c r="B84" s="39">
        <v>20</v>
      </c>
      <c r="C84" s="78" t="s">
        <v>116</v>
      </c>
      <c r="D84" s="59">
        <f t="shared" si="1"/>
        <v>5800</v>
      </c>
      <c r="E84" s="79" t="s">
        <v>360</v>
      </c>
      <c r="F84" s="79">
        <v>1108226735</v>
      </c>
      <c r="G84" s="41" t="s">
        <v>361</v>
      </c>
      <c r="H84" s="60" t="s">
        <v>362</v>
      </c>
      <c r="I84" s="60">
        <v>114.16623869999999</v>
      </c>
      <c r="J84" s="60">
        <v>22.33044344</v>
      </c>
      <c r="K84" s="61">
        <v>10.9</v>
      </c>
      <c r="L84" s="60" t="s">
        <v>115</v>
      </c>
      <c r="M84" s="61">
        <v>44.700001</v>
      </c>
      <c r="N84" s="60">
        <v>3</v>
      </c>
      <c r="O84" s="61">
        <v>33.800001000000002</v>
      </c>
      <c r="P84" s="42"/>
      <c r="Q84" s="75" t="b">
        <v>0</v>
      </c>
      <c r="R84" s="75" t="b">
        <v>0</v>
      </c>
      <c r="S84" s="75" t="b">
        <v>0</v>
      </c>
      <c r="T84" s="75"/>
      <c r="U84" s="80">
        <f>IFERROR(VLOOKUP($F84,NE_bmis!$A:$K,6,FALSE),"")</f>
        <v>12</v>
      </c>
      <c r="V84" s="40">
        <f>IFERROR(VLOOKUP($F84,NE_bmis!$A:$K,7,FALSE),"")</f>
        <v>0</v>
      </c>
      <c r="W84" s="81">
        <f>IFERROR(VLOOKUP($F84,NE_bmis!$A:$K,8,FALSE),"")</f>
        <v>204</v>
      </c>
      <c r="X84" s="40">
        <f>IFERROR(VLOOKUP($F84,NE_bmis!$A:$K,9,FALSE),"")</f>
        <v>1960</v>
      </c>
      <c r="Y84" s="40" t="str">
        <f>IFERROR(VLOOKUP($F84,NE_bmis!$A:$K,11,FALSE),"")</f>
        <v>BMIS_auto</v>
      </c>
      <c r="Z84" s="66" t="s">
        <v>2193</v>
      </c>
    </row>
    <row r="85" spans="1:26" ht="13">
      <c r="A85" s="39" t="str">
        <f t="shared" si="0"/>
        <v>N20SW</v>
      </c>
      <c r="B85" s="39">
        <v>20</v>
      </c>
      <c r="C85" s="78" t="s">
        <v>121</v>
      </c>
      <c r="D85" s="59">
        <f t="shared" si="1"/>
        <v>5800</v>
      </c>
      <c r="E85" s="79" t="s">
        <v>363</v>
      </c>
      <c r="F85" s="79">
        <v>1108227078</v>
      </c>
      <c r="G85" s="41" t="s">
        <v>364</v>
      </c>
      <c r="H85" s="60"/>
      <c r="I85" s="60">
        <v>114.165718</v>
      </c>
      <c r="J85" s="60">
        <v>22.330200990000002</v>
      </c>
      <c r="K85" s="61">
        <v>5.8</v>
      </c>
      <c r="L85" s="60" t="s">
        <v>126</v>
      </c>
      <c r="M85" s="61">
        <v>24.299999</v>
      </c>
      <c r="N85" s="60">
        <v>3</v>
      </c>
      <c r="O85" s="61">
        <v>18.499998999999999</v>
      </c>
      <c r="P85" s="42" t="s">
        <v>365</v>
      </c>
      <c r="Q85" s="75" t="b">
        <v>0</v>
      </c>
      <c r="R85" s="75" t="b">
        <v>0</v>
      </c>
      <c r="S85" s="75" t="b">
        <v>1</v>
      </c>
      <c r="T85" s="75"/>
      <c r="U85" s="80">
        <f>IFERROR(VLOOKUP($F85,NE_bmis!$A:$K,6,FALSE),"")</f>
        <v>13</v>
      </c>
      <c r="V85" s="40">
        <f>IFERROR(VLOOKUP($F85,NE_bmis!$A:$K,7,FALSE),"")</f>
        <v>0</v>
      </c>
      <c r="W85" s="81">
        <f>IFERROR(VLOOKUP($F85,NE_bmis!$A:$K,8,FALSE),"")</f>
        <v>25</v>
      </c>
      <c r="X85" s="40">
        <f>IFERROR(VLOOKUP($F85,NE_bmis!$A:$K,9,FALSE),"")</f>
        <v>1993</v>
      </c>
      <c r="Y85" s="40" t="str">
        <f>IFERROR(VLOOKUP($F85,NE_bmis!$A:$K,11,FALSE),"")</f>
        <v>BMIS_auto</v>
      </c>
      <c r="Z85" s="66" t="s">
        <v>2195</v>
      </c>
    </row>
    <row r="86" spans="1:26" ht="13">
      <c r="A86" s="39" t="str">
        <f t="shared" si="0"/>
        <v>N20NW</v>
      </c>
      <c r="B86" s="39">
        <v>20</v>
      </c>
      <c r="C86" s="78" t="s">
        <v>127</v>
      </c>
      <c r="D86" s="59">
        <f t="shared" si="1"/>
        <v>5800</v>
      </c>
      <c r="E86" s="79" t="s">
        <v>366</v>
      </c>
      <c r="F86" s="79">
        <v>1108226958</v>
      </c>
      <c r="G86" s="41" t="s">
        <v>367</v>
      </c>
      <c r="H86" s="60"/>
      <c r="I86" s="60">
        <v>114.1655774</v>
      </c>
      <c r="J86" s="60">
        <v>22.33036555</v>
      </c>
      <c r="K86" s="61">
        <v>5.8</v>
      </c>
      <c r="L86" s="60" t="s">
        <v>126</v>
      </c>
      <c r="M86" s="61">
        <v>35.599997999999999</v>
      </c>
      <c r="N86" s="60">
        <v>3</v>
      </c>
      <c r="O86" s="61">
        <v>29.799997999999999</v>
      </c>
      <c r="P86" s="42" t="s">
        <v>365</v>
      </c>
      <c r="Q86" s="75" t="b">
        <v>0</v>
      </c>
      <c r="R86" s="75" t="b">
        <v>0</v>
      </c>
      <c r="S86" s="75" t="b">
        <v>1</v>
      </c>
      <c r="T86" s="75"/>
      <c r="U86" s="80">
        <f>IFERROR(VLOOKUP($F86,NE_bmis!$A:$K,6,FALSE),"")</f>
        <v>8</v>
      </c>
      <c r="V86" s="40">
        <f>IFERROR(VLOOKUP($F86,NE_bmis!$A:$K,7,FALSE),"")</f>
        <v>0</v>
      </c>
      <c r="W86" s="81">
        <f>IFERROR(VLOOKUP($F86,NE_bmis!$A:$K,8,FALSE),"")</f>
        <v>46</v>
      </c>
      <c r="X86" s="40">
        <f>IFERROR(VLOOKUP($F86,NE_bmis!$A:$K,9,FALSE),"")</f>
        <v>1959</v>
      </c>
      <c r="Y86" s="40" t="str">
        <f>IFERROR(VLOOKUP($F86,NE_bmis!$A:$K,11,FALSE),"")</f>
        <v>BMIS_auto</v>
      </c>
      <c r="Z86" s="66" t="s">
        <v>2197</v>
      </c>
    </row>
    <row r="87" spans="1:26" ht="13">
      <c r="A87" s="39" t="str">
        <f t="shared" si="0"/>
        <v>N21NE</v>
      </c>
      <c r="B87" s="39">
        <v>21</v>
      </c>
      <c r="C87" s="78" t="s">
        <v>110</v>
      </c>
      <c r="D87" s="59">
        <f t="shared" si="1"/>
        <v>6000</v>
      </c>
      <c r="E87" s="79" t="s">
        <v>368</v>
      </c>
      <c r="F87" s="79">
        <v>1108225865</v>
      </c>
      <c r="G87" s="41" t="s">
        <v>369</v>
      </c>
      <c r="H87" s="60" t="s">
        <v>370</v>
      </c>
      <c r="I87" s="60">
        <v>114.1647871</v>
      </c>
      <c r="J87" s="60">
        <v>22.332081299999999</v>
      </c>
      <c r="K87" s="61">
        <v>12.6</v>
      </c>
      <c r="L87" s="60" t="s">
        <v>115</v>
      </c>
      <c r="M87" s="61">
        <v>45.099997999999999</v>
      </c>
      <c r="N87" s="60" t="s">
        <v>115</v>
      </c>
      <c r="O87" s="61">
        <v>32.499997999999998</v>
      </c>
      <c r="P87" s="42"/>
      <c r="Q87" s="75" t="b">
        <v>0</v>
      </c>
      <c r="R87" s="75" t="b">
        <v>0</v>
      </c>
      <c r="S87" s="75" t="b">
        <v>0</v>
      </c>
      <c r="T87" s="75"/>
      <c r="U87" s="80">
        <f>IFERROR(VLOOKUP($F87,NE_bmis!$A:$K,6,FALSE),"")</f>
        <v>11</v>
      </c>
      <c r="V87" s="40">
        <f>IFERROR(VLOOKUP($F87,NE_bmis!$A:$K,7,FALSE),"")</f>
        <v>0</v>
      </c>
      <c r="W87" s="81">
        <f>IFERROR(VLOOKUP($F87,NE_bmis!$A:$K,8,FALSE),"")</f>
        <v>45</v>
      </c>
      <c r="X87" s="40">
        <f>IFERROR(VLOOKUP($F87,NE_bmis!$A:$K,9,FALSE),"")</f>
        <v>1982</v>
      </c>
      <c r="Y87" s="40" t="str">
        <f>IFERROR(VLOOKUP($F87,NE_bmis!$A:$K,11,FALSE),"")</f>
        <v>BMIS_auto</v>
      </c>
      <c r="Z87" s="66" t="s">
        <v>2207</v>
      </c>
    </row>
    <row r="88" spans="1:26" ht="13">
      <c r="A88" s="39" t="str">
        <f t="shared" si="0"/>
        <v>N21SE</v>
      </c>
      <c r="B88" s="39">
        <v>21</v>
      </c>
      <c r="C88" s="78" t="s">
        <v>116</v>
      </c>
      <c r="D88" s="59">
        <f t="shared" si="1"/>
        <v>6000</v>
      </c>
      <c r="E88" s="79" t="s">
        <v>371</v>
      </c>
      <c r="F88" s="79">
        <v>1108225903</v>
      </c>
      <c r="G88" s="41" t="s">
        <v>372</v>
      </c>
      <c r="H88" s="60" t="s">
        <v>373</v>
      </c>
      <c r="I88" s="60">
        <v>114.1649091</v>
      </c>
      <c r="J88" s="60">
        <v>22.331943899999999</v>
      </c>
      <c r="K88" s="61">
        <v>6.7</v>
      </c>
      <c r="L88" s="60" t="s">
        <v>126</v>
      </c>
      <c r="M88" s="61">
        <v>42.900002000000001</v>
      </c>
      <c r="N88" s="60">
        <v>3</v>
      </c>
      <c r="O88" s="61">
        <v>36.200001999999998</v>
      </c>
      <c r="P88" s="42"/>
      <c r="Q88" s="75" t="b">
        <v>0</v>
      </c>
      <c r="R88" s="75" t="b">
        <v>0</v>
      </c>
      <c r="S88" s="75" t="b">
        <v>0</v>
      </c>
      <c r="T88" s="75"/>
      <c r="U88" s="80">
        <f>IFERROR(VLOOKUP($F88,NE_bmis!$A:$K,6,FALSE),"")</f>
        <v>12</v>
      </c>
      <c r="V88" s="40">
        <f>IFERROR(VLOOKUP($F88,NE_bmis!$A:$K,7,FALSE),"")</f>
        <v>0</v>
      </c>
      <c r="W88" s="81">
        <f>IFERROR(VLOOKUP($F88,NE_bmis!$A:$K,8,FALSE),"")</f>
        <v>120</v>
      </c>
      <c r="X88" s="40">
        <f>IFERROR(VLOOKUP($F88,NE_bmis!$A:$K,9,FALSE),"")</f>
        <v>1963</v>
      </c>
      <c r="Y88" s="40" t="str">
        <f>IFERROR(VLOOKUP($F88,NE_bmis!$A:$K,11,FALSE),"")</f>
        <v>BMIS_auto</v>
      </c>
      <c r="Z88" s="66" t="s">
        <v>2209</v>
      </c>
    </row>
    <row r="89" spans="1:26" ht="13">
      <c r="A89" s="39" t="str">
        <f t="shared" si="0"/>
        <v>N21SW</v>
      </c>
      <c r="B89" s="39">
        <v>21</v>
      </c>
      <c r="C89" s="78" t="s">
        <v>121</v>
      </c>
      <c r="D89" s="59">
        <f t="shared" si="1"/>
        <v>6000</v>
      </c>
      <c r="E89" s="79" t="s">
        <v>374</v>
      </c>
      <c r="F89" s="79">
        <v>1108226016</v>
      </c>
      <c r="G89" s="41" t="s">
        <v>375</v>
      </c>
      <c r="H89" s="60" t="s">
        <v>376</v>
      </c>
      <c r="I89" s="60">
        <v>114.1645211</v>
      </c>
      <c r="J89" s="60">
        <v>22.33176821</v>
      </c>
      <c r="K89" s="61">
        <v>16.100000000000001</v>
      </c>
      <c r="L89" s="60" t="s">
        <v>115</v>
      </c>
      <c r="M89" s="61">
        <v>44.200001</v>
      </c>
      <c r="N89" s="60" t="s">
        <v>115</v>
      </c>
      <c r="O89" s="61">
        <v>28.100000999999999</v>
      </c>
      <c r="P89" s="42"/>
      <c r="Q89" s="75" t="b">
        <v>0</v>
      </c>
      <c r="R89" s="75" t="b">
        <v>0</v>
      </c>
      <c r="S89" s="75" t="b">
        <v>0</v>
      </c>
      <c r="T89" s="75"/>
      <c r="U89" s="80">
        <f>IFERROR(VLOOKUP($F89,NE_bmis!$A:$K,6,FALSE),"")</f>
        <v>11</v>
      </c>
      <c r="V89" s="40">
        <f>IFERROR(VLOOKUP($F89,NE_bmis!$A:$K,7,FALSE),"")</f>
        <v>0</v>
      </c>
      <c r="W89" s="81">
        <f>IFERROR(VLOOKUP($F89,NE_bmis!$A:$K,8,FALSE),"")</f>
        <v>30</v>
      </c>
      <c r="X89" s="40">
        <f>IFERROR(VLOOKUP($F89,NE_bmis!$A:$K,9,FALSE),"")</f>
        <v>1983</v>
      </c>
      <c r="Y89" s="40" t="str">
        <f>IFERROR(VLOOKUP($F89,NE_bmis!$A:$K,11,FALSE),"")</f>
        <v>BMIS_auto</v>
      </c>
      <c r="Z89" s="66" t="s">
        <v>2211</v>
      </c>
    </row>
    <row r="90" spans="1:26" ht="13">
      <c r="A90" s="39" t="str">
        <f t="shared" si="0"/>
        <v>N21NW</v>
      </c>
      <c r="B90" s="39">
        <v>21</v>
      </c>
      <c r="C90" s="78" t="s">
        <v>127</v>
      </c>
      <c r="D90" s="59">
        <f t="shared" si="1"/>
        <v>6000</v>
      </c>
      <c r="E90" s="79" t="s">
        <v>377</v>
      </c>
      <c r="F90" s="79">
        <v>1108225950</v>
      </c>
      <c r="G90" s="41" t="s">
        <v>378</v>
      </c>
      <c r="H90" s="60" t="s">
        <v>379</v>
      </c>
      <c r="I90" s="60">
        <v>114.1643397</v>
      </c>
      <c r="J90" s="60">
        <v>22.331912719999998</v>
      </c>
      <c r="K90" s="61">
        <v>16.899999999999999</v>
      </c>
      <c r="L90" s="60" t="s">
        <v>115</v>
      </c>
      <c r="M90" s="61">
        <v>43.5</v>
      </c>
      <c r="N90" s="60">
        <v>3</v>
      </c>
      <c r="O90" s="61">
        <v>26.6</v>
      </c>
      <c r="P90" s="42"/>
      <c r="Q90" s="75" t="b">
        <v>0</v>
      </c>
      <c r="R90" s="75" t="b">
        <v>0</v>
      </c>
      <c r="S90" s="75" t="b">
        <v>0</v>
      </c>
      <c r="T90" s="75"/>
      <c r="U90" s="80">
        <f>IFERROR(VLOOKUP($F90,NE_bmis!$A:$K,6,FALSE),"")</f>
        <v>12</v>
      </c>
      <c r="V90" s="40">
        <f>IFERROR(VLOOKUP($F90,NE_bmis!$A:$K,7,FALSE),"")</f>
        <v>0</v>
      </c>
      <c r="W90" s="81">
        <f>IFERROR(VLOOKUP($F90,NE_bmis!$A:$K,8,FALSE),"")</f>
        <v>132</v>
      </c>
      <c r="X90" s="40">
        <f>IFERROR(VLOOKUP($F90,NE_bmis!$A:$K,9,FALSE),"")</f>
        <v>1981</v>
      </c>
      <c r="Y90" s="40" t="str">
        <f>IFERROR(VLOOKUP($F90,NE_bmis!$A:$K,11,FALSE),"")</f>
        <v>BMIS_auto</v>
      </c>
      <c r="Z90" s="66" t="s">
        <v>2213</v>
      </c>
    </row>
    <row r="91" spans="1:26" ht="13">
      <c r="A91" s="39" t="str">
        <f t="shared" si="0"/>
        <v>N22NE</v>
      </c>
      <c r="B91" s="39">
        <v>22</v>
      </c>
      <c r="C91" s="78" t="s">
        <v>110</v>
      </c>
      <c r="D91" s="59">
        <f t="shared" si="1"/>
        <v>6200</v>
      </c>
      <c r="E91" s="79"/>
      <c r="F91" s="79"/>
      <c r="G91" s="41"/>
      <c r="H91" s="60"/>
      <c r="I91" s="60"/>
      <c r="J91" s="60"/>
      <c r="K91" s="61"/>
      <c r="L91" s="60"/>
      <c r="M91" s="61"/>
      <c r="N91" s="60"/>
      <c r="O91" s="61"/>
      <c r="P91" s="42" t="s">
        <v>380</v>
      </c>
      <c r="Q91" s="75" t="b">
        <v>1</v>
      </c>
      <c r="R91" s="75" t="b">
        <v>1</v>
      </c>
      <c r="S91" s="75" t="b">
        <v>0</v>
      </c>
      <c r="T91" s="75"/>
      <c r="U91" s="82">
        <v>0</v>
      </c>
      <c r="V91" s="40" t="str">
        <f>IFERROR(VLOOKUP($F91,NE_bmis!$A:$K,7,FALSE),"")</f>
        <v/>
      </c>
      <c r="W91" s="81" t="str">
        <f>IFERROR(VLOOKUP($F91,NE_bmis!$A:$K,8,FALSE),"")</f>
        <v/>
      </c>
      <c r="X91" s="40" t="str">
        <f>IFERROR(VLOOKUP($F91,NE_bmis!$A:$K,9,FALSE),"")</f>
        <v/>
      </c>
      <c r="Y91" s="40" t="str">
        <f>IFERROR(VLOOKUP($F91,NE_bmis!$A:$K,11,FALSE),"")</f>
        <v/>
      </c>
      <c r="Z91" s="66" t="s">
        <v>556</v>
      </c>
    </row>
    <row r="92" spans="1:26" ht="13">
      <c r="A92" s="39" t="str">
        <f t="shared" si="0"/>
        <v>N22SE</v>
      </c>
      <c r="B92" s="39">
        <v>22</v>
      </c>
      <c r="C92" s="78" t="s">
        <v>116</v>
      </c>
      <c r="D92" s="59">
        <f t="shared" si="1"/>
        <v>6200</v>
      </c>
      <c r="E92" s="79"/>
      <c r="F92" s="79"/>
      <c r="G92" s="41"/>
      <c r="H92" s="60"/>
      <c r="I92" s="60"/>
      <c r="J92" s="60"/>
      <c r="K92" s="61"/>
      <c r="L92" s="60"/>
      <c r="M92" s="61"/>
      <c r="N92" s="60"/>
      <c r="O92" s="61"/>
      <c r="P92" s="42" t="s">
        <v>380</v>
      </c>
      <c r="Q92" s="75" t="b">
        <v>1</v>
      </c>
      <c r="R92" s="75" t="b">
        <v>1</v>
      </c>
      <c r="S92" s="75" t="b">
        <v>0</v>
      </c>
      <c r="T92" s="75"/>
      <c r="U92" s="82">
        <v>0</v>
      </c>
      <c r="V92" s="40" t="str">
        <f>IFERROR(VLOOKUP($F92,NE_bmis!$A:$K,7,FALSE),"")</f>
        <v/>
      </c>
      <c r="W92" s="81" t="str">
        <f>IFERROR(VLOOKUP($F92,NE_bmis!$A:$K,8,FALSE),"")</f>
        <v/>
      </c>
      <c r="X92" s="40" t="str">
        <f>IFERROR(VLOOKUP($F92,NE_bmis!$A:$K,9,FALSE),"")</f>
        <v/>
      </c>
      <c r="Y92" s="40" t="str">
        <f>IFERROR(VLOOKUP($F92,NE_bmis!$A:$K,11,FALSE),"")</f>
        <v/>
      </c>
      <c r="Z92" s="66" t="s">
        <v>556</v>
      </c>
    </row>
    <row r="93" spans="1:26" ht="13">
      <c r="A93" s="39" t="str">
        <f t="shared" si="0"/>
        <v>N22SW</v>
      </c>
      <c r="B93" s="39">
        <v>22</v>
      </c>
      <c r="C93" s="78" t="s">
        <v>121</v>
      </c>
      <c r="D93" s="59">
        <f t="shared" si="1"/>
        <v>6200</v>
      </c>
      <c r="E93" s="79" t="s">
        <v>381</v>
      </c>
      <c r="F93" s="79">
        <v>1108225465</v>
      </c>
      <c r="G93" s="41" t="s">
        <v>382</v>
      </c>
      <c r="H93" s="60" t="s">
        <v>383</v>
      </c>
      <c r="I93" s="60">
        <v>114.1631436</v>
      </c>
      <c r="J93" s="60">
        <v>22.332935979999998</v>
      </c>
      <c r="K93" s="61">
        <v>16.200001</v>
      </c>
      <c r="L93" s="60" t="s">
        <v>115</v>
      </c>
      <c r="M93" s="61">
        <v>42.599997999999999</v>
      </c>
      <c r="N93" s="60" t="s">
        <v>115</v>
      </c>
      <c r="O93" s="61">
        <v>26.399996999999999</v>
      </c>
      <c r="P93" s="42"/>
      <c r="Q93" s="75" t="b">
        <v>0</v>
      </c>
      <c r="R93" s="75" t="b">
        <v>0</v>
      </c>
      <c r="S93" s="75" t="b">
        <v>0</v>
      </c>
      <c r="T93" s="75"/>
      <c r="U93" s="80">
        <f>IFERROR(VLOOKUP($F93,NE_bmis!$A:$K,6,FALSE),"")</f>
        <v>10</v>
      </c>
      <c r="V93" s="40">
        <f>IFERROR(VLOOKUP($F93,NE_bmis!$A:$K,7,FALSE),"")</f>
        <v>0</v>
      </c>
      <c r="W93" s="81">
        <f>IFERROR(VLOOKUP($F93,NE_bmis!$A:$K,8,FALSE),"")</f>
        <v>21</v>
      </c>
      <c r="X93" s="40">
        <f>IFERROR(VLOOKUP($F93,NE_bmis!$A:$K,9,FALSE),"")</f>
        <v>1962</v>
      </c>
      <c r="Y93" s="40" t="str">
        <f>IFERROR(VLOOKUP($F93,NE_bmis!$A:$K,11,FALSE),"")</f>
        <v>BMIS_auto</v>
      </c>
      <c r="Z93" s="66" t="s">
        <v>2225</v>
      </c>
    </row>
    <row r="94" spans="1:26" ht="13">
      <c r="A94" s="83" t="str">
        <f t="shared" si="0"/>
        <v>N22NW</v>
      </c>
      <c r="B94" s="83">
        <v>22</v>
      </c>
      <c r="C94" s="83" t="s">
        <v>127</v>
      </c>
      <c r="D94" s="59">
        <f t="shared" si="1"/>
        <v>6200</v>
      </c>
      <c r="E94" s="84" t="s">
        <v>384</v>
      </c>
      <c r="F94" s="84">
        <v>1108225421</v>
      </c>
      <c r="G94" s="83" t="s">
        <v>385</v>
      </c>
      <c r="H94" s="60" t="s">
        <v>386</v>
      </c>
      <c r="I94" s="60">
        <v>114.1630328</v>
      </c>
      <c r="J94" s="60">
        <v>22.333020229999999</v>
      </c>
      <c r="K94" s="61">
        <v>16.200001</v>
      </c>
      <c r="L94" s="60" t="s">
        <v>115</v>
      </c>
      <c r="M94" s="61">
        <v>44.5</v>
      </c>
      <c r="N94" s="60">
        <v>3</v>
      </c>
      <c r="O94" s="61">
        <v>28.299999</v>
      </c>
      <c r="P94" s="85"/>
      <c r="Q94" s="75" t="b">
        <v>0</v>
      </c>
      <c r="R94" s="75" t="b">
        <v>0</v>
      </c>
      <c r="S94" s="75" t="b">
        <v>0</v>
      </c>
      <c r="T94" s="75"/>
      <c r="U94" s="86">
        <v>12</v>
      </c>
      <c r="V94" s="84">
        <v>0</v>
      </c>
      <c r="W94" s="87">
        <v>81</v>
      </c>
      <c r="X94" s="84">
        <v>1982</v>
      </c>
      <c r="Y94" s="84" t="s">
        <v>173</v>
      </c>
      <c r="Z94" s="66" t="s">
        <v>2227</v>
      </c>
    </row>
    <row r="95" spans="1:26" ht="13">
      <c r="A95" s="83" t="str">
        <f t="shared" si="0"/>
        <v>N23NE</v>
      </c>
      <c r="B95" s="83">
        <v>23</v>
      </c>
      <c r="C95" s="83" t="s">
        <v>110</v>
      </c>
      <c r="D95" s="59">
        <f t="shared" si="1"/>
        <v>6400</v>
      </c>
      <c r="E95" s="84" t="s">
        <v>387</v>
      </c>
      <c r="F95" s="84">
        <v>1108224661</v>
      </c>
      <c r="G95" s="83" t="s">
        <v>388</v>
      </c>
      <c r="H95" s="60" t="s">
        <v>389</v>
      </c>
      <c r="I95" s="60">
        <v>114.1616375</v>
      </c>
      <c r="J95" s="60">
        <v>22.334568579999999</v>
      </c>
      <c r="K95" s="61">
        <v>20.6</v>
      </c>
      <c r="L95" s="60" t="s">
        <v>115</v>
      </c>
      <c r="M95" s="61">
        <v>41.299999</v>
      </c>
      <c r="N95" s="60" t="s">
        <v>115</v>
      </c>
      <c r="O95" s="61">
        <v>20.699998999999998</v>
      </c>
      <c r="P95" s="85"/>
      <c r="Q95" s="75" t="b">
        <v>0</v>
      </c>
      <c r="R95" s="75" t="b">
        <v>0</v>
      </c>
      <c r="S95" s="75" t="b">
        <v>0</v>
      </c>
      <c r="T95" s="75"/>
      <c r="U95" s="86">
        <f>IFERROR(VLOOKUP($F95,NE_bmis!$A:$K,6,FALSE),"")</f>
        <v>11</v>
      </c>
      <c r="V95" s="84">
        <f>IFERROR(VLOOKUP($F95,NE_bmis!$A:$K,7,FALSE),"")</f>
        <v>0</v>
      </c>
      <c r="W95" s="87">
        <f>IFERROR(VLOOKUP($F95,NE_bmis!$A:$K,8,FALSE),"")</f>
        <v>66</v>
      </c>
      <c r="X95" s="84">
        <f>IFERROR(VLOOKUP($F95,NE_bmis!$A:$K,9,FALSE),"")</f>
        <v>1976</v>
      </c>
      <c r="Y95" s="84" t="str">
        <f>IFERROR(VLOOKUP($F95,NE_bmis!$A:$K,11,FALSE),"")</f>
        <v>BMIS_auto</v>
      </c>
      <c r="Z95" s="66" t="s">
        <v>2234</v>
      </c>
    </row>
    <row r="96" spans="1:26" ht="13">
      <c r="A96" s="83" t="str">
        <f t="shared" si="0"/>
        <v>N23SW</v>
      </c>
      <c r="B96" s="83">
        <v>23</v>
      </c>
      <c r="C96" s="83" t="s">
        <v>121</v>
      </c>
      <c r="D96" s="87">
        <f t="shared" si="1"/>
        <v>6400</v>
      </c>
      <c r="E96" s="84" t="s">
        <v>390</v>
      </c>
      <c r="F96" s="84">
        <v>1108224764</v>
      </c>
      <c r="G96" s="83" t="s">
        <v>391</v>
      </c>
      <c r="H96" s="84" t="s">
        <v>392</v>
      </c>
      <c r="I96" s="84">
        <v>114.16195620000001</v>
      </c>
      <c r="J96" s="84">
        <v>22.334322969999999</v>
      </c>
      <c r="K96" s="88">
        <v>7.4</v>
      </c>
      <c r="L96" s="84" t="s">
        <v>126</v>
      </c>
      <c r="M96" s="88">
        <v>48</v>
      </c>
      <c r="N96" s="84">
        <v>3</v>
      </c>
      <c r="O96" s="88">
        <v>40.6</v>
      </c>
      <c r="P96" s="85"/>
      <c r="Q96" s="75" t="b">
        <v>0</v>
      </c>
      <c r="R96" s="75" t="b">
        <v>0</v>
      </c>
      <c r="S96" s="75" t="b">
        <v>0</v>
      </c>
      <c r="T96" s="75"/>
      <c r="U96" s="86">
        <f>IFERROR(VLOOKUP($F96,NE_bmis!$A:$K,6,FALSE),"")</f>
        <v>14</v>
      </c>
      <c r="V96" s="84">
        <f>IFERROR(VLOOKUP($F96,NE_bmis!$A:$K,7,FALSE),"")</f>
        <v>0</v>
      </c>
      <c r="W96" s="87">
        <f>IFERROR(VLOOKUP($F96,NE_bmis!$A:$K,8,FALSE),"")</f>
        <v>43</v>
      </c>
      <c r="X96" s="84">
        <f>IFERROR(VLOOKUP($F96,NE_bmis!$A:$K,9,FALSE),"")</f>
        <v>1997</v>
      </c>
      <c r="Y96" s="84" t="str">
        <f>IFERROR(VLOOKUP($F96,NE_bmis!$A:$K,11,FALSE),"")</f>
        <v>BMIS_auto</v>
      </c>
      <c r="Z96" s="66" t="s">
        <v>2236</v>
      </c>
    </row>
    <row r="97" spans="1:26" ht="13">
      <c r="A97" s="83" t="str">
        <f t="shared" si="0"/>
        <v>N23SW</v>
      </c>
      <c r="B97" s="83">
        <v>23</v>
      </c>
      <c r="C97" s="83" t="s">
        <v>121</v>
      </c>
      <c r="D97" s="87">
        <f t="shared" si="1"/>
        <v>6400</v>
      </c>
      <c r="E97" s="84" t="s">
        <v>393</v>
      </c>
      <c r="F97" s="84">
        <v>1108224941</v>
      </c>
      <c r="G97" s="83" t="s">
        <v>394</v>
      </c>
      <c r="H97" s="84" t="s">
        <v>395</v>
      </c>
      <c r="I97" s="84">
        <v>114.16167040000001</v>
      </c>
      <c r="J97" s="84">
        <v>22.333910970000002</v>
      </c>
      <c r="K97" s="88">
        <v>6.1</v>
      </c>
      <c r="L97" s="84" t="s">
        <v>115</v>
      </c>
      <c r="M97" s="88">
        <v>31.200001</v>
      </c>
      <c r="N97" s="84" t="s">
        <v>114</v>
      </c>
      <c r="O97" s="88">
        <v>25.100000999999999</v>
      </c>
      <c r="P97" s="85" t="s">
        <v>396</v>
      </c>
      <c r="Q97" s="75" t="b">
        <v>0</v>
      </c>
      <c r="R97" s="75" t="b">
        <v>1</v>
      </c>
      <c r="S97" s="75" t="b">
        <v>0</v>
      </c>
      <c r="T97" s="75"/>
      <c r="U97" s="86">
        <v>5</v>
      </c>
      <c r="V97" s="84" t="str">
        <f>IFERROR(VLOOKUP($F97,NE_bmis!$A:$K,7,FALSE),"")</f>
        <v/>
      </c>
      <c r="W97" s="87" t="str">
        <f>IFERROR(VLOOKUP($F97,NE_bmis!$A:$K,8,FALSE),"")</f>
        <v/>
      </c>
      <c r="X97" s="84" t="str">
        <f>IFERROR(VLOOKUP($F97,NE_bmis!$A:$K,9,FALSE),"")</f>
        <v/>
      </c>
      <c r="Y97" s="84" t="s">
        <v>227</v>
      </c>
      <c r="Z97" s="66" t="s">
        <v>2236</v>
      </c>
    </row>
    <row r="98" spans="1:26" ht="13">
      <c r="A98" s="83" t="str">
        <f t="shared" si="0"/>
        <v>N23NW</v>
      </c>
      <c r="B98" s="83">
        <v>23</v>
      </c>
      <c r="C98" s="83" t="s">
        <v>127</v>
      </c>
      <c r="D98" s="87">
        <f t="shared" si="1"/>
        <v>6400</v>
      </c>
      <c r="E98" s="84" t="s">
        <v>397</v>
      </c>
      <c r="F98" s="84">
        <v>1108224749</v>
      </c>
      <c r="G98" s="83" t="s">
        <v>398</v>
      </c>
      <c r="H98" s="84"/>
      <c r="I98" s="84">
        <v>114.1612863</v>
      </c>
      <c r="J98" s="84">
        <v>22.334412</v>
      </c>
      <c r="K98" s="88">
        <v>6.5</v>
      </c>
      <c r="L98" s="84" t="s">
        <v>115</v>
      </c>
      <c r="M98" s="88">
        <v>21.9</v>
      </c>
      <c r="N98" s="84">
        <v>3</v>
      </c>
      <c r="O98" s="88">
        <v>15.4</v>
      </c>
      <c r="P98" s="85" t="s">
        <v>399</v>
      </c>
      <c r="Q98" s="75" t="b">
        <v>0</v>
      </c>
      <c r="R98" s="75" t="b">
        <v>0</v>
      </c>
      <c r="S98" s="75" t="b">
        <v>1</v>
      </c>
      <c r="T98" s="75"/>
      <c r="U98" s="86">
        <v>5</v>
      </c>
      <c r="V98" s="84"/>
      <c r="W98" s="87"/>
      <c r="X98" s="84"/>
      <c r="Y98" s="84" t="s">
        <v>177</v>
      </c>
      <c r="Z98" s="66" t="s">
        <v>2239</v>
      </c>
    </row>
    <row r="99" spans="1:26" ht="13">
      <c r="A99" s="83" t="str">
        <f t="shared" si="0"/>
        <v>N24NE</v>
      </c>
      <c r="B99" s="83">
        <v>24</v>
      </c>
      <c r="C99" s="83" t="s">
        <v>110</v>
      </c>
      <c r="D99" s="87">
        <f t="shared" si="1"/>
        <v>6600</v>
      </c>
      <c r="E99" s="84" t="s">
        <v>400</v>
      </c>
      <c r="F99" s="84">
        <v>1108224084</v>
      </c>
      <c r="G99" s="83" t="s">
        <v>401</v>
      </c>
      <c r="H99" s="84"/>
      <c r="I99" s="84">
        <v>114.1603147</v>
      </c>
      <c r="J99" s="84">
        <v>22.335552400000001</v>
      </c>
      <c r="K99" s="88">
        <v>6.3</v>
      </c>
      <c r="L99" s="84" t="s">
        <v>115</v>
      </c>
      <c r="M99" s="88">
        <v>24.700001</v>
      </c>
      <c r="N99" s="84" t="s">
        <v>115</v>
      </c>
      <c r="O99" s="88">
        <v>18.400001</v>
      </c>
      <c r="P99" s="85"/>
      <c r="Q99" s="75" t="b">
        <v>0</v>
      </c>
      <c r="R99" s="75" t="b">
        <v>0</v>
      </c>
      <c r="S99" s="75" t="b">
        <v>1</v>
      </c>
      <c r="T99" s="75"/>
      <c r="U99" s="86">
        <f>IFERROR(VLOOKUP($F99,NE_bmis!$A:$K,6,FALSE),"")</f>
        <v>5</v>
      </c>
      <c r="V99" s="84">
        <f>IFERROR(VLOOKUP($F99,NE_bmis!$A:$K,7,FALSE),"")</f>
        <v>0</v>
      </c>
      <c r="W99" s="87">
        <f>IFERROR(VLOOKUP($F99,NE_bmis!$A:$K,8,FALSE),"")</f>
        <v>10</v>
      </c>
      <c r="X99" s="84">
        <f>IFERROR(VLOOKUP($F99,NE_bmis!$A:$K,9,FALSE),"")</f>
        <v>1949</v>
      </c>
      <c r="Y99" s="84" t="str">
        <f>IFERROR(VLOOKUP($F99,NE_bmis!$A:$K,11,FALSE),"")</f>
        <v>BMIS_auto</v>
      </c>
      <c r="Z99" s="66" t="s">
        <v>2249</v>
      </c>
    </row>
    <row r="100" spans="1:26" ht="13">
      <c r="A100" s="83" t="str">
        <f t="shared" si="0"/>
        <v>N24SE</v>
      </c>
      <c r="B100" s="83">
        <v>24</v>
      </c>
      <c r="C100" s="83" t="s">
        <v>116</v>
      </c>
      <c r="D100" s="87">
        <f t="shared" si="1"/>
        <v>6600</v>
      </c>
      <c r="E100" s="84" t="s">
        <v>402</v>
      </c>
      <c r="F100" s="84">
        <v>1108224091</v>
      </c>
      <c r="G100" s="83" t="s">
        <v>403</v>
      </c>
      <c r="H100" s="84" t="s">
        <v>404</v>
      </c>
      <c r="I100" s="84">
        <v>114.16043740000001</v>
      </c>
      <c r="J100" s="84">
        <v>22.335496330000002</v>
      </c>
      <c r="K100" s="88">
        <v>13.7</v>
      </c>
      <c r="L100" s="84" t="s">
        <v>194</v>
      </c>
      <c r="M100" s="88">
        <v>46.299999</v>
      </c>
      <c r="N100" s="84">
        <v>3</v>
      </c>
      <c r="O100" s="88">
        <v>32.599998999999997</v>
      </c>
      <c r="P100" s="85"/>
      <c r="Q100" s="75" t="b">
        <v>0</v>
      </c>
      <c r="R100" s="75" t="b">
        <v>0</v>
      </c>
      <c r="S100" s="75" t="b">
        <v>0</v>
      </c>
      <c r="T100" s="75"/>
      <c r="U100" s="86">
        <v>13</v>
      </c>
      <c r="V100" s="84">
        <v>1</v>
      </c>
      <c r="W100" s="87">
        <v>15</v>
      </c>
      <c r="X100" s="84">
        <v>1991</v>
      </c>
      <c r="Y100" s="84" t="s">
        <v>173</v>
      </c>
      <c r="Z100" s="66" t="s">
        <v>2251</v>
      </c>
    </row>
    <row r="101" spans="1:26" ht="13">
      <c r="A101" s="83" t="str">
        <f t="shared" si="0"/>
        <v>N24SW</v>
      </c>
      <c r="B101" s="83">
        <v>24</v>
      </c>
      <c r="C101" s="83" t="s">
        <v>121</v>
      </c>
      <c r="D101" s="87">
        <f t="shared" si="1"/>
        <v>6600</v>
      </c>
      <c r="E101" s="84" t="s">
        <v>405</v>
      </c>
      <c r="F101" s="84">
        <v>1108224252</v>
      </c>
      <c r="G101" s="83" t="s">
        <v>406</v>
      </c>
      <c r="H101" s="84" t="s">
        <v>407</v>
      </c>
      <c r="I101" s="84">
        <v>114.16014749999999</v>
      </c>
      <c r="J101" s="84">
        <v>22.335113239999998</v>
      </c>
      <c r="K101" s="88">
        <v>6.4</v>
      </c>
      <c r="L101" s="84" t="s">
        <v>115</v>
      </c>
      <c r="M101" s="88">
        <v>45.299999</v>
      </c>
      <c r="N101" s="84" t="s">
        <v>114</v>
      </c>
      <c r="O101" s="88">
        <v>38.899999000000001</v>
      </c>
      <c r="P101" s="85"/>
      <c r="Q101" s="75" t="b">
        <v>0</v>
      </c>
      <c r="R101" s="75" t="b">
        <v>0</v>
      </c>
      <c r="S101" s="75" t="b">
        <v>0</v>
      </c>
      <c r="T101" s="75"/>
      <c r="U101" s="86">
        <v>10</v>
      </c>
      <c r="V101" s="84">
        <v>0</v>
      </c>
      <c r="W101" s="87">
        <v>69</v>
      </c>
      <c r="X101" s="84">
        <v>1975</v>
      </c>
      <c r="Y101" s="84" t="s">
        <v>173</v>
      </c>
      <c r="Z101" s="66" t="s">
        <v>2253</v>
      </c>
    </row>
    <row r="102" spans="1:26" ht="13">
      <c r="A102" s="83" t="str">
        <f t="shared" si="0"/>
        <v>N24NW</v>
      </c>
      <c r="B102" s="83">
        <v>24</v>
      </c>
      <c r="C102" s="83" t="s">
        <v>127</v>
      </c>
      <c r="D102" s="87">
        <f t="shared" si="1"/>
        <v>6600</v>
      </c>
      <c r="E102" s="84" t="s">
        <v>408</v>
      </c>
      <c r="F102" s="84">
        <v>1108224142</v>
      </c>
      <c r="G102" s="83" t="s">
        <v>409</v>
      </c>
      <c r="H102" s="84"/>
      <c r="I102" s="84">
        <v>114.16001919999999</v>
      </c>
      <c r="J102" s="84">
        <v>22.335371259999999</v>
      </c>
      <c r="K102" s="88">
        <v>6.1</v>
      </c>
      <c r="L102" s="84" t="s">
        <v>115</v>
      </c>
      <c r="M102" s="88">
        <v>21.299999</v>
      </c>
      <c r="N102" s="84">
        <v>3</v>
      </c>
      <c r="O102" s="88">
        <v>15.199999</v>
      </c>
      <c r="P102" s="85" t="s">
        <v>410</v>
      </c>
      <c r="Q102" s="75" t="b">
        <v>0</v>
      </c>
      <c r="R102" s="75" t="b">
        <v>0</v>
      </c>
      <c r="S102" s="75" t="b">
        <v>0</v>
      </c>
      <c r="T102" s="75"/>
      <c r="U102" s="86">
        <v>4</v>
      </c>
      <c r="V102" s="84">
        <f>IFERROR(VLOOKUP($F102,NE_bmis!$A:$K,7,FALSE),"")</f>
        <v>0</v>
      </c>
      <c r="W102" s="87">
        <f>IFERROR(VLOOKUP($F102,NE_bmis!$A:$K,8,FALSE),"")</f>
        <v>69</v>
      </c>
      <c r="X102" s="84">
        <f>IFERROR(VLOOKUP($F102,NE_bmis!$A:$K,9,FALSE),"")</f>
        <v>1975</v>
      </c>
      <c r="Y102" s="84" t="s">
        <v>411</v>
      </c>
      <c r="Z102" s="66" t="s">
        <v>2255</v>
      </c>
    </row>
    <row r="103" spans="1:26" ht="13">
      <c r="A103" s="83" t="str">
        <f t="shared" si="0"/>
        <v>N25NE</v>
      </c>
      <c r="B103" s="83">
        <v>25</v>
      </c>
      <c r="C103" s="83" t="s">
        <v>110</v>
      </c>
      <c r="D103" s="87">
        <f t="shared" si="1"/>
        <v>6800</v>
      </c>
      <c r="E103" s="84" t="s">
        <v>412</v>
      </c>
      <c r="F103" s="84">
        <v>1108223515</v>
      </c>
      <c r="G103" s="83" t="s">
        <v>413</v>
      </c>
      <c r="H103" s="84" t="s">
        <v>414</v>
      </c>
      <c r="I103" s="84">
        <v>114.15883150000001</v>
      </c>
      <c r="J103" s="84">
        <v>22.336741530000001</v>
      </c>
      <c r="K103" s="88">
        <v>13.6</v>
      </c>
      <c r="L103" s="84" t="s">
        <v>115</v>
      </c>
      <c r="M103" s="88">
        <v>45.799999</v>
      </c>
      <c r="N103" s="84" t="s">
        <v>115</v>
      </c>
      <c r="O103" s="88">
        <v>32.199998999999998</v>
      </c>
      <c r="P103" s="85"/>
      <c r="Q103" s="75" t="b">
        <v>0</v>
      </c>
      <c r="R103" s="75" t="b">
        <v>0</v>
      </c>
      <c r="S103" s="75" t="b">
        <v>0</v>
      </c>
      <c r="T103" s="75"/>
      <c r="U103" s="86">
        <f>IFERROR(VLOOKUP($F103,NE_bmis!$A:$K,6,FALSE),"")</f>
        <v>11</v>
      </c>
      <c r="V103" s="84">
        <f>IFERROR(VLOOKUP($F103,NE_bmis!$A:$K,7,FALSE),"")</f>
        <v>0</v>
      </c>
      <c r="W103" s="87">
        <f>IFERROR(VLOOKUP($F103,NE_bmis!$A:$K,8,FALSE),"")</f>
        <v>117</v>
      </c>
      <c r="X103" s="84">
        <f>IFERROR(VLOOKUP($F103,NE_bmis!$A:$K,9,FALSE),"")</f>
        <v>1988</v>
      </c>
      <c r="Y103" s="84" t="str">
        <f>IFERROR(VLOOKUP($F103,NE_bmis!$A:$K,11,FALSE),"")</f>
        <v>BMIS_auto</v>
      </c>
      <c r="Z103" s="66" t="s">
        <v>2265</v>
      </c>
    </row>
    <row r="104" spans="1:26" ht="13">
      <c r="A104" s="83" t="str">
        <f t="shared" si="0"/>
        <v>N25SE</v>
      </c>
      <c r="B104" s="83">
        <v>25</v>
      </c>
      <c r="C104" s="83" t="s">
        <v>116</v>
      </c>
      <c r="D104" s="87">
        <f t="shared" si="1"/>
        <v>6800</v>
      </c>
      <c r="E104" s="84" t="s">
        <v>415</v>
      </c>
      <c r="F104" s="84">
        <v>1108223658</v>
      </c>
      <c r="G104" s="83" t="s">
        <v>416</v>
      </c>
      <c r="H104" s="84" t="s">
        <v>417</v>
      </c>
      <c r="I104" s="84">
        <v>114.1594034</v>
      </c>
      <c r="J104" s="84">
        <v>22.336296789999999</v>
      </c>
      <c r="K104" s="88">
        <v>20.100000000000001</v>
      </c>
      <c r="L104" s="84" t="s">
        <v>418</v>
      </c>
      <c r="M104" s="88">
        <v>43.200001</v>
      </c>
      <c r="N104" s="84" t="s">
        <v>115</v>
      </c>
      <c r="O104" s="88">
        <v>23.100000999999999</v>
      </c>
      <c r="P104" s="85"/>
      <c r="Q104" s="75" t="b">
        <v>0</v>
      </c>
      <c r="R104" s="75" t="b">
        <v>0</v>
      </c>
      <c r="S104" s="75" t="b">
        <v>0</v>
      </c>
      <c r="T104" s="75"/>
      <c r="U104" s="86">
        <f>IFERROR(VLOOKUP($F104,NE_bmis!$A:$K,6,FALSE),"")</f>
        <v>10</v>
      </c>
      <c r="V104" s="84">
        <f>IFERROR(VLOOKUP($F104,NE_bmis!$A:$K,7,FALSE),"")</f>
        <v>0</v>
      </c>
      <c r="W104" s="87">
        <f>IFERROR(VLOOKUP($F104,NE_bmis!$A:$K,8,FALSE),"")</f>
        <v>113</v>
      </c>
      <c r="X104" s="84">
        <f>IFERROR(VLOOKUP($F104,NE_bmis!$A:$K,9,FALSE),"")</f>
        <v>1979</v>
      </c>
      <c r="Y104" s="84" t="str">
        <f>IFERROR(VLOOKUP($F104,NE_bmis!$A:$K,11,FALSE),"")</f>
        <v>BMIS_auto</v>
      </c>
      <c r="Z104" s="66" t="s">
        <v>2267</v>
      </c>
    </row>
    <row r="105" spans="1:26" ht="13">
      <c r="A105" s="83" t="str">
        <f t="shared" si="0"/>
        <v>N25SW</v>
      </c>
      <c r="B105" s="83">
        <v>25</v>
      </c>
      <c r="C105" s="83" t="s">
        <v>121</v>
      </c>
      <c r="D105" s="87">
        <f t="shared" si="1"/>
        <v>6800</v>
      </c>
      <c r="E105" s="84" t="s">
        <v>419</v>
      </c>
      <c r="F105" s="84">
        <v>1108223789</v>
      </c>
      <c r="G105" s="83" t="s">
        <v>420</v>
      </c>
      <c r="H105" s="84" t="s">
        <v>421</v>
      </c>
      <c r="I105" s="84">
        <v>114.1590199</v>
      </c>
      <c r="J105" s="84">
        <v>22.336128160000001</v>
      </c>
      <c r="K105" s="88">
        <v>12.3</v>
      </c>
      <c r="L105" s="84" t="s">
        <v>115</v>
      </c>
      <c r="M105" s="88">
        <v>43.799999</v>
      </c>
      <c r="N105" s="84" t="s">
        <v>115</v>
      </c>
      <c r="O105" s="88">
        <v>31.499998999999999</v>
      </c>
      <c r="P105" s="85"/>
      <c r="Q105" s="75" t="b">
        <v>0</v>
      </c>
      <c r="R105" s="75" t="b">
        <v>0</v>
      </c>
      <c r="S105" s="75" t="b">
        <v>0</v>
      </c>
      <c r="T105" s="75"/>
      <c r="U105" s="86">
        <v>12</v>
      </c>
      <c r="V105" s="84">
        <f>IFERROR(VLOOKUP($F105,NE_bmis!$A:$K,7,FALSE),"")</f>
        <v>0</v>
      </c>
      <c r="W105" s="87">
        <v>51</v>
      </c>
      <c r="X105" s="84">
        <v>1986</v>
      </c>
      <c r="Y105" s="84" t="s">
        <v>173</v>
      </c>
      <c r="Z105" s="66" t="s">
        <v>2269</v>
      </c>
    </row>
    <row r="106" spans="1:26" ht="13">
      <c r="A106" s="83" t="str">
        <f t="shared" si="0"/>
        <v>N25NW</v>
      </c>
      <c r="B106" s="83">
        <v>25</v>
      </c>
      <c r="C106" s="83" t="s">
        <v>127</v>
      </c>
      <c r="D106" s="87">
        <f t="shared" si="1"/>
        <v>6800</v>
      </c>
      <c r="E106" s="84" t="s">
        <v>422</v>
      </c>
      <c r="F106" s="84">
        <v>1108223543</v>
      </c>
      <c r="G106" s="83" t="s">
        <v>423</v>
      </c>
      <c r="H106" s="84"/>
      <c r="I106" s="84">
        <v>114.1583485</v>
      </c>
      <c r="J106" s="84">
        <v>22.336667259999999</v>
      </c>
      <c r="K106" s="88">
        <v>6.1</v>
      </c>
      <c r="L106" s="84" t="s">
        <v>126</v>
      </c>
      <c r="M106" s="88">
        <v>37.900002000000001</v>
      </c>
      <c r="N106" s="84" t="s">
        <v>115</v>
      </c>
      <c r="O106" s="88">
        <v>31.800001999999999</v>
      </c>
      <c r="P106" s="85" t="s">
        <v>424</v>
      </c>
      <c r="Q106" s="75" t="b">
        <v>0</v>
      </c>
      <c r="R106" s="75" t="b">
        <v>0</v>
      </c>
      <c r="S106" s="75" t="b">
        <v>1</v>
      </c>
      <c r="T106" s="75"/>
      <c r="U106" s="86">
        <v>10</v>
      </c>
      <c r="V106" s="84">
        <f>IFERROR(VLOOKUP($F106,NE_bmis!$A:$K,7,FALSE),"")</f>
        <v>0</v>
      </c>
      <c r="W106" s="87">
        <v>28</v>
      </c>
      <c r="X106" s="84">
        <v>1968</v>
      </c>
      <c r="Y106" s="84" t="s">
        <v>173</v>
      </c>
      <c r="Z106" s="66" t="s">
        <v>2271</v>
      </c>
    </row>
    <row r="107" spans="1:26" ht="13">
      <c r="A107" s="83" t="str">
        <f t="shared" si="0"/>
        <v>N26NE</v>
      </c>
      <c r="B107" s="83">
        <v>26</v>
      </c>
      <c r="C107" s="83" t="s">
        <v>110</v>
      </c>
      <c r="D107" s="87">
        <f t="shared" si="1"/>
        <v>7000</v>
      </c>
      <c r="E107" s="84" t="s">
        <v>425</v>
      </c>
      <c r="F107" s="84">
        <v>1108223046</v>
      </c>
      <c r="G107" s="83" t="s">
        <v>426</v>
      </c>
      <c r="H107" s="84"/>
      <c r="I107" s="84">
        <v>114.1573705</v>
      </c>
      <c r="J107" s="84">
        <v>22.337853679999998</v>
      </c>
      <c r="K107" s="88">
        <v>6</v>
      </c>
      <c r="L107" s="84" t="s">
        <v>126</v>
      </c>
      <c r="M107" s="88">
        <v>21</v>
      </c>
      <c r="N107" s="84">
        <v>3</v>
      </c>
      <c r="O107" s="88">
        <v>15</v>
      </c>
      <c r="P107" s="85"/>
      <c r="Q107" s="75" t="b">
        <v>0</v>
      </c>
      <c r="R107" s="75" t="b">
        <v>0</v>
      </c>
      <c r="S107" s="75" t="b">
        <v>1</v>
      </c>
      <c r="T107" s="75"/>
      <c r="U107" s="86">
        <f>IFERROR(VLOOKUP($F107,NE_bmis!$A:$K,6,FALSE),"")</f>
        <v>5</v>
      </c>
      <c r="V107" s="84">
        <f>IFERROR(VLOOKUP($F107,NE_bmis!$A:$K,7,FALSE),"")</f>
        <v>0</v>
      </c>
      <c r="W107" s="87">
        <f>IFERROR(VLOOKUP($F107,NE_bmis!$A:$K,8,FALSE),"")</f>
        <v>8</v>
      </c>
      <c r="X107" s="84">
        <f>IFERROR(VLOOKUP($F107,NE_bmis!$A:$K,9,FALSE),"")</f>
        <v>1949</v>
      </c>
      <c r="Y107" s="84" t="str">
        <f>IFERROR(VLOOKUP($F107,NE_bmis!$A:$K,11,FALSE),"")</f>
        <v>BMIS_auto</v>
      </c>
      <c r="Z107" s="66" t="s">
        <v>2281</v>
      </c>
    </row>
    <row r="108" spans="1:26" ht="13">
      <c r="A108" s="83" t="str">
        <f t="shared" si="0"/>
        <v>N26SE</v>
      </c>
      <c r="B108" s="83">
        <v>26</v>
      </c>
      <c r="C108" s="83" t="s">
        <v>116</v>
      </c>
      <c r="D108" s="87">
        <f t="shared" si="1"/>
        <v>7000</v>
      </c>
      <c r="E108" s="84" t="s">
        <v>427</v>
      </c>
      <c r="F108" s="84">
        <v>1108223049</v>
      </c>
      <c r="G108" s="83" t="s">
        <v>428</v>
      </c>
      <c r="H108" s="84"/>
      <c r="I108" s="84">
        <v>114.15738760000001</v>
      </c>
      <c r="J108" s="84">
        <v>22.337844669999999</v>
      </c>
      <c r="K108" s="88">
        <v>6.1</v>
      </c>
      <c r="L108" s="84" t="s">
        <v>126</v>
      </c>
      <c r="M108" s="88">
        <v>21</v>
      </c>
      <c r="N108" s="84">
        <v>3</v>
      </c>
      <c r="O108" s="88">
        <v>14.9</v>
      </c>
      <c r="P108" s="85"/>
      <c r="Q108" s="75" t="b">
        <v>0</v>
      </c>
      <c r="R108" s="75" t="b">
        <v>0</v>
      </c>
      <c r="S108" s="75" t="b">
        <v>1</v>
      </c>
      <c r="T108" s="75"/>
      <c r="U108" s="86">
        <v>5</v>
      </c>
      <c r="V108" s="84">
        <v>0</v>
      </c>
      <c r="W108" s="87">
        <v>8</v>
      </c>
      <c r="X108" s="84">
        <v>1949</v>
      </c>
      <c r="Y108" s="84" t="s">
        <v>173</v>
      </c>
      <c r="Z108" s="66" t="s">
        <v>2283</v>
      </c>
    </row>
    <row r="109" spans="1:26" ht="13">
      <c r="A109" s="83" t="str">
        <f t="shared" si="0"/>
        <v>N26SW</v>
      </c>
      <c r="B109" s="83">
        <v>26</v>
      </c>
      <c r="C109" s="83" t="s">
        <v>121</v>
      </c>
      <c r="D109" s="87">
        <f t="shared" si="1"/>
        <v>7000</v>
      </c>
      <c r="E109" s="84" t="s">
        <v>429</v>
      </c>
      <c r="F109" s="84">
        <v>1108223170</v>
      </c>
      <c r="G109" s="83" t="s">
        <v>430</v>
      </c>
      <c r="H109" s="84"/>
      <c r="I109" s="84">
        <v>114.1572111</v>
      </c>
      <c r="J109" s="84">
        <v>22.337559429999999</v>
      </c>
      <c r="K109" s="88">
        <v>6.1</v>
      </c>
      <c r="L109" s="84" t="s">
        <v>126</v>
      </c>
      <c r="M109" s="88">
        <v>28.4</v>
      </c>
      <c r="N109" s="84" t="s">
        <v>115</v>
      </c>
      <c r="O109" s="88">
        <v>22.3</v>
      </c>
      <c r="P109" s="85"/>
      <c r="Q109" s="75" t="b">
        <v>0</v>
      </c>
      <c r="R109" s="75" t="b">
        <v>0</v>
      </c>
      <c r="S109" s="75" t="b">
        <v>1</v>
      </c>
      <c r="T109" s="75"/>
      <c r="U109" s="86">
        <v>6</v>
      </c>
      <c r="V109" s="84">
        <f>IFERROR(VLOOKUP($F109,NE_bmis!$A:$K,7,FALSE),"")</f>
        <v>0</v>
      </c>
      <c r="W109" s="87">
        <v>12</v>
      </c>
      <c r="X109" s="84">
        <v>1955</v>
      </c>
      <c r="Y109" s="84" t="s">
        <v>173</v>
      </c>
      <c r="Z109" s="66" t="s">
        <v>2285</v>
      </c>
    </row>
    <row r="110" spans="1:26" ht="13">
      <c r="A110" s="83" t="str">
        <f t="shared" si="0"/>
        <v>N26NW</v>
      </c>
      <c r="B110" s="83">
        <v>26</v>
      </c>
      <c r="C110" s="83" t="s">
        <v>127</v>
      </c>
      <c r="D110" s="87">
        <f t="shared" si="1"/>
        <v>7000</v>
      </c>
      <c r="E110" s="84" t="s">
        <v>431</v>
      </c>
      <c r="F110" s="84">
        <v>1108223154</v>
      </c>
      <c r="G110" s="83" t="s">
        <v>432</v>
      </c>
      <c r="H110" s="84"/>
      <c r="I110" s="84">
        <v>114.15716500000001</v>
      </c>
      <c r="J110" s="84">
        <v>22.337591079999999</v>
      </c>
      <c r="K110" s="88">
        <v>6.1</v>
      </c>
      <c r="L110" s="84" t="s">
        <v>126</v>
      </c>
      <c r="M110" s="88">
        <v>24.1</v>
      </c>
      <c r="N110" s="84">
        <v>3</v>
      </c>
      <c r="O110" s="88">
        <v>18</v>
      </c>
      <c r="P110" s="85"/>
      <c r="Q110" s="75" t="b">
        <v>0</v>
      </c>
      <c r="R110" s="75" t="b">
        <v>0</v>
      </c>
      <c r="S110" s="75" t="b">
        <v>1</v>
      </c>
      <c r="T110" s="75"/>
      <c r="U110" s="86">
        <v>5</v>
      </c>
      <c r="V110" s="84">
        <f>IFERROR(VLOOKUP($F110,NE_bmis!$A:$K,7,FALSE),"")</f>
        <v>0</v>
      </c>
      <c r="W110" s="87">
        <v>12</v>
      </c>
      <c r="X110" s="84">
        <v>1955</v>
      </c>
      <c r="Y110" s="84" t="s">
        <v>173</v>
      </c>
      <c r="Z110" s="66" t="s">
        <v>2287</v>
      </c>
    </row>
    <row r="111" spans="1:26" ht="13">
      <c r="A111" s="83" t="str">
        <f t="shared" si="0"/>
        <v>N27NE</v>
      </c>
      <c r="B111" s="83">
        <v>27</v>
      </c>
      <c r="C111" s="83" t="s">
        <v>110</v>
      </c>
      <c r="D111" s="87">
        <f t="shared" si="1"/>
        <v>7200</v>
      </c>
      <c r="E111" s="84" t="s">
        <v>433</v>
      </c>
      <c r="F111" s="84">
        <v>1810145002</v>
      </c>
      <c r="G111" s="83" t="s">
        <v>434</v>
      </c>
      <c r="H111" s="84" t="s">
        <v>435</v>
      </c>
      <c r="I111" s="84">
        <v>114.15580509999999</v>
      </c>
      <c r="J111" s="84">
        <v>22.33908525</v>
      </c>
      <c r="K111" s="88">
        <v>6.2</v>
      </c>
      <c r="L111" s="84" t="s">
        <v>194</v>
      </c>
      <c r="M111" s="88">
        <v>120.1</v>
      </c>
      <c r="N111" s="84" t="s">
        <v>194</v>
      </c>
      <c r="O111" s="88">
        <f>M111-K111</f>
        <v>113.89999999999999</v>
      </c>
      <c r="P111" s="85" t="s">
        <v>151</v>
      </c>
      <c r="Q111" s="75" t="b">
        <v>0</v>
      </c>
      <c r="R111" s="75" t="b">
        <v>0</v>
      </c>
      <c r="S111" s="75" t="b">
        <v>0</v>
      </c>
      <c r="T111" s="75"/>
      <c r="U111" s="86">
        <v>31</v>
      </c>
      <c r="V111" s="84">
        <v>0</v>
      </c>
      <c r="W111" s="87">
        <v>175</v>
      </c>
      <c r="X111" s="84">
        <v>2015</v>
      </c>
      <c r="Y111" s="84" t="s">
        <v>173</v>
      </c>
      <c r="Z111" s="66" t="s">
        <v>2298</v>
      </c>
    </row>
    <row r="112" spans="1:26" ht="13">
      <c r="A112" s="83" t="str">
        <f t="shared" si="0"/>
        <v>N27SE</v>
      </c>
      <c r="B112" s="83">
        <v>27</v>
      </c>
      <c r="C112" s="83" t="s">
        <v>116</v>
      </c>
      <c r="D112" s="87">
        <f t="shared" si="1"/>
        <v>7200</v>
      </c>
      <c r="E112" s="84" t="s">
        <v>436</v>
      </c>
      <c r="F112" s="84">
        <v>1108222564</v>
      </c>
      <c r="G112" s="83" t="s">
        <v>437</v>
      </c>
      <c r="H112" s="84" t="s">
        <v>438</v>
      </c>
      <c r="I112" s="84">
        <v>114.156074</v>
      </c>
      <c r="J112" s="84">
        <v>22.338877839999999</v>
      </c>
      <c r="K112" s="88">
        <v>19.200001</v>
      </c>
      <c r="L112" s="84" t="s">
        <v>114</v>
      </c>
      <c r="M112" s="88">
        <v>84.199996999999996</v>
      </c>
      <c r="N112" s="84" t="s">
        <v>115</v>
      </c>
      <c r="O112" s="88">
        <v>64.999995999999996</v>
      </c>
      <c r="P112" s="85"/>
      <c r="Q112" s="75" t="b">
        <v>0</v>
      </c>
      <c r="R112" s="75" t="b">
        <v>0</v>
      </c>
      <c r="S112" s="75" t="b">
        <v>0</v>
      </c>
      <c r="T112" s="75"/>
      <c r="U112" s="86">
        <f>IFERROR(VLOOKUP($F112,NE_bmis!$A:$K,6,FALSE),"")</f>
        <v>23</v>
      </c>
      <c r="V112" s="84">
        <f>IFERROR(VLOOKUP($F112,NE_bmis!$A:$K,7,FALSE),"")</f>
        <v>0</v>
      </c>
      <c r="W112" s="87">
        <f>IFERROR(VLOOKUP($F112,NE_bmis!$A:$K,8,FALSE),"")</f>
        <v>84</v>
      </c>
      <c r="X112" s="84">
        <f>IFERROR(VLOOKUP($F112,NE_bmis!$A:$K,9,FALSE),"")</f>
        <v>1983</v>
      </c>
      <c r="Y112" s="84" t="str">
        <f>IFERROR(VLOOKUP($F112,NE_bmis!$A:$K,11,FALSE),"")</f>
        <v>BMIS_auto</v>
      </c>
      <c r="Z112" s="66" t="s">
        <v>2300</v>
      </c>
    </row>
    <row r="113" spans="1:26" ht="13">
      <c r="A113" s="83" t="str">
        <f t="shared" si="0"/>
        <v>N27SW</v>
      </c>
      <c r="B113" s="83">
        <v>27</v>
      </c>
      <c r="C113" s="83" t="s">
        <v>121</v>
      </c>
      <c r="D113" s="87">
        <f t="shared" si="1"/>
        <v>7200</v>
      </c>
      <c r="E113" s="84" t="s">
        <v>439</v>
      </c>
      <c r="F113" s="84">
        <v>1108222663</v>
      </c>
      <c r="G113" s="83" t="s">
        <v>440</v>
      </c>
      <c r="H113" s="84"/>
      <c r="I113" s="84">
        <v>114.1557407</v>
      </c>
      <c r="J113" s="84">
        <v>22.33867798</v>
      </c>
      <c r="K113" s="88">
        <v>6</v>
      </c>
      <c r="L113" s="84" t="s">
        <v>126</v>
      </c>
      <c r="M113" s="88">
        <v>31.700001</v>
      </c>
      <c r="N113" s="84" t="s">
        <v>115</v>
      </c>
      <c r="O113" s="88">
        <v>25.700001</v>
      </c>
      <c r="P113" s="85"/>
      <c r="Q113" s="75" t="b">
        <v>0</v>
      </c>
      <c r="R113" s="75" t="b">
        <v>0</v>
      </c>
      <c r="S113" s="75" t="b">
        <v>1</v>
      </c>
      <c r="T113" s="75"/>
      <c r="U113" s="86">
        <f>IFERROR(VLOOKUP($F113,NE_bmis!$A:$K,6,FALSE),"")</f>
        <v>8</v>
      </c>
      <c r="V113" s="84">
        <f>IFERROR(VLOOKUP($F113,NE_bmis!$A:$K,7,FALSE),"")</f>
        <v>0</v>
      </c>
      <c r="W113" s="87">
        <f>IFERROR(VLOOKUP($F113,NE_bmis!$A:$K,8,FALSE),"")</f>
        <v>16</v>
      </c>
      <c r="X113" s="84">
        <f>IFERROR(VLOOKUP($F113,NE_bmis!$A:$K,9,FALSE),"")</f>
        <v>1961</v>
      </c>
      <c r="Y113" s="84" t="str">
        <f>IFERROR(VLOOKUP($F113,NE_bmis!$A:$K,11,FALSE),"")</f>
        <v>BMIS_auto</v>
      </c>
      <c r="Z113" s="66" t="s">
        <v>2302</v>
      </c>
    </row>
    <row r="114" spans="1:26" ht="13">
      <c r="A114" s="83" t="str">
        <f t="shared" si="0"/>
        <v>N27NW</v>
      </c>
      <c r="B114" s="83">
        <v>27</v>
      </c>
      <c r="C114" s="83" t="s">
        <v>127</v>
      </c>
      <c r="D114" s="87">
        <f t="shared" si="1"/>
        <v>7200</v>
      </c>
      <c r="E114" s="84" t="s">
        <v>441</v>
      </c>
      <c r="F114" s="84">
        <v>1108222641</v>
      </c>
      <c r="G114" s="83" t="s">
        <v>442</v>
      </c>
      <c r="H114" s="84" t="s">
        <v>443</v>
      </c>
      <c r="I114" s="84">
        <v>114.15565119999999</v>
      </c>
      <c r="J114" s="84">
        <v>22.33873942</v>
      </c>
      <c r="K114" s="88">
        <v>19.799999</v>
      </c>
      <c r="L114" s="84" t="s">
        <v>115</v>
      </c>
      <c r="M114" s="88">
        <v>42.799999</v>
      </c>
      <c r="N114" s="84" t="s">
        <v>115</v>
      </c>
      <c r="O114" s="88">
        <v>23</v>
      </c>
      <c r="P114" s="85"/>
      <c r="Q114" s="75" t="b">
        <v>0</v>
      </c>
      <c r="R114" s="75" t="b">
        <v>0</v>
      </c>
      <c r="S114" s="75" t="b">
        <v>0</v>
      </c>
      <c r="T114" s="75"/>
      <c r="U114" s="86">
        <f>IFERROR(VLOOKUP($F114,NE_bmis!$A:$K,6,FALSE),"")</f>
        <v>11</v>
      </c>
      <c r="V114" s="84">
        <f>IFERROR(VLOOKUP($F114,NE_bmis!$A:$K,7,FALSE),"")</f>
        <v>0</v>
      </c>
      <c r="W114" s="87">
        <f>IFERROR(VLOOKUP($F114,NE_bmis!$A:$K,8,FALSE),"")</f>
        <v>44</v>
      </c>
      <c r="X114" s="84">
        <f>IFERROR(VLOOKUP($F114,NE_bmis!$A:$K,9,FALSE),"")</f>
        <v>1985</v>
      </c>
      <c r="Y114" s="84" t="str">
        <f>IFERROR(VLOOKUP($F114,NE_bmis!$A:$K,11,FALSE),"")</f>
        <v>BMIS_auto</v>
      </c>
      <c r="Z114" s="66" t="s">
        <v>2304</v>
      </c>
    </row>
    <row r="115" spans="1:26" ht="13">
      <c r="A115" s="83" t="str">
        <f t="shared" si="0"/>
        <v>N28NE</v>
      </c>
      <c r="B115" s="83">
        <v>28</v>
      </c>
      <c r="C115" s="83" t="s">
        <v>110</v>
      </c>
      <c r="D115" s="87">
        <f t="shared" si="1"/>
        <v>7400</v>
      </c>
      <c r="E115" s="84" t="s">
        <v>444</v>
      </c>
      <c r="F115" s="84">
        <v>1108222012</v>
      </c>
      <c r="G115" s="83" t="s">
        <v>445</v>
      </c>
      <c r="H115" s="84" t="s">
        <v>446</v>
      </c>
      <c r="I115" s="84">
        <v>114.1543454</v>
      </c>
      <c r="J115" s="84">
        <v>22.340214830000001</v>
      </c>
      <c r="K115" s="88">
        <v>20.299999</v>
      </c>
      <c r="L115" s="84" t="s">
        <v>114</v>
      </c>
      <c r="M115" s="88">
        <v>84.699996999999996</v>
      </c>
      <c r="N115" s="84">
        <v>3</v>
      </c>
      <c r="O115" s="88">
        <v>64.399997999999997</v>
      </c>
      <c r="P115" s="85"/>
      <c r="Q115" s="75" t="b">
        <v>0</v>
      </c>
      <c r="R115" s="75" t="b">
        <v>0</v>
      </c>
      <c r="S115" s="75" t="b">
        <v>0</v>
      </c>
      <c r="T115" s="75"/>
      <c r="U115" s="86">
        <f>IFERROR(VLOOKUP($F115,NE_bmis!$A:$K,6,FALSE),"")</f>
        <v>25</v>
      </c>
      <c r="V115" s="84">
        <f>IFERROR(VLOOKUP($F115,NE_bmis!$A:$K,7,FALSE),"")</f>
        <v>0</v>
      </c>
      <c r="W115" s="87">
        <f>IFERROR(VLOOKUP($F115,NE_bmis!$A:$K,8,FALSE),"")</f>
        <v>73</v>
      </c>
      <c r="X115" s="84">
        <f>IFERROR(VLOOKUP($F115,NE_bmis!$A:$K,9,FALSE),"")</f>
        <v>1983</v>
      </c>
      <c r="Y115" s="84" t="str">
        <f>IFERROR(VLOOKUP($F115,NE_bmis!$A:$K,11,FALSE),"")</f>
        <v>BMIS_auto</v>
      </c>
      <c r="Z115" s="66" t="s">
        <v>2306</v>
      </c>
    </row>
    <row r="116" spans="1:26" ht="13">
      <c r="A116" s="83" t="str">
        <f t="shared" si="0"/>
        <v>N28SE</v>
      </c>
      <c r="B116" s="83">
        <v>28</v>
      </c>
      <c r="C116" s="83" t="s">
        <v>116</v>
      </c>
      <c r="D116" s="87">
        <f t="shared" si="1"/>
        <v>7400</v>
      </c>
      <c r="E116" s="84" t="s">
        <v>447</v>
      </c>
      <c r="F116" s="84">
        <v>1108222229</v>
      </c>
      <c r="G116" s="83" t="s">
        <v>448</v>
      </c>
      <c r="H116" s="84" t="s">
        <v>449</v>
      </c>
      <c r="I116" s="84">
        <v>114.1544415</v>
      </c>
      <c r="J116" s="84">
        <v>22.33967251</v>
      </c>
      <c r="K116" s="88">
        <v>21.200001</v>
      </c>
      <c r="L116" s="84" t="s">
        <v>114</v>
      </c>
      <c r="M116" s="88">
        <v>89.099997999999999</v>
      </c>
      <c r="N116" s="84" t="s">
        <v>115</v>
      </c>
      <c r="O116" s="88">
        <v>67.899996999999999</v>
      </c>
      <c r="P116" s="85"/>
      <c r="Q116" s="75" t="b">
        <v>0</v>
      </c>
      <c r="R116" s="75" t="b">
        <v>0</v>
      </c>
      <c r="S116" s="75" t="b">
        <v>0</v>
      </c>
      <c r="T116" s="75"/>
      <c r="U116" s="86">
        <v>26</v>
      </c>
      <c r="V116" s="84">
        <v>0</v>
      </c>
      <c r="W116" s="87">
        <v>92</v>
      </c>
      <c r="X116" s="84">
        <v>1990</v>
      </c>
      <c r="Y116" s="84" t="s">
        <v>173</v>
      </c>
      <c r="Z116" s="66" t="s">
        <v>2308</v>
      </c>
    </row>
    <row r="117" spans="1:26" ht="13">
      <c r="A117" s="83" t="str">
        <f t="shared" si="0"/>
        <v>N28SW</v>
      </c>
      <c r="B117" s="83">
        <v>28</v>
      </c>
      <c r="C117" s="83" t="s">
        <v>121</v>
      </c>
      <c r="D117" s="87">
        <f t="shared" si="1"/>
        <v>7400</v>
      </c>
      <c r="E117" s="84" t="s">
        <v>450</v>
      </c>
      <c r="F117" s="84">
        <v>1810142493</v>
      </c>
      <c r="G117" s="83" t="s">
        <v>451</v>
      </c>
      <c r="H117" s="84" t="s">
        <v>452</v>
      </c>
      <c r="I117" s="84">
        <v>114.1547453</v>
      </c>
      <c r="J117" s="84">
        <v>22.33990773</v>
      </c>
      <c r="K117" s="88">
        <v>33.200001</v>
      </c>
      <c r="L117" s="84" t="s">
        <v>194</v>
      </c>
      <c r="M117" s="88">
        <v>120.099998</v>
      </c>
      <c r="N117" s="84" t="s">
        <v>293</v>
      </c>
      <c r="O117" s="88">
        <v>86.899996999999999</v>
      </c>
      <c r="P117" s="85"/>
      <c r="Q117" s="75" t="b">
        <v>0</v>
      </c>
      <c r="R117" s="75" t="b">
        <v>0</v>
      </c>
      <c r="S117" s="75" t="b">
        <v>0</v>
      </c>
      <c r="T117" s="75"/>
      <c r="U117" s="86">
        <v>33</v>
      </c>
      <c r="V117" s="84">
        <v>0</v>
      </c>
      <c r="W117" s="87">
        <v>130</v>
      </c>
      <c r="X117" s="84">
        <v>2015</v>
      </c>
      <c r="Y117" s="84" t="s">
        <v>173</v>
      </c>
      <c r="Z117" s="66" t="s">
        <v>2310</v>
      </c>
    </row>
    <row r="118" spans="1:26" ht="13">
      <c r="A118" s="83" t="str">
        <f t="shared" si="0"/>
        <v>N28NW</v>
      </c>
      <c r="B118" s="83">
        <v>28</v>
      </c>
      <c r="C118" s="83" t="s">
        <v>127</v>
      </c>
      <c r="D118" s="87">
        <f t="shared" si="1"/>
        <v>7400</v>
      </c>
      <c r="E118" s="84" t="s">
        <v>453</v>
      </c>
      <c r="F118" s="84">
        <v>1108222109</v>
      </c>
      <c r="G118" s="83" t="s">
        <v>454</v>
      </c>
      <c r="H118" s="84" t="s">
        <v>455</v>
      </c>
      <c r="I118" s="84">
        <v>114.1540382</v>
      </c>
      <c r="J118" s="84">
        <v>22.339886320000002</v>
      </c>
      <c r="K118" s="88">
        <v>19.299999</v>
      </c>
      <c r="L118" s="84" t="s">
        <v>114</v>
      </c>
      <c r="M118" s="88">
        <v>115.099998</v>
      </c>
      <c r="N118" s="84">
        <v>3</v>
      </c>
      <c r="O118" s="88">
        <v>95.799999</v>
      </c>
      <c r="P118" s="85"/>
      <c r="Q118" s="75" t="b">
        <v>0</v>
      </c>
      <c r="R118" s="75" t="b">
        <v>0</v>
      </c>
      <c r="S118" s="75" t="b">
        <v>0</v>
      </c>
      <c r="T118" s="75"/>
      <c r="U118" s="86">
        <f>IFERROR(VLOOKUP($F118,NE_bmis!$A:$K,6,FALSE),"")</f>
        <v>36</v>
      </c>
      <c r="V118" s="84">
        <f>IFERROR(VLOOKUP($F118,NE_bmis!$A:$K,7,FALSE),"")</f>
        <v>0</v>
      </c>
      <c r="W118" s="87">
        <f>IFERROR(VLOOKUP($F118,NE_bmis!$A:$K,8,FALSE),"")</f>
        <v>198</v>
      </c>
      <c r="X118" s="84">
        <f>IFERROR(VLOOKUP($F118,NE_bmis!$A:$K,9,FALSE),"")</f>
        <v>1997</v>
      </c>
      <c r="Y118" s="84" t="str">
        <f>IFERROR(VLOOKUP($F118,NE_bmis!$A:$K,11,FALSE),"")</f>
        <v>BMIS_auto</v>
      </c>
      <c r="Z118" s="66" t="s">
        <v>2312</v>
      </c>
    </row>
    <row r="119" spans="1:26" ht="13">
      <c r="A119" s="83" t="str">
        <f t="shared" si="0"/>
        <v>N29NE</v>
      </c>
      <c r="B119" s="83">
        <v>29</v>
      </c>
      <c r="C119" s="83" t="s">
        <v>110</v>
      </c>
      <c r="D119" s="87">
        <f t="shared" si="1"/>
        <v>7600</v>
      </c>
      <c r="E119" s="84" t="s">
        <v>456</v>
      </c>
      <c r="F119" s="84">
        <v>1108222026</v>
      </c>
      <c r="G119" s="83" t="s">
        <v>457</v>
      </c>
      <c r="H119" s="84" t="s">
        <v>458</v>
      </c>
      <c r="I119" s="84">
        <v>114.1523486</v>
      </c>
      <c r="J119" s="84">
        <v>22.34009309</v>
      </c>
      <c r="K119" s="88">
        <v>6.1</v>
      </c>
      <c r="L119" s="84" t="s">
        <v>114</v>
      </c>
      <c r="M119" s="88">
        <v>54.599997999999999</v>
      </c>
      <c r="N119" s="84" t="s">
        <v>115</v>
      </c>
      <c r="O119" s="88">
        <v>48.499997999999998</v>
      </c>
      <c r="P119" s="85"/>
      <c r="Q119" s="75" t="b">
        <v>0</v>
      </c>
      <c r="R119" s="75" t="b">
        <v>0</v>
      </c>
      <c r="S119" s="75" t="b">
        <v>0</v>
      </c>
      <c r="T119" s="75"/>
      <c r="U119" s="86">
        <v>14</v>
      </c>
      <c r="V119" s="84">
        <f>IFERROR(VLOOKUP($F119,NE_bmis!$A:$K,7,FALSE),"")</f>
        <v>0</v>
      </c>
      <c r="W119" s="87">
        <f>IFERROR(VLOOKUP($F119,NE_bmis!$A:$K,8,FALSE),"")</f>
        <v>18</v>
      </c>
      <c r="X119" s="84">
        <f>IFERROR(VLOOKUP($F119,NE_bmis!$A:$K,9,FALSE),"")</f>
        <v>1971</v>
      </c>
      <c r="Y119" s="84" t="s">
        <v>173</v>
      </c>
      <c r="Z119" s="66" t="s">
        <v>2314</v>
      </c>
    </row>
    <row r="120" spans="1:26" ht="13">
      <c r="A120" s="83" t="str">
        <f t="shared" si="0"/>
        <v>N29SE</v>
      </c>
      <c r="B120" s="83">
        <v>29</v>
      </c>
      <c r="C120" s="83" t="s">
        <v>116</v>
      </c>
      <c r="D120" s="87">
        <f t="shared" si="1"/>
        <v>7600</v>
      </c>
      <c r="E120" s="84" t="s">
        <v>459</v>
      </c>
      <c r="F120" s="84">
        <v>1108222031</v>
      </c>
      <c r="G120" s="83" t="s">
        <v>460</v>
      </c>
      <c r="H120" s="84" t="s">
        <v>461</v>
      </c>
      <c r="I120" s="84">
        <v>114.1525312</v>
      </c>
      <c r="J120" s="84">
        <v>22.340158240000001</v>
      </c>
      <c r="K120" s="88">
        <v>21.1</v>
      </c>
      <c r="L120" s="84" t="s">
        <v>114</v>
      </c>
      <c r="M120" s="88">
        <v>81.199996999999996</v>
      </c>
      <c r="N120" s="84">
        <v>3</v>
      </c>
      <c r="O120" s="88">
        <v>60.099997000000002</v>
      </c>
      <c r="P120" s="85"/>
      <c r="Q120" s="75" t="b">
        <v>0</v>
      </c>
      <c r="R120" s="75" t="b">
        <v>0</v>
      </c>
      <c r="S120" s="75" t="b">
        <v>0</v>
      </c>
      <c r="T120" s="75"/>
      <c r="U120" s="86">
        <f>IFERROR(VLOOKUP($F120,NE_bmis!$A:$K,6,FALSE),"")</f>
        <v>22</v>
      </c>
      <c r="V120" s="84">
        <f>IFERROR(VLOOKUP($F120,NE_bmis!$A:$K,7,FALSE),"")</f>
        <v>0</v>
      </c>
      <c r="W120" s="87">
        <f>IFERROR(VLOOKUP($F120,NE_bmis!$A:$K,8,FALSE),"")</f>
        <v>88</v>
      </c>
      <c r="X120" s="84">
        <f>IFERROR(VLOOKUP($F120,NE_bmis!$A:$K,9,FALSE),"")</f>
        <v>1984</v>
      </c>
      <c r="Y120" s="84" t="str">
        <f>IFERROR(VLOOKUP($F120,NE_bmis!$A:$K,11,FALSE),"")</f>
        <v>BMIS_auto</v>
      </c>
      <c r="Z120" s="66" t="s">
        <v>2316</v>
      </c>
    </row>
    <row r="121" spans="1:26" ht="13">
      <c r="A121" s="83" t="str">
        <f t="shared" si="0"/>
        <v>N29SW</v>
      </c>
      <c r="B121" s="83">
        <v>29</v>
      </c>
      <c r="C121" s="83" t="s">
        <v>121</v>
      </c>
      <c r="D121" s="87">
        <f t="shared" si="1"/>
        <v>7600</v>
      </c>
      <c r="E121" s="84" t="s">
        <v>462</v>
      </c>
      <c r="F121" s="84">
        <v>1108222149</v>
      </c>
      <c r="G121" s="83" t="s">
        <v>463</v>
      </c>
      <c r="H121" s="84" t="s">
        <v>464</v>
      </c>
      <c r="I121" s="84">
        <v>114.1530379</v>
      </c>
      <c r="J121" s="84">
        <v>22.33972013</v>
      </c>
      <c r="K121" s="88">
        <v>6</v>
      </c>
      <c r="L121" s="84" t="s">
        <v>126</v>
      </c>
      <c r="M121" s="88">
        <v>43.5</v>
      </c>
      <c r="N121" s="84" t="s">
        <v>114</v>
      </c>
      <c r="O121" s="88">
        <f>M121-K121</f>
        <v>37.5</v>
      </c>
      <c r="P121" s="85" t="s">
        <v>151</v>
      </c>
      <c r="Q121" s="75" t="b">
        <v>0</v>
      </c>
      <c r="R121" s="75" t="b">
        <v>0</v>
      </c>
      <c r="S121" s="75" t="b">
        <v>0</v>
      </c>
      <c r="T121" s="75"/>
      <c r="U121" s="86">
        <v>12</v>
      </c>
      <c r="V121" s="84">
        <f>IFERROR(VLOOKUP($F121,NE_bmis!$A:$K,7,FALSE),"")</f>
        <v>0</v>
      </c>
      <c r="W121" s="87">
        <f>IFERROR(VLOOKUP($F121,NE_bmis!$A:$K,8,FALSE),"")</f>
        <v>32</v>
      </c>
      <c r="X121" s="84">
        <f>IFERROR(VLOOKUP($F121,NE_bmis!$A:$K,9,FALSE),"")</f>
        <v>1981</v>
      </c>
      <c r="Y121" s="84" t="s">
        <v>177</v>
      </c>
      <c r="Z121" s="66" t="s">
        <v>2318</v>
      </c>
    </row>
    <row r="122" spans="1:26" ht="13">
      <c r="A122" s="83" t="str">
        <f t="shared" si="0"/>
        <v>N29NW</v>
      </c>
      <c r="B122" s="83">
        <v>29</v>
      </c>
      <c r="C122" s="83" t="s">
        <v>127</v>
      </c>
      <c r="D122" s="87">
        <f t="shared" si="1"/>
        <v>7600</v>
      </c>
      <c r="E122" s="84" t="s">
        <v>465</v>
      </c>
      <c r="F122" s="84">
        <v>1108222206</v>
      </c>
      <c r="G122" s="83" t="s">
        <v>466</v>
      </c>
      <c r="H122" s="84"/>
      <c r="I122" s="84">
        <v>114.1525137</v>
      </c>
      <c r="J122" s="84">
        <v>22.339726089999999</v>
      </c>
      <c r="K122" s="88">
        <v>6.1</v>
      </c>
      <c r="L122" s="84" t="s">
        <v>418</v>
      </c>
      <c r="M122" s="88">
        <v>32.599997999999999</v>
      </c>
      <c r="N122" s="84" t="s">
        <v>115</v>
      </c>
      <c r="O122" s="88">
        <v>26.499998000000001</v>
      </c>
      <c r="P122" s="85"/>
      <c r="Q122" s="75" t="b">
        <v>0</v>
      </c>
      <c r="R122" s="75" t="b">
        <v>0</v>
      </c>
      <c r="S122" s="75" t="b">
        <v>1</v>
      </c>
      <c r="T122" s="75"/>
      <c r="U122" s="86">
        <f>IFERROR(VLOOKUP($F122,NE_bmis!$A:$K,6,FALSE),"")</f>
        <v>9</v>
      </c>
      <c r="V122" s="84">
        <f>IFERROR(VLOOKUP($F122,NE_bmis!$A:$K,7,FALSE),"")</f>
        <v>0</v>
      </c>
      <c r="W122" s="87">
        <f>IFERROR(VLOOKUP($F122,NE_bmis!$A:$K,8,FALSE),"")</f>
        <v>52</v>
      </c>
      <c r="X122" s="84">
        <f>IFERROR(VLOOKUP($F122,NE_bmis!$A:$K,9,FALSE),"")</f>
        <v>1959</v>
      </c>
      <c r="Y122" s="84" t="str">
        <f>IFERROR(VLOOKUP($F122,NE_bmis!$A:$K,11,FALSE),"")</f>
        <v>BMIS_auto</v>
      </c>
      <c r="Z122" s="66" t="s">
        <v>2320</v>
      </c>
    </row>
    <row r="123" spans="1:26" ht="13">
      <c r="A123" s="83" t="str">
        <f t="shared" si="0"/>
        <v>N30NE</v>
      </c>
      <c r="B123" s="83">
        <v>30</v>
      </c>
      <c r="C123" s="83" t="s">
        <v>110</v>
      </c>
      <c r="D123" s="87">
        <f t="shared" si="1"/>
        <v>7800</v>
      </c>
      <c r="E123" s="84" t="s">
        <v>467</v>
      </c>
      <c r="F123" s="84">
        <v>1108222285</v>
      </c>
      <c r="G123" s="83" t="s">
        <v>468</v>
      </c>
      <c r="H123" s="84" t="s">
        <v>469</v>
      </c>
      <c r="I123" s="84">
        <v>114.1507259</v>
      </c>
      <c r="J123" s="84">
        <v>22.339539210000002</v>
      </c>
      <c r="K123" s="88">
        <v>19.899999999999999</v>
      </c>
      <c r="L123" s="84" t="s">
        <v>126</v>
      </c>
      <c r="M123" s="88">
        <v>123</v>
      </c>
      <c r="N123" s="84" t="s">
        <v>114</v>
      </c>
      <c r="O123" s="88">
        <v>103.1</v>
      </c>
      <c r="P123" s="85"/>
      <c r="Q123" s="75" t="b">
        <v>0</v>
      </c>
      <c r="R123" s="75" t="b">
        <v>0</v>
      </c>
      <c r="S123" s="75" t="b">
        <v>0</v>
      </c>
      <c r="T123" s="75"/>
      <c r="U123" s="86">
        <f>IFERROR(VLOOKUP($F123,NE_bmis!$A:$K,6,FALSE),"")</f>
        <v>26</v>
      </c>
      <c r="V123" s="84">
        <f>IFERROR(VLOOKUP($F123,NE_bmis!$A:$K,7,FALSE),"")</f>
        <v>0</v>
      </c>
      <c r="W123" s="87">
        <f>IFERROR(VLOOKUP($F123,NE_bmis!$A:$K,8,FALSE),"")</f>
        <v>100</v>
      </c>
      <c r="X123" s="84">
        <f>IFERROR(VLOOKUP($F123,NE_bmis!$A:$K,9,FALSE),"")</f>
        <v>1998</v>
      </c>
      <c r="Y123" s="84" t="str">
        <f>IFERROR(VLOOKUP($F123,NE_bmis!$A:$K,11,FALSE),"")</f>
        <v>BMIS_auto</v>
      </c>
      <c r="Z123" s="66" t="s">
        <v>2322</v>
      </c>
    </row>
    <row r="124" spans="1:26" ht="13">
      <c r="A124" s="83" t="str">
        <f t="shared" si="0"/>
        <v>N30SE</v>
      </c>
      <c r="B124" s="83">
        <v>30</v>
      </c>
      <c r="C124" s="83" t="s">
        <v>116</v>
      </c>
      <c r="D124" s="87">
        <f t="shared" si="1"/>
        <v>7800</v>
      </c>
      <c r="E124" s="84" t="s">
        <v>470</v>
      </c>
      <c r="F124" s="84">
        <v>1108222155</v>
      </c>
      <c r="G124" s="83" t="s">
        <v>471</v>
      </c>
      <c r="H124" s="84" t="s">
        <v>472</v>
      </c>
      <c r="I124" s="84">
        <v>114.15104959999999</v>
      </c>
      <c r="J124" s="84">
        <v>22.339646420000001</v>
      </c>
      <c r="K124" s="88">
        <v>5.7</v>
      </c>
      <c r="L124" s="84" t="s">
        <v>126</v>
      </c>
      <c r="M124" s="88">
        <v>71.900002000000001</v>
      </c>
      <c r="N124" s="84" t="s">
        <v>115</v>
      </c>
      <c r="O124" s="88">
        <v>66.200001999999998</v>
      </c>
      <c r="P124" s="85"/>
      <c r="Q124" s="75" t="b">
        <v>0</v>
      </c>
      <c r="R124" s="75" t="b">
        <v>0</v>
      </c>
      <c r="S124" s="75" t="b">
        <v>0</v>
      </c>
      <c r="T124" s="75"/>
      <c r="U124" s="86">
        <v>20</v>
      </c>
      <c r="V124" s="84">
        <f>IFERROR(VLOOKUP($F124,NE_bmis!$A:$K,7,FALSE),"")</f>
        <v>0</v>
      </c>
      <c r="W124" s="87">
        <f>IFERROR(VLOOKUP($F124,NE_bmis!$A:$K,8,FALSE),"")</f>
        <v>68</v>
      </c>
      <c r="X124" s="84">
        <f>IFERROR(VLOOKUP($F124,NE_bmis!$A:$K,9,FALSE),"")</f>
        <v>1994</v>
      </c>
      <c r="Y124" s="84" t="s">
        <v>177</v>
      </c>
      <c r="Z124" s="66" t="s">
        <v>2324</v>
      </c>
    </row>
    <row r="125" spans="1:26" ht="13">
      <c r="A125" s="83" t="str">
        <f t="shared" si="0"/>
        <v>N30SW</v>
      </c>
      <c r="B125" s="83">
        <v>30</v>
      </c>
      <c r="C125" s="83" t="s">
        <v>121</v>
      </c>
      <c r="D125" s="87">
        <f t="shared" si="1"/>
        <v>7800</v>
      </c>
      <c r="E125" s="84" t="s">
        <v>473</v>
      </c>
      <c r="F125" s="84">
        <v>1108222376</v>
      </c>
      <c r="G125" s="83" t="s">
        <v>474</v>
      </c>
      <c r="H125" s="84" t="s">
        <v>475</v>
      </c>
      <c r="I125" s="84">
        <v>114.151262</v>
      </c>
      <c r="J125" s="84">
        <v>22.339114720000001</v>
      </c>
      <c r="K125" s="88">
        <v>5.0999999999999996</v>
      </c>
      <c r="L125" s="84" t="s">
        <v>115</v>
      </c>
      <c r="M125" s="88">
        <v>37</v>
      </c>
      <c r="N125" s="84" t="s">
        <v>115</v>
      </c>
      <c r="O125" s="88">
        <v>31.9</v>
      </c>
      <c r="P125" s="85"/>
      <c r="Q125" s="75" t="b">
        <v>0</v>
      </c>
      <c r="R125" s="75" t="b">
        <v>0</v>
      </c>
      <c r="S125" s="75" t="b">
        <v>0</v>
      </c>
      <c r="T125" s="75"/>
      <c r="U125" s="86">
        <f>IFERROR(VLOOKUP($F125,NE_bmis!$A:$K,6,FALSE),"")</f>
        <v>8</v>
      </c>
      <c r="V125" s="84">
        <f>IFERROR(VLOOKUP($F125,NE_bmis!$A:$K,7,FALSE),"")</f>
        <v>0</v>
      </c>
      <c r="W125" s="87">
        <f>IFERROR(VLOOKUP($F125,NE_bmis!$A:$K,8,FALSE),"")</f>
        <v>8</v>
      </c>
      <c r="X125" s="84">
        <f>IFERROR(VLOOKUP($F125,NE_bmis!$A:$K,9,FALSE),"")</f>
        <v>1961</v>
      </c>
      <c r="Y125" s="84" t="str">
        <f>IFERROR(VLOOKUP($F125,NE_bmis!$A:$K,11,FALSE),"")</f>
        <v>BMIS_auto</v>
      </c>
      <c r="Z125" s="66" t="s">
        <v>2326</v>
      </c>
    </row>
    <row r="126" spans="1:26" ht="13">
      <c r="A126" s="83" t="str">
        <f t="shared" si="0"/>
        <v>N30NW</v>
      </c>
      <c r="B126" s="83">
        <v>30</v>
      </c>
      <c r="C126" s="83" t="s">
        <v>127</v>
      </c>
      <c r="D126" s="87">
        <f t="shared" si="1"/>
        <v>7800</v>
      </c>
      <c r="E126" s="84" t="s">
        <v>476</v>
      </c>
      <c r="F126" s="84">
        <v>1108222452</v>
      </c>
      <c r="G126" s="83" t="s">
        <v>477</v>
      </c>
      <c r="H126" s="84" t="s">
        <v>478</v>
      </c>
      <c r="I126" s="84">
        <v>114.15060699999999</v>
      </c>
      <c r="J126" s="84">
        <v>22.338921089999999</v>
      </c>
      <c r="K126" s="88">
        <v>19.600000000000001</v>
      </c>
      <c r="L126" s="84" t="s">
        <v>115</v>
      </c>
      <c r="M126" s="88">
        <v>45.200001</v>
      </c>
      <c r="N126" s="84" t="s">
        <v>115</v>
      </c>
      <c r="O126" s="88">
        <v>25.600000999999999</v>
      </c>
      <c r="P126" s="85"/>
      <c r="Q126" s="75" t="b">
        <v>0</v>
      </c>
      <c r="R126" s="75" t="b">
        <v>0</v>
      </c>
      <c r="S126" s="75" t="b">
        <v>0</v>
      </c>
      <c r="T126" s="75"/>
      <c r="U126" s="86">
        <f>IFERROR(VLOOKUP($F126,NE_bmis!$A:$K,6,FALSE),"")</f>
        <v>10</v>
      </c>
      <c r="V126" s="84">
        <f>IFERROR(VLOOKUP($F126,NE_bmis!$A:$K,7,FALSE),"")</f>
        <v>0</v>
      </c>
      <c r="W126" s="87">
        <f>IFERROR(VLOOKUP($F126,NE_bmis!$A:$K,8,FALSE),"")</f>
        <v>17</v>
      </c>
      <c r="X126" s="84">
        <f>IFERROR(VLOOKUP($F126,NE_bmis!$A:$K,9,FALSE),"")</f>
        <v>1980</v>
      </c>
      <c r="Y126" s="84" t="str">
        <f>IFERROR(VLOOKUP($F126,NE_bmis!$A:$K,11,FALSE),"")</f>
        <v>BMIS_auto</v>
      </c>
      <c r="Z126" s="66" t="s">
        <v>2328</v>
      </c>
    </row>
    <row r="127" spans="1:26" ht="13">
      <c r="A127" s="83" t="str">
        <f t="shared" si="0"/>
        <v>N31NE</v>
      </c>
      <c r="B127" s="83">
        <v>31</v>
      </c>
      <c r="C127" s="83" t="s">
        <v>110</v>
      </c>
      <c r="D127" s="87">
        <f t="shared" si="1"/>
        <v>8000</v>
      </c>
      <c r="E127" s="84" t="s">
        <v>479</v>
      </c>
      <c r="F127" s="84">
        <v>1108222607</v>
      </c>
      <c r="G127" s="83" t="s">
        <v>480</v>
      </c>
      <c r="H127" s="84" t="s">
        <v>481</v>
      </c>
      <c r="I127" s="84">
        <v>114.1486998</v>
      </c>
      <c r="J127" s="84">
        <v>22.338712449999999</v>
      </c>
      <c r="K127" s="88">
        <v>5.6</v>
      </c>
      <c r="L127" s="84" t="s">
        <v>115</v>
      </c>
      <c r="M127" s="88">
        <v>33.299999</v>
      </c>
      <c r="N127" s="84" t="s">
        <v>115</v>
      </c>
      <c r="O127" s="88">
        <v>27.699998999999998</v>
      </c>
      <c r="P127" s="85"/>
      <c r="Q127" s="75" t="b">
        <v>0</v>
      </c>
      <c r="R127" s="75" t="b">
        <v>0</v>
      </c>
      <c r="S127" s="75" t="b">
        <v>0</v>
      </c>
      <c r="T127" s="75"/>
      <c r="U127" s="86">
        <v>7</v>
      </c>
      <c r="V127" s="84">
        <v>0</v>
      </c>
      <c r="W127" s="87">
        <v>28</v>
      </c>
      <c r="X127" s="84">
        <v>1960</v>
      </c>
      <c r="Y127" s="84" t="s">
        <v>173</v>
      </c>
      <c r="Z127" s="66" t="s">
        <v>2330</v>
      </c>
    </row>
    <row r="128" spans="1:26" ht="13">
      <c r="A128" s="83" t="str">
        <f t="shared" si="0"/>
        <v>N31SE</v>
      </c>
      <c r="B128" s="83">
        <v>31</v>
      </c>
      <c r="C128" s="83" t="s">
        <v>116</v>
      </c>
      <c r="D128" s="87">
        <f t="shared" si="1"/>
        <v>8000</v>
      </c>
      <c r="E128" s="84" t="s">
        <v>482</v>
      </c>
      <c r="F128" s="84">
        <v>1108222447</v>
      </c>
      <c r="G128" s="83" t="s">
        <v>483</v>
      </c>
      <c r="H128" s="84" t="s">
        <v>484</v>
      </c>
      <c r="I128" s="84">
        <v>114.14916669999999</v>
      </c>
      <c r="J128" s="84">
        <v>22.33900247</v>
      </c>
      <c r="K128" s="88">
        <v>19.600000000000001</v>
      </c>
      <c r="L128" s="84" t="s">
        <v>115</v>
      </c>
      <c r="M128" s="88">
        <v>45.299999</v>
      </c>
      <c r="N128" s="84" t="s">
        <v>115</v>
      </c>
      <c r="O128" s="88">
        <v>25.699998999999998</v>
      </c>
      <c r="P128" s="85"/>
      <c r="Q128" s="75" t="b">
        <v>0</v>
      </c>
      <c r="R128" s="75" t="b">
        <v>0</v>
      </c>
      <c r="S128" s="75" t="b">
        <v>0</v>
      </c>
      <c r="T128" s="75"/>
      <c r="U128" s="86">
        <f>IFERROR(VLOOKUP($F128,NE_bmis!$A:$K,6,FALSE),"")</f>
        <v>12</v>
      </c>
      <c r="V128" s="84">
        <f>IFERROR(VLOOKUP($F128,NE_bmis!$A:$K,7,FALSE),"")</f>
        <v>0</v>
      </c>
      <c r="W128" s="87">
        <f>IFERROR(VLOOKUP($F128,NE_bmis!$A:$K,8,FALSE),"")</f>
        <v>72</v>
      </c>
      <c r="X128" s="84">
        <f>IFERROR(VLOOKUP($F128,NE_bmis!$A:$K,9,FALSE),"")</f>
        <v>1983</v>
      </c>
      <c r="Y128" s="84" t="str">
        <f>IFERROR(VLOOKUP($F128,NE_bmis!$A:$K,11,FALSE),"")</f>
        <v>BMIS_auto</v>
      </c>
      <c r="Z128" s="66" t="s">
        <v>2332</v>
      </c>
    </row>
    <row r="129" spans="1:26" ht="13">
      <c r="A129" s="83" t="str">
        <f t="shared" si="0"/>
        <v>N31SW</v>
      </c>
      <c r="B129" s="83">
        <v>31</v>
      </c>
      <c r="C129" s="83" t="s">
        <v>121</v>
      </c>
      <c r="D129" s="87">
        <f t="shared" si="1"/>
        <v>8000</v>
      </c>
      <c r="E129" s="84" t="s">
        <v>485</v>
      </c>
      <c r="F129" s="84">
        <v>1108222674</v>
      </c>
      <c r="G129" s="83" t="s">
        <v>486</v>
      </c>
      <c r="H129" s="84" t="s">
        <v>487</v>
      </c>
      <c r="I129" s="84">
        <v>114.1494156</v>
      </c>
      <c r="J129" s="84">
        <v>22.33851061</v>
      </c>
      <c r="K129" s="88">
        <v>19.399999999999999</v>
      </c>
      <c r="L129" s="84" t="s">
        <v>115</v>
      </c>
      <c r="M129" s="88">
        <v>69.699996999999996</v>
      </c>
      <c r="N129" s="84" t="s">
        <v>115</v>
      </c>
      <c r="O129" s="88">
        <v>50.299996999999998</v>
      </c>
      <c r="P129" s="85"/>
      <c r="Q129" s="75" t="b">
        <v>0</v>
      </c>
      <c r="R129" s="75" t="b">
        <v>0</v>
      </c>
      <c r="S129" s="75" t="b">
        <v>0</v>
      </c>
      <c r="T129" s="75"/>
      <c r="U129" s="86">
        <v>17</v>
      </c>
      <c r="V129" s="84">
        <f>IFERROR(VLOOKUP($F129,NE_bmis!$A:$K,7,FALSE),"")</f>
        <v>0</v>
      </c>
      <c r="W129" s="87">
        <f>IFERROR(VLOOKUP($F129,NE_bmis!$A:$K,8,FALSE),"")</f>
        <v>18</v>
      </c>
      <c r="X129" s="84">
        <f>IFERROR(VLOOKUP($F129,NE_bmis!$A:$K,9,FALSE),"")</f>
        <v>1990</v>
      </c>
      <c r="Y129" s="84" t="str">
        <f>IFERROR(VLOOKUP($F129,NE_bmis!$A:$K,11,FALSE),"")</f>
        <v>BMIS_auto</v>
      </c>
      <c r="Z129" s="66" t="s">
        <v>2334</v>
      </c>
    </row>
    <row r="130" spans="1:26" ht="13">
      <c r="A130" s="83" t="str">
        <f t="shared" si="0"/>
        <v>N31NW</v>
      </c>
      <c r="B130" s="83">
        <v>31</v>
      </c>
      <c r="C130" s="83" t="s">
        <v>127</v>
      </c>
      <c r="D130" s="87">
        <f t="shared" si="1"/>
        <v>8000</v>
      </c>
      <c r="E130" s="84" t="s">
        <v>488</v>
      </c>
      <c r="F130" s="84">
        <v>1108222796</v>
      </c>
      <c r="G130" s="83" t="s">
        <v>489</v>
      </c>
      <c r="H130" s="84" t="s">
        <v>490</v>
      </c>
      <c r="I130" s="84">
        <v>114.14869659999999</v>
      </c>
      <c r="J130" s="84">
        <v>22.33806508</v>
      </c>
      <c r="K130" s="88">
        <v>5.0999999999999996</v>
      </c>
      <c r="L130" s="84" t="s">
        <v>115</v>
      </c>
      <c r="M130" s="88">
        <v>45.5</v>
      </c>
      <c r="N130" s="84" t="s">
        <v>115</v>
      </c>
      <c r="O130" s="88">
        <v>40.4</v>
      </c>
      <c r="P130" s="85"/>
      <c r="Q130" s="75" t="b">
        <v>0</v>
      </c>
      <c r="R130" s="75" t="b">
        <v>0</v>
      </c>
      <c r="S130" s="75" t="b">
        <v>0</v>
      </c>
      <c r="T130" s="75"/>
      <c r="U130" s="86">
        <f>IFERROR(VLOOKUP($F130,NE_bmis!$A:$K,6,FALSE),"")</f>
        <v>10</v>
      </c>
      <c r="V130" s="84">
        <f>IFERROR(VLOOKUP($F130,NE_bmis!$A:$K,7,FALSE),"")</f>
        <v>0</v>
      </c>
      <c r="W130" s="87">
        <f>IFERROR(VLOOKUP($F130,NE_bmis!$A:$K,8,FALSE),"")</f>
        <v>40</v>
      </c>
      <c r="X130" s="84">
        <f>IFERROR(VLOOKUP($F130,NE_bmis!$A:$K,9,FALSE),"")</f>
        <v>1972</v>
      </c>
      <c r="Y130" s="84" t="str">
        <f>IFERROR(VLOOKUP($F130,NE_bmis!$A:$K,11,FALSE),"")</f>
        <v>BMIS_auto</v>
      </c>
      <c r="Z130" s="66" t="s">
        <v>2336</v>
      </c>
    </row>
    <row r="131" spans="1:26" ht="13">
      <c r="A131" s="83" t="str">
        <f t="shared" si="0"/>
        <v>N32NE</v>
      </c>
      <c r="B131" s="83">
        <v>32</v>
      </c>
      <c r="C131" s="83" t="s">
        <v>110</v>
      </c>
      <c r="D131" s="87">
        <f t="shared" si="1"/>
        <v>8200</v>
      </c>
      <c r="E131" s="84" t="s">
        <v>491</v>
      </c>
      <c r="F131" s="84">
        <v>1108222836</v>
      </c>
      <c r="G131" s="83" t="s">
        <v>492</v>
      </c>
      <c r="H131" s="84" t="s">
        <v>493</v>
      </c>
      <c r="I131" s="84">
        <v>114.14658470000001</v>
      </c>
      <c r="J131" s="84">
        <v>22.338108890000001</v>
      </c>
      <c r="K131" s="88">
        <v>5.4</v>
      </c>
      <c r="L131" s="84" t="s">
        <v>115</v>
      </c>
      <c r="M131" s="88">
        <v>45.299999</v>
      </c>
      <c r="N131" s="84">
        <v>3</v>
      </c>
      <c r="O131" s="88">
        <v>39.899999000000001</v>
      </c>
      <c r="P131" s="85"/>
      <c r="Q131" s="75" t="b">
        <v>0</v>
      </c>
      <c r="R131" s="75" t="b">
        <v>0</v>
      </c>
      <c r="S131" s="75" t="b">
        <v>0</v>
      </c>
      <c r="T131" s="75"/>
      <c r="U131" s="86">
        <f>IFERROR(VLOOKUP($F131,NE_bmis!$A:$K,6,FALSE),"")</f>
        <v>12</v>
      </c>
      <c r="V131" s="84">
        <f>IFERROR(VLOOKUP($F131,NE_bmis!$A:$K,7,FALSE),"")</f>
        <v>0</v>
      </c>
      <c r="W131" s="87">
        <f>IFERROR(VLOOKUP($F131,NE_bmis!$A:$K,8,FALSE),"")</f>
        <v>88</v>
      </c>
      <c r="X131" s="84">
        <f>IFERROR(VLOOKUP($F131,NE_bmis!$A:$K,9,FALSE),"")</f>
        <v>1969</v>
      </c>
      <c r="Y131" s="84" t="str">
        <f>IFERROR(VLOOKUP($F131,NE_bmis!$A:$K,11,FALSE),"")</f>
        <v>BMIS_auto</v>
      </c>
      <c r="Z131" s="66" t="s">
        <v>2338</v>
      </c>
    </row>
    <row r="132" spans="1:26" ht="13">
      <c r="A132" s="83" t="str">
        <f t="shared" si="0"/>
        <v>N32SE</v>
      </c>
      <c r="B132" s="83">
        <v>32</v>
      </c>
      <c r="C132" s="83" t="s">
        <v>116</v>
      </c>
      <c r="D132" s="87">
        <f t="shared" si="1"/>
        <v>8200</v>
      </c>
      <c r="E132" s="84" t="s">
        <v>494</v>
      </c>
      <c r="F132" s="84">
        <v>1108222878</v>
      </c>
      <c r="G132" s="83" t="s">
        <v>495</v>
      </c>
      <c r="H132" s="84" t="s">
        <v>496</v>
      </c>
      <c r="I132" s="84">
        <v>114.14700070000001</v>
      </c>
      <c r="J132" s="84">
        <v>22.338251970000002</v>
      </c>
      <c r="K132" s="88">
        <v>19.799999</v>
      </c>
      <c r="L132" s="84" t="s">
        <v>115</v>
      </c>
      <c r="M132" s="88">
        <v>123.900002</v>
      </c>
      <c r="N132" s="84">
        <v>3</v>
      </c>
      <c r="O132" s="88">
        <v>104.100003</v>
      </c>
      <c r="P132" s="85"/>
      <c r="Q132" s="75" t="b">
        <v>0</v>
      </c>
      <c r="R132" s="75" t="b">
        <v>0</v>
      </c>
      <c r="S132" s="75" t="b">
        <v>0</v>
      </c>
      <c r="T132" s="75"/>
      <c r="U132" s="86">
        <f>IFERROR(VLOOKUP($F132,NE_bmis!$A:$K,6,FALSE),"")</f>
        <v>34</v>
      </c>
      <c r="V132" s="84">
        <f>IFERROR(VLOOKUP($F132,NE_bmis!$A:$K,7,FALSE),"")</f>
        <v>0</v>
      </c>
      <c r="W132" s="87">
        <f>IFERROR(VLOOKUP($F132,NE_bmis!$A:$K,8,FALSE),"")</f>
        <v>363</v>
      </c>
      <c r="X132" s="84">
        <f>IFERROR(VLOOKUP($F132,NE_bmis!$A:$K,9,FALSE),"")</f>
        <v>1998</v>
      </c>
      <c r="Y132" s="84" t="str">
        <f>IFERROR(VLOOKUP($F132,NE_bmis!$A:$K,11,FALSE),"")</f>
        <v>BMIS_auto</v>
      </c>
      <c r="Z132" s="66" t="s">
        <v>2340</v>
      </c>
    </row>
    <row r="133" spans="1:26" ht="13">
      <c r="A133" s="83" t="str">
        <f t="shared" si="0"/>
        <v>N32SW</v>
      </c>
      <c r="B133" s="83">
        <v>32</v>
      </c>
      <c r="C133" s="83" t="s">
        <v>121</v>
      </c>
      <c r="D133" s="87">
        <f t="shared" si="1"/>
        <v>8200</v>
      </c>
      <c r="E133" s="84" t="s">
        <v>497</v>
      </c>
      <c r="F133" s="84">
        <v>1108223122</v>
      </c>
      <c r="G133" s="83" t="s">
        <v>498</v>
      </c>
      <c r="H133" s="84" t="s">
        <v>499</v>
      </c>
      <c r="I133" s="84">
        <v>114.146736</v>
      </c>
      <c r="J133" s="84">
        <v>22.337399699999999</v>
      </c>
      <c r="K133" s="88">
        <v>5.0999999999999996</v>
      </c>
      <c r="L133" s="84" t="s">
        <v>115</v>
      </c>
      <c r="M133" s="88">
        <v>45.299999</v>
      </c>
      <c r="N133" s="84" t="s">
        <v>115</v>
      </c>
      <c r="O133" s="88">
        <v>40.199998999999998</v>
      </c>
      <c r="P133" s="85"/>
      <c r="Q133" s="75" t="b">
        <v>0</v>
      </c>
      <c r="R133" s="75" t="b">
        <v>0</v>
      </c>
      <c r="S133" s="75" t="b">
        <v>0</v>
      </c>
      <c r="T133" s="75"/>
      <c r="U133" s="86">
        <f>IFERROR(VLOOKUP($F133,NE_bmis!$A:$K,6,FALSE),"")</f>
        <v>12</v>
      </c>
      <c r="V133" s="84">
        <f>IFERROR(VLOOKUP($F133,NE_bmis!$A:$K,7,FALSE),"")</f>
        <v>1</v>
      </c>
      <c r="W133" s="87">
        <f>IFERROR(VLOOKUP($F133,NE_bmis!$A:$K,8,FALSE),"")</f>
        <v>144</v>
      </c>
      <c r="X133" s="84">
        <f>IFERROR(VLOOKUP($F133,NE_bmis!$A:$K,9,FALSE),"")</f>
        <v>1982</v>
      </c>
      <c r="Y133" s="84" t="str">
        <f>IFERROR(VLOOKUP($F133,NE_bmis!$A:$K,11,FALSE),"")</f>
        <v>BMIS_auto</v>
      </c>
      <c r="Z133" s="66" t="s">
        <v>2342</v>
      </c>
    </row>
    <row r="134" spans="1:26" ht="13">
      <c r="A134" s="83" t="str">
        <f t="shared" si="0"/>
        <v>N32NW</v>
      </c>
      <c r="B134" s="83">
        <v>32</v>
      </c>
      <c r="C134" s="83" t="s">
        <v>127</v>
      </c>
      <c r="D134" s="87">
        <f t="shared" si="1"/>
        <v>8200</v>
      </c>
      <c r="E134" s="84" t="s">
        <v>500</v>
      </c>
      <c r="F134" s="84">
        <v>1108223015</v>
      </c>
      <c r="G134" s="83" t="s">
        <v>501</v>
      </c>
      <c r="H134" s="84" t="s">
        <v>502</v>
      </c>
      <c r="I134" s="84">
        <v>114.1472246</v>
      </c>
      <c r="J134" s="84">
        <v>22.33768955</v>
      </c>
      <c r="K134" s="88">
        <v>19.299999</v>
      </c>
      <c r="L134" s="84" t="s">
        <v>115</v>
      </c>
      <c r="M134" s="88">
        <v>45.299999</v>
      </c>
      <c r="N134" s="84" t="s">
        <v>115</v>
      </c>
      <c r="O134" s="88">
        <v>26</v>
      </c>
      <c r="P134" s="85"/>
      <c r="Q134" s="75" t="b">
        <v>0</v>
      </c>
      <c r="R134" s="75" t="b">
        <v>0</v>
      </c>
      <c r="S134" s="75" t="b">
        <v>0</v>
      </c>
      <c r="T134" s="75"/>
      <c r="U134" s="86">
        <f>IFERROR(VLOOKUP($F134,NE_bmis!$A:$K,6,FALSE),"")</f>
        <v>12</v>
      </c>
      <c r="V134" s="84">
        <f>IFERROR(VLOOKUP($F134,NE_bmis!$A:$K,7,FALSE),"")</f>
        <v>1</v>
      </c>
      <c r="W134" s="87">
        <f>IFERROR(VLOOKUP($F134,NE_bmis!$A:$K,8,FALSE),"")</f>
        <v>191</v>
      </c>
      <c r="X134" s="84">
        <f>IFERROR(VLOOKUP($F134,NE_bmis!$A:$K,9,FALSE),"")</f>
        <v>1982</v>
      </c>
      <c r="Y134" s="84" t="str">
        <f>IFERROR(VLOOKUP($F134,NE_bmis!$A:$K,11,FALSE),"")</f>
        <v>BMIS_auto</v>
      </c>
      <c r="Z134" s="66" t="s">
        <v>2342</v>
      </c>
    </row>
    <row r="135" spans="1:26" ht="13">
      <c r="A135" s="83" t="str">
        <f t="shared" si="0"/>
        <v>N33NE</v>
      </c>
      <c r="B135" s="83">
        <v>33</v>
      </c>
      <c r="C135" s="83" t="s">
        <v>110</v>
      </c>
      <c r="D135" s="87">
        <f t="shared" si="1"/>
        <v>8400</v>
      </c>
      <c r="E135" s="84" t="s">
        <v>503</v>
      </c>
      <c r="F135" s="84">
        <v>1108223041</v>
      </c>
      <c r="G135" s="83" t="s">
        <v>504</v>
      </c>
      <c r="H135" s="84" t="s">
        <v>505</v>
      </c>
      <c r="I135" s="84">
        <v>114.1453029</v>
      </c>
      <c r="J135" s="84">
        <v>22.337667209999999</v>
      </c>
      <c r="K135" s="88">
        <v>5.2</v>
      </c>
      <c r="L135" s="84" t="s">
        <v>115</v>
      </c>
      <c r="M135" s="88">
        <v>44.700001</v>
      </c>
      <c r="N135" s="84" t="s">
        <v>115</v>
      </c>
      <c r="O135" s="88">
        <v>39.500000999999997</v>
      </c>
      <c r="P135" s="85"/>
      <c r="Q135" s="75" t="b">
        <v>0</v>
      </c>
      <c r="R135" s="75" t="b">
        <v>0</v>
      </c>
      <c r="S135" s="75" t="b">
        <v>0</v>
      </c>
      <c r="T135" s="75"/>
      <c r="U135" s="86">
        <f>IFERROR(VLOOKUP($F135,NE_bmis!$A:$K,6,FALSE),"")</f>
        <v>13</v>
      </c>
      <c r="V135" s="84">
        <f>IFERROR(VLOOKUP($F135,NE_bmis!$A:$K,7,FALSE),"")</f>
        <v>0</v>
      </c>
      <c r="W135" s="87">
        <f>IFERROR(VLOOKUP($F135,NE_bmis!$A:$K,8,FALSE),"")</f>
        <v>96</v>
      </c>
      <c r="X135" s="84">
        <f>IFERROR(VLOOKUP($F135,NE_bmis!$A:$K,9,FALSE),"")</f>
        <v>1980</v>
      </c>
      <c r="Y135" s="84" t="str">
        <f>IFERROR(VLOOKUP($F135,NE_bmis!$A:$K,11,FALSE),"")</f>
        <v>BMIS_auto</v>
      </c>
      <c r="Z135" s="66" t="s">
        <v>2345</v>
      </c>
    </row>
    <row r="136" spans="1:26" ht="13">
      <c r="A136" s="83" t="str">
        <f t="shared" si="0"/>
        <v>N33SE</v>
      </c>
      <c r="B136" s="83">
        <v>33</v>
      </c>
      <c r="C136" s="83" t="s">
        <v>116</v>
      </c>
      <c r="D136" s="87">
        <f t="shared" si="1"/>
        <v>8400</v>
      </c>
      <c r="E136" s="84" t="s">
        <v>506</v>
      </c>
      <c r="F136" s="84">
        <v>1108223284</v>
      </c>
      <c r="G136" s="83" t="s">
        <v>507</v>
      </c>
      <c r="H136" s="84" t="s">
        <v>508</v>
      </c>
      <c r="I136" s="84">
        <v>114.14554510000001</v>
      </c>
      <c r="J136" s="84">
        <v>22.337180700000001</v>
      </c>
      <c r="K136" s="88">
        <v>19.899999999999999</v>
      </c>
      <c r="L136" s="84" t="s">
        <v>115</v>
      </c>
      <c r="M136" s="88">
        <v>45.5</v>
      </c>
      <c r="N136" s="84">
        <v>3</v>
      </c>
      <c r="O136" s="88">
        <v>25.6</v>
      </c>
      <c r="P136" s="85"/>
      <c r="Q136" s="75" t="b">
        <v>0</v>
      </c>
      <c r="R136" s="75" t="b">
        <v>0</v>
      </c>
      <c r="S136" s="75" t="b">
        <v>0</v>
      </c>
      <c r="T136" s="75"/>
      <c r="U136" s="86">
        <v>12</v>
      </c>
      <c r="V136" s="84"/>
      <c r="W136" s="87">
        <v>25</v>
      </c>
      <c r="X136" s="84">
        <v>1976</v>
      </c>
      <c r="Y136" s="84" t="s">
        <v>173</v>
      </c>
      <c r="Z136" s="66" t="s">
        <v>2347</v>
      </c>
    </row>
    <row r="137" spans="1:26" ht="13">
      <c r="A137" s="83" t="str">
        <f t="shared" si="0"/>
        <v>N33SW</v>
      </c>
      <c r="B137" s="83">
        <v>33</v>
      </c>
      <c r="C137" s="83" t="s">
        <v>121</v>
      </c>
      <c r="D137" s="87">
        <f t="shared" si="1"/>
        <v>8400</v>
      </c>
      <c r="E137" s="84" t="s">
        <v>509</v>
      </c>
      <c r="F137" s="84">
        <v>1108223054</v>
      </c>
      <c r="G137" s="83" t="s">
        <v>510</v>
      </c>
      <c r="H137" s="84" t="s">
        <v>511</v>
      </c>
      <c r="I137" s="84">
        <v>114.1456905</v>
      </c>
      <c r="J137" s="84">
        <v>22.337802459999999</v>
      </c>
      <c r="K137" s="88">
        <v>21.1</v>
      </c>
      <c r="L137" s="84" t="s">
        <v>115</v>
      </c>
      <c r="M137" s="88">
        <v>75.800003000000004</v>
      </c>
      <c r="N137" s="84" t="s">
        <v>115</v>
      </c>
      <c r="O137" s="88">
        <v>54.700003000000002</v>
      </c>
      <c r="P137" s="85"/>
      <c r="Q137" s="75" t="b">
        <v>0</v>
      </c>
      <c r="R137" s="75" t="b">
        <v>0</v>
      </c>
      <c r="S137" s="75" t="b">
        <v>0</v>
      </c>
      <c r="T137" s="75"/>
      <c r="U137" s="86">
        <v>16</v>
      </c>
      <c r="V137" s="84">
        <v>0</v>
      </c>
      <c r="W137" s="87">
        <v>34</v>
      </c>
      <c r="X137" s="84">
        <v>1992</v>
      </c>
      <c r="Y137" s="84" t="s">
        <v>173</v>
      </c>
      <c r="Z137" s="66" t="s">
        <v>2349</v>
      </c>
    </row>
    <row r="138" spans="1:26" ht="13">
      <c r="A138" s="83" t="str">
        <f t="shared" si="0"/>
        <v>N33NW</v>
      </c>
      <c r="B138" s="83">
        <v>33</v>
      </c>
      <c r="C138" s="83" t="s">
        <v>127</v>
      </c>
      <c r="D138" s="87">
        <f t="shared" si="1"/>
        <v>8400</v>
      </c>
      <c r="E138" s="84" t="s">
        <v>512</v>
      </c>
      <c r="F138" s="84">
        <v>1108223340</v>
      </c>
      <c r="G138" s="83" t="s">
        <v>513</v>
      </c>
      <c r="H138" s="84" t="s">
        <v>514</v>
      </c>
      <c r="I138" s="84">
        <v>114.14527990000001</v>
      </c>
      <c r="J138" s="84">
        <v>22.33707755</v>
      </c>
      <c r="K138" s="88">
        <v>5</v>
      </c>
      <c r="L138" s="84" t="s">
        <v>115</v>
      </c>
      <c r="M138" s="88">
        <v>43.700001</v>
      </c>
      <c r="N138" s="84" t="s">
        <v>115</v>
      </c>
      <c r="O138" s="88">
        <v>38.700001</v>
      </c>
      <c r="P138" s="85"/>
      <c r="Q138" s="75" t="b">
        <v>0</v>
      </c>
      <c r="R138" s="75" t="b">
        <v>0</v>
      </c>
      <c r="S138" s="75" t="b">
        <v>0</v>
      </c>
      <c r="T138" s="75"/>
      <c r="U138" s="86">
        <f>IFERROR(VLOOKUP($F138,NE_bmis!$A:$K,6,FALSE),"")</f>
        <v>12</v>
      </c>
      <c r="V138" s="84">
        <f>IFERROR(VLOOKUP($F138,NE_bmis!$A:$K,7,FALSE),"")</f>
        <v>0</v>
      </c>
      <c r="W138" s="87">
        <f>IFERROR(VLOOKUP($F138,NE_bmis!$A:$K,8,FALSE),"")</f>
        <v>25</v>
      </c>
      <c r="X138" s="84">
        <f>IFERROR(VLOOKUP($F138,NE_bmis!$A:$K,9,FALSE),"")</f>
        <v>1970</v>
      </c>
      <c r="Y138" s="84" t="str">
        <f>IFERROR(VLOOKUP($F138,NE_bmis!$A:$K,11,FALSE),"")</f>
        <v>BMIS_auto</v>
      </c>
      <c r="Z138" s="66" t="s">
        <v>2351</v>
      </c>
    </row>
    <row r="139" spans="1:26" ht="13">
      <c r="A139" s="83"/>
      <c r="B139" s="83"/>
      <c r="C139" s="83"/>
      <c r="D139" s="87"/>
      <c r="E139" s="84"/>
      <c r="F139" s="84"/>
      <c r="G139" s="83"/>
      <c r="H139" s="84"/>
      <c r="I139" s="84"/>
      <c r="J139" s="84"/>
      <c r="K139" s="88"/>
      <c r="L139" s="84"/>
      <c r="M139" s="88"/>
      <c r="N139" s="84"/>
      <c r="O139" s="88"/>
      <c r="P139" s="85"/>
      <c r="Q139" s="75"/>
      <c r="R139" s="75"/>
      <c r="S139" s="75"/>
      <c r="T139" s="75"/>
      <c r="U139" s="86"/>
      <c r="V139" s="84"/>
      <c r="W139" s="87"/>
      <c r="X139" s="84"/>
      <c r="Y139" s="84"/>
      <c r="Z139" s="87"/>
    </row>
    <row r="140" spans="1:26" ht="13">
      <c r="A140" s="83"/>
      <c r="B140" s="83"/>
      <c r="C140" s="83"/>
      <c r="D140" s="87"/>
      <c r="H140" s="84"/>
      <c r="I140" s="84"/>
      <c r="J140" s="84"/>
      <c r="K140" s="88"/>
      <c r="L140" s="84"/>
      <c r="M140" s="88"/>
      <c r="N140" s="84"/>
      <c r="O140" s="88"/>
      <c r="P140" s="85"/>
      <c r="Q140" s="75"/>
      <c r="R140" s="75"/>
      <c r="S140" s="75"/>
      <c r="T140" s="75"/>
      <c r="U140" s="86"/>
      <c r="V140" s="84"/>
      <c r="W140" s="87"/>
      <c r="X140" s="84"/>
      <c r="Y140" s="84"/>
      <c r="Z140" s="87"/>
    </row>
    <row r="141" spans="1:26" ht="13">
      <c r="A141" s="83"/>
      <c r="B141" s="83"/>
      <c r="C141" s="83"/>
      <c r="D141" s="87"/>
      <c r="H141" s="84"/>
      <c r="I141" s="84"/>
      <c r="J141" s="84"/>
      <c r="K141" s="88"/>
      <c r="L141" s="84"/>
      <c r="M141" s="88"/>
      <c r="N141" s="84"/>
      <c r="O141" s="88"/>
      <c r="P141" s="85"/>
      <c r="Q141" s="75"/>
      <c r="R141" s="75"/>
      <c r="S141" s="75"/>
      <c r="T141" s="75"/>
      <c r="U141" s="86"/>
      <c r="V141" s="84"/>
      <c r="W141" s="87"/>
      <c r="X141" s="84"/>
      <c r="Y141" s="84"/>
      <c r="Z141" s="87"/>
    </row>
    <row r="142" spans="1:26" ht="13">
      <c r="A142" s="83"/>
      <c r="B142" s="83"/>
      <c r="C142" s="83"/>
      <c r="D142" s="87"/>
      <c r="H142" s="84"/>
      <c r="I142" s="84"/>
      <c r="J142" s="84"/>
      <c r="K142" s="88"/>
      <c r="L142" s="84"/>
      <c r="M142" s="88"/>
      <c r="N142" s="84"/>
      <c r="O142" s="88"/>
      <c r="P142" s="85"/>
      <c r="Q142" s="75"/>
      <c r="R142" s="75"/>
      <c r="S142" s="75"/>
      <c r="T142" s="75"/>
      <c r="U142" s="86"/>
      <c r="V142" s="84"/>
      <c r="W142" s="87"/>
      <c r="X142" s="84"/>
      <c r="Y142" s="84"/>
      <c r="Z142" s="87"/>
    </row>
    <row r="143" spans="1:26" ht="13">
      <c r="A143" s="83"/>
      <c r="B143" s="83"/>
      <c r="C143" s="83"/>
      <c r="D143" s="87"/>
      <c r="H143" s="84"/>
      <c r="I143" s="84"/>
      <c r="J143" s="84"/>
      <c r="K143" s="88"/>
      <c r="L143" s="84"/>
      <c r="M143" s="88"/>
      <c r="N143" s="84"/>
      <c r="O143" s="88"/>
      <c r="P143" s="85"/>
      <c r="Q143" s="75"/>
      <c r="R143" s="75"/>
      <c r="S143" s="75"/>
      <c r="T143" s="75"/>
      <c r="U143" s="86"/>
      <c r="V143" s="84"/>
      <c r="W143" s="87"/>
      <c r="X143" s="84"/>
      <c r="Y143" s="84"/>
      <c r="Z143" s="87"/>
    </row>
    <row r="144" spans="1:26" ht="13">
      <c r="A144" s="83"/>
      <c r="B144" s="83"/>
      <c r="C144" s="83"/>
      <c r="D144" s="87"/>
      <c r="H144" s="84"/>
      <c r="I144" s="84"/>
      <c r="J144" s="84"/>
      <c r="K144" s="88"/>
      <c r="L144" s="84"/>
      <c r="M144" s="88"/>
      <c r="N144" s="84"/>
      <c r="O144" s="88"/>
      <c r="P144" s="85"/>
      <c r="Q144" s="75"/>
      <c r="R144" s="75"/>
      <c r="S144" s="75"/>
      <c r="T144" s="75"/>
      <c r="U144" s="86"/>
      <c r="V144" s="84"/>
      <c r="W144" s="87"/>
      <c r="X144" s="84"/>
      <c r="Y144" s="84"/>
      <c r="Z144" s="87"/>
    </row>
    <row r="145" spans="1:26" ht="13">
      <c r="A145" s="83"/>
      <c r="B145" s="83"/>
      <c r="C145" s="83"/>
      <c r="D145" s="87"/>
      <c r="H145" s="84"/>
      <c r="I145" s="84"/>
      <c r="J145" s="84"/>
      <c r="K145" s="88"/>
      <c r="L145" s="84"/>
      <c r="M145" s="88"/>
      <c r="N145" s="84"/>
      <c r="O145" s="88"/>
      <c r="P145" s="85"/>
      <c r="Q145" s="75"/>
      <c r="R145" s="75"/>
      <c r="S145" s="75"/>
      <c r="T145" s="75"/>
      <c r="U145" s="86"/>
      <c r="V145" s="84"/>
      <c r="W145" s="87"/>
      <c r="X145" s="84"/>
      <c r="Y145" s="84"/>
      <c r="Z145" s="87"/>
    </row>
    <row r="146" spans="1:26" ht="13">
      <c r="A146" s="83"/>
      <c r="B146" s="83"/>
      <c r="C146" s="83"/>
      <c r="D146" s="87"/>
      <c r="H146" s="84"/>
      <c r="I146" s="84"/>
      <c r="J146" s="84"/>
      <c r="K146" s="88"/>
      <c r="L146" s="84"/>
      <c r="M146" s="88"/>
      <c r="N146" s="84"/>
      <c r="O146" s="88"/>
      <c r="P146" s="85"/>
      <c r="Q146" s="75"/>
      <c r="R146" s="75"/>
      <c r="S146" s="75"/>
      <c r="T146" s="75"/>
      <c r="U146" s="86"/>
      <c r="V146" s="84"/>
      <c r="W146" s="87"/>
      <c r="X146" s="84"/>
      <c r="Y146" s="84"/>
      <c r="Z146" s="87"/>
    </row>
    <row r="147" spans="1:26" ht="13">
      <c r="A147" s="83"/>
      <c r="B147" s="83"/>
      <c r="C147" s="83"/>
      <c r="D147" s="87"/>
      <c r="H147" s="84"/>
      <c r="I147" s="84"/>
      <c r="J147" s="84"/>
      <c r="K147" s="88"/>
      <c r="L147" s="84"/>
      <c r="M147" s="88"/>
      <c r="N147" s="84"/>
      <c r="O147" s="88"/>
      <c r="P147" s="85"/>
      <c r="Q147" s="75"/>
      <c r="R147" s="75"/>
      <c r="S147" s="75"/>
      <c r="T147" s="75"/>
      <c r="U147" s="86"/>
      <c r="V147" s="84"/>
      <c r="W147" s="87"/>
      <c r="X147" s="84"/>
      <c r="Y147" s="84"/>
      <c r="Z147" s="87"/>
    </row>
    <row r="148" spans="1:26" ht="13">
      <c r="A148" s="83"/>
      <c r="B148" s="83"/>
      <c r="C148" s="83"/>
      <c r="D148" s="87"/>
      <c r="H148" s="84"/>
      <c r="I148" s="84"/>
      <c r="J148" s="84"/>
      <c r="K148" s="88"/>
      <c r="L148" s="84"/>
      <c r="M148" s="88"/>
      <c r="N148" s="84"/>
      <c r="O148" s="88"/>
      <c r="P148" s="85"/>
      <c r="Q148" s="75"/>
      <c r="R148" s="75"/>
      <c r="S148" s="75"/>
      <c r="T148" s="75"/>
      <c r="U148" s="86"/>
      <c r="V148" s="84"/>
      <c r="W148" s="87"/>
      <c r="X148" s="84"/>
      <c r="Y148" s="84"/>
      <c r="Z148" s="87"/>
    </row>
    <row r="149" spans="1:26" ht="13">
      <c r="A149" s="83"/>
      <c r="B149" s="83"/>
      <c r="C149" s="83"/>
      <c r="D149" s="87"/>
      <c r="H149" s="84"/>
      <c r="I149" s="84"/>
      <c r="J149" s="84"/>
      <c r="K149" s="88"/>
      <c r="L149" s="84"/>
      <c r="M149" s="88"/>
      <c r="N149" s="84"/>
      <c r="O149" s="88"/>
      <c r="P149" s="85"/>
      <c r="Q149" s="75"/>
      <c r="R149" s="75"/>
      <c r="S149" s="75"/>
      <c r="T149" s="75"/>
      <c r="U149" s="86"/>
      <c r="V149" s="84"/>
      <c r="W149" s="87"/>
      <c r="X149" s="84"/>
      <c r="Y149" s="84"/>
      <c r="Z149" s="87"/>
    </row>
    <row r="150" spans="1:26" ht="13">
      <c r="A150" s="83"/>
      <c r="B150" s="83"/>
      <c r="C150" s="83"/>
      <c r="D150" s="87"/>
      <c r="H150" s="84"/>
      <c r="I150" s="84"/>
      <c r="J150" s="84"/>
      <c r="K150" s="88"/>
      <c r="L150" s="84"/>
      <c r="M150" s="88"/>
      <c r="N150" s="84"/>
      <c r="O150" s="88"/>
      <c r="P150" s="85"/>
      <c r="Q150" s="75"/>
      <c r="R150" s="75"/>
      <c r="S150" s="75"/>
      <c r="T150" s="75"/>
      <c r="U150" s="86"/>
      <c r="V150" s="84"/>
      <c r="W150" s="87"/>
      <c r="X150" s="84"/>
      <c r="Y150" s="84"/>
      <c r="Z150" s="87"/>
    </row>
    <row r="151" spans="1:26" ht="13">
      <c r="A151" s="83"/>
      <c r="B151" s="83"/>
      <c r="C151" s="83"/>
      <c r="D151" s="87"/>
      <c r="H151" s="84"/>
      <c r="I151" s="84"/>
      <c r="J151" s="84"/>
      <c r="K151" s="88"/>
      <c r="L151" s="84"/>
      <c r="M151" s="88"/>
      <c r="N151" s="84"/>
      <c r="O151" s="88"/>
      <c r="P151" s="85"/>
      <c r="Q151" s="75"/>
      <c r="R151" s="75"/>
      <c r="S151" s="75"/>
      <c r="T151" s="75"/>
      <c r="U151" s="86"/>
      <c r="V151" s="84"/>
      <c r="W151" s="87"/>
      <c r="X151" s="84"/>
      <c r="Y151" s="84"/>
      <c r="Z151" s="87"/>
    </row>
    <row r="152" spans="1:26" ht="13">
      <c r="A152" s="83"/>
      <c r="B152" s="83"/>
      <c r="C152" s="83"/>
      <c r="D152" s="87"/>
      <c r="H152" s="84"/>
      <c r="I152" s="84"/>
      <c r="J152" s="84"/>
      <c r="K152" s="88"/>
      <c r="L152" s="84"/>
      <c r="M152" s="88"/>
      <c r="N152" s="84"/>
      <c r="O152" s="88"/>
      <c r="P152" s="85"/>
      <c r="Q152" s="75"/>
      <c r="R152" s="75"/>
      <c r="S152" s="75"/>
      <c r="T152" s="75"/>
      <c r="U152" s="86"/>
      <c r="V152" s="84"/>
      <c r="W152" s="87"/>
      <c r="X152" s="84"/>
      <c r="Y152" s="84"/>
      <c r="Z152" s="87"/>
    </row>
    <row r="153" spans="1:26" ht="13">
      <c r="A153" s="83"/>
      <c r="B153" s="83"/>
      <c r="C153" s="83"/>
      <c r="D153" s="87"/>
      <c r="H153" s="84"/>
      <c r="I153" s="84"/>
      <c r="J153" s="84"/>
      <c r="K153" s="88"/>
      <c r="L153" s="84"/>
      <c r="M153" s="88"/>
      <c r="N153" s="84"/>
      <c r="O153" s="88"/>
      <c r="P153" s="85"/>
      <c r="Q153" s="75"/>
      <c r="R153" s="75"/>
      <c r="S153" s="75"/>
      <c r="T153" s="75"/>
      <c r="U153" s="86"/>
      <c r="V153" s="84"/>
      <c r="W153" s="87"/>
      <c r="X153" s="84"/>
      <c r="Y153" s="84"/>
      <c r="Z153" s="87"/>
    </row>
    <row r="154" spans="1:26" ht="13">
      <c r="A154" s="83"/>
      <c r="B154" s="83"/>
      <c r="C154" s="83"/>
      <c r="D154" s="87"/>
      <c r="H154" s="84"/>
      <c r="I154" s="84"/>
      <c r="J154" s="84"/>
      <c r="K154" s="88"/>
      <c r="L154" s="84"/>
      <c r="M154" s="88"/>
      <c r="N154" s="84"/>
      <c r="O154" s="88"/>
      <c r="P154" s="85"/>
      <c r="Q154" s="75"/>
      <c r="R154" s="75"/>
      <c r="S154" s="75"/>
      <c r="T154" s="75"/>
      <c r="U154" s="86"/>
      <c r="V154" s="84"/>
      <c r="W154" s="87"/>
      <c r="X154" s="84"/>
      <c r="Y154" s="84"/>
      <c r="Z154" s="87"/>
    </row>
    <row r="155" spans="1:26" ht="13">
      <c r="A155" s="83"/>
      <c r="B155" s="83"/>
      <c r="C155" s="83"/>
      <c r="D155" s="87"/>
      <c r="H155" s="84"/>
      <c r="I155" s="84"/>
      <c r="J155" s="84"/>
      <c r="K155" s="88"/>
      <c r="L155" s="84"/>
      <c r="M155" s="88"/>
      <c r="N155" s="84"/>
      <c r="O155" s="88"/>
      <c r="P155" s="85"/>
      <c r="Q155" s="75"/>
      <c r="R155" s="75"/>
      <c r="S155" s="75"/>
      <c r="T155" s="75"/>
      <c r="U155" s="86"/>
      <c r="V155" s="84"/>
      <c r="W155" s="87"/>
      <c r="X155" s="84"/>
      <c r="Y155" s="84"/>
      <c r="Z155" s="87"/>
    </row>
    <row r="156" spans="1:26" ht="13">
      <c r="A156" s="83"/>
      <c r="B156" s="83"/>
      <c r="C156" s="83"/>
      <c r="D156" s="87"/>
      <c r="H156" s="84"/>
      <c r="I156" s="84"/>
      <c r="J156" s="84"/>
      <c r="K156" s="88"/>
      <c r="L156" s="84"/>
      <c r="M156" s="88"/>
      <c r="N156" s="84"/>
      <c r="O156" s="88"/>
      <c r="P156" s="85"/>
      <c r="Q156" s="75"/>
      <c r="R156" s="75"/>
      <c r="S156" s="75"/>
      <c r="T156" s="75"/>
      <c r="U156" s="86"/>
      <c r="V156" s="84"/>
      <c r="W156" s="87"/>
      <c r="X156" s="84"/>
      <c r="Y156" s="84"/>
      <c r="Z156" s="87"/>
    </row>
    <row r="157" spans="1:26" ht="13">
      <c r="A157" s="83"/>
      <c r="B157" s="83"/>
      <c r="C157" s="83"/>
      <c r="D157" s="87"/>
      <c r="H157" s="84"/>
      <c r="I157" s="84"/>
      <c r="J157" s="84"/>
      <c r="K157" s="88"/>
      <c r="L157" s="84"/>
      <c r="M157" s="88"/>
      <c r="N157" s="84"/>
      <c r="O157" s="88"/>
      <c r="P157" s="85"/>
      <c r="Q157" s="75"/>
      <c r="R157" s="75"/>
      <c r="S157" s="75"/>
      <c r="T157" s="75"/>
      <c r="U157" s="86"/>
      <c r="V157" s="84"/>
      <c r="W157" s="87"/>
      <c r="X157" s="84"/>
      <c r="Y157" s="84"/>
      <c r="Z157" s="87"/>
    </row>
    <row r="158" spans="1:26" ht="13">
      <c r="A158" s="83"/>
      <c r="B158" s="83"/>
      <c r="C158" s="83"/>
      <c r="D158" s="87"/>
      <c r="H158" s="84"/>
      <c r="I158" s="84"/>
      <c r="J158" s="84"/>
      <c r="K158" s="88"/>
      <c r="L158" s="84"/>
      <c r="M158" s="88"/>
      <c r="N158" s="84"/>
      <c r="O158" s="88"/>
      <c r="P158" s="85"/>
      <c r="Q158" s="75"/>
      <c r="R158" s="75"/>
      <c r="S158" s="75"/>
      <c r="T158" s="75"/>
      <c r="U158" s="86"/>
      <c r="V158" s="84"/>
      <c r="W158" s="87"/>
      <c r="X158" s="84"/>
      <c r="Y158" s="84"/>
      <c r="Z158" s="87"/>
    </row>
    <row r="159" spans="1:26" ht="13">
      <c r="A159" s="83"/>
      <c r="B159" s="83"/>
      <c r="C159" s="83"/>
      <c r="D159" s="87"/>
      <c r="H159" s="84"/>
      <c r="I159" s="84"/>
      <c r="J159" s="84"/>
      <c r="K159" s="88"/>
      <c r="L159" s="84"/>
      <c r="M159" s="88"/>
      <c r="N159" s="84"/>
      <c r="O159" s="88"/>
      <c r="P159" s="85"/>
      <c r="Q159" s="75"/>
      <c r="R159" s="75"/>
      <c r="S159" s="75"/>
      <c r="T159" s="75"/>
      <c r="U159" s="86"/>
      <c r="V159" s="84"/>
      <c r="W159" s="87"/>
      <c r="X159" s="84"/>
      <c r="Y159" s="84"/>
      <c r="Z159" s="87"/>
    </row>
    <row r="160" spans="1:26" ht="13">
      <c r="A160" s="83"/>
      <c r="B160" s="83"/>
      <c r="C160" s="83"/>
      <c r="D160" s="87"/>
      <c r="H160" s="84"/>
      <c r="I160" s="84"/>
      <c r="J160" s="84"/>
      <c r="K160" s="88"/>
      <c r="L160" s="84"/>
      <c r="M160" s="88"/>
      <c r="N160" s="84"/>
      <c r="O160" s="88"/>
      <c r="P160" s="85"/>
      <c r="Q160" s="75"/>
      <c r="R160" s="75"/>
      <c r="S160" s="75"/>
      <c r="T160" s="75"/>
      <c r="U160" s="86"/>
      <c r="V160" s="84"/>
      <c r="W160" s="87"/>
      <c r="X160" s="84"/>
      <c r="Y160" s="84"/>
      <c r="Z160" s="87"/>
    </row>
    <row r="161" spans="1:26" ht="13">
      <c r="A161" s="83"/>
      <c r="B161" s="83"/>
      <c r="C161" s="83"/>
      <c r="D161" s="87"/>
      <c r="H161" s="84"/>
      <c r="I161" s="84"/>
      <c r="J161" s="84"/>
      <c r="K161" s="88"/>
      <c r="L161" s="84"/>
      <c r="M161" s="88"/>
      <c r="N161" s="84"/>
      <c r="O161" s="88"/>
      <c r="P161" s="85"/>
      <c r="Q161" s="75"/>
      <c r="R161" s="75"/>
      <c r="S161" s="75"/>
      <c r="T161" s="75"/>
      <c r="U161" s="86"/>
      <c r="V161" s="84"/>
      <c r="W161" s="87"/>
      <c r="X161" s="84"/>
      <c r="Y161" s="84"/>
      <c r="Z161" s="87"/>
    </row>
    <row r="162" spans="1:26" ht="13">
      <c r="A162" s="83"/>
      <c r="B162" s="83"/>
      <c r="C162" s="83"/>
      <c r="D162" s="87"/>
      <c r="H162" s="84"/>
      <c r="I162" s="84"/>
      <c r="J162" s="84"/>
      <c r="K162" s="88"/>
      <c r="L162" s="84"/>
      <c r="M162" s="88"/>
      <c r="N162" s="84"/>
      <c r="O162" s="88"/>
      <c r="P162" s="85"/>
      <c r="Q162" s="75"/>
      <c r="R162" s="75"/>
      <c r="S162" s="75"/>
      <c r="T162" s="75"/>
      <c r="U162" s="86"/>
      <c r="V162" s="84"/>
      <c r="W162" s="87"/>
      <c r="X162" s="84"/>
      <c r="Y162" s="84"/>
      <c r="Z162" s="87"/>
    </row>
    <row r="163" spans="1:26" ht="13">
      <c r="A163" s="83"/>
      <c r="B163" s="83"/>
      <c r="C163" s="83"/>
      <c r="D163" s="87"/>
      <c r="H163" s="84"/>
      <c r="I163" s="84"/>
      <c r="J163" s="84"/>
      <c r="K163" s="88"/>
      <c r="L163" s="84"/>
      <c r="M163" s="88"/>
      <c r="N163" s="84"/>
      <c r="O163" s="88"/>
      <c r="P163" s="85"/>
      <c r="Q163" s="75"/>
      <c r="R163" s="75"/>
      <c r="S163" s="75"/>
      <c r="T163" s="75"/>
      <c r="U163" s="86"/>
      <c r="V163" s="84"/>
      <c r="W163" s="87"/>
      <c r="X163" s="84"/>
      <c r="Y163" s="84"/>
      <c r="Z163" s="87"/>
    </row>
    <row r="164" spans="1:26" ht="13">
      <c r="A164" s="83"/>
      <c r="B164" s="83"/>
      <c r="C164" s="83"/>
      <c r="D164" s="87"/>
      <c r="H164" s="84"/>
      <c r="I164" s="84"/>
      <c r="J164" s="84"/>
      <c r="K164" s="88"/>
      <c r="L164" s="84"/>
      <c r="M164" s="88"/>
      <c r="N164" s="84"/>
      <c r="O164" s="88"/>
      <c r="P164" s="85"/>
      <c r="Q164" s="75"/>
      <c r="R164" s="75"/>
      <c r="S164" s="75"/>
      <c r="T164" s="75"/>
      <c r="U164" s="86"/>
      <c r="V164" s="84"/>
      <c r="W164" s="87"/>
      <c r="X164" s="84"/>
      <c r="Y164" s="84"/>
      <c r="Z164" s="87"/>
    </row>
    <row r="165" spans="1:26" ht="13">
      <c r="A165" s="83"/>
      <c r="B165" s="83"/>
      <c r="C165" s="83"/>
      <c r="D165" s="87"/>
      <c r="H165" s="84"/>
      <c r="I165" s="84"/>
      <c r="J165" s="84"/>
      <c r="K165" s="88"/>
      <c r="L165" s="84"/>
      <c r="M165" s="88"/>
      <c r="N165" s="84"/>
      <c r="O165" s="88"/>
      <c r="P165" s="85"/>
      <c r="Q165" s="75"/>
      <c r="R165" s="75"/>
      <c r="S165" s="75"/>
      <c r="T165" s="75"/>
      <c r="U165" s="86"/>
      <c r="V165" s="84"/>
      <c r="W165" s="87"/>
      <c r="X165" s="84"/>
      <c r="Y165" s="84"/>
      <c r="Z165" s="87"/>
    </row>
    <row r="166" spans="1:26" ht="13">
      <c r="A166" s="83"/>
      <c r="B166" s="83"/>
      <c r="C166" s="83"/>
      <c r="D166" s="87"/>
      <c r="H166" s="84"/>
      <c r="I166" s="84"/>
      <c r="J166" s="84"/>
      <c r="K166" s="88"/>
      <c r="L166" s="84"/>
      <c r="M166" s="88"/>
      <c r="N166" s="84"/>
      <c r="O166" s="88"/>
      <c r="P166" s="85"/>
      <c r="Q166" s="75"/>
      <c r="R166" s="75"/>
      <c r="S166" s="75"/>
      <c r="T166" s="75"/>
      <c r="U166" s="86"/>
      <c r="V166" s="84"/>
      <c r="W166" s="87"/>
      <c r="X166" s="84"/>
      <c r="Y166" s="84"/>
      <c r="Z166" s="87"/>
    </row>
    <row r="167" spans="1:26" ht="13">
      <c r="A167" s="83"/>
      <c r="B167" s="83"/>
      <c r="C167" s="83"/>
      <c r="D167" s="87"/>
      <c r="H167" s="84"/>
      <c r="I167" s="84"/>
      <c r="J167" s="84"/>
      <c r="K167" s="88"/>
      <c r="L167" s="84"/>
      <c r="M167" s="88"/>
      <c r="N167" s="84"/>
      <c r="O167" s="88"/>
      <c r="P167" s="85"/>
      <c r="Q167" s="75"/>
      <c r="R167" s="75"/>
      <c r="S167" s="75"/>
      <c r="T167" s="75"/>
      <c r="U167" s="86"/>
      <c r="V167" s="84"/>
      <c r="W167" s="87"/>
      <c r="X167" s="84"/>
      <c r="Y167" s="84"/>
      <c r="Z167" s="87"/>
    </row>
    <row r="168" spans="1:26" ht="13">
      <c r="A168" s="83"/>
      <c r="B168" s="83"/>
      <c r="C168" s="83"/>
      <c r="D168" s="87"/>
      <c r="H168" s="84"/>
      <c r="I168" s="84"/>
      <c r="J168" s="84"/>
      <c r="K168" s="88"/>
      <c r="L168" s="84"/>
      <c r="M168" s="88"/>
      <c r="N168" s="84"/>
      <c r="O168" s="88"/>
      <c r="P168" s="85"/>
      <c r="Q168" s="75"/>
      <c r="R168" s="75"/>
      <c r="S168" s="75"/>
      <c r="T168" s="75"/>
      <c r="U168" s="86"/>
      <c r="V168" s="84"/>
      <c r="W168" s="87"/>
      <c r="X168" s="84"/>
      <c r="Y168" s="84"/>
      <c r="Z168" s="87"/>
    </row>
    <row r="169" spans="1:26" ht="13">
      <c r="A169" s="83"/>
      <c r="B169" s="83"/>
      <c r="C169" s="83"/>
      <c r="D169" s="87"/>
      <c r="H169" s="84"/>
      <c r="I169" s="84"/>
      <c r="J169" s="84"/>
      <c r="K169" s="88"/>
      <c r="L169" s="84"/>
      <c r="M169" s="88"/>
      <c r="N169" s="84"/>
      <c r="O169" s="88"/>
      <c r="P169" s="85"/>
      <c r="Q169" s="75"/>
      <c r="R169" s="75"/>
      <c r="S169" s="75"/>
      <c r="T169" s="75"/>
      <c r="U169" s="86"/>
      <c r="V169" s="84"/>
      <c r="W169" s="87"/>
      <c r="X169" s="84"/>
      <c r="Y169" s="84"/>
      <c r="Z169" s="87"/>
    </row>
    <row r="170" spans="1:26" ht="13">
      <c r="A170" s="83"/>
      <c r="B170" s="83"/>
      <c r="C170" s="83"/>
      <c r="D170" s="87"/>
      <c r="H170" s="84"/>
      <c r="I170" s="84"/>
      <c r="J170" s="84"/>
      <c r="K170" s="88"/>
      <c r="L170" s="84"/>
      <c r="M170" s="88"/>
      <c r="N170" s="84"/>
      <c r="O170" s="88"/>
      <c r="P170" s="85"/>
      <c r="Q170" s="75"/>
      <c r="R170" s="75"/>
      <c r="S170" s="75"/>
      <c r="T170" s="75"/>
      <c r="U170" s="86"/>
      <c r="V170" s="84"/>
      <c r="W170" s="87"/>
      <c r="X170" s="84"/>
      <c r="Y170" s="84"/>
      <c r="Z170" s="87"/>
    </row>
    <row r="171" spans="1:26" ht="13">
      <c r="A171" s="83"/>
      <c r="B171" s="83"/>
      <c r="C171" s="83"/>
      <c r="D171" s="87"/>
      <c r="H171" s="84"/>
      <c r="I171" s="84"/>
      <c r="J171" s="84"/>
      <c r="K171" s="88"/>
      <c r="L171" s="84"/>
      <c r="M171" s="88"/>
      <c r="N171" s="84"/>
      <c r="O171" s="88"/>
      <c r="P171" s="85"/>
      <c r="Q171" s="75"/>
      <c r="R171" s="75"/>
      <c r="S171" s="75"/>
      <c r="T171" s="75"/>
      <c r="U171" s="86"/>
      <c r="V171" s="84"/>
      <c r="W171" s="87"/>
      <c r="X171" s="84"/>
      <c r="Y171" s="84"/>
      <c r="Z171" s="87"/>
    </row>
    <row r="172" spans="1:26" ht="13">
      <c r="A172" s="83"/>
      <c r="B172" s="83"/>
      <c r="C172" s="83"/>
      <c r="D172" s="87"/>
      <c r="E172" s="84"/>
      <c r="F172" s="84"/>
      <c r="G172" s="83"/>
      <c r="H172" s="84"/>
      <c r="I172" s="84"/>
      <c r="J172" s="84"/>
      <c r="K172" s="88"/>
      <c r="L172" s="84"/>
      <c r="M172" s="88"/>
      <c r="N172" s="84"/>
      <c r="O172" s="88"/>
      <c r="P172" s="85"/>
      <c r="Q172" s="75"/>
      <c r="R172" s="75"/>
      <c r="S172" s="75"/>
      <c r="T172" s="75"/>
      <c r="U172" s="86"/>
      <c r="V172" s="84"/>
      <c r="W172" s="87"/>
      <c r="X172" s="84"/>
      <c r="Y172" s="84"/>
      <c r="Z172" s="87"/>
    </row>
    <row r="173" spans="1:26" ht="13">
      <c r="A173" s="83"/>
      <c r="B173" s="83"/>
      <c r="C173" s="83"/>
      <c r="D173" s="87"/>
      <c r="E173" s="84"/>
      <c r="F173" s="84"/>
      <c r="G173" s="83"/>
      <c r="H173" s="84"/>
      <c r="I173" s="84"/>
      <c r="J173" s="84"/>
      <c r="K173" s="88"/>
      <c r="L173" s="84"/>
      <c r="M173" s="88"/>
      <c r="N173" s="84"/>
      <c r="O173" s="88"/>
      <c r="P173" s="85"/>
      <c r="Q173" s="75"/>
      <c r="R173" s="75"/>
      <c r="S173" s="75"/>
      <c r="T173" s="75"/>
      <c r="U173" s="86"/>
      <c r="V173" s="84"/>
      <c r="W173" s="87"/>
      <c r="X173" s="84"/>
      <c r="Y173" s="84"/>
      <c r="Z173" s="87"/>
    </row>
    <row r="174" spans="1:26" ht="13">
      <c r="A174" s="83"/>
      <c r="B174" s="83"/>
      <c r="C174" s="83"/>
      <c r="D174" s="87"/>
      <c r="E174" s="84"/>
      <c r="F174" s="84"/>
      <c r="G174" s="83"/>
      <c r="H174" s="84"/>
      <c r="I174" s="84"/>
      <c r="J174" s="84"/>
      <c r="K174" s="88"/>
      <c r="L174" s="84"/>
      <c r="M174" s="88"/>
      <c r="N174" s="84"/>
      <c r="O174" s="88"/>
      <c r="P174" s="85"/>
      <c r="Q174" s="75"/>
      <c r="R174" s="75"/>
      <c r="S174" s="75"/>
      <c r="T174" s="75"/>
      <c r="U174" s="86"/>
      <c r="V174" s="84"/>
      <c r="W174" s="87"/>
      <c r="X174" s="84"/>
      <c r="Y174" s="84"/>
      <c r="Z174" s="87"/>
    </row>
    <row r="175" spans="1:26" ht="13">
      <c r="A175" s="83"/>
      <c r="B175" s="83"/>
      <c r="C175" s="83"/>
      <c r="D175" s="87"/>
      <c r="E175" s="84"/>
      <c r="F175" s="84"/>
      <c r="G175" s="83"/>
      <c r="H175" s="84"/>
      <c r="I175" s="84"/>
      <c r="J175" s="84"/>
      <c r="K175" s="88"/>
      <c r="L175" s="84"/>
      <c r="M175" s="88"/>
      <c r="N175" s="84"/>
      <c r="O175" s="88"/>
      <c r="P175" s="85"/>
      <c r="Q175" s="75"/>
      <c r="R175" s="75"/>
      <c r="S175" s="75"/>
      <c r="T175" s="75"/>
      <c r="U175" s="86"/>
      <c r="V175" s="84"/>
      <c r="W175" s="87"/>
      <c r="X175" s="84"/>
      <c r="Y175" s="84"/>
      <c r="Z175" s="87"/>
    </row>
    <row r="176" spans="1:26" ht="13">
      <c r="A176" s="83"/>
      <c r="B176" s="83"/>
      <c r="C176" s="83"/>
      <c r="D176" s="87"/>
      <c r="E176" s="84"/>
      <c r="F176" s="84"/>
      <c r="G176" s="83"/>
      <c r="H176" s="84"/>
      <c r="I176" s="84"/>
      <c r="J176" s="84"/>
      <c r="K176" s="88"/>
      <c r="L176" s="84"/>
      <c r="M176" s="88"/>
      <c r="N176" s="84"/>
      <c r="O176" s="88"/>
      <c r="P176" s="85"/>
      <c r="Q176" s="75"/>
      <c r="R176" s="75"/>
      <c r="S176" s="75"/>
      <c r="T176" s="75"/>
      <c r="U176" s="86"/>
      <c r="V176" s="84"/>
      <c r="W176" s="87"/>
      <c r="X176" s="84"/>
      <c r="Y176" s="84"/>
      <c r="Z176" s="87"/>
    </row>
    <row r="177" spans="1:26" ht="13">
      <c r="A177" s="83"/>
      <c r="B177" s="83"/>
      <c r="C177" s="83"/>
      <c r="D177" s="87"/>
      <c r="E177" s="84"/>
      <c r="F177" s="84"/>
      <c r="G177" s="83"/>
      <c r="H177" s="84"/>
      <c r="I177" s="84"/>
      <c r="J177" s="84"/>
      <c r="K177" s="88"/>
      <c r="L177" s="84"/>
      <c r="M177" s="88"/>
      <c r="N177" s="84"/>
      <c r="O177" s="88"/>
      <c r="P177" s="85"/>
      <c r="Q177" s="75"/>
      <c r="R177" s="75"/>
      <c r="S177" s="75"/>
      <c r="T177" s="75"/>
      <c r="U177" s="86"/>
      <c r="V177" s="84"/>
      <c r="W177" s="87"/>
      <c r="X177" s="84"/>
      <c r="Y177" s="84"/>
      <c r="Z177" s="87"/>
    </row>
    <row r="178" spans="1:26" ht="13">
      <c r="A178" s="83"/>
      <c r="B178" s="83"/>
      <c r="C178" s="83"/>
      <c r="D178" s="87"/>
      <c r="E178" s="84"/>
      <c r="F178" s="84"/>
      <c r="G178" s="83"/>
      <c r="H178" s="84"/>
      <c r="I178" s="84"/>
      <c r="J178" s="84"/>
      <c r="K178" s="88"/>
      <c r="L178" s="84"/>
      <c r="M178" s="88"/>
      <c r="N178" s="84"/>
      <c r="O178" s="88"/>
      <c r="P178" s="85"/>
      <c r="Q178" s="75"/>
      <c r="R178" s="75"/>
      <c r="S178" s="75"/>
      <c r="T178" s="75"/>
      <c r="U178" s="86"/>
      <c r="V178" s="84"/>
      <c r="W178" s="87"/>
      <c r="X178" s="84"/>
      <c r="Y178" s="84"/>
      <c r="Z178" s="87"/>
    </row>
    <row r="179" spans="1:26" ht="13">
      <c r="A179" s="83"/>
      <c r="B179" s="83"/>
      <c r="C179" s="83"/>
      <c r="D179" s="87"/>
      <c r="E179" s="84"/>
      <c r="F179" s="84"/>
      <c r="G179" s="83"/>
      <c r="H179" s="84"/>
      <c r="I179" s="84"/>
      <c r="J179" s="84"/>
      <c r="K179" s="88"/>
      <c r="L179" s="84"/>
      <c r="M179" s="88"/>
      <c r="N179" s="84"/>
      <c r="O179" s="88"/>
      <c r="P179" s="85"/>
      <c r="Q179" s="75"/>
      <c r="R179" s="75"/>
      <c r="S179" s="75"/>
      <c r="T179" s="75"/>
      <c r="U179" s="86"/>
      <c r="V179" s="84"/>
      <c r="W179" s="87"/>
      <c r="X179" s="84"/>
      <c r="Y179" s="84"/>
      <c r="Z179" s="87"/>
    </row>
    <row r="180" spans="1:26" ht="13">
      <c r="A180" s="83"/>
      <c r="B180" s="83"/>
      <c r="C180" s="83"/>
      <c r="D180" s="87"/>
      <c r="E180" s="84"/>
      <c r="F180" s="84"/>
      <c r="G180" s="83"/>
      <c r="H180" s="84"/>
      <c r="I180" s="84"/>
      <c r="J180" s="84"/>
      <c r="K180" s="88"/>
      <c r="L180" s="84"/>
      <c r="M180" s="88"/>
      <c r="N180" s="84"/>
      <c r="O180" s="88"/>
      <c r="P180" s="85"/>
      <c r="Q180" s="75"/>
      <c r="R180" s="75"/>
      <c r="S180" s="75"/>
      <c r="T180" s="75"/>
      <c r="U180" s="86"/>
      <c r="V180" s="84"/>
      <c r="W180" s="87"/>
      <c r="X180" s="84"/>
      <c r="Y180" s="84"/>
      <c r="Z180" s="87"/>
    </row>
    <row r="181" spans="1:26" ht="13">
      <c r="A181" s="83"/>
      <c r="B181" s="83"/>
      <c r="C181" s="83"/>
      <c r="D181" s="87"/>
      <c r="E181" s="84"/>
      <c r="F181" s="84"/>
      <c r="G181" s="83"/>
      <c r="H181" s="84"/>
      <c r="I181" s="84"/>
      <c r="J181" s="84"/>
      <c r="K181" s="88"/>
      <c r="L181" s="84"/>
      <c r="M181" s="88"/>
      <c r="N181" s="84"/>
      <c r="O181" s="88"/>
      <c r="P181" s="85"/>
      <c r="Q181" s="75"/>
      <c r="R181" s="75"/>
      <c r="S181" s="75"/>
      <c r="T181" s="75"/>
      <c r="U181" s="86"/>
      <c r="V181" s="84"/>
      <c r="W181" s="87"/>
      <c r="X181" s="84"/>
      <c r="Y181" s="84"/>
      <c r="Z181" s="87"/>
    </row>
    <row r="182" spans="1:26" ht="13">
      <c r="A182" s="83"/>
      <c r="B182" s="83"/>
      <c r="C182" s="83"/>
      <c r="D182" s="87"/>
      <c r="E182" s="84"/>
      <c r="F182" s="84"/>
      <c r="G182" s="83"/>
      <c r="H182" s="84"/>
      <c r="I182" s="84"/>
      <c r="J182" s="84"/>
      <c r="K182" s="88"/>
      <c r="L182" s="84"/>
      <c r="M182" s="88"/>
      <c r="N182" s="84"/>
      <c r="O182" s="88"/>
      <c r="P182" s="85"/>
      <c r="Q182" s="75"/>
      <c r="R182" s="75"/>
      <c r="S182" s="75"/>
      <c r="T182" s="75"/>
      <c r="U182" s="86"/>
      <c r="V182" s="84"/>
      <c r="W182" s="87"/>
      <c r="X182" s="84"/>
      <c r="Y182" s="84"/>
      <c r="Z182" s="87"/>
    </row>
    <row r="183" spans="1:26" ht="13">
      <c r="A183" s="83"/>
      <c r="B183" s="83"/>
      <c r="C183" s="83"/>
      <c r="D183" s="87"/>
      <c r="E183" s="84"/>
      <c r="F183" s="84"/>
      <c r="G183" s="83"/>
      <c r="H183" s="84"/>
      <c r="I183" s="84"/>
      <c r="J183" s="84"/>
      <c r="K183" s="88"/>
      <c r="L183" s="84"/>
      <c r="M183" s="88"/>
      <c r="N183" s="84"/>
      <c r="O183" s="88"/>
      <c r="P183" s="85"/>
      <c r="Q183" s="75"/>
      <c r="R183" s="75"/>
      <c r="S183" s="75"/>
      <c r="T183" s="75"/>
      <c r="U183" s="86"/>
      <c r="V183" s="84"/>
      <c r="W183" s="87"/>
      <c r="X183" s="84"/>
      <c r="Y183" s="84"/>
      <c r="Z183" s="87"/>
    </row>
    <row r="184" spans="1:26" ht="13">
      <c r="A184" s="83"/>
      <c r="B184" s="83"/>
      <c r="C184" s="83"/>
      <c r="D184" s="87"/>
      <c r="E184" s="84"/>
      <c r="F184" s="84"/>
      <c r="G184" s="83"/>
      <c r="H184" s="84"/>
      <c r="I184" s="84"/>
      <c r="J184" s="84"/>
      <c r="K184" s="88"/>
      <c r="L184" s="84"/>
      <c r="M184" s="88"/>
      <c r="N184" s="84"/>
      <c r="O184" s="88"/>
      <c r="P184" s="85"/>
      <c r="Q184" s="75"/>
      <c r="R184" s="75"/>
      <c r="S184" s="75"/>
      <c r="T184" s="75"/>
      <c r="U184" s="86"/>
      <c r="V184" s="84"/>
      <c r="W184" s="87"/>
      <c r="X184" s="84"/>
      <c r="Y184" s="84"/>
      <c r="Z184" s="87"/>
    </row>
    <row r="185" spans="1:26" ht="13">
      <c r="A185" s="83"/>
      <c r="B185" s="83"/>
      <c r="C185" s="83"/>
      <c r="D185" s="87"/>
      <c r="E185" s="84"/>
      <c r="F185" s="84"/>
      <c r="G185" s="83"/>
      <c r="H185" s="84"/>
      <c r="I185" s="84"/>
      <c r="J185" s="84"/>
      <c r="K185" s="88"/>
      <c r="L185" s="84"/>
      <c r="M185" s="88"/>
      <c r="N185" s="84"/>
      <c r="O185" s="88"/>
      <c r="P185" s="85"/>
      <c r="Q185" s="75"/>
      <c r="R185" s="75"/>
      <c r="S185" s="75"/>
      <c r="T185" s="75"/>
      <c r="U185" s="86"/>
      <c r="V185" s="84"/>
      <c r="W185" s="87"/>
      <c r="X185" s="84"/>
      <c r="Y185" s="84"/>
      <c r="Z185" s="87"/>
    </row>
    <row r="186" spans="1:26" ht="13">
      <c r="A186" s="83"/>
      <c r="B186" s="83"/>
      <c r="C186" s="83"/>
      <c r="D186" s="87"/>
      <c r="E186" s="84"/>
      <c r="F186" s="84"/>
      <c r="G186" s="83"/>
      <c r="H186" s="84"/>
      <c r="I186" s="84"/>
      <c r="J186" s="84"/>
      <c r="K186" s="88"/>
      <c r="L186" s="84"/>
      <c r="M186" s="88"/>
      <c r="N186" s="84"/>
      <c r="O186" s="88"/>
      <c r="P186" s="85"/>
      <c r="Q186" s="75"/>
      <c r="R186" s="75"/>
      <c r="S186" s="75"/>
      <c r="T186" s="75"/>
      <c r="U186" s="86"/>
      <c r="V186" s="84"/>
      <c r="W186" s="87"/>
      <c r="X186" s="84"/>
      <c r="Y186" s="84"/>
      <c r="Z186" s="87"/>
    </row>
    <row r="187" spans="1:26" ht="13">
      <c r="A187" s="83"/>
      <c r="B187" s="83"/>
      <c r="C187" s="83"/>
      <c r="D187" s="87"/>
      <c r="E187" s="84"/>
      <c r="F187" s="84"/>
      <c r="G187" s="83"/>
      <c r="H187" s="84"/>
      <c r="I187" s="84"/>
      <c r="J187" s="84"/>
      <c r="K187" s="88"/>
      <c r="L187" s="84"/>
      <c r="M187" s="88"/>
      <c r="N187" s="84"/>
      <c r="O187" s="88"/>
      <c r="P187" s="85"/>
      <c r="Q187" s="75"/>
      <c r="R187" s="75"/>
      <c r="S187" s="75"/>
      <c r="T187" s="75"/>
      <c r="U187" s="86"/>
      <c r="V187" s="84"/>
      <c r="W187" s="87"/>
      <c r="X187" s="84"/>
      <c r="Y187" s="84"/>
      <c r="Z187" s="87"/>
    </row>
    <row r="188" spans="1:26" ht="13">
      <c r="A188" s="83"/>
      <c r="B188" s="83"/>
      <c r="C188" s="83"/>
      <c r="D188" s="87"/>
      <c r="E188" s="84"/>
      <c r="F188" s="84"/>
      <c r="G188" s="83"/>
      <c r="H188" s="84"/>
      <c r="I188" s="84"/>
      <c r="J188" s="84"/>
      <c r="K188" s="88"/>
      <c r="L188" s="84"/>
      <c r="M188" s="88"/>
      <c r="N188" s="84"/>
      <c r="O188" s="88"/>
      <c r="P188" s="85"/>
      <c r="Q188" s="75"/>
      <c r="R188" s="75"/>
      <c r="S188" s="75"/>
      <c r="T188" s="75"/>
      <c r="U188" s="86"/>
      <c r="V188" s="84"/>
      <c r="W188" s="87"/>
      <c r="X188" s="84"/>
      <c r="Y188" s="84"/>
      <c r="Z188" s="87"/>
    </row>
    <row r="189" spans="1:26" ht="13">
      <c r="A189" s="83"/>
      <c r="B189" s="83"/>
      <c r="C189" s="83"/>
      <c r="D189" s="87"/>
      <c r="E189" s="84"/>
      <c r="F189" s="84"/>
      <c r="G189" s="83"/>
      <c r="H189" s="84"/>
      <c r="I189" s="84"/>
      <c r="J189" s="84"/>
      <c r="K189" s="88"/>
      <c r="L189" s="84"/>
      <c r="M189" s="88"/>
      <c r="N189" s="84"/>
      <c r="O189" s="88"/>
      <c r="P189" s="85"/>
      <c r="Q189" s="75"/>
      <c r="R189" s="75"/>
      <c r="S189" s="75"/>
      <c r="T189" s="75"/>
      <c r="U189" s="86"/>
      <c r="V189" s="84"/>
      <c r="W189" s="87"/>
      <c r="X189" s="84"/>
      <c r="Y189" s="84"/>
      <c r="Z189" s="87"/>
    </row>
    <row r="190" spans="1:26" ht="13">
      <c r="A190" s="83"/>
      <c r="B190" s="83"/>
      <c r="C190" s="83"/>
      <c r="D190" s="87"/>
      <c r="E190" s="84"/>
      <c r="F190" s="84"/>
      <c r="G190" s="83"/>
      <c r="H190" s="84"/>
      <c r="I190" s="84"/>
      <c r="J190" s="84"/>
      <c r="K190" s="88"/>
      <c r="L190" s="84"/>
      <c r="M190" s="88"/>
      <c r="N190" s="84"/>
      <c r="O190" s="88"/>
      <c r="P190" s="85"/>
      <c r="Q190" s="75"/>
      <c r="R190" s="75"/>
      <c r="S190" s="75"/>
      <c r="T190" s="75"/>
      <c r="U190" s="86"/>
      <c r="V190" s="84"/>
      <c r="W190" s="87"/>
      <c r="X190" s="84"/>
      <c r="Y190" s="84"/>
      <c r="Z190" s="87"/>
    </row>
    <row r="191" spans="1:26" ht="13">
      <c r="A191" s="83"/>
      <c r="B191" s="83"/>
      <c r="C191" s="83"/>
      <c r="D191" s="87"/>
      <c r="E191" s="84"/>
      <c r="F191" s="84"/>
      <c r="G191" s="83"/>
      <c r="H191" s="84"/>
      <c r="I191" s="84"/>
      <c r="J191" s="84"/>
      <c r="K191" s="88"/>
      <c r="L191" s="84"/>
      <c r="M191" s="88"/>
      <c r="N191" s="84"/>
      <c r="O191" s="88"/>
      <c r="P191" s="85"/>
      <c r="Q191" s="75"/>
      <c r="R191" s="75"/>
      <c r="S191" s="75"/>
      <c r="T191" s="75"/>
      <c r="U191" s="86"/>
      <c r="V191" s="84"/>
      <c r="W191" s="87"/>
      <c r="X191" s="84"/>
      <c r="Y191" s="84"/>
      <c r="Z191" s="87"/>
    </row>
    <row r="192" spans="1:26" ht="13">
      <c r="A192" s="83"/>
      <c r="B192" s="83"/>
      <c r="C192" s="83"/>
      <c r="D192" s="87"/>
      <c r="E192" s="84"/>
      <c r="F192" s="84"/>
      <c r="G192" s="83"/>
      <c r="H192" s="84"/>
      <c r="I192" s="84"/>
      <c r="J192" s="84"/>
      <c r="K192" s="88"/>
      <c r="L192" s="84"/>
      <c r="M192" s="88"/>
      <c r="N192" s="84"/>
      <c r="O192" s="88"/>
      <c r="P192" s="85"/>
      <c r="Q192" s="75"/>
      <c r="R192" s="75"/>
      <c r="S192" s="75"/>
      <c r="T192" s="75"/>
      <c r="U192" s="86"/>
      <c r="V192" s="84"/>
      <c r="W192" s="87"/>
      <c r="X192" s="84"/>
      <c r="Y192" s="84"/>
      <c r="Z192" s="87"/>
    </row>
    <row r="193" spans="1:26" ht="13">
      <c r="A193" s="83"/>
      <c r="B193" s="83"/>
      <c r="C193" s="83"/>
      <c r="D193" s="87"/>
      <c r="E193" s="84"/>
      <c r="F193" s="84"/>
      <c r="G193" s="83"/>
      <c r="H193" s="84"/>
      <c r="I193" s="84"/>
      <c r="J193" s="84"/>
      <c r="K193" s="88"/>
      <c r="L193" s="84"/>
      <c r="M193" s="88"/>
      <c r="N193" s="84"/>
      <c r="O193" s="88"/>
      <c r="P193" s="85"/>
      <c r="Q193" s="75"/>
      <c r="R193" s="75"/>
      <c r="S193" s="75"/>
      <c r="T193" s="75"/>
      <c r="U193" s="86"/>
      <c r="V193" s="84"/>
      <c r="W193" s="87"/>
      <c r="X193" s="84"/>
      <c r="Y193" s="84"/>
      <c r="Z193" s="87"/>
    </row>
    <row r="194" spans="1:26" ht="13">
      <c r="A194" s="83"/>
      <c r="B194" s="83"/>
      <c r="C194" s="83"/>
      <c r="D194" s="87"/>
      <c r="E194" s="84"/>
      <c r="F194" s="84"/>
      <c r="G194" s="83"/>
      <c r="H194" s="84"/>
      <c r="I194" s="84"/>
      <c r="J194" s="84"/>
      <c r="K194" s="88"/>
      <c r="L194" s="84"/>
      <c r="M194" s="88"/>
      <c r="N194" s="84"/>
      <c r="O194" s="88"/>
      <c r="P194" s="85"/>
      <c r="Q194" s="75"/>
      <c r="R194" s="75"/>
      <c r="S194" s="75"/>
      <c r="T194" s="75"/>
      <c r="U194" s="86"/>
      <c r="V194" s="84"/>
      <c r="W194" s="87"/>
      <c r="X194" s="84"/>
      <c r="Y194" s="84"/>
      <c r="Z194" s="87"/>
    </row>
    <row r="195" spans="1:26" ht="13">
      <c r="A195" s="83"/>
      <c r="B195" s="83"/>
      <c r="C195" s="83"/>
      <c r="D195" s="87"/>
      <c r="E195" s="84"/>
      <c r="F195" s="84"/>
      <c r="G195" s="83"/>
      <c r="H195" s="84"/>
      <c r="I195" s="84"/>
      <c r="J195" s="84"/>
      <c r="K195" s="88"/>
      <c r="L195" s="84"/>
      <c r="M195" s="88"/>
      <c r="N195" s="84"/>
      <c r="O195" s="88"/>
      <c r="P195" s="85"/>
      <c r="Q195" s="75"/>
      <c r="R195" s="75"/>
      <c r="S195" s="75"/>
      <c r="T195" s="75"/>
      <c r="U195" s="86"/>
      <c r="V195" s="84"/>
      <c r="W195" s="87"/>
      <c r="X195" s="84"/>
      <c r="Y195" s="84"/>
      <c r="Z195" s="87"/>
    </row>
    <row r="196" spans="1:26" ht="13">
      <c r="A196" s="83"/>
      <c r="B196" s="83"/>
      <c r="C196" s="83"/>
      <c r="D196" s="87"/>
      <c r="E196" s="84"/>
      <c r="F196" s="84"/>
      <c r="G196" s="83"/>
      <c r="H196" s="84"/>
      <c r="I196" s="84"/>
      <c r="J196" s="84"/>
      <c r="K196" s="88"/>
      <c r="L196" s="84"/>
      <c r="M196" s="88"/>
      <c r="N196" s="84"/>
      <c r="O196" s="88"/>
      <c r="P196" s="85"/>
      <c r="Q196" s="75"/>
      <c r="R196" s="75"/>
      <c r="S196" s="75"/>
      <c r="T196" s="75"/>
      <c r="U196" s="86"/>
      <c r="V196" s="84"/>
      <c r="W196" s="87"/>
      <c r="X196" s="84"/>
      <c r="Y196" s="84"/>
      <c r="Z196" s="87"/>
    </row>
    <row r="197" spans="1:26" ht="13">
      <c r="A197" s="83"/>
      <c r="B197" s="83"/>
      <c r="C197" s="83"/>
      <c r="D197" s="87"/>
      <c r="E197" s="84"/>
      <c r="F197" s="84"/>
      <c r="G197" s="83"/>
      <c r="H197" s="84"/>
      <c r="I197" s="84"/>
      <c r="J197" s="84"/>
      <c r="K197" s="88"/>
      <c r="L197" s="84"/>
      <c r="M197" s="88"/>
      <c r="N197" s="84"/>
      <c r="O197" s="88"/>
      <c r="P197" s="85"/>
      <c r="Q197" s="75"/>
      <c r="R197" s="75"/>
      <c r="S197" s="75"/>
      <c r="T197" s="75"/>
      <c r="U197" s="86"/>
      <c r="V197" s="84"/>
      <c r="W197" s="87"/>
      <c r="X197" s="84"/>
      <c r="Y197" s="84"/>
      <c r="Z197" s="87"/>
    </row>
    <row r="198" spans="1:26" ht="13">
      <c r="A198" s="83"/>
      <c r="B198" s="83"/>
      <c r="C198" s="83"/>
      <c r="D198" s="87"/>
      <c r="E198" s="84"/>
      <c r="F198" s="84"/>
      <c r="G198" s="83"/>
      <c r="H198" s="84"/>
      <c r="I198" s="84"/>
      <c r="J198" s="84"/>
      <c r="K198" s="88"/>
      <c r="L198" s="84"/>
      <c r="M198" s="88"/>
      <c r="N198" s="84"/>
      <c r="O198" s="88"/>
      <c r="P198" s="85"/>
      <c r="Q198" s="75"/>
      <c r="R198" s="75"/>
      <c r="S198" s="75"/>
      <c r="T198" s="75"/>
      <c r="U198" s="86"/>
      <c r="V198" s="84"/>
      <c r="W198" s="87"/>
      <c r="X198" s="84"/>
      <c r="Y198" s="84"/>
      <c r="Z198" s="87"/>
    </row>
    <row r="199" spans="1:26" ht="13">
      <c r="A199" s="83"/>
      <c r="B199" s="83"/>
      <c r="C199" s="83"/>
      <c r="D199" s="87"/>
      <c r="E199" s="84"/>
      <c r="F199" s="84"/>
      <c r="G199" s="83"/>
      <c r="H199" s="84"/>
      <c r="I199" s="84"/>
      <c r="J199" s="84"/>
      <c r="K199" s="88"/>
      <c r="L199" s="84"/>
      <c r="M199" s="88"/>
      <c r="N199" s="84"/>
      <c r="O199" s="88"/>
      <c r="P199" s="85"/>
      <c r="Q199" s="75"/>
      <c r="R199" s="75"/>
      <c r="S199" s="75"/>
      <c r="T199" s="75"/>
      <c r="U199" s="86"/>
      <c r="V199" s="84"/>
      <c r="W199" s="87"/>
      <c r="X199" s="84"/>
      <c r="Y199" s="84"/>
      <c r="Z199" s="87"/>
    </row>
    <row r="200" spans="1:26" ht="13">
      <c r="A200" s="83"/>
      <c r="B200" s="83"/>
      <c r="C200" s="83"/>
      <c r="D200" s="87"/>
      <c r="E200" s="84"/>
      <c r="F200" s="84"/>
      <c r="G200" s="83"/>
      <c r="H200" s="84"/>
      <c r="I200" s="84"/>
      <c r="J200" s="84"/>
      <c r="K200" s="88"/>
      <c r="L200" s="84"/>
      <c r="M200" s="88"/>
      <c r="N200" s="84"/>
      <c r="O200" s="88"/>
      <c r="P200" s="85"/>
      <c r="Q200" s="75"/>
      <c r="R200" s="75"/>
      <c r="S200" s="75"/>
      <c r="T200" s="75"/>
      <c r="U200" s="86"/>
      <c r="V200" s="84"/>
      <c r="W200" s="87"/>
      <c r="X200" s="84"/>
      <c r="Y200" s="84"/>
      <c r="Z200" s="87"/>
    </row>
    <row r="201" spans="1:26" ht="13">
      <c r="A201" s="83"/>
      <c r="B201" s="83"/>
      <c r="C201" s="83"/>
      <c r="D201" s="87"/>
      <c r="E201" s="84"/>
      <c r="F201" s="84"/>
      <c r="G201" s="83"/>
      <c r="H201" s="84"/>
      <c r="I201" s="84"/>
      <c r="J201" s="84"/>
      <c r="K201" s="88"/>
      <c r="L201" s="84"/>
      <c r="M201" s="88"/>
      <c r="N201" s="84"/>
      <c r="O201" s="88"/>
      <c r="P201" s="85"/>
      <c r="Q201" s="75"/>
      <c r="R201" s="75"/>
      <c r="S201" s="75"/>
      <c r="T201" s="75"/>
      <c r="U201" s="86"/>
      <c r="V201" s="84"/>
      <c r="W201" s="87"/>
      <c r="X201" s="84"/>
      <c r="Y201" s="84"/>
      <c r="Z201" s="87"/>
    </row>
    <row r="202" spans="1:26" ht="13">
      <c r="A202" s="83"/>
      <c r="B202" s="83"/>
      <c r="C202" s="83"/>
      <c r="D202" s="87"/>
      <c r="E202" s="84"/>
      <c r="F202" s="84"/>
      <c r="G202" s="83"/>
      <c r="H202" s="84"/>
      <c r="I202" s="84"/>
      <c r="J202" s="84"/>
      <c r="K202" s="88"/>
      <c r="L202" s="84"/>
      <c r="M202" s="88"/>
      <c r="N202" s="84"/>
      <c r="O202" s="88"/>
      <c r="P202" s="85"/>
      <c r="Q202" s="75"/>
      <c r="R202" s="75"/>
      <c r="S202" s="75"/>
      <c r="T202" s="75"/>
      <c r="U202" s="86"/>
      <c r="V202" s="84"/>
      <c r="W202" s="87"/>
      <c r="X202" s="84"/>
      <c r="Y202" s="84"/>
      <c r="Z202" s="87"/>
    </row>
    <row r="203" spans="1:26" ht="13">
      <c r="A203" s="83"/>
      <c r="B203" s="83"/>
      <c r="C203" s="83"/>
      <c r="D203" s="87"/>
      <c r="E203" s="84"/>
      <c r="F203" s="84"/>
      <c r="G203" s="83"/>
      <c r="H203" s="84"/>
      <c r="I203" s="84"/>
      <c r="J203" s="84"/>
      <c r="K203" s="88"/>
      <c r="L203" s="84"/>
      <c r="M203" s="88"/>
      <c r="N203" s="84"/>
      <c r="O203" s="88"/>
      <c r="P203" s="85"/>
      <c r="Q203" s="75"/>
      <c r="R203" s="75"/>
      <c r="S203" s="75"/>
      <c r="T203" s="75"/>
      <c r="U203" s="86"/>
      <c r="V203" s="84"/>
      <c r="W203" s="87"/>
      <c r="X203" s="84"/>
      <c r="Y203" s="84"/>
      <c r="Z203" s="87"/>
    </row>
    <row r="204" spans="1:26" ht="13">
      <c r="A204" s="83"/>
      <c r="B204" s="83"/>
      <c r="C204" s="83"/>
      <c r="D204" s="87"/>
      <c r="E204" s="84"/>
      <c r="F204" s="84"/>
      <c r="G204" s="83"/>
      <c r="H204" s="84"/>
      <c r="I204" s="84"/>
      <c r="J204" s="84"/>
      <c r="K204" s="88"/>
      <c r="L204" s="84"/>
      <c r="M204" s="88"/>
      <c r="N204" s="84"/>
      <c r="O204" s="88"/>
      <c r="P204" s="85"/>
      <c r="Q204" s="75"/>
      <c r="R204" s="75"/>
      <c r="S204" s="75"/>
      <c r="T204" s="75"/>
      <c r="U204" s="86"/>
      <c r="V204" s="84"/>
      <c r="W204" s="87"/>
      <c r="X204" s="84"/>
      <c r="Y204" s="84"/>
      <c r="Z204" s="87"/>
    </row>
    <row r="205" spans="1:26" ht="13">
      <c r="A205" s="83"/>
      <c r="B205" s="83"/>
      <c r="C205" s="83"/>
      <c r="D205" s="87"/>
      <c r="E205" s="84"/>
      <c r="F205" s="84"/>
      <c r="G205" s="83"/>
      <c r="H205" s="84"/>
      <c r="I205" s="84"/>
      <c r="J205" s="84"/>
      <c r="K205" s="88"/>
      <c r="L205" s="84"/>
      <c r="M205" s="88"/>
      <c r="N205" s="84"/>
      <c r="O205" s="88"/>
      <c r="P205" s="85"/>
      <c r="Q205" s="75"/>
      <c r="R205" s="75"/>
      <c r="S205" s="75"/>
      <c r="T205" s="75"/>
      <c r="U205" s="86"/>
      <c r="V205" s="84"/>
      <c r="W205" s="87"/>
      <c r="X205" s="84"/>
      <c r="Y205" s="84"/>
      <c r="Z205" s="87"/>
    </row>
    <row r="206" spans="1:26" ht="13">
      <c r="A206" s="83"/>
      <c r="B206" s="83"/>
      <c r="C206" s="83"/>
      <c r="D206" s="87"/>
      <c r="E206" s="84"/>
      <c r="F206" s="84"/>
      <c r="G206" s="83"/>
      <c r="H206" s="84"/>
      <c r="I206" s="84"/>
      <c r="J206" s="84"/>
      <c r="K206" s="88"/>
      <c r="L206" s="84"/>
      <c r="M206" s="88"/>
      <c r="N206" s="84"/>
      <c r="O206" s="88"/>
      <c r="P206" s="85"/>
      <c r="Q206" s="75"/>
      <c r="R206" s="75"/>
      <c r="S206" s="75"/>
      <c r="T206" s="75"/>
      <c r="U206" s="86"/>
      <c r="V206" s="84"/>
      <c r="W206" s="87"/>
      <c r="X206" s="84"/>
      <c r="Y206" s="84"/>
      <c r="Z206" s="87"/>
    </row>
    <row r="207" spans="1:26" ht="13">
      <c r="A207" s="83"/>
      <c r="B207" s="83"/>
      <c r="C207" s="83"/>
      <c r="D207" s="87"/>
      <c r="E207" s="84"/>
      <c r="F207" s="84"/>
      <c r="G207" s="83"/>
      <c r="H207" s="84"/>
      <c r="I207" s="84"/>
      <c r="J207" s="84"/>
      <c r="K207" s="88"/>
      <c r="L207" s="84"/>
      <c r="M207" s="88"/>
      <c r="N207" s="84"/>
      <c r="O207" s="88"/>
      <c r="P207" s="85"/>
      <c r="Q207" s="75"/>
      <c r="R207" s="75"/>
      <c r="S207" s="75"/>
      <c r="T207" s="75"/>
      <c r="U207" s="86"/>
      <c r="V207" s="84"/>
      <c r="W207" s="87"/>
      <c r="X207" s="84"/>
      <c r="Y207" s="84"/>
      <c r="Z207" s="87"/>
    </row>
    <row r="208" spans="1:26" ht="13">
      <c r="A208" s="83"/>
      <c r="B208" s="83"/>
      <c r="C208" s="83"/>
      <c r="D208" s="87"/>
      <c r="E208" s="84"/>
      <c r="F208" s="84"/>
      <c r="G208" s="83"/>
      <c r="H208" s="84"/>
      <c r="I208" s="84"/>
      <c r="J208" s="84"/>
      <c r="K208" s="88"/>
      <c r="L208" s="84"/>
      <c r="M208" s="88"/>
      <c r="N208" s="84"/>
      <c r="O208" s="88"/>
      <c r="P208" s="85"/>
      <c r="Q208" s="75"/>
      <c r="R208" s="75"/>
      <c r="S208" s="75"/>
      <c r="T208" s="75"/>
      <c r="U208" s="86"/>
      <c r="V208" s="84"/>
      <c r="W208" s="87"/>
      <c r="X208" s="84"/>
      <c r="Y208" s="84"/>
      <c r="Z208" s="87"/>
    </row>
    <row r="209" spans="1:26" ht="13">
      <c r="A209" s="83"/>
      <c r="B209" s="83"/>
      <c r="C209" s="83"/>
      <c r="D209" s="87"/>
      <c r="E209" s="84"/>
      <c r="F209" s="84"/>
      <c r="G209" s="83"/>
      <c r="H209" s="84"/>
      <c r="I209" s="84"/>
      <c r="J209" s="84"/>
      <c r="K209" s="88"/>
      <c r="L209" s="84"/>
      <c r="M209" s="88"/>
      <c r="N209" s="84"/>
      <c r="O209" s="88"/>
      <c r="P209" s="85"/>
      <c r="Q209" s="75"/>
      <c r="R209" s="75"/>
      <c r="S209" s="75"/>
      <c r="T209" s="75"/>
      <c r="U209" s="86"/>
      <c r="V209" s="84"/>
      <c r="W209" s="87"/>
      <c r="X209" s="84"/>
      <c r="Y209" s="84"/>
      <c r="Z209" s="87"/>
    </row>
    <row r="210" spans="1:26" ht="13">
      <c r="A210" s="83"/>
      <c r="B210" s="83"/>
      <c r="C210" s="83"/>
      <c r="D210" s="87"/>
      <c r="E210" s="84"/>
      <c r="F210" s="84"/>
      <c r="G210" s="83"/>
      <c r="H210" s="84"/>
      <c r="I210" s="84"/>
      <c r="J210" s="84"/>
      <c r="K210" s="88"/>
      <c r="L210" s="84"/>
      <c r="M210" s="88"/>
      <c r="N210" s="84"/>
      <c r="O210" s="88"/>
      <c r="P210" s="85"/>
      <c r="Q210" s="75"/>
      <c r="R210" s="75"/>
      <c r="S210" s="75"/>
      <c r="T210" s="75"/>
      <c r="U210" s="86"/>
      <c r="V210" s="84"/>
      <c r="W210" s="87"/>
      <c r="X210" s="84"/>
      <c r="Y210" s="84"/>
      <c r="Z210" s="87"/>
    </row>
    <row r="211" spans="1:26" ht="13">
      <c r="A211" s="83"/>
      <c r="B211" s="83"/>
      <c r="C211" s="83"/>
      <c r="D211" s="87"/>
      <c r="E211" s="84"/>
      <c r="F211" s="84"/>
      <c r="G211" s="83"/>
      <c r="H211" s="84"/>
      <c r="I211" s="84"/>
      <c r="J211" s="84"/>
      <c r="K211" s="88"/>
      <c r="L211" s="84"/>
      <c r="M211" s="88"/>
      <c r="N211" s="84"/>
      <c r="O211" s="88"/>
      <c r="P211" s="85"/>
      <c r="Q211" s="75"/>
      <c r="R211" s="75"/>
      <c r="S211" s="75"/>
      <c r="T211" s="75"/>
      <c r="U211" s="86"/>
      <c r="V211" s="84"/>
      <c r="W211" s="87"/>
      <c r="X211" s="84"/>
      <c r="Y211" s="84"/>
      <c r="Z211" s="87"/>
    </row>
    <row r="212" spans="1:26" ht="13">
      <c r="A212" s="83"/>
      <c r="B212" s="83"/>
      <c r="C212" s="83"/>
      <c r="D212" s="87"/>
      <c r="E212" s="84"/>
      <c r="F212" s="84"/>
      <c r="G212" s="83"/>
      <c r="H212" s="84"/>
      <c r="I212" s="84"/>
      <c r="J212" s="84"/>
      <c r="K212" s="88"/>
      <c r="L212" s="84"/>
      <c r="M212" s="88"/>
      <c r="N212" s="84"/>
      <c r="O212" s="88"/>
      <c r="P212" s="85"/>
      <c r="Q212" s="75"/>
      <c r="R212" s="75"/>
      <c r="S212" s="75"/>
      <c r="T212" s="75"/>
      <c r="U212" s="86"/>
      <c r="V212" s="84"/>
      <c r="W212" s="87"/>
      <c r="X212" s="84"/>
      <c r="Y212" s="84"/>
      <c r="Z212" s="87"/>
    </row>
    <row r="213" spans="1:26" ht="13">
      <c r="A213" s="83"/>
      <c r="B213" s="83"/>
      <c r="C213" s="83"/>
      <c r="D213" s="87"/>
      <c r="E213" s="84"/>
      <c r="F213" s="84"/>
      <c r="G213" s="83"/>
      <c r="H213" s="84"/>
      <c r="I213" s="84"/>
      <c r="J213" s="84"/>
      <c r="K213" s="88"/>
      <c r="L213" s="84"/>
      <c r="M213" s="88"/>
      <c r="N213" s="84"/>
      <c r="O213" s="88"/>
      <c r="P213" s="85"/>
      <c r="Q213" s="75"/>
      <c r="R213" s="75"/>
      <c r="S213" s="75"/>
      <c r="T213" s="75"/>
      <c r="U213" s="86"/>
      <c r="V213" s="84"/>
      <c r="W213" s="87"/>
      <c r="X213" s="84"/>
      <c r="Y213" s="84"/>
      <c r="Z213" s="87"/>
    </row>
    <row r="214" spans="1:26" ht="13">
      <c r="A214" s="83"/>
      <c r="B214" s="83"/>
      <c r="C214" s="83"/>
      <c r="D214" s="87"/>
      <c r="E214" s="84"/>
      <c r="F214" s="84"/>
      <c r="G214" s="83"/>
      <c r="H214" s="84"/>
      <c r="I214" s="84"/>
      <c r="J214" s="84"/>
      <c r="K214" s="88"/>
      <c r="L214" s="84"/>
      <c r="M214" s="88"/>
      <c r="N214" s="84"/>
      <c r="O214" s="88"/>
      <c r="P214" s="85"/>
      <c r="Q214" s="75"/>
      <c r="R214" s="75"/>
      <c r="S214" s="75"/>
      <c r="T214" s="75"/>
      <c r="U214" s="86"/>
      <c r="V214" s="84"/>
      <c r="W214" s="87"/>
      <c r="X214" s="84"/>
      <c r="Y214" s="84"/>
      <c r="Z214" s="87"/>
    </row>
    <row r="215" spans="1:26" ht="13">
      <c r="A215" s="83"/>
      <c r="B215" s="83"/>
      <c r="C215" s="83"/>
      <c r="D215" s="87"/>
      <c r="E215" s="84"/>
      <c r="F215" s="84"/>
      <c r="G215" s="83"/>
      <c r="H215" s="84"/>
      <c r="I215" s="84"/>
      <c r="J215" s="84"/>
      <c r="K215" s="88"/>
      <c r="L215" s="84"/>
      <c r="M215" s="88"/>
      <c r="N215" s="84"/>
      <c r="O215" s="88"/>
      <c r="P215" s="85"/>
      <c r="Q215" s="75"/>
      <c r="R215" s="75"/>
      <c r="S215" s="75"/>
      <c r="T215" s="75"/>
      <c r="U215" s="86"/>
      <c r="V215" s="84"/>
      <c r="W215" s="87"/>
      <c r="X215" s="84"/>
      <c r="Y215" s="84"/>
      <c r="Z215" s="87"/>
    </row>
    <row r="216" spans="1:26" ht="13">
      <c r="A216" s="83"/>
      <c r="B216" s="83"/>
      <c r="C216" s="83"/>
      <c r="D216" s="87"/>
      <c r="E216" s="84"/>
      <c r="F216" s="84"/>
      <c r="G216" s="83"/>
      <c r="H216" s="84"/>
      <c r="I216" s="84"/>
      <c r="J216" s="84"/>
      <c r="K216" s="88"/>
      <c r="L216" s="84"/>
      <c r="M216" s="88"/>
      <c r="N216" s="84"/>
      <c r="O216" s="88"/>
      <c r="P216" s="85"/>
      <c r="Q216" s="75"/>
      <c r="R216" s="75"/>
      <c r="S216" s="75"/>
      <c r="T216" s="75"/>
      <c r="U216" s="86"/>
      <c r="V216" s="84"/>
      <c r="W216" s="87"/>
      <c r="X216" s="84"/>
      <c r="Y216" s="84"/>
      <c r="Z216" s="87"/>
    </row>
    <row r="217" spans="1:26" ht="13">
      <c r="A217" s="83"/>
      <c r="B217" s="83"/>
      <c r="C217" s="83"/>
      <c r="D217" s="87"/>
      <c r="E217" s="84"/>
      <c r="F217" s="84"/>
      <c r="G217" s="83"/>
      <c r="H217" s="84"/>
      <c r="I217" s="84"/>
      <c r="J217" s="84"/>
      <c r="K217" s="88"/>
      <c r="L217" s="84"/>
      <c r="M217" s="88"/>
      <c r="N217" s="84"/>
      <c r="O217" s="88"/>
      <c r="P217" s="85"/>
      <c r="Q217" s="75"/>
      <c r="R217" s="75"/>
      <c r="S217" s="75"/>
      <c r="T217" s="75"/>
      <c r="U217" s="86"/>
      <c r="V217" s="84"/>
      <c r="W217" s="87"/>
      <c r="X217" s="84"/>
      <c r="Y217" s="84"/>
      <c r="Z217" s="87"/>
    </row>
    <row r="218" spans="1:26" ht="13">
      <c r="A218" s="83"/>
      <c r="B218" s="83"/>
      <c r="C218" s="83"/>
      <c r="D218" s="87"/>
      <c r="E218" s="84"/>
      <c r="F218" s="84"/>
      <c r="G218" s="83"/>
      <c r="H218" s="84"/>
      <c r="I218" s="84"/>
      <c r="J218" s="84"/>
      <c r="K218" s="88"/>
      <c r="L218" s="84"/>
      <c r="M218" s="88"/>
      <c r="N218" s="84"/>
      <c r="O218" s="88"/>
      <c r="P218" s="85"/>
      <c r="Q218" s="75"/>
      <c r="R218" s="75"/>
      <c r="S218" s="75"/>
      <c r="T218" s="75"/>
      <c r="U218" s="86"/>
      <c r="V218" s="84"/>
      <c r="W218" s="87"/>
      <c r="X218" s="84"/>
      <c r="Y218" s="84"/>
      <c r="Z218" s="87"/>
    </row>
    <row r="219" spans="1:26" ht="13">
      <c r="A219" s="83"/>
      <c r="B219" s="83"/>
      <c r="C219" s="83"/>
      <c r="D219" s="87"/>
      <c r="E219" s="84"/>
      <c r="F219" s="84"/>
      <c r="G219" s="83"/>
      <c r="H219" s="84"/>
      <c r="I219" s="84"/>
      <c r="J219" s="84"/>
      <c r="K219" s="88"/>
      <c r="L219" s="84"/>
      <c r="M219" s="88"/>
      <c r="N219" s="84"/>
      <c r="O219" s="88"/>
      <c r="P219" s="85"/>
      <c r="Q219" s="75"/>
      <c r="R219" s="75"/>
      <c r="S219" s="75"/>
      <c r="T219" s="75"/>
      <c r="U219" s="86"/>
      <c r="V219" s="84"/>
      <c r="W219" s="87"/>
      <c r="X219" s="84"/>
      <c r="Y219" s="84"/>
      <c r="Z219" s="87"/>
    </row>
    <row r="220" spans="1:26" ht="13">
      <c r="A220" s="83"/>
      <c r="B220" s="83"/>
      <c r="C220" s="83"/>
      <c r="D220" s="87"/>
      <c r="E220" s="84"/>
      <c r="F220" s="84"/>
      <c r="G220" s="83"/>
      <c r="H220" s="84"/>
      <c r="I220" s="84"/>
      <c r="J220" s="84"/>
      <c r="K220" s="88"/>
      <c r="L220" s="84"/>
      <c r="M220" s="88"/>
      <c r="N220" s="84"/>
      <c r="O220" s="88"/>
      <c r="P220" s="85"/>
      <c r="Q220" s="75"/>
      <c r="R220" s="75"/>
      <c r="S220" s="75"/>
      <c r="T220" s="75"/>
      <c r="U220" s="86"/>
      <c r="V220" s="84"/>
      <c r="W220" s="87"/>
      <c r="X220" s="84"/>
      <c r="Y220" s="84"/>
      <c r="Z220" s="87"/>
    </row>
    <row r="221" spans="1:26" ht="13">
      <c r="A221" s="83"/>
      <c r="B221" s="83"/>
      <c r="C221" s="83"/>
      <c r="D221" s="87"/>
      <c r="E221" s="84"/>
      <c r="F221" s="84"/>
      <c r="G221" s="83"/>
      <c r="H221" s="84"/>
      <c r="I221" s="84"/>
      <c r="J221" s="84"/>
      <c r="K221" s="88"/>
      <c r="L221" s="84"/>
      <c r="M221" s="88"/>
      <c r="N221" s="84"/>
      <c r="O221" s="88"/>
      <c r="P221" s="85"/>
      <c r="Q221" s="75"/>
      <c r="R221" s="75"/>
      <c r="S221" s="75"/>
      <c r="T221" s="75"/>
      <c r="U221" s="86"/>
      <c r="V221" s="84"/>
      <c r="W221" s="87"/>
      <c r="X221" s="84"/>
      <c r="Y221" s="84"/>
      <c r="Z221" s="87"/>
    </row>
    <row r="222" spans="1:26" ht="13">
      <c r="A222" s="83"/>
      <c r="B222" s="83"/>
      <c r="C222" s="83"/>
      <c r="D222" s="87"/>
      <c r="E222" s="84"/>
      <c r="F222" s="84"/>
      <c r="G222" s="83"/>
      <c r="H222" s="84"/>
      <c r="I222" s="84"/>
      <c r="J222" s="84"/>
      <c r="K222" s="88"/>
      <c r="L222" s="84"/>
      <c r="M222" s="88"/>
      <c r="N222" s="84"/>
      <c r="O222" s="88"/>
      <c r="P222" s="85"/>
      <c r="Q222" s="75"/>
      <c r="R222" s="75"/>
      <c r="S222" s="75"/>
      <c r="T222" s="75"/>
      <c r="U222" s="86"/>
      <c r="V222" s="84"/>
      <c r="W222" s="87"/>
      <c r="X222" s="84"/>
      <c r="Y222" s="84"/>
      <c r="Z222" s="87"/>
    </row>
    <row r="223" spans="1:26" ht="13">
      <c r="A223" s="83"/>
      <c r="B223" s="83"/>
      <c r="C223" s="83"/>
      <c r="D223" s="87"/>
      <c r="E223" s="84"/>
      <c r="F223" s="84"/>
      <c r="G223" s="83"/>
      <c r="H223" s="84"/>
      <c r="I223" s="84"/>
      <c r="J223" s="84"/>
      <c r="K223" s="88"/>
      <c r="L223" s="84"/>
      <c r="M223" s="88"/>
      <c r="N223" s="84"/>
      <c r="O223" s="88"/>
      <c r="P223" s="85"/>
      <c r="Q223" s="75"/>
      <c r="R223" s="75"/>
      <c r="S223" s="75"/>
      <c r="T223" s="75"/>
      <c r="U223" s="86"/>
      <c r="V223" s="84"/>
      <c r="W223" s="87"/>
      <c r="X223" s="84"/>
      <c r="Y223" s="84"/>
      <c r="Z223" s="87"/>
    </row>
    <row r="224" spans="1:26" ht="13">
      <c r="A224" s="83"/>
      <c r="B224" s="83"/>
      <c r="C224" s="83"/>
      <c r="D224" s="87"/>
      <c r="E224" s="84"/>
      <c r="F224" s="84"/>
      <c r="G224" s="83"/>
      <c r="H224" s="84"/>
      <c r="I224" s="84"/>
      <c r="J224" s="84"/>
      <c r="K224" s="88"/>
      <c r="L224" s="84"/>
      <c r="M224" s="88"/>
      <c r="N224" s="84"/>
      <c r="O224" s="88"/>
      <c r="P224" s="85"/>
      <c r="Q224" s="75"/>
      <c r="R224" s="75"/>
      <c r="S224" s="75"/>
      <c r="T224" s="75"/>
      <c r="U224" s="86"/>
      <c r="V224" s="84"/>
      <c r="W224" s="87"/>
      <c r="X224" s="84"/>
      <c r="Y224" s="84"/>
      <c r="Z224" s="87"/>
    </row>
    <row r="225" spans="1:26" ht="13">
      <c r="A225" s="83"/>
      <c r="B225" s="83"/>
      <c r="C225" s="83"/>
      <c r="D225" s="87"/>
      <c r="E225" s="84"/>
      <c r="F225" s="84"/>
      <c r="G225" s="83"/>
      <c r="H225" s="84"/>
      <c r="I225" s="84"/>
      <c r="J225" s="84"/>
      <c r="K225" s="88"/>
      <c r="L225" s="84"/>
      <c r="M225" s="88"/>
      <c r="N225" s="84"/>
      <c r="O225" s="88"/>
      <c r="P225" s="85"/>
      <c r="Q225" s="75"/>
      <c r="R225" s="75"/>
      <c r="S225" s="75"/>
      <c r="T225" s="75"/>
      <c r="U225" s="86"/>
      <c r="V225" s="84"/>
      <c r="W225" s="87"/>
      <c r="X225" s="84"/>
      <c r="Y225" s="84"/>
      <c r="Z225" s="87"/>
    </row>
    <row r="226" spans="1:26" ht="13">
      <c r="A226" s="83"/>
      <c r="B226" s="83"/>
      <c r="C226" s="83"/>
      <c r="D226" s="87"/>
      <c r="E226" s="84"/>
      <c r="F226" s="84"/>
      <c r="G226" s="83"/>
      <c r="H226" s="84"/>
      <c r="I226" s="84"/>
      <c r="J226" s="84"/>
      <c r="K226" s="88"/>
      <c r="L226" s="84"/>
      <c r="M226" s="88"/>
      <c r="N226" s="84"/>
      <c r="O226" s="88"/>
      <c r="P226" s="85"/>
      <c r="Q226" s="75"/>
      <c r="R226" s="75"/>
      <c r="S226" s="75"/>
      <c r="T226" s="75"/>
      <c r="U226" s="86"/>
      <c r="V226" s="84"/>
      <c r="W226" s="87"/>
      <c r="X226" s="84"/>
      <c r="Y226" s="84"/>
      <c r="Z226" s="87"/>
    </row>
    <row r="227" spans="1:26" ht="13">
      <c r="A227" s="83"/>
      <c r="B227" s="83"/>
      <c r="C227" s="83"/>
      <c r="D227" s="87"/>
      <c r="E227" s="84"/>
      <c r="F227" s="84"/>
      <c r="G227" s="83"/>
      <c r="H227" s="84"/>
      <c r="I227" s="84"/>
      <c r="J227" s="84"/>
      <c r="K227" s="88"/>
      <c r="L227" s="84"/>
      <c r="M227" s="88"/>
      <c r="N227" s="84"/>
      <c r="O227" s="88"/>
      <c r="P227" s="85"/>
      <c r="Q227" s="75"/>
      <c r="R227" s="75"/>
      <c r="S227" s="75"/>
      <c r="T227" s="75"/>
      <c r="U227" s="86"/>
      <c r="V227" s="84"/>
      <c r="W227" s="87"/>
      <c r="X227" s="84"/>
      <c r="Y227" s="84"/>
      <c r="Z227" s="87"/>
    </row>
    <row r="228" spans="1:26" ht="13">
      <c r="A228" s="83"/>
      <c r="B228" s="83"/>
      <c r="C228" s="83"/>
      <c r="D228" s="87"/>
      <c r="E228" s="84"/>
      <c r="F228" s="84"/>
      <c r="G228" s="83"/>
      <c r="H228" s="84"/>
      <c r="I228" s="84"/>
      <c r="J228" s="84"/>
      <c r="K228" s="88"/>
      <c r="L228" s="84"/>
      <c r="M228" s="88"/>
      <c r="N228" s="84"/>
      <c r="O228" s="88"/>
      <c r="P228" s="85"/>
      <c r="Q228" s="75"/>
      <c r="R228" s="75"/>
      <c r="S228" s="75"/>
      <c r="T228" s="75"/>
      <c r="U228" s="86"/>
      <c r="V228" s="84"/>
      <c r="W228" s="87"/>
      <c r="X228" s="84"/>
      <c r="Y228" s="84"/>
      <c r="Z228" s="87"/>
    </row>
    <row r="229" spans="1:26" ht="13">
      <c r="A229" s="83"/>
      <c r="B229" s="83"/>
      <c r="C229" s="83"/>
      <c r="D229" s="87"/>
      <c r="E229" s="84"/>
      <c r="F229" s="84"/>
      <c r="G229" s="83"/>
      <c r="H229" s="84"/>
      <c r="I229" s="84"/>
      <c r="J229" s="84"/>
      <c r="K229" s="88"/>
      <c r="L229" s="84"/>
      <c r="M229" s="88"/>
      <c r="N229" s="84"/>
      <c r="O229" s="88"/>
      <c r="P229" s="85"/>
      <c r="Q229" s="75"/>
      <c r="R229" s="75"/>
      <c r="S229" s="75"/>
      <c r="T229" s="75"/>
      <c r="U229" s="86"/>
      <c r="V229" s="84"/>
      <c r="W229" s="87"/>
      <c r="X229" s="84"/>
      <c r="Y229" s="84"/>
      <c r="Z229" s="87"/>
    </row>
    <row r="230" spans="1:26" ht="13">
      <c r="A230" s="83"/>
      <c r="B230" s="83"/>
      <c r="C230" s="83"/>
      <c r="D230" s="87"/>
      <c r="E230" s="84"/>
      <c r="F230" s="84"/>
      <c r="G230" s="83"/>
      <c r="H230" s="84"/>
      <c r="I230" s="84"/>
      <c r="J230" s="84"/>
      <c r="K230" s="88"/>
      <c r="L230" s="84"/>
      <c r="M230" s="88"/>
      <c r="N230" s="84"/>
      <c r="O230" s="88"/>
      <c r="P230" s="85"/>
      <c r="Q230" s="75"/>
      <c r="R230" s="75"/>
      <c r="S230" s="75"/>
      <c r="T230" s="75"/>
      <c r="U230" s="86"/>
      <c r="V230" s="84"/>
      <c r="W230" s="87"/>
      <c r="X230" s="84"/>
      <c r="Y230" s="84"/>
      <c r="Z230" s="87"/>
    </row>
    <row r="231" spans="1:26" ht="13">
      <c r="A231" s="83"/>
      <c r="B231" s="83"/>
      <c r="C231" s="83"/>
      <c r="D231" s="87"/>
      <c r="E231" s="84"/>
      <c r="F231" s="84"/>
      <c r="G231" s="83"/>
      <c r="H231" s="84"/>
      <c r="I231" s="84"/>
      <c r="J231" s="84"/>
      <c r="K231" s="88"/>
      <c r="L231" s="84"/>
      <c r="M231" s="88"/>
      <c r="N231" s="84"/>
      <c r="O231" s="88"/>
      <c r="P231" s="85"/>
      <c r="Q231" s="75"/>
      <c r="R231" s="75"/>
      <c r="S231" s="75"/>
      <c r="T231" s="75"/>
      <c r="U231" s="86"/>
      <c r="V231" s="84"/>
      <c r="W231" s="87"/>
      <c r="X231" s="84"/>
      <c r="Y231" s="84"/>
      <c r="Z231" s="87"/>
    </row>
    <row r="232" spans="1:26" ht="13">
      <c r="A232" s="83"/>
      <c r="B232" s="83"/>
      <c r="C232" s="83"/>
      <c r="D232" s="87"/>
      <c r="E232" s="84"/>
      <c r="F232" s="84"/>
      <c r="G232" s="83"/>
      <c r="H232" s="84"/>
      <c r="I232" s="84"/>
      <c r="J232" s="84"/>
      <c r="K232" s="88"/>
      <c r="L232" s="84"/>
      <c r="M232" s="88"/>
      <c r="N232" s="84"/>
      <c r="O232" s="88"/>
      <c r="P232" s="85"/>
      <c r="Q232" s="75"/>
      <c r="R232" s="75"/>
      <c r="S232" s="75"/>
      <c r="T232" s="75"/>
      <c r="U232" s="86"/>
      <c r="V232" s="84"/>
      <c r="W232" s="87"/>
      <c r="X232" s="84"/>
      <c r="Y232" s="84"/>
      <c r="Z232" s="87"/>
    </row>
    <row r="233" spans="1:26" ht="13">
      <c r="A233" s="83"/>
      <c r="B233" s="83"/>
      <c r="C233" s="83"/>
      <c r="D233" s="87"/>
      <c r="E233" s="84"/>
      <c r="F233" s="84"/>
      <c r="G233" s="83"/>
      <c r="H233" s="84"/>
      <c r="I233" s="84"/>
      <c r="J233" s="84"/>
      <c r="K233" s="88"/>
      <c r="L233" s="84"/>
      <c r="M233" s="88"/>
      <c r="N233" s="84"/>
      <c r="O233" s="88"/>
      <c r="P233" s="85"/>
      <c r="Q233" s="75"/>
      <c r="R233" s="75"/>
      <c r="S233" s="75"/>
      <c r="T233" s="75"/>
      <c r="U233" s="86"/>
      <c r="V233" s="84"/>
      <c r="W233" s="87"/>
      <c r="X233" s="84"/>
      <c r="Y233" s="84"/>
      <c r="Z233" s="87"/>
    </row>
    <row r="234" spans="1:26" ht="13">
      <c r="A234" s="83"/>
      <c r="B234" s="83"/>
      <c r="C234" s="83"/>
      <c r="D234" s="87"/>
      <c r="E234" s="84"/>
      <c r="F234" s="84"/>
      <c r="G234" s="83"/>
      <c r="H234" s="84"/>
      <c r="I234" s="84"/>
      <c r="J234" s="84"/>
      <c r="K234" s="88"/>
      <c r="L234" s="84"/>
      <c r="M234" s="88"/>
      <c r="N234" s="84"/>
      <c r="O234" s="88"/>
      <c r="P234" s="85"/>
      <c r="Q234" s="75"/>
      <c r="R234" s="75"/>
      <c r="S234" s="75"/>
      <c r="T234" s="75"/>
      <c r="U234" s="86"/>
      <c r="V234" s="84"/>
      <c r="W234" s="87"/>
      <c r="X234" s="84"/>
      <c r="Y234" s="84"/>
      <c r="Z234" s="87"/>
    </row>
    <row r="235" spans="1:26" ht="13">
      <c r="A235" s="83"/>
      <c r="B235" s="83"/>
      <c r="C235" s="83"/>
      <c r="D235" s="87"/>
      <c r="E235" s="84"/>
      <c r="F235" s="84"/>
      <c r="G235" s="83"/>
      <c r="H235" s="84"/>
      <c r="I235" s="84"/>
      <c r="J235" s="84"/>
      <c r="K235" s="88"/>
      <c r="L235" s="84"/>
      <c r="M235" s="88"/>
      <c r="N235" s="84"/>
      <c r="O235" s="88"/>
      <c r="P235" s="85"/>
      <c r="Q235" s="75"/>
      <c r="R235" s="75"/>
      <c r="S235" s="75"/>
      <c r="T235" s="75"/>
      <c r="U235" s="86"/>
      <c r="V235" s="84"/>
      <c r="W235" s="87"/>
      <c r="X235" s="84"/>
      <c r="Y235" s="84"/>
      <c r="Z235" s="87"/>
    </row>
    <row r="236" spans="1:26" ht="13">
      <c r="A236" s="83"/>
      <c r="B236" s="83"/>
      <c r="C236" s="83"/>
      <c r="D236" s="87"/>
      <c r="E236" s="84"/>
      <c r="F236" s="84"/>
      <c r="G236" s="83"/>
      <c r="H236" s="84"/>
      <c r="I236" s="84"/>
      <c r="J236" s="84"/>
      <c r="K236" s="88"/>
      <c r="L236" s="84"/>
      <c r="M236" s="88"/>
      <c r="N236" s="84"/>
      <c r="O236" s="88"/>
      <c r="P236" s="85"/>
      <c r="Q236" s="75"/>
      <c r="R236" s="75"/>
      <c r="S236" s="75"/>
      <c r="T236" s="75"/>
      <c r="U236" s="86"/>
      <c r="V236" s="84"/>
      <c r="W236" s="87"/>
      <c r="X236" s="84"/>
      <c r="Y236" s="84"/>
      <c r="Z236" s="87"/>
    </row>
    <row r="237" spans="1:26" ht="13">
      <c r="A237" s="83"/>
      <c r="B237" s="83"/>
      <c r="C237" s="83"/>
      <c r="D237" s="87"/>
      <c r="E237" s="84"/>
      <c r="F237" s="84"/>
      <c r="G237" s="83"/>
      <c r="H237" s="84"/>
      <c r="I237" s="84"/>
      <c r="J237" s="84"/>
      <c r="K237" s="88"/>
      <c r="L237" s="84"/>
      <c r="M237" s="88"/>
      <c r="N237" s="84"/>
      <c r="O237" s="88"/>
      <c r="P237" s="85"/>
      <c r="Q237" s="75"/>
      <c r="R237" s="75"/>
      <c r="S237" s="75"/>
      <c r="T237" s="75"/>
      <c r="U237" s="86"/>
      <c r="V237" s="84"/>
      <c r="W237" s="87"/>
      <c r="X237" s="84"/>
      <c r="Y237" s="84"/>
      <c r="Z237" s="87"/>
    </row>
    <row r="238" spans="1:26" ht="13">
      <c r="A238" s="83"/>
      <c r="B238" s="83"/>
      <c r="C238" s="83"/>
      <c r="D238" s="87"/>
      <c r="E238" s="84"/>
      <c r="F238" s="84"/>
      <c r="G238" s="83"/>
      <c r="H238" s="84"/>
      <c r="I238" s="84"/>
      <c r="J238" s="84"/>
      <c r="K238" s="88"/>
      <c r="L238" s="84"/>
      <c r="M238" s="88"/>
      <c r="N238" s="84"/>
      <c r="O238" s="88"/>
      <c r="P238" s="85"/>
      <c r="Q238" s="75"/>
      <c r="R238" s="75"/>
      <c r="S238" s="75"/>
      <c r="T238" s="75"/>
      <c r="U238" s="86"/>
      <c r="V238" s="84"/>
      <c r="W238" s="87"/>
      <c r="X238" s="84"/>
      <c r="Y238" s="84"/>
      <c r="Z238" s="87"/>
    </row>
    <row r="239" spans="1:26" ht="13">
      <c r="A239" s="83"/>
      <c r="B239" s="83"/>
      <c r="C239" s="83"/>
      <c r="D239" s="87"/>
      <c r="E239" s="84"/>
      <c r="F239" s="84"/>
      <c r="G239" s="83"/>
      <c r="H239" s="84"/>
      <c r="I239" s="84"/>
      <c r="J239" s="84"/>
      <c r="K239" s="88"/>
      <c r="L239" s="84"/>
      <c r="M239" s="88"/>
      <c r="N239" s="84"/>
      <c r="O239" s="88"/>
      <c r="P239" s="85"/>
      <c r="Q239" s="75"/>
      <c r="R239" s="75"/>
      <c r="S239" s="75"/>
      <c r="T239" s="75"/>
      <c r="U239" s="86"/>
      <c r="V239" s="84"/>
      <c r="W239" s="87"/>
      <c r="X239" s="84"/>
      <c r="Y239" s="84"/>
      <c r="Z239" s="87"/>
    </row>
    <row r="240" spans="1:26" ht="13">
      <c r="A240" s="83"/>
      <c r="B240" s="83"/>
      <c r="C240" s="83"/>
      <c r="D240" s="87"/>
      <c r="E240" s="84"/>
      <c r="F240" s="84"/>
      <c r="G240" s="83"/>
      <c r="H240" s="84"/>
      <c r="I240" s="84"/>
      <c r="J240" s="84"/>
      <c r="K240" s="88"/>
      <c r="L240" s="84"/>
      <c r="M240" s="88"/>
      <c r="N240" s="84"/>
      <c r="O240" s="88"/>
      <c r="P240" s="85"/>
      <c r="Q240" s="75"/>
      <c r="R240" s="75"/>
      <c r="S240" s="75"/>
      <c r="T240" s="75"/>
      <c r="U240" s="86"/>
      <c r="V240" s="84"/>
      <c r="W240" s="87"/>
      <c r="X240" s="84"/>
      <c r="Y240" s="84"/>
      <c r="Z240" s="87"/>
    </row>
    <row r="241" spans="1:26" ht="13">
      <c r="A241" s="83"/>
      <c r="B241" s="83"/>
      <c r="C241" s="83"/>
      <c r="D241" s="87"/>
      <c r="E241" s="84"/>
      <c r="F241" s="84"/>
      <c r="G241" s="83"/>
      <c r="H241" s="84"/>
      <c r="I241" s="84"/>
      <c r="J241" s="84"/>
      <c r="K241" s="88"/>
      <c r="L241" s="84"/>
      <c r="M241" s="88"/>
      <c r="N241" s="84"/>
      <c r="O241" s="88"/>
      <c r="P241" s="85"/>
      <c r="Q241" s="75"/>
      <c r="R241" s="75"/>
      <c r="S241" s="75"/>
      <c r="T241" s="75"/>
      <c r="U241" s="86"/>
      <c r="V241" s="84"/>
      <c r="W241" s="87"/>
      <c r="X241" s="84"/>
      <c r="Y241" s="84"/>
      <c r="Z241" s="87"/>
    </row>
    <row r="242" spans="1:26" ht="13">
      <c r="A242" s="83"/>
      <c r="B242" s="83"/>
      <c r="C242" s="83"/>
      <c r="D242" s="87"/>
      <c r="E242" s="84"/>
      <c r="F242" s="84"/>
      <c r="G242" s="83"/>
      <c r="H242" s="84"/>
      <c r="I242" s="84"/>
      <c r="J242" s="84"/>
      <c r="K242" s="88"/>
      <c r="L242" s="84"/>
      <c r="M242" s="88"/>
      <c r="N242" s="84"/>
      <c r="O242" s="88"/>
      <c r="P242" s="85"/>
      <c r="Q242" s="75"/>
      <c r="R242" s="75"/>
      <c r="S242" s="75"/>
      <c r="T242" s="75"/>
      <c r="U242" s="86"/>
      <c r="V242" s="84"/>
      <c r="W242" s="87"/>
      <c r="X242" s="84"/>
      <c r="Y242" s="84"/>
      <c r="Z242" s="87"/>
    </row>
    <row r="243" spans="1:26" ht="13">
      <c r="A243" s="83"/>
      <c r="B243" s="83"/>
      <c r="C243" s="83"/>
      <c r="D243" s="87"/>
      <c r="E243" s="84"/>
      <c r="F243" s="84"/>
      <c r="G243" s="83"/>
      <c r="H243" s="84"/>
      <c r="I243" s="84"/>
      <c r="J243" s="84"/>
      <c r="K243" s="88"/>
      <c r="L243" s="84"/>
      <c r="M243" s="88"/>
      <c r="N243" s="84"/>
      <c r="O243" s="88"/>
      <c r="P243" s="85"/>
      <c r="Q243" s="75"/>
      <c r="R243" s="75"/>
      <c r="S243" s="75"/>
      <c r="T243" s="75"/>
      <c r="U243" s="86"/>
      <c r="V243" s="84"/>
      <c r="W243" s="87"/>
      <c r="X243" s="84"/>
      <c r="Y243" s="84"/>
      <c r="Z243" s="87"/>
    </row>
    <row r="244" spans="1:26" ht="13">
      <c r="A244" s="83"/>
      <c r="B244" s="83"/>
      <c r="C244" s="83"/>
      <c r="D244" s="87"/>
      <c r="E244" s="84"/>
      <c r="F244" s="84"/>
      <c r="G244" s="83"/>
      <c r="H244" s="84"/>
      <c r="I244" s="84"/>
      <c r="J244" s="84"/>
      <c r="K244" s="88"/>
      <c r="L244" s="84"/>
      <c r="M244" s="88"/>
      <c r="N244" s="84"/>
      <c r="O244" s="88"/>
      <c r="P244" s="85"/>
      <c r="Q244" s="75"/>
      <c r="R244" s="75"/>
      <c r="S244" s="75"/>
      <c r="T244" s="75"/>
      <c r="U244" s="86"/>
      <c r="V244" s="84"/>
      <c r="W244" s="87"/>
      <c r="X244" s="84"/>
      <c r="Y244" s="84"/>
      <c r="Z244" s="87"/>
    </row>
    <row r="245" spans="1:26" ht="13">
      <c r="A245" s="83"/>
      <c r="B245" s="83"/>
      <c r="C245" s="83"/>
      <c r="D245" s="87"/>
      <c r="E245" s="84"/>
      <c r="F245" s="84"/>
      <c r="G245" s="83"/>
      <c r="H245" s="84"/>
      <c r="I245" s="84"/>
      <c r="J245" s="84"/>
      <c r="K245" s="88"/>
      <c r="L245" s="84"/>
      <c r="M245" s="88"/>
      <c r="N245" s="84"/>
      <c r="O245" s="88"/>
      <c r="P245" s="85"/>
      <c r="Q245" s="75"/>
      <c r="R245" s="75"/>
      <c r="S245" s="75"/>
      <c r="T245" s="75"/>
      <c r="U245" s="86"/>
      <c r="V245" s="84"/>
      <c r="W245" s="87"/>
      <c r="X245" s="84"/>
      <c r="Y245" s="84"/>
      <c r="Z245" s="87"/>
    </row>
    <row r="246" spans="1:26" ht="13">
      <c r="A246" s="83"/>
      <c r="B246" s="83"/>
      <c r="C246" s="83"/>
      <c r="D246" s="87"/>
      <c r="E246" s="84"/>
      <c r="F246" s="84"/>
      <c r="G246" s="83"/>
      <c r="H246" s="84"/>
      <c r="I246" s="84"/>
      <c r="J246" s="84"/>
      <c r="K246" s="88"/>
      <c r="L246" s="84"/>
      <c r="M246" s="88"/>
      <c r="N246" s="84"/>
      <c r="O246" s="88"/>
      <c r="P246" s="85"/>
      <c r="Q246" s="75"/>
      <c r="R246" s="75"/>
      <c r="S246" s="75"/>
      <c r="T246" s="75"/>
      <c r="U246" s="86"/>
      <c r="V246" s="84"/>
      <c r="W246" s="87"/>
      <c r="X246" s="84"/>
      <c r="Y246" s="84"/>
      <c r="Z246" s="87"/>
    </row>
    <row r="247" spans="1:26" ht="13">
      <c r="A247" s="83"/>
      <c r="B247" s="83"/>
      <c r="C247" s="83"/>
      <c r="D247" s="87"/>
      <c r="E247" s="84"/>
      <c r="F247" s="84"/>
      <c r="G247" s="83"/>
      <c r="H247" s="84"/>
      <c r="I247" s="84"/>
      <c r="J247" s="84"/>
      <c r="K247" s="88"/>
      <c r="L247" s="84"/>
      <c r="M247" s="88"/>
      <c r="N247" s="84"/>
      <c r="O247" s="88"/>
      <c r="P247" s="85"/>
      <c r="Q247" s="75"/>
      <c r="R247" s="75"/>
      <c r="S247" s="75"/>
      <c r="T247" s="75"/>
      <c r="U247" s="86"/>
      <c r="V247" s="84"/>
      <c r="W247" s="87"/>
      <c r="X247" s="84"/>
      <c r="Y247" s="84"/>
      <c r="Z247" s="87"/>
    </row>
    <row r="248" spans="1:26" ht="13">
      <c r="A248" s="83"/>
      <c r="B248" s="83"/>
      <c r="C248" s="83"/>
      <c r="D248" s="87"/>
      <c r="E248" s="84"/>
      <c r="F248" s="84"/>
      <c r="G248" s="83"/>
      <c r="H248" s="84"/>
      <c r="I248" s="84"/>
      <c r="J248" s="84"/>
      <c r="K248" s="88"/>
      <c r="L248" s="84"/>
      <c r="M248" s="88"/>
      <c r="N248" s="84"/>
      <c r="O248" s="88"/>
      <c r="P248" s="85"/>
      <c r="Q248" s="75"/>
      <c r="R248" s="75"/>
      <c r="S248" s="75"/>
      <c r="T248" s="75"/>
      <c r="U248" s="86"/>
      <c r="V248" s="84"/>
      <c r="W248" s="87"/>
      <c r="X248" s="84"/>
      <c r="Y248" s="84"/>
      <c r="Z248" s="87"/>
    </row>
    <row r="249" spans="1:26" ht="13">
      <c r="A249" s="83"/>
      <c r="B249" s="83"/>
      <c r="C249" s="83"/>
      <c r="D249" s="87"/>
      <c r="E249" s="84"/>
      <c r="F249" s="84"/>
      <c r="G249" s="83"/>
      <c r="H249" s="84"/>
      <c r="I249" s="84"/>
      <c r="J249" s="84"/>
      <c r="K249" s="88"/>
      <c r="L249" s="84"/>
      <c r="M249" s="88"/>
      <c r="N249" s="84"/>
      <c r="O249" s="88"/>
      <c r="P249" s="85"/>
      <c r="Q249" s="75"/>
      <c r="R249" s="75"/>
      <c r="S249" s="75"/>
      <c r="T249" s="75"/>
      <c r="U249" s="86"/>
      <c r="V249" s="84"/>
      <c r="W249" s="87"/>
      <c r="X249" s="84"/>
      <c r="Y249" s="84"/>
      <c r="Z249" s="87"/>
    </row>
    <row r="250" spans="1:26" ht="13">
      <c r="A250" s="83"/>
      <c r="B250" s="83"/>
      <c r="C250" s="83"/>
      <c r="D250" s="87"/>
      <c r="E250" s="84"/>
      <c r="F250" s="84"/>
      <c r="G250" s="83"/>
      <c r="H250" s="84"/>
      <c r="I250" s="84"/>
      <c r="J250" s="84"/>
      <c r="K250" s="88"/>
      <c r="L250" s="84"/>
      <c r="M250" s="88"/>
      <c r="N250" s="84"/>
      <c r="O250" s="88"/>
      <c r="P250" s="85"/>
      <c r="Q250" s="75"/>
      <c r="R250" s="75"/>
      <c r="S250" s="75"/>
      <c r="T250" s="75"/>
      <c r="U250" s="86"/>
      <c r="V250" s="84"/>
      <c r="W250" s="87"/>
      <c r="X250" s="84"/>
      <c r="Y250" s="84"/>
      <c r="Z250" s="87"/>
    </row>
    <row r="251" spans="1:26" ht="13">
      <c r="A251" s="83"/>
      <c r="B251" s="83"/>
      <c r="C251" s="83"/>
      <c r="D251" s="87"/>
      <c r="E251" s="84"/>
      <c r="F251" s="84"/>
      <c r="G251" s="83"/>
      <c r="H251" s="84"/>
      <c r="I251" s="84"/>
      <c r="J251" s="84"/>
      <c r="K251" s="88"/>
      <c r="L251" s="84"/>
      <c r="M251" s="88"/>
      <c r="N251" s="84"/>
      <c r="O251" s="88"/>
      <c r="P251" s="85"/>
      <c r="Q251" s="75"/>
      <c r="R251" s="75"/>
      <c r="S251" s="75"/>
      <c r="T251" s="75"/>
      <c r="U251" s="86"/>
      <c r="V251" s="84"/>
      <c r="W251" s="87"/>
      <c r="X251" s="84"/>
      <c r="Y251" s="84"/>
      <c r="Z251" s="87"/>
    </row>
    <row r="252" spans="1:26" ht="13">
      <c r="A252" s="83"/>
      <c r="B252" s="83"/>
      <c r="C252" s="83"/>
      <c r="D252" s="87"/>
      <c r="E252" s="84"/>
      <c r="F252" s="84"/>
      <c r="G252" s="83"/>
      <c r="H252" s="84"/>
      <c r="I252" s="84"/>
      <c r="J252" s="84"/>
      <c r="K252" s="88"/>
      <c r="L252" s="84"/>
      <c r="M252" s="88"/>
      <c r="N252" s="84"/>
      <c r="O252" s="88"/>
      <c r="P252" s="85"/>
      <c r="Q252" s="75"/>
      <c r="R252" s="75"/>
      <c r="S252" s="75"/>
      <c r="T252" s="75"/>
      <c r="U252" s="86"/>
      <c r="V252" s="84"/>
      <c r="W252" s="87"/>
      <c r="X252" s="84"/>
      <c r="Y252" s="84"/>
      <c r="Z252" s="87"/>
    </row>
    <row r="253" spans="1:26" ht="13">
      <c r="A253" s="83"/>
      <c r="B253" s="83"/>
      <c r="C253" s="83"/>
      <c r="D253" s="87"/>
      <c r="E253" s="84"/>
      <c r="F253" s="84"/>
      <c r="G253" s="83"/>
      <c r="H253" s="84"/>
      <c r="I253" s="84"/>
      <c r="J253" s="84"/>
      <c r="K253" s="88"/>
      <c r="L253" s="84"/>
      <c r="M253" s="88"/>
      <c r="N253" s="84"/>
      <c r="O253" s="88"/>
      <c r="P253" s="85"/>
      <c r="Q253" s="75"/>
      <c r="R253" s="75"/>
      <c r="S253" s="75"/>
      <c r="T253" s="75"/>
      <c r="U253" s="86"/>
      <c r="V253" s="84"/>
      <c r="W253" s="87"/>
      <c r="X253" s="84"/>
      <c r="Y253" s="84"/>
      <c r="Z253" s="87"/>
    </row>
    <row r="254" spans="1:26" ht="13">
      <c r="A254" s="83"/>
      <c r="B254" s="83"/>
      <c r="C254" s="83"/>
      <c r="D254" s="87"/>
      <c r="E254" s="84"/>
      <c r="F254" s="84"/>
      <c r="G254" s="83"/>
      <c r="H254" s="84"/>
      <c r="I254" s="84"/>
      <c r="J254" s="84"/>
      <c r="K254" s="88"/>
      <c r="L254" s="84"/>
      <c r="M254" s="88"/>
      <c r="N254" s="84"/>
      <c r="O254" s="88"/>
      <c r="P254" s="85"/>
      <c r="Q254" s="75"/>
      <c r="R254" s="75"/>
      <c r="S254" s="75"/>
      <c r="T254" s="75"/>
      <c r="U254" s="86"/>
      <c r="V254" s="84"/>
      <c r="W254" s="87"/>
      <c r="X254" s="84"/>
      <c r="Y254" s="84"/>
      <c r="Z254" s="87"/>
    </row>
    <row r="255" spans="1:26" ht="13">
      <c r="A255" s="83"/>
      <c r="B255" s="83"/>
      <c r="C255" s="83"/>
      <c r="D255" s="87"/>
      <c r="E255" s="84"/>
      <c r="F255" s="84"/>
      <c r="G255" s="83"/>
      <c r="H255" s="84"/>
      <c r="I255" s="84"/>
      <c r="J255" s="84"/>
      <c r="K255" s="88"/>
      <c r="L255" s="84"/>
      <c r="M255" s="88"/>
      <c r="N255" s="84"/>
      <c r="O255" s="88"/>
      <c r="P255" s="85"/>
      <c r="Q255" s="75"/>
      <c r="R255" s="75"/>
      <c r="S255" s="75"/>
      <c r="T255" s="75"/>
      <c r="U255" s="86"/>
      <c r="V255" s="84"/>
      <c r="W255" s="87"/>
      <c r="X255" s="84"/>
      <c r="Y255" s="84"/>
      <c r="Z255" s="87"/>
    </row>
    <row r="256" spans="1:26" ht="13">
      <c r="A256" s="83"/>
      <c r="B256" s="83"/>
      <c r="C256" s="83"/>
      <c r="D256" s="87"/>
      <c r="E256" s="84"/>
      <c r="F256" s="84"/>
      <c r="G256" s="83"/>
      <c r="H256" s="84"/>
      <c r="I256" s="84"/>
      <c r="J256" s="84"/>
      <c r="K256" s="88"/>
      <c r="L256" s="84"/>
      <c r="M256" s="88"/>
      <c r="N256" s="84"/>
      <c r="O256" s="88"/>
      <c r="P256" s="85"/>
      <c r="Q256" s="75"/>
      <c r="R256" s="75"/>
      <c r="S256" s="75"/>
      <c r="T256" s="75"/>
      <c r="U256" s="86"/>
      <c r="V256" s="84"/>
      <c r="W256" s="87"/>
      <c r="X256" s="84"/>
      <c r="Y256" s="84"/>
      <c r="Z256" s="87"/>
    </row>
    <row r="257" spans="1:26" ht="13">
      <c r="A257" s="83"/>
      <c r="B257" s="83"/>
      <c r="C257" s="83"/>
      <c r="D257" s="87"/>
      <c r="E257" s="84"/>
      <c r="F257" s="84"/>
      <c r="G257" s="83"/>
      <c r="H257" s="84"/>
      <c r="I257" s="84"/>
      <c r="J257" s="84"/>
      <c r="K257" s="88"/>
      <c r="L257" s="84"/>
      <c r="M257" s="88"/>
      <c r="N257" s="84"/>
      <c r="O257" s="88"/>
      <c r="P257" s="85"/>
      <c r="Q257" s="75"/>
      <c r="R257" s="75"/>
      <c r="S257" s="75"/>
      <c r="T257" s="75"/>
      <c r="U257" s="86"/>
      <c r="V257" s="84"/>
      <c r="W257" s="87"/>
      <c r="X257" s="84"/>
      <c r="Y257" s="84"/>
      <c r="Z257" s="87"/>
    </row>
    <row r="258" spans="1:26" ht="13">
      <c r="A258" s="83"/>
      <c r="B258" s="83"/>
      <c r="C258" s="83"/>
      <c r="D258" s="87"/>
      <c r="E258" s="84"/>
      <c r="F258" s="84"/>
      <c r="G258" s="83"/>
      <c r="H258" s="84"/>
      <c r="I258" s="84"/>
      <c r="J258" s="84"/>
      <c r="K258" s="88"/>
      <c r="L258" s="84"/>
      <c r="M258" s="88"/>
      <c r="N258" s="84"/>
      <c r="O258" s="88"/>
      <c r="P258" s="85"/>
      <c r="Q258" s="75"/>
      <c r="R258" s="75"/>
      <c r="S258" s="75"/>
      <c r="T258" s="75"/>
      <c r="U258" s="86"/>
      <c r="V258" s="84"/>
      <c r="W258" s="87"/>
      <c r="X258" s="84"/>
      <c r="Y258" s="84"/>
      <c r="Z258" s="87"/>
    </row>
    <row r="259" spans="1:26" ht="13">
      <c r="A259" s="83"/>
      <c r="B259" s="83"/>
      <c r="C259" s="83"/>
      <c r="D259" s="87"/>
      <c r="E259" s="84"/>
      <c r="F259" s="84"/>
      <c r="G259" s="83"/>
      <c r="H259" s="84"/>
      <c r="I259" s="84"/>
      <c r="J259" s="84"/>
      <c r="K259" s="88"/>
      <c r="L259" s="84"/>
      <c r="M259" s="88"/>
      <c r="N259" s="84"/>
      <c r="O259" s="88"/>
      <c r="P259" s="85"/>
      <c r="Q259" s="75"/>
      <c r="R259" s="75"/>
      <c r="S259" s="75"/>
      <c r="T259" s="75"/>
      <c r="U259" s="86"/>
      <c r="V259" s="84"/>
      <c r="W259" s="87"/>
      <c r="X259" s="84"/>
      <c r="Y259" s="84"/>
      <c r="Z259" s="87"/>
    </row>
    <row r="260" spans="1:26" ht="13">
      <c r="A260" s="83"/>
      <c r="B260" s="83"/>
      <c r="C260" s="83"/>
      <c r="D260" s="87"/>
      <c r="E260" s="84"/>
      <c r="F260" s="84"/>
      <c r="G260" s="83"/>
      <c r="H260" s="84"/>
      <c r="I260" s="84"/>
      <c r="J260" s="84"/>
      <c r="K260" s="88"/>
      <c r="L260" s="84"/>
      <c r="M260" s="88"/>
      <c r="N260" s="84"/>
      <c r="O260" s="88"/>
      <c r="P260" s="85"/>
      <c r="Q260" s="75"/>
      <c r="R260" s="75"/>
      <c r="S260" s="75"/>
      <c r="T260" s="75"/>
      <c r="U260" s="86"/>
      <c r="V260" s="84"/>
      <c r="W260" s="87"/>
      <c r="X260" s="84"/>
      <c r="Y260" s="84"/>
      <c r="Z260" s="87"/>
    </row>
    <row r="261" spans="1:26" ht="13">
      <c r="A261" s="83"/>
      <c r="B261" s="83"/>
      <c r="C261" s="83"/>
      <c r="D261" s="87"/>
      <c r="E261" s="84"/>
      <c r="F261" s="84"/>
      <c r="G261" s="83"/>
      <c r="H261" s="84"/>
      <c r="I261" s="84"/>
      <c r="J261" s="84"/>
      <c r="K261" s="88"/>
      <c r="L261" s="84"/>
      <c r="M261" s="88"/>
      <c r="N261" s="84"/>
      <c r="O261" s="88"/>
      <c r="P261" s="85"/>
      <c r="Q261" s="75"/>
      <c r="R261" s="75"/>
      <c r="S261" s="75"/>
      <c r="T261" s="75"/>
      <c r="U261" s="86"/>
      <c r="V261" s="84"/>
      <c r="W261" s="87"/>
      <c r="X261" s="84"/>
      <c r="Y261" s="84"/>
      <c r="Z261" s="87"/>
    </row>
    <row r="262" spans="1:26" ht="13">
      <c r="A262" s="83"/>
      <c r="B262" s="83"/>
      <c r="C262" s="83"/>
      <c r="D262" s="87"/>
      <c r="E262" s="84"/>
      <c r="F262" s="84"/>
      <c r="G262" s="83"/>
      <c r="H262" s="84"/>
      <c r="I262" s="84"/>
      <c r="J262" s="84"/>
      <c r="K262" s="88"/>
      <c r="L262" s="84"/>
      <c r="M262" s="88"/>
      <c r="N262" s="84"/>
      <c r="O262" s="88"/>
      <c r="P262" s="85"/>
      <c r="Q262" s="75"/>
      <c r="R262" s="75"/>
      <c r="S262" s="75"/>
      <c r="T262" s="75"/>
      <c r="U262" s="86"/>
      <c r="V262" s="84"/>
      <c r="W262" s="87"/>
      <c r="X262" s="84"/>
      <c r="Y262" s="84"/>
      <c r="Z262" s="87"/>
    </row>
    <row r="263" spans="1:26" ht="13">
      <c r="A263" s="83"/>
      <c r="B263" s="83"/>
      <c r="C263" s="83"/>
      <c r="D263" s="87"/>
      <c r="E263" s="84"/>
      <c r="F263" s="84"/>
      <c r="G263" s="83"/>
      <c r="H263" s="84"/>
      <c r="I263" s="84"/>
      <c r="J263" s="84"/>
      <c r="K263" s="88"/>
      <c r="L263" s="84"/>
      <c r="M263" s="88"/>
      <c r="N263" s="84"/>
      <c r="O263" s="88"/>
      <c r="P263" s="85"/>
      <c r="Q263" s="75"/>
      <c r="R263" s="75"/>
      <c r="S263" s="75"/>
      <c r="T263" s="75"/>
      <c r="U263" s="86"/>
      <c r="V263" s="84"/>
      <c r="W263" s="87"/>
      <c r="X263" s="84"/>
      <c r="Y263" s="84"/>
      <c r="Z263" s="87"/>
    </row>
    <row r="264" spans="1:26" ht="13">
      <c r="A264" s="83"/>
      <c r="B264" s="83"/>
      <c r="C264" s="83"/>
      <c r="D264" s="87"/>
      <c r="E264" s="84"/>
      <c r="F264" s="84"/>
      <c r="G264" s="83"/>
      <c r="H264" s="84"/>
      <c r="I264" s="84"/>
      <c r="J264" s="84"/>
      <c r="K264" s="88"/>
      <c r="L264" s="84"/>
      <c r="M264" s="88"/>
      <c r="N264" s="84"/>
      <c r="O264" s="88"/>
      <c r="P264" s="85"/>
      <c r="Q264" s="75"/>
      <c r="R264" s="75"/>
      <c r="S264" s="75"/>
      <c r="T264" s="75"/>
      <c r="U264" s="86"/>
      <c r="V264" s="84"/>
      <c r="W264" s="87"/>
      <c r="X264" s="84"/>
      <c r="Y264" s="84"/>
      <c r="Z264" s="87"/>
    </row>
    <row r="265" spans="1:26" ht="13">
      <c r="A265" s="83"/>
      <c r="B265" s="83"/>
      <c r="C265" s="83"/>
      <c r="D265" s="87"/>
      <c r="E265" s="84"/>
      <c r="F265" s="84"/>
      <c r="G265" s="83"/>
      <c r="H265" s="84"/>
      <c r="I265" s="84"/>
      <c r="J265" s="84"/>
      <c r="K265" s="88"/>
      <c r="L265" s="84"/>
      <c r="M265" s="88"/>
      <c r="N265" s="84"/>
      <c r="O265" s="88"/>
      <c r="P265" s="85"/>
      <c r="Q265" s="75"/>
      <c r="R265" s="75"/>
      <c r="S265" s="75"/>
      <c r="T265" s="75"/>
      <c r="U265" s="86"/>
      <c r="V265" s="84"/>
      <c r="W265" s="87"/>
      <c r="X265" s="84"/>
      <c r="Y265" s="84"/>
      <c r="Z265" s="87"/>
    </row>
    <row r="266" spans="1:26" ht="13">
      <c r="A266" s="83"/>
      <c r="B266" s="83"/>
      <c r="C266" s="83"/>
      <c r="D266" s="87"/>
      <c r="E266" s="84"/>
      <c r="F266" s="84"/>
      <c r="G266" s="83"/>
      <c r="H266" s="84"/>
      <c r="I266" s="84"/>
      <c r="J266" s="84"/>
      <c r="K266" s="88"/>
      <c r="L266" s="84"/>
      <c r="M266" s="88"/>
      <c r="N266" s="84"/>
      <c r="O266" s="88"/>
      <c r="P266" s="85"/>
      <c r="Q266" s="75"/>
      <c r="R266" s="75"/>
      <c r="S266" s="75"/>
      <c r="T266" s="75"/>
      <c r="U266" s="86"/>
      <c r="V266" s="84"/>
      <c r="W266" s="87"/>
      <c r="X266" s="84"/>
      <c r="Y266" s="84"/>
      <c r="Z266" s="87"/>
    </row>
    <row r="267" spans="1:26" ht="13">
      <c r="A267" s="83"/>
      <c r="B267" s="83"/>
      <c r="C267" s="83"/>
      <c r="D267" s="87"/>
      <c r="E267" s="84"/>
      <c r="F267" s="84"/>
      <c r="G267" s="83"/>
      <c r="H267" s="84"/>
      <c r="I267" s="84"/>
      <c r="J267" s="84"/>
      <c r="K267" s="88"/>
      <c r="L267" s="84"/>
      <c r="M267" s="88"/>
      <c r="N267" s="84"/>
      <c r="O267" s="88"/>
      <c r="P267" s="85"/>
      <c r="Q267" s="75"/>
      <c r="R267" s="75"/>
      <c r="S267" s="75"/>
      <c r="T267" s="75"/>
      <c r="U267" s="86"/>
      <c r="V267" s="84"/>
      <c r="W267" s="87"/>
      <c r="X267" s="84"/>
      <c r="Y267" s="84"/>
      <c r="Z267" s="87"/>
    </row>
    <row r="268" spans="1:26" ht="13">
      <c r="A268" s="83"/>
      <c r="B268" s="83"/>
      <c r="C268" s="83"/>
      <c r="D268" s="87"/>
      <c r="E268" s="84"/>
      <c r="F268" s="84"/>
      <c r="G268" s="83"/>
      <c r="H268" s="84"/>
      <c r="I268" s="84"/>
      <c r="J268" s="84"/>
      <c r="K268" s="88"/>
      <c r="L268" s="84"/>
      <c r="M268" s="88"/>
      <c r="N268" s="84"/>
      <c r="O268" s="88"/>
      <c r="P268" s="85"/>
      <c r="Q268" s="75"/>
      <c r="R268" s="75"/>
      <c r="S268" s="75"/>
      <c r="T268" s="75"/>
      <c r="U268" s="86"/>
      <c r="V268" s="84"/>
      <c r="W268" s="87"/>
      <c r="X268" s="84"/>
      <c r="Y268" s="84"/>
      <c r="Z268" s="87"/>
    </row>
    <row r="269" spans="1:26" ht="13">
      <c r="A269" s="83"/>
      <c r="B269" s="83"/>
      <c r="C269" s="83"/>
      <c r="D269" s="87"/>
      <c r="E269" s="84"/>
      <c r="F269" s="84"/>
      <c r="G269" s="83"/>
      <c r="H269" s="84"/>
      <c r="I269" s="84"/>
      <c r="J269" s="84"/>
      <c r="K269" s="88"/>
      <c r="L269" s="84"/>
      <c r="M269" s="88"/>
      <c r="N269" s="84"/>
      <c r="O269" s="88"/>
      <c r="P269" s="85"/>
      <c r="Q269" s="75"/>
      <c r="R269" s="75"/>
      <c r="S269" s="75"/>
      <c r="T269" s="75"/>
      <c r="U269" s="86"/>
      <c r="V269" s="84"/>
      <c r="W269" s="87"/>
      <c r="X269" s="84"/>
      <c r="Y269" s="84"/>
      <c r="Z269" s="87"/>
    </row>
    <row r="270" spans="1:26" ht="13">
      <c r="A270" s="83"/>
      <c r="B270" s="83"/>
      <c r="C270" s="83"/>
      <c r="D270" s="87"/>
      <c r="E270" s="84"/>
      <c r="F270" s="84"/>
      <c r="G270" s="83"/>
      <c r="H270" s="84"/>
      <c r="I270" s="84"/>
      <c r="J270" s="84"/>
      <c r="K270" s="88"/>
      <c r="L270" s="84"/>
      <c r="M270" s="88"/>
      <c r="N270" s="84"/>
      <c r="O270" s="88"/>
      <c r="P270" s="85"/>
      <c r="Q270" s="75"/>
      <c r="R270" s="75"/>
      <c r="S270" s="75"/>
      <c r="T270" s="75"/>
      <c r="U270" s="86"/>
      <c r="V270" s="84"/>
      <c r="W270" s="87"/>
      <c r="X270" s="84"/>
      <c r="Y270" s="84"/>
      <c r="Z270" s="87"/>
    </row>
    <row r="271" spans="1:26" ht="13">
      <c r="A271" s="83"/>
      <c r="B271" s="83"/>
      <c r="C271" s="83"/>
      <c r="D271" s="87"/>
      <c r="E271" s="84"/>
      <c r="F271" s="84"/>
      <c r="G271" s="83"/>
      <c r="H271" s="84"/>
      <c r="I271" s="84"/>
      <c r="J271" s="84"/>
      <c r="K271" s="88"/>
      <c r="L271" s="84"/>
      <c r="M271" s="88"/>
      <c r="N271" s="84"/>
      <c r="O271" s="88"/>
      <c r="P271" s="85"/>
      <c r="Q271" s="75"/>
      <c r="R271" s="75"/>
      <c r="S271" s="75"/>
      <c r="T271" s="75"/>
      <c r="U271" s="86"/>
      <c r="V271" s="84"/>
      <c r="W271" s="87"/>
      <c r="X271" s="84"/>
      <c r="Y271" s="84"/>
      <c r="Z271" s="87"/>
    </row>
    <row r="272" spans="1:26" ht="13">
      <c r="A272" s="83"/>
      <c r="B272" s="83"/>
      <c r="C272" s="83"/>
      <c r="D272" s="87"/>
      <c r="E272" s="84"/>
      <c r="F272" s="84"/>
      <c r="G272" s="83"/>
      <c r="H272" s="84"/>
      <c r="I272" s="84"/>
      <c r="J272" s="84"/>
      <c r="K272" s="88"/>
      <c r="L272" s="84"/>
      <c r="M272" s="88"/>
      <c r="N272" s="84"/>
      <c r="O272" s="88"/>
      <c r="P272" s="85"/>
      <c r="Q272" s="75"/>
      <c r="R272" s="75"/>
      <c r="S272" s="75"/>
      <c r="T272" s="75"/>
      <c r="U272" s="86"/>
      <c r="V272" s="84"/>
      <c r="W272" s="87"/>
      <c r="X272" s="84"/>
      <c r="Y272" s="84"/>
      <c r="Z272" s="87"/>
    </row>
    <row r="273" spans="1:26" ht="13">
      <c r="A273" s="83"/>
      <c r="B273" s="83"/>
      <c r="C273" s="83"/>
      <c r="D273" s="87"/>
      <c r="E273" s="84"/>
      <c r="F273" s="84"/>
      <c r="G273" s="83"/>
      <c r="H273" s="84"/>
      <c r="I273" s="84"/>
      <c r="J273" s="84"/>
      <c r="K273" s="88"/>
      <c r="L273" s="84"/>
      <c r="M273" s="88"/>
      <c r="N273" s="84"/>
      <c r="O273" s="88"/>
      <c r="P273" s="85"/>
      <c r="Q273" s="75"/>
      <c r="R273" s="75"/>
      <c r="S273" s="75"/>
      <c r="T273" s="75"/>
      <c r="U273" s="86"/>
      <c r="V273" s="84"/>
      <c r="W273" s="87"/>
      <c r="X273" s="84"/>
      <c r="Y273" s="84"/>
      <c r="Z273" s="87"/>
    </row>
    <row r="274" spans="1:26" ht="13">
      <c r="A274" s="83"/>
      <c r="B274" s="83"/>
      <c r="C274" s="83"/>
      <c r="D274" s="87"/>
      <c r="E274" s="84"/>
      <c r="F274" s="84"/>
      <c r="G274" s="83"/>
      <c r="H274" s="84"/>
      <c r="I274" s="84"/>
      <c r="J274" s="84"/>
      <c r="K274" s="88"/>
      <c r="L274" s="84"/>
      <c r="M274" s="88"/>
      <c r="N274" s="84"/>
      <c r="O274" s="88"/>
      <c r="P274" s="85"/>
      <c r="Q274" s="75"/>
      <c r="R274" s="75"/>
      <c r="S274" s="75"/>
      <c r="T274" s="75"/>
      <c r="U274" s="86"/>
      <c r="V274" s="84"/>
      <c r="W274" s="87"/>
      <c r="X274" s="84"/>
      <c r="Y274" s="84"/>
      <c r="Z274" s="87"/>
    </row>
    <row r="275" spans="1:26" ht="13">
      <c r="A275" s="83"/>
      <c r="B275" s="83"/>
      <c r="C275" s="83"/>
      <c r="D275" s="87"/>
      <c r="E275" s="84"/>
      <c r="F275" s="84"/>
      <c r="G275" s="83"/>
      <c r="H275" s="84"/>
      <c r="I275" s="84"/>
      <c r="J275" s="84"/>
      <c r="K275" s="88"/>
      <c r="L275" s="84"/>
      <c r="M275" s="88"/>
      <c r="N275" s="84"/>
      <c r="O275" s="88"/>
      <c r="P275" s="85"/>
      <c r="Q275" s="75"/>
      <c r="R275" s="75"/>
      <c r="S275" s="75"/>
      <c r="T275" s="75"/>
      <c r="U275" s="86"/>
      <c r="V275" s="84"/>
      <c r="W275" s="87"/>
      <c r="X275" s="84"/>
      <c r="Y275" s="84"/>
      <c r="Z275" s="87"/>
    </row>
    <row r="276" spans="1:26" ht="13">
      <c r="A276" s="83"/>
      <c r="B276" s="83"/>
      <c r="C276" s="83"/>
      <c r="D276" s="87"/>
      <c r="E276" s="84"/>
      <c r="F276" s="84"/>
      <c r="G276" s="83"/>
      <c r="H276" s="84"/>
      <c r="I276" s="84"/>
      <c r="J276" s="84"/>
      <c r="K276" s="88"/>
      <c r="L276" s="84"/>
      <c r="M276" s="88"/>
      <c r="N276" s="84"/>
      <c r="O276" s="88"/>
      <c r="P276" s="85"/>
      <c r="Q276" s="75"/>
      <c r="R276" s="75"/>
      <c r="S276" s="75"/>
      <c r="T276" s="75"/>
      <c r="U276" s="86"/>
      <c r="V276" s="84"/>
      <c r="W276" s="87"/>
      <c r="X276" s="84"/>
      <c r="Y276" s="84"/>
      <c r="Z276" s="87"/>
    </row>
    <row r="277" spans="1:26" ht="13">
      <c r="A277" s="83"/>
      <c r="B277" s="83"/>
      <c r="C277" s="83"/>
      <c r="D277" s="87"/>
      <c r="E277" s="84"/>
      <c r="F277" s="84"/>
      <c r="G277" s="83"/>
      <c r="H277" s="84"/>
      <c r="I277" s="84"/>
      <c r="J277" s="84"/>
      <c r="K277" s="88"/>
      <c r="L277" s="84"/>
      <c r="M277" s="88"/>
      <c r="N277" s="84"/>
      <c r="O277" s="88"/>
      <c r="P277" s="85"/>
      <c r="Q277" s="75"/>
      <c r="R277" s="75"/>
      <c r="S277" s="75"/>
      <c r="T277" s="75"/>
      <c r="U277" s="86"/>
      <c r="V277" s="84"/>
      <c r="W277" s="87"/>
      <c r="X277" s="84"/>
      <c r="Y277" s="84"/>
      <c r="Z277" s="87"/>
    </row>
    <row r="278" spans="1:26" ht="13">
      <c r="A278" s="83"/>
      <c r="B278" s="83"/>
      <c r="C278" s="83"/>
      <c r="D278" s="87"/>
      <c r="E278" s="84"/>
      <c r="F278" s="84"/>
      <c r="G278" s="83"/>
      <c r="H278" s="84"/>
      <c r="I278" s="84"/>
      <c r="J278" s="84"/>
      <c r="K278" s="88"/>
      <c r="L278" s="84"/>
      <c r="M278" s="88"/>
      <c r="N278" s="84"/>
      <c r="O278" s="88"/>
      <c r="P278" s="85"/>
      <c r="Q278" s="75"/>
      <c r="R278" s="75"/>
      <c r="S278" s="75"/>
      <c r="T278" s="75"/>
      <c r="U278" s="86"/>
      <c r="V278" s="84"/>
      <c r="W278" s="87"/>
      <c r="X278" s="84"/>
      <c r="Y278" s="84"/>
      <c r="Z278" s="87"/>
    </row>
    <row r="279" spans="1:26" ht="13">
      <c r="A279" s="83"/>
      <c r="B279" s="83"/>
      <c r="C279" s="83"/>
      <c r="D279" s="87"/>
      <c r="E279" s="84"/>
      <c r="F279" s="84"/>
      <c r="G279" s="83"/>
      <c r="H279" s="84"/>
      <c r="I279" s="84"/>
      <c r="J279" s="84"/>
      <c r="K279" s="88"/>
      <c r="L279" s="84"/>
      <c r="M279" s="88"/>
      <c r="N279" s="84"/>
      <c r="O279" s="88"/>
      <c r="P279" s="85"/>
      <c r="Q279" s="75"/>
      <c r="R279" s="75"/>
      <c r="S279" s="75"/>
      <c r="T279" s="75"/>
      <c r="U279" s="86"/>
      <c r="V279" s="84"/>
      <c r="W279" s="87"/>
      <c r="X279" s="84"/>
      <c r="Y279" s="84"/>
      <c r="Z279" s="87"/>
    </row>
    <row r="280" spans="1:26" ht="13">
      <c r="A280" s="83"/>
      <c r="B280" s="83"/>
      <c r="C280" s="83"/>
      <c r="D280" s="87"/>
      <c r="E280" s="84"/>
      <c r="F280" s="84"/>
      <c r="G280" s="83"/>
      <c r="H280" s="84"/>
      <c r="I280" s="84"/>
      <c r="J280" s="84"/>
      <c r="K280" s="88"/>
      <c r="L280" s="84"/>
      <c r="M280" s="88"/>
      <c r="N280" s="84"/>
      <c r="O280" s="88"/>
      <c r="P280" s="85"/>
      <c r="Q280" s="75"/>
      <c r="R280" s="75"/>
      <c r="S280" s="75"/>
      <c r="T280" s="75"/>
      <c r="U280" s="86"/>
      <c r="V280" s="84"/>
      <c r="W280" s="87"/>
      <c r="X280" s="84"/>
      <c r="Y280" s="84"/>
      <c r="Z280" s="87"/>
    </row>
    <row r="281" spans="1:26" ht="13">
      <c r="A281" s="83"/>
      <c r="B281" s="83"/>
      <c r="C281" s="83"/>
      <c r="D281" s="87"/>
      <c r="E281" s="84"/>
      <c r="F281" s="84"/>
      <c r="G281" s="83"/>
      <c r="H281" s="84"/>
      <c r="I281" s="84"/>
      <c r="J281" s="84"/>
      <c r="K281" s="88"/>
      <c r="L281" s="84"/>
      <c r="M281" s="88"/>
      <c r="N281" s="84"/>
      <c r="O281" s="88"/>
      <c r="P281" s="85"/>
      <c r="Q281" s="75"/>
      <c r="R281" s="75"/>
      <c r="S281" s="75"/>
      <c r="T281" s="75"/>
      <c r="U281" s="86"/>
      <c r="V281" s="84"/>
      <c r="W281" s="87"/>
      <c r="X281" s="84"/>
      <c r="Y281" s="84"/>
      <c r="Z281" s="87"/>
    </row>
    <row r="282" spans="1:26" ht="13">
      <c r="A282" s="83"/>
      <c r="B282" s="83"/>
      <c r="C282" s="83"/>
      <c r="D282" s="87"/>
      <c r="E282" s="84"/>
      <c r="F282" s="84"/>
      <c r="G282" s="83"/>
      <c r="H282" s="84"/>
      <c r="I282" s="84"/>
      <c r="J282" s="84"/>
      <c r="K282" s="88"/>
      <c r="L282" s="84"/>
      <c r="M282" s="88"/>
      <c r="N282" s="84"/>
      <c r="O282" s="88"/>
      <c r="P282" s="85"/>
      <c r="Q282" s="75"/>
      <c r="R282" s="75"/>
      <c r="S282" s="75"/>
      <c r="T282" s="75"/>
      <c r="U282" s="86"/>
      <c r="V282" s="84"/>
      <c r="W282" s="87"/>
      <c r="X282" s="84"/>
      <c r="Y282" s="84"/>
      <c r="Z282" s="87"/>
    </row>
    <row r="283" spans="1:26" ht="13">
      <c r="A283" s="83"/>
      <c r="B283" s="83"/>
      <c r="C283" s="83"/>
      <c r="D283" s="87"/>
      <c r="E283" s="84"/>
      <c r="F283" s="84"/>
      <c r="G283" s="83"/>
      <c r="H283" s="84"/>
      <c r="I283" s="84"/>
      <c r="J283" s="84"/>
      <c r="K283" s="88"/>
      <c r="L283" s="84"/>
      <c r="M283" s="88"/>
      <c r="N283" s="84"/>
      <c r="O283" s="88"/>
      <c r="P283" s="85"/>
      <c r="Q283" s="75"/>
      <c r="R283" s="75"/>
      <c r="S283" s="75"/>
      <c r="T283" s="75"/>
      <c r="U283" s="86"/>
      <c r="V283" s="84"/>
      <c r="W283" s="87"/>
      <c r="X283" s="84"/>
      <c r="Y283" s="84"/>
      <c r="Z283" s="87"/>
    </row>
    <row r="284" spans="1:26" ht="13">
      <c r="A284" s="83"/>
      <c r="B284" s="83"/>
      <c r="C284" s="83"/>
      <c r="D284" s="87"/>
      <c r="E284" s="84"/>
      <c r="F284" s="84"/>
      <c r="G284" s="83"/>
      <c r="H284" s="84"/>
      <c r="I284" s="84"/>
      <c r="J284" s="84"/>
      <c r="K284" s="88"/>
      <c r="L284" s="84"/>
      <c r="M284" s="88"/>
      <c r="N284" s="84"/>
      <c r="O284" s="88"/>
      <c r="P284" s="85"/>
      <c r="Q284" s="75"/>
      <c r="R284" s="75"/>
      <c r="S284" s="75"/>
      <c r="T284" s="75"/>
      <c r="U284" s="86"/>
      <c r="V284" s="84"/>
      <c r="W284" s="87"/>
      <c r="X284" s="84"/>
      <c r="Y284" s="84"/>
      <c r="Z284" s="87"/>
    </row>
    <row r="285" spans="1:26" ht="13">
      <c r="A285" s="83"/>
      <c r="B285" s="83"/>
      <c r="C285" s="83"/>
      <c r="D285" s="87"/>
      <c r="E285" s="84"/>
      <c r="F285" s="84"/>
      <c r="G285" s="83"/>
      <c r="H285" s="84"/>
      <c r="I285" s="84"/>
      <c r="J285" s="84"/>
      <c r="K285" s="88"/>
      <c r="L285" s="84"/>
      <c r="M285" s="88"/>
      <c r="N285" s="84"/>
      <c r="O285" s="88"/>
      <c r="P285" s="85"/>
      <c r="Q285" s="75"/>
      <c r="R285" s="75"/>
      <c r="S285" s="75"/>
      <c r="T285" s="75"/>
      <c r="U285" s="86"/>
      <c r="V285" s="84"/>
      <c r="W285" s="87"/>
      <c r="X285" s="84"/>
      <c r="Y285" s="84"/>
      <c r="Z285" s="87"/>
    </row>
    <row r="286" spans="1:26" ht="13">
      <c r="A286" s="83"/>
      <c r="B286" s="83"/>
      <c r="C286" s="83"/>
      <c r="D286" s="87"/>
      <c r="E286" s="84"/>
      <c r="F286" s="84"/>
      <c r="G286" s="83"/>
      <c r="H286" s="84"/>
      <c r="I286" s="84"/>
      <c r="J286" s="84"/>
      <c r="K286" s="88"/>
      <c r="L286" s="84"/>
      <c r="M286" s="88"/>
      <c r="N286" s="84"/>
      <c r="O286" s="88"/>
      <c r="P286" s="85"/>
      <c r="Q286" s="75"/>
      <c r="R286" s="75"/>
      <c r="S286" s="75"/>
      <c r="T286" s="75"/>
      <c r="U286" s="86"/>
      <c r="V286" s="84"/>
      <c r="W286" s="87"/>
      <c r="X286" s="84"/>
      <c r="Y286" s="84"/>
      <c r="Z286" s="87"/>
    </row>
    <row r="287" spans="1:26" ht="13">
      <c r="A287" s="83"/>
      <c r="B287" s="83"/>
      <c r="C287" s="83"/>
      <c r="D287" s="87"/>
      <c r="E287" s="84"/>
      <c r="F287" s="84"/>
      <c r="G287" s="83"/>
      <c r="H287" s="84"/>
      <c r="I287" s="84"/>
      <c r="J287" s="84"/>
      <c r="K287" s="88"/>
      <c r="L287" s="84"/>
      <c r="M287" s="88"/>
      <c r="N287" s="84"/>
      <c r="O287" s="88"/>
      <c r="P287" s="85"/>
      <c r="Q287" s="75"/>
      <c r="R287" s="75"/>
      <c r="S287" s="75"/>
      <c r="T287" s="75"/>
      <c r="U287" s="86"/>
      <c r="V287" s="84"/>
      <c r="W287" s="87"/>
      <c r="X287" s="84"/>
      <c r="Y287" s="84"/>
      <c r="Z287" s="87"/>
    </row>
    <row r="288" spans="1:26" ht="13">
      <c r="A288" s="83"/>
      <c r="B288" s="83"/>
      <c r="C288" s="83"/>
      <c r="D288" s="87"/>
      <c r="E288" s="84"/>
      <c r="F288" s="84"/>
      <c r="G288" s="83"/>
      <c r="H288" s="84"/>
      <c r="I288" s="84"/>
      <c r="J288" s="84"/>
      <c r="K288" s="88"/>
      <c r="L288" s="84"/>
      <c r="M288" s="88"/>
      <c r="N288" s="84"/>
      <c r="O288" s="88"/>
      <c r="P288" s="85"/>
      <c r="Q288" s="75"/>
      <c r="R288" s="75"/>
      <c r="S288" s="75"/>
      <c r="T288" s="75"/>
      <c r="U288" s="86"/>
      <c r="V288" s="84"/>
      <c r="W288" s="87"/>
      <c r="X288" s="84"/>
      <c r="Y288" s="84"/>
      <c r="Z288" s="87"/>
    </row>
    <row r="289" spans="1:26" ht="13">
      <c r="A289" s="83"/>
      <c r="B289" s="83"/>
      <c r="C289" s="83"/>
      <c r="D289" s="87"/>
      <c r="E289" s="84"/>
      <c r="F289" s="84"/>
      <c r="G289" s="83"/>
      <c r="H289" s="84"/>
      <c r="I289" s="84"/>
      <c r="J289" s="84"/>
      <c r="K289" s="88"/>
      <c r="L289" s="84"/>
      <c r="M289" s="88"/>
      <c r="N289" s="84"/>
      <c r="O289" s="88"/>
      <c r="P289" s="85"/>
      <c r="Q289" s="75"/>
      <c r="R289" s="75"/>
      <c r="S289" s="75"/>
      <c r="T289" s="75"/>
      <c r="U289" s="86"/>
      <c r="V289" s="84"/>
      <c r="W289" s="87"/>
      <c r="X289" s="84"/>
      <c r="Y289" s="84"/>
      <c r="Z289" s="87"/>
    </row>
    <row r="290" spans="1:26" ht="13">
      <c r="A290" s="83"/>
      <c r="B290" s="83"/>
      <c r="C290" s="83"/>
      <c r="D290" s="87"/>
      <c r="E290" s="84"/>
      <c r="F290" s="84"/>
      <c r="G290" s="83"/>
      <c r="H290" s="84"/>
      <c r="I290" s="84"/>
      <c r="J290" s="84"/>
      <c r="K290" s="88"/>
      <c r="L290" s="84"/>
      <c r="M290" s="88"/>
      <c r="N290" s="84"/>
      <c r="O290" s="88"/>
      <c r="P290" s="85"/>
      <c r="Q290" s="75"/>
      <c r="R290" s="75"/>
      <c r="S290" s="75"/>
      <c r="T290" s="75"/>
      <c r="U290" s="86"/>
      <c r="V290" s="84"/>
      <c r="W290" s="87"/>
      <c r="X290" s="84"/>
      <c r="Y290" s="84"/>
      <c r="Z290" s="87"/>
    </row>
    <row r="291" spans="1:26" ht="13">
      <c r="A291" s="83"/>
      <c r="B291" s="83"/>
      <c r="C291" s="83"/>
      <c r="D291" s="87"/>
      <c r="E291" s="84"/>
      <c r="F291" s="84"/>
      <c r="G291" s="83"/>
      <c r="H291" s="84"/>
      <c r="I291" s="84"/>
      <c r="J291" s="84"/>
      <c r="K291" s="88"/>
      <c r="L291" s="84"/>
      <c r="M291" s="88"/>
      <c r="N291" s="84"/>
      <c r="O291" s="88"/>
      <c r="P291" s="85"/>
      <c r="Q291" s="75"/>
      <c r="R291" s="75"/>
      <c r="S291" s="75"/>
      <c r="T291" s="75"/>
      <c r="U291" s="86"/>
      <c r="V291" s="84"/>
      <c r="W291" s="87"/>
      <c r="X291" s="84"/>
      <c r="Y291" s="84"/>
      <c r="Z291" s="87"/>
    </row>
    <row r="292" spans="1:26" ht="13">
      <c r="A292" s="83"/>
      <c r="B292" s="83"/>
      <c r="C292" s="83"/>
      <c r="D292" s="87"/>
      <c r="E292" s="84"/>
      <c r="F292" s="84"/>
      <c r="G292" s="83"/>
      <c r="H292" s="84"/>
      <c r="I292" s="84"/>
      <c r="J292" s="84"/>
      <c r="K292" s="88"/>
      <c r="L292" s="84"/>
      <c r="M292" s="88"/>
      <c r="N292" s="84"/>
      <c r="O292" s="88"/>
      <c r="P292" s="85"/>
      <c r="Q292" s="75"/>
      <c r="R292" s="75"/>
      <c r="S292" s="75"/>
      <c r="T292" s="75"/>
      <c r="U292" s="86"/>
      <c r="V292" s="84"/>
      <c r="W292" s="87"/>
      <c r="X292" s="84"/>
      <c r="Y292" s="84"/>
      <c r="Z292" s="87"/>
    </row>
    <row r="293" spans="1:26" ht="13">
      <c r="A293" s="83"/>
      <c r="B293" s="83"/>
      <c r="C293" s="83"/>
      <c r="D293" s="87"/>
      <c r="E293" s="84"/>
      <c r="F293" s="84"/>
      <c r="G293" s="83"/>
      <c r="H293" s="84"/>
      <c r="I293" s="84"/>
      <c r="J293" s="84"/>
      <c r="K293" s="88"/>
      <c r="L293" s="84"/>
      <c r="M293" s="88"/>
      <c r="N293" s="84"/>
      <c r="O293" s="88"/>
      <c r="P293" s="85"/>
      <c r="Q293" s="75"/>
      <c r="R293" s="75"/>
      <c r="S293" s="75"/>
      <c r="T293" s="75"/>
      <c r="U293" s="86"/>
      <c r="V293" s="84"/>
      <c r="W293" s="87"/>
      <c r="X293" s="84"/>
      <c r="Y293" s="84"/>
      <c r="Z293" s="87"/>
    </row>
    <row r="294" spans="1:26" ht="13">
      <c r="A294" s="83"/>
      <c r="B294" s="83"/>
      <c r="C294" s="83"/>
      <c r="D294" s="87"/>
      <c r="E294" s="84"/>
      <c r="F294" s="84"/>
      <c r="G294" s="83"/>
      <c r="H294" s="84"/>
      <c r="I294" s="84"/>
      <c r="J294" s="84"/>
      <c r="K294" s="88"/>
      <c r="L294" s="84"/>
      <c r="M294" s="88"/>
      <c r="N294" s="84"/>
      <c r="O294" s="88"/>
      <c r="P294" s="85"/>
      <c r="Q294" s="75"/>
      <c r="R294" s="75"/>
      <c r="S294" s="75"/>
      <c r="T294" s="75"/>
      <c r="U294" s="86"/>
      <c r="V294" s="84"/>
      <c r="W294" s="87"/>
      <c r="X294" s="84"/>
      <c r="Y294" s="84"/>
      <c r="Z294" s="87"/>
    </row>
    <row r="295" spans="1:26" ht="13">
      <c r="A295" s="83"/>
      <c r="B295" s="83"/>
      <c r="C295" s="83"/>
      <c r="D295" s="87"/>
      <c r="E295" s="84"/>
      <c r="F295" s="84"/>
      <c r="G295" s="83"/>
      <c r="H295" s="84"/>
      <c r="I295" s="84"/>
      <c r="J295" s="84"/>
      <c r="K295" s="88"/>
      <c r="L295" s="84"/>
      <c r="M295" s="88"/>
      <c r="N295" s="84"/>
      <c r="O295" s="88"/>
      <c r="P295" s="85"/>
      <c r="Q295" s="75"/>
      <c r="R295" s="75"/>
      <c r="S295" s="75"/>
      <c r="T295" s="75"/>
      <c r="U295" s="86"/>
      <c r="V295" s="84"/>
      <c r="W295" s="87"/>
      <c r="X295" s="84"/>
      <c r="Y295" s="84"/>
      <c r="Z295" s="87"/>
    </row>
    <row r="296" spans="1:26" ht="13">
      <c r="A296" s="83"/>
      <c r="B296" s="83"/>
      <c r="C296" s="83"/>
      <c r="D296" s="87"/>
      <c r="E296" s="84"/>
      <c r="F296" s="84"/>
      <c r="G296" s="83"/>
      <c r="H296" s="84"/>
      <c r="I296" s="84"/>
      <c r="J296" s="84"/>
      <c r="K296" s="88"/>
      <c r="L296" s="84"/>
      <c r="M296" s="88"/>
      <c r="N296" s="84"/>
      <c r="O296" s="88"/>
      <c r="P296" s="85"/>
      <c r="Q296" s="75"/>
      <c r="R296" s="75"/>
      <c r="S296" s="75"/>
      <c r="T296" s="75"/>
      <c r="U296" s="86"/>
      <c r="V296" s="84"/>
      <c r="W296" s="87"/>
      <c r="X296" s="84"/>
      <c r="Y296" s="84"/>
      <c r="Z296" s="87"/>
    </row>
    <row r="297" spans="1:26" ht="13">
      <c r="A297" s="83"/>
      <c r="B297" s="83"/>
      <c r="C297" s="83"/>
      <c r="D297" s="87"/>
      <c r="E297" s="84"/>
      <c r="F297" s="84"/>
      <c r="G297" s="83"/>
      <c r="H297" s="84"/>
      <c r="I297" s="84"/>
      <c r="J297" s="84"/>
      <c r="K297" s="88"/>
      <c r="L297" s="84"/>
      <c r="M297" s="88"/>
      <c r="N297" s="84"/>
      <c r="O297" s="88"/>
      <c r="P297" s="85"/>
      <c r="Q297" s="75"/>
      <c r="R297" s="75"/>
      <c r="S297" s="75"/>
      <c r="T297" s="75"/>
      <c r="U297" s="86"/>
      <c r="V297" s="84"/>
      <c r="W297" s="87"/>
      <c r="X297" s="84"/>
      <c r="Y297" s="84"/>
      <c r="Z297" s="87"/>
    </row>
    <row r="298" spans="1:26" ht="13">
      <c r="A298" s="83"/>
      <c r="B298" s="83"/>
      <c r="C298" s="83"/>
      <c r="D298" s="87"/>
      <c r="E298" s="84"/>
      <c r="F298" s="84"/>
      <c r="G298" s="83"/>
      <c r="H298" s="84"/>
      <c r="I298" s="84"/>
      <c r="J298" s="84"/>
      <c r="K298" s="88"/>
      <c r="L298" s="84"/>
      <c r="M298" s="88"/>
      <c r="N298" s="84"/>
      <c r="O298" s="88"/>
      <c r="P298" s="85"/>
      <c r="Q298" s="75"/>
      <c r="R298" s="75"/>
      <c r="S298" s="75"/>
      <c r="T298" s="75"/>
      <c r="U298" s="86"/>
      <c r="V298" s="84"/>
      <c r="W298" s="87"/>
      <c r="X298" s="84"/>
      <c r="Y298" s="84"/>
      <c r="Z298" s="87"/>
    </row>
    <row r="299" spans="1:26" ht="13">
      <c r="A299" s="83"/>
      <c r="B299" s="83"/>
      <c r="C299" s="83"/>
      <c r="D299" s="87"/>
      <c r="E299" s="84"/>
      <c r="F299" s="84"/>
      <c r="G299" s="83"/>
      <c r="H299" s="84"/>
      <c r="I299" s="84"/>
      <c r="J299" s="84"/>
      <c r="K299" s="88"/>
      <c r="L299" s="84"/>
      <c r="M299" s="88"/>
      <c r="N299" s="84"/>
      <c r="O299" s="88"/>
      <c r="P299" s="85"/>
      <c r="Q299" s="75"/>
      <c r="R299" s="75"/>
      <c r="S299" s="75"/>
      <c r="T299" s="75"/>
      <c r="U299" s="86"/>
      <c r="V299" s="84"/>
      <c r="W299" s="87"/>
      <c r="X299" s="84"/>
      <c r="Y299" s="84"/>
      <c r="Z299" s="87"/>
    </row>
    <row r="300" spans="1:26" ht="13">
      <c r="A300" s="83"/>
      <c r="B300" s="83"/>
      <c r="C300" s="83"/>
      <c r="D300" s="87"/>
      <c r="E300" s="84"/>
      <c r="F300" s="84"/>
      <c r="G300" s="83"/>
      <c r="H300" s="84"/>
      <c r="I300" s="84"/>
      <c r="J300" s="84"/>
      <c r="K300" s="88"/>
      <c r="L300" s="84"/>
      <c r="M300" s="88"/>
      <c r="N300" s="84"/>
      <c r="O300" s="88"/>
      <c r="P300" s="85"/>
      <c r="Q300" s="75"/>
      <c r="R300" s="75"/>
      <c r="S300" s="75"/>
      <c r="T300" s="75"/>
      <c r="U300" s="86"/>
      <c r="V300" s="84"/>
      <c r="W300" s="87"/>
      <c r="X300" s="84"/>
      <c r="Y300" s="84"/>
      <c r="Z300" s="87"/>
    </row>
    <row r="301" spans="1:26" ht="13">
      <c r="A301" s="83"/>
      <c r="B301" s="83"/>
      <c r="C301" s="83"/>
      <c r="D301" s="87"/>
      <c r="E301" s="84"/>
      <c r="F301" s="84"/>
      <c r="G301" s="83"/>
      <c r="H301" s="84"/>
      <c r="I301" s="84"/>
      <c r="J301" s="84"/>
      <c r="K301" s="88"/>
      <c r="L301" s="84"/>
      <c r="M301" s="88"/>
      <c r="N301" s="84"/>
      <c r="O301" s="88"/>
      <c r="P301" s="85"/>
      <c r="Q301" s="75"/>
      <c r="R301" s="75"/>
      <c r="S301" s="75"/>
      <c r="T301" s="75"/>
      <c r="U301" s="86"/>
      <c r="V301" s="84"/>
      <c r="W301" s="87"/>
      <c r="X301" s="84"/>
      <c r="Y301" s="84"/>
      <c r="Z301" s="87"/>
    </row>
    <row r="302" spans="1:26" ht="13">
      <c r="A302" s="83"/>
      <c r="B302" s="83"/>
      <c r="C302" s="83"/>
      <c r="D302" s="87"/>
      <c r="E302" s="84"/>
      <c r="F302" s="84"/>
      <c r="G302" s="83"/>
      <c r="H302" s="84"/>
      <c r="I302" s="84"/>
      <c r="J302" s="84"/>
      <c r="K302" s="88"/>
      <c r="L302" s="84"/>
      <c r="M302" s="88"/>
      <c r="N302" s="84"/>
      <c r="O302" s="88"/>
      <c r="P302" s="85"/>
      <c r="Q302" s="75"/>
      <c r="R302" s="75"/>
      <c r="S302" s="75"/>
      <c r="T302" s="75"/>
      <c r="U302" s="86"/>
      <c r="V302" s="84"/>
      <c r="W302" s="87"/>
      <c r="X302" s="84"/>
      <c r="Y302" s="84"/>
      <c r="Z302" s="87"/>
    </row>
    <row r="303" spans="1:26" ht="13">
      <c r="A303" s="83"/>
      <c r="B303" s="83"/>
      <c r="C303" s="83"/>
      <c r="D303" s="87"/>
      <c r="E303" s="84"/>
      <c r="F303" s="84"/>
      <c r="G303" s="83"/>
      <c r="H303" s="84"/>
      <c r="I303" s="84"/>
      <c r="J303" s="84"/>
      <c r="K303" s="88"/>
      <c r="L303" s="84"/>
      <c r="M303" s="88"/>
      <c r="N303" s="84"/>
      <c r="O303" s="88"/>
      <c r="P303" s="85"/>
      <c r="Q303" s="75"/>
      <c r="R303" s="75"/>
      <c r="S303" s="75"/>
      <c r="T303" s="75"/>
      <c r="U303" s="86"/>
      <c r="V303" s="84"/>
      <c r="W303" s="87"/>
      <c r="X303" s="84"/>
      <c r="Y303" s="84"/>
      <c r="Z303" s="87"/>
    </row>
    <row r="304" spans="1:26" ht="13">
      <c r="A304" s="83"/>
      <c r="B304" s="83"/>
      <c r="C304" s="83"/>
      <c r="D304" s="87"/>
      <c r="E304" s="84"/>
      <c r="F304" s="84"/>
      <c r="G304" s="83"/>
      <c r="H304" s="84"/>
      <c r="I304" s="84"/>
      <c r="J304" s="84"/>
      <c r="K304" s="88"/>
      <c r="L304" s="84"/>
      <c r="M304" s="88"/>
      <c r="N304" s="84"/>
      <c r="O304" s="88"/>
      <c r="P304" s="85"/>
      <c r="Q304" s="75"/>
      <c r="R304" s="75"/>
      <c r="S304" s="75"/>
      <c r="T304" s="75"/>
      <c r="U304" s="86"/>
      <c r="V304" s="84"/>
      <c r="W304" s="87"/>
      <c r="X304" s="84"/>
      <c r="Y304" s="84"/>
      <c r="Z304" s="87"/>
    </row>
    <row r="305" spans="1:26" ht="13">
      <c r="A305" s="83"/>
      <c r="B305" s="83"/>
      <c r="C305" s="83"/>
      <c r="D305" s="87"/>
      <c r="E305" s="84"/>
      <c r="F305" s="84"/>
      <c r="G305" s="83"/>
      <c r="H305" s="84"/>
      <c r="I305" s="84"/>
      <c r="J305" s="84"/>
      <c r="K305" s="88"/>
      <c r="L305" s="84"/>
      <c r="M305" s="88"/>
      <c r="N305" s="84"/>
      <c r="O305" s="88"/>
      <c r="P305" s="85"/>
      <c r="Q305" s="75"/>
      <c r="R305" s="75"/>
      <c r="S305" s="75"/>
      <c r="T305" s="75"/>
      <c r="U305" s="86"/>
      <c r="V305" s="84"/>
      <c r="W305" s="87"/>
      <c r="X305" s="84"/>
      <c r="Y305" s="84"/>
      <c r="Z305" s="87"/>
    </row>
    <row r="306" spans="1:26" ht="13">
      <c r="A306" s="83"/>
      <c r="B306" s="83"/>
      <c r="C306" s="83"/>
      <c r="D306" s="87"/>
      <c r="E306" s="84"/>
      <c r="F306" s="84"/>
      <c r="G306" s="83"/>
      <c r="H306" s="84"/>
      <c r="I306" s="84"/>
      <c r="J306" s="84"/>
      <c r="K306" s="88"/>
      <c r="L306" s="84"/>
      <c r="M306" s="88"/>
      <c r="N306" s="84"/>
      <c r="O306" s="88"/>
      <c r="P306" s="85"/>
      <c r="Q306" s="75"/>
      <c r="R306" s="75"/>
      <c r="S306" s="75"/>
      <c r="T306" s="75"/>
      <c r="U306" s="86"/>
      <c r="V306" s="84"/>
      <c r="W306" s="87"/>
      <c r="X306" s="84"/>
      <c r="Y306" s="84"/>
      <c r="Z306" s="87"/>
    </row>
    <row r="307" spans="1:26" ht="13">
      <c r="A307" s="83"/>
      <c r="B307" s="83"/>
      <c r="C307" s="83"/>
      <c r="D307" s="87"/>
      <c r="E307" s="84"/>
      <c r="F307" s="84"/>
      <c r="G307" s="83"/>
      <c r="H307" s="84"/>
      <c r="I307" s="84"/>
      <c r="J307" s="84"/>
      <c r="K307" s="88"/>
      <c r="L307" s="84"/>
      <c r="M307" s="88"/>
      <c r="N307" s="84"/>
      <c r="O307" s="88"/>
      <c r="P307" s="85"/>
      <c r="Q307" s="75"/>
      <c r="R307" s="75"/>
      <c r="S307" s="75"/>
      <c r="T307" s="75"/>
      <c r="U307" s="86"/>
      <c r="V307" s="84"/>
      <c r="W307" s="87"/>
      <c r="X307" s="84"/>
      <c r="Y307" s="84"/>
      <c r="Z307" s="87"/>
    </row>
    <row r="308" spans="1:26" ht="13">
      <c r="A308" s="83"/>
      <c r="B308" s="83"/>
      <c r="C308" s="83"/>
      <c r="D308" s="87"/>
      <c r="E308" s="84"/>
      <c r="F308" s="84"/>
      <c r="G308" s="83"/>
      <c r="H308" s="84"/>
      <c r="I308" s="84"/>
      <c r="J308" s="84"/>
      <c r="K308" s="88"/>
      <c r="L308" s="84"/>
      <c r="M308" s="88"/>
      <c r="N308" s="84"/>
      <c r="O308" s="88"/>
      <c r="P308" s="85"/>
      <c r="Q308" s="75"/>
      <c r="R308" s="75"/>
      <c r="S308" s="75"/>
      <c r="T308" s="75"/>
      <c r="U308" s="86"/>
      <c r="V308" s="84"/>
      <c r="W308" s="87"/>
      <c r="X308" s="84"/>
      <c r="Y308" s="84"/>
      <c r="Z308" s="87"/>
    </row>
    <row r="309" spans="1:26" ht="13">
      <c r="A309" s="83"/>
      <c r="B309" s="83"/>
      <c r="C309" s="83"/>
      <c r="D309" s="87"/>
      <c r="E309" s="84"/>
      <c r="F309" s="84"/>
      <c r="G309" s="83"/>
      <c r="H309" s="84"/>
      <c r="I309" s="84"/>
      <c r="J309" s="84"/>
      <c r="K309" s="88"/>
      <c r="L309" s="84"/>
      <c r="M309" s="88"/>
      <c r="N309" s="84"/>
      <c r="O309" s="88"/>
      <c r="P309" s="85"/>
      <c r="Q309" s="75"/>
      <c r="R309" s="75"/>
      <c r="S309" s="75"/>
      <c r="T309" s="75"/>
      <c r="U309" s="86"/>
      <c r="V309" s="84"/>
      <c r="W309" s="87"/>
      <c r="X309" s="84"/>
      <c r="Y309" s="84"/>
      <c r="Z309" s="87"/>
    </row>
    <row r="310" spans="1:26" ht="13">
      <c r="A310" s="83"/>
      <c r="B310" s="83"/>
      <c r="C310" s="83"/>
      <c r="D310" s="87"/>
      <c r="E310" s="84"/>
      <c r="F310" s="84"/>
      <c r="G310" s="83"/>
      <c r="H310" s="84"/>
      <c r="I310" s="84"/>
      <c r="J310" s="84"/>
      <c r="K310" s="88"/>
      <c r="L310" s="84"/>
      <c r="M310" s="88"/>
      <c r="N310" s="84"/>
      <c r="O310" s="88"/>
      <c r="P310" s="85"/>
      <c r="Q310" s="75"/>
      <c r="R310" s="75"/>
      <c r="S310" s="75"/>
      <c r="T310" s="75"/>
      <c r="U310" s="86"/>
      <c r="V310" s="84"/>
      <c r="W310" s="87"/>
      <c r="X310" s="84"/>
      <c r="Y310" s="84"/>
      <c r="Z310" s="87"/>
    </row>
    <row r="311" spans="1:26" ht="13">
      <c r="A311" s="83"/>
      <c r="B311" s="83"/>
      <c r="C311" s="83"/>
      <c r="D311" s="87"/>
      <c r="E311" s="84"/>
      <c r="F311" s="84"/>
      <c r="G311" s="83"/>
      <c r="H311" s="84"/>
      <c r="I311" s="84"/>
      <c r="J311" s="84"/>
      <c r="K311" s="88"/>
      <c r="L311" s="84"/>
      <c r="M311" s="88"/>
      <c r="N311" s="84"/>
      <c r="O311" s="88"/>
      <c r="P311" s="85"/>
      <c r="Q311" s="75"/>
      <c r="R311" s="75"/>
      <c r="S311" s="75"/>
      <c r="T311" s="75"/>
      <c r="U311" s="86"/>
      <c r="V311" s="84"/>
      <c r="W311" s="87"/>
      <c r="X311" s="84"/>
      <c r="Y311" s="84"/>
      <c r="Z311" s="87"/>
    </row>
    <row r="312" spans="1:26" ht="13">
      <c r="A312" s="83"/>
      <c r="B312" s="83"/>
      <c r="C312" s="83"/>
      <c r="D312" s="87"/>
      <c r="E312" s="84"/>
      <c r="F312" s="84"/>
      <c r="G312" s="83"/>
      <c r="H312" s="84"/>
      <c r="I312" s="84"/>
      <c r="J312" s="84"/>
      <c r="K312" s="88"/>
      <c r="L312" s="84"/>
      <c r="M312" s="88"/>
      <c r="N312" s="84"/>
      <c r="O312" s="88"/>
      <c r="P312" s="85"/>
      <c r="Q312" s="75"/>
      <c r="R312" s="75"/>
      <c r="S312" s="75"/>
      <c r="T312" s="75"/>
      <c r="U312" s="86"/>
      <c r="V312" s="84"/>
      <c r="W312" s="87"/>
      <c r="X312" s="84"/>
      <c r="Y312" s="84"/>
      <c r="Z312" s="87"/>
    </row>
    <row r="313" spans="1:26" ht="13">
      <c r="A313" s="83"/>
      <c r="B313" s="83"/>
      <c r="C313" s="83"/>
      <c r="D313" s="87"/>
      <c r="E313" s="84"/>
      <c r="F313" s="84"/>
      <c r="G313" s="83"/>
      <c r="H313" s="84"/>
      <c r="I313" s="84"/>
      <c r="J313" s="84"/>
      <c r="K313" s="88"/>
      <c r="L313" s="84"/>
      <c r="M313" s="88"/>
      <c r="N313" s="84"/>
      <c r="O313" s="88"/>
      <c r="P313" s="85"/>
      <c r="Q313" s="75"/>
      <c r="R313" s="75"/>
      <c r="S313" s="75"/>
      <c r="T313" s="75"/>
      <c r="U313" s="86"/>
      <c r="V313" s="84"/>
      <c r="W313" s="87"/>
      <c r="X313" s="84"/>
      <c r="Y313" s="84"/>
      <c r="Z313" s="87"/>
    </row>
    <row r="314" spans="1:26" ht="13">
      <c r="A314" s="83"/>
      <c r="B314" s="83"/>
      <c r="C314" s="83"/>
      <c r="D314" s="87"/>
      <c r="E314" s="84"/>
      <c r="F314" s="84"/>
      <c r="G314" s="83"/>
      <c r="H314" s="84"/>
      <c r="I314" s="84"/>
      <c r="J314" s="84"/>
      <c r="K314" s="88"/>
      <c r="L314" s="84"/>
      <c r="M314" s="88"/>
      <c r="N314" s="84"/>
      <c r="O314" s="88"/>
      <c r="P314" s="85"/>
      <c r="Q314" s="75"/>
      <c r="R314" s="75"/>
      <c r="S314" s="75"/>
      <c r="T314" s="75"/>
      <c r="U314" s="86"/>
      <c r="V314" s="84"/>
      <c r="W314" s="87"/>
      <c r="X314" s="84"/>
      <c r="Y314" s="84"/>
      <c r="Z314" s="87"/>
    </row>
    <row r="315" spans="1:26" ht="13">
      <c r="A315" s="83"/>
      <c r="B315" s="83"/>
      <c r="C315" s="83"/>
      <c r="D315" s="87"/>
      <c r="E315" s="84"/>
      <c r="F315" s="84"/>
      <c r="G315" s="83"/>
      <c r="H315" s="84"/>
      <c r="I315" s="84"/>
      <c r="J315" s="84"/>
      <c r="K315" s="88"/>
      <c r="L315" s="84"/>
      <c r="M315" s="88"/>
      <c r="N315" s="84"/>
      <c r="O315" s="88"/>
      <c r="P315" s="85"/>
      <c r="Q315" s="75"/>
      <c r="R315" s="75"/>
      <c r="S315" s="75"/>
      <c r="T315" s="75"/>
      <c r="U315" s="86"/>
      <c r="V315" s="84"/>
      <c r="W315" s="87"/>
      <c r="X315" s="84"/>
      <c r="Y315" s="84"/>
      <c r="Z315" s="87"/>
    </row>
    <row r="316" spans="1:26" ht="13">
      <c r="A316" s="83"/>
      <c r="B316" s="83"/>
      <c r="C316" s="83"/>
      <c r="D316" s="87"/>
      <c r="E316" s="84"/>
      <c r="F316" s="84"/>
      <c r="G316" s="83"/>
      <c r="H316" s="84"/>
      <c r="I316" s="84"/>
      <c r="J316" s="84"/>
      <c r="K316" s="88"/>
      <c r="L316" s="84"/>
      <c r="M316" s="88"/>
      <c r="N316" s="84"/>
      <c r="O316" s="88"/>
      <c r="P316" s="85"/>
      <c r="Q316" s="75"/>
      <c r="R316" s="75"/>
      <c r="S316" s="75"/>
      <c r="T316" s="75"/>
      <c r="U316" s="86"/>
      <c r="V316" s="84"/>
      <c r="W316" s="87"/>
      <c r="X316" s="84"/>
      <c r="Y316" s="84"/>
      <c r="Z316" s="87"/>
    </row>
    <row r="317" spans="1:26" ht="13">
      <c r="A317" s="83"/>
      <c r="B317" s="83"/>
      <c r="C317" s="83"/>
      <c r="D317" s="87"/>
      <c r="E317" s="84"/>
      <c r="F317" s="84"/>
      <c r="G317" s="83"/>
      <c r="H317" s="84"/>
      <c r="I317" s="84"/>
      <c r="J317" s="84"/>
      <c r="K317" s="88"/>
      <c r="L317" s="84"/>
      <c r="M317" s="88"/>
      <c r="N317" s="84"/>
      <c r="O317" s="88"/>
      <c r="P317" s="85"/>
      <c r="Q317" s="75"/>
      <c r="R317" s="75"/>
      <c r="S317" s="75"/>
      <c r="T317" s="75"/>
      <c r="U317" s="86"/>
      <c r="V317" s="84"/>
      <c r="W317" s="87"/>
      <c r="X317" s="84"/>
      <c r="Y317" s="84"/>
      <c r="Z317" s="87"/>
    </row>
    <row r="318" spans="1:26" ht="13">
      <c r="A318" s="83"/>
      <c r="B318" s="83"/>
      <c r="C318" s="83"/>
      <c r="D318" s="87"/>
      <c r="E318" s="84"/>
      <c r="F318" s="84"/>
      <c r="G318" s="83"/>
      <c r="H318" s="84"/>
      <c r="I318" s="84"/>
      <c r="J318" s="84"/>
      <c r="K318" s="88"/>
      <c r="L318" s="84"/>
      <c r="M318" s="88"/>
      <c r="N318" s="84"/>
      <c r="O318" s="88"/>
      <c r="P318" s="85"/>
      <c r="Q318" s="75"/>
      <c r="R318" s="75"/>
      <c r="S318" s="75"/>
      <c r="T318" s="75"/>
      <c r="U318" s="86"/>
      <c r="V318" s="84"/>
      <c r="W318" s="87"/>
      <c r="X318" s="84"/>
      <c r="Y318" s="84"/>
      <c r="Z318" s="87"/>
    </row>
    <row r="319" spans="1:26" ht="13">
      <c r="A319" s="83"/>
      <c r="B319" s="83"/>
      <c r="C319" s="83"/>
      <c r="D319" s="87"/>
      <c r="E319" s="84"/>
      <c r="F319" s="84"/>
      <c r="G319" s="83"/>
      <c r="H319" s="84"/>
      <c r="I319" s="84"/>
      <c r="J319" s="84"/>
      <c r="K319" s="88"/>
      <c r="L319" s="84"/>
      <c r="M319" s="88"/>
      <c r="N319" s="84"/>
      <c r="O319" s="88"/>
      <c r="P319" s="85"/>
      <c r="Q319" s="75"/>
      <c r="R319" s="75"/>
      <c r="S319" s="75"/>
      <c r="T319" s="75"/>
      <c r="U319" s="86"/>
      <c r="V319" s="84"/>
      <c r="W319" s="87"/>
      <c r="X319" s="84"/>
      <c r="Y319" s="84"/>
      <c r="Z319" s="87"/>
    </row>
    <row r="320" spans="1:26" ht="13">
      <c r="A320" s="83"/>
      <c r="B320" s="83"/>
      <c r="C320" s="83"/>
      <c r="D320" s="87"/>
      <c r="E320" s="84"/>
      <c r="F320" s="84"/>
      <c r="G320" s="83"/>
      <c r="H320" s="84"/>
      <c r="I320" s="84"/>
      <c r="J320" s="84"/>
      <c r="K320" s="88"/>
      <c r="L320" s="84"/>
      <c r="M320" s="88"/>
      <c r="N320" s="84"/>
      <c r="O320" s="88"/>
      <c r="P320" s="85"/>
      <c r="Q320" s="75"/>
      <c r="R320" s="75"/>
      <c r="S320" s="75"/>
      <c r="T320" s="75"/>
      <c r="U320" s="86"/>
      <c r="V320" s="84"/>
      <c r="W320" s="87"/>
      <c r="X320" s="84"/>
      <c r="Y320" s="84"/>
      <c r="Z320" s="87"/>
    </row>
    <row r="321" spans="1:26" ht="13">
      <c r="A321" s="83"/>
      <c r="B321" s="83"/>
      <c r="C321" s="83"/>
      <c r="D321" s="87"/>
      <c r="E321" s="84"/>
      <c r="F321" s="84"/>
      <c r="G321" s="83"/>
      <c r="H321" s="84"/>
      <c r="I321" s="84"/>
      <c r="J321" s="84"/>
      <c r="K321" s="88"/>
      <c r="L321" s="84"/>
      <c r="M321" s="88"/>
      <c r="N321" s="84"/>
      <c r="O321" s="88"/>
      <c r="P321" s="85"/>
      <c r="Q321" s="75"/>
      <c r="R321" s="75"/>
      <c r="S321" s="75"/>
      <c r="T321" s="75"/>
      <c r="U321" s="86"/>
      <c r="V321" s="84"/>
      <c r="W321" s="87"/>
      <c r="X321" s="84"/>
      <c r="Y321" s="84"/>
      <c r="Z321" s="87"/>
    </row>
    <row r="322" spans="1:26" ht="13">
      <c r="A322" s="83"/>
      <c r="B322" s="83"/>
      <c r="C322" s="83"/>
      <c r="D322" s="87"/>
      <c r="E322" s="84"/>
      <c r="F322" s="84"/>
      <c r="G322" s="83"/>
      <c r="H322" s="84"/>
      <c r="I322" s="84"/>
      <c r="J322" s="84"/>
      <c r="K322" s="88"/>
      <c r="L322" s="84"/>
      <c r="M322" s="88"/>
      <c r="N322" s="84"/>
      <c r="O322" s="88"/>
      <c r="P322" s="85"/>
      <c r="Q322" s="75"/>
      <c r="R322" s="75"/>
      <c r="S322" s="75"/>
      <c r="T322" s="75"/>
      <c r="U322" s="86"/>
      <c r="V322" s="84"/>
      <c r="W322" s="87"/>
      <c r="X322" s="84"/>
      <c r="Y322" s="84"/>
      <c r="Z322" s="87"/>
    </row>
    <row r="323" spans="1:26" ht="13">
      <c r="A323" s="83"/>
      <c r="B323" s="83"/>
      <c r="C323" s="83"/>
      <c r="D323" s="87"/>
      <c r="E323" s="84"/>
      <c r="F323" s="84"/>
      <c r="G323" s="83"/>
      <c r="H323" s="84"/>
      <c r="I323" s="84"/>
      <c r="J323" s="84"/>
      <c r="K323" s="88"/>
      <c r="L323" s="84"/>
      <c r="M323" s="88"/>
      <c r="N323" s="84"/>
      <c r="O323" s="88"/>
      <c r="P323" s="85"/>
      <c r="Q323" s="75"/>
      <c r="R323" s="75"/>
      <c r="S323" s="75"/>
      <c r="T323" s="75"/>
      <c r="U323" s="86"/>
      <c r="V323" s="84"/>
      <c r="W323" s="87"/>
      <c r="X323" s="84"/>
      <c r="Y323" s="84"/>
      <c r="Z323" s="87"/>
    </row>
    <row r="324" spans="1:26" ht="13">
      <c r="A324" s="83"/>
      <c r="B324" s="83"/>
      <c r="C324" s="83"/>
      <c r="D324" s="87"/>
      <c r="E324" s="84"/>
      <c r="F324" s="84"/>
      <c r="G324" s="83"/>
      <c r="H324" s="84"/>
      <c r="I324" s="84"/>
      <c r="J324" s="84"/>
      <c r="K324" s="88"/>
      <c r="L324" s="84"/>
      <c r="M324" s="88"/>
      <c r="N324" s="84"/>
      <c r="O324" s="88"/>
      <c r="P324" s="85"/>
      <c r="Q324" s="75"/>
      <c r="R324" s="75"/>
      <c r="S324" s="75"/>
      <c r="T324" s="75"/>
      <c r="U324" s="86"/>
      <c r="V324" s="84"/>
      <c r="W324" s="87"/>
      <c r="X324" s="84"/>
      <c r="Y324" s="84"/>
      <c r="Z324" s="87"/>
    </row>
    <row r="325" spans="1:26" ht="13">
      <c r="A325" s="83"/>
      <c r="B325" s="83"/>
      <c r="C325" s="83"/>
      <c r="D325" s="87"/>
      <c r="E325" s="84"/>
      <c r="F325" s="84"/>
      <c r="G325" s="83"/>
      <c r="H325" s="84"/>
      <c r="I325" s="84"/>
      <c r="J325" s="84"/>
      <c r="K325" s="88"/>
      <c r="L325" s="84"/>
      <c r="M325" s="88"/>
      <c r="N325" s="84"/>
      <c r="O325" s="88"/>
      <c r="P325" s="85"/>
      <c r="Q325" s="75"/>
      <c r="R325" s="75"/>
      <c r="S325" s="75"/>
      <c r="T325" s="75"/>
      <c r="U325" s="86"/>
      <c r="V325" s="84"/>
      <c r="W325" s="87"/>
      <c r="X325" s="84"/>
      <c r="Y325" s="84"/>
      <c r="Z325" s="87"/>
    </row>
    <row r="326" spans="1:26" ht="13">
      <c r="A326" s="83"/>
      <c r="B326" s="83"/>
      <c r="C326" s="83"/>
      <c r="D326" s="87"/>
      <c r="E326" s="84"/>
      <c r="F326" s="84"/>
      <c r="G326" s="83"/>
      <c r="H326" s="84"/>
      <c r="I326" s="84"/>
      <c r="J326" s="84"/>
      <c r="K326" s="88"/>
      <c r="L326" s="84"/>
      <c r="M326" s="88"/>
      <c r="N326" s="84"/>
      <c r="O326" s="88"/>
      <c r="P326" s="85"/>
      <c r="Q326" s="75"/>
      <c r="R326" s="75"/>
      <c r="S326" s="75"/>
      <c r="T326" s="75"/>
      <c r="U326" s="86"/>
      <c r="V326" s="84"/>
      <c r="W326" s="87"/>
      <c r="X326" s="84"/>
      <c r="Y326" s="84"/>
      <c r="Z326" s="87"/>
    </row>
    <row r="327" spans="1:26" ht="13">
      <c r="A327" s="83"/>
      <c r="B327" s="83"/>
      <c r="C327" s="83"/>
      <c r="D327" s="87"/>
      <c r="E327" s="84"/>
      <c r="F327" s="84"/>
      <c r="G327" s="83"/>
      <c r="H327" s="84"/>
      <c r="I327" s="84"/>
      <c r="J327" s="84"/>
      <c r="K327" s="88"/>
      <c r="L327" s="84"/>
      <c r="M327" s="88"/>
      <c r="N327" s="84"/>
      <c r="O327" s="88"/>
      <c r="P327" s="85"/>
      <c r="Q327" s="75"/>
      <c r="R327" s="75"/>
      <c r="S327" s="75"/>
      <c r="T327" s="75"/>
      <c r="U327" s="86"/>
      <c r="V327" s="84"/>
      <c r="W327" s="87"/>
      <c r="X327" s="84"/>
      <c r="Y327" s="84"/>
      <c r="Z327" s="87"/>
    </row>
    <row r="328" spans="1:26" ht="13">
      <c r="A328" s="83"/>
      <c r="B328" s="83"/>
      <c r="C328" s="83"/>
      <c r="D328" s="87"/>
      <c r="E328" s="84"/>
      <c r="F328" s="84"/>
      <c r="G328" s="83"/>
      <c r="H328" s="84"/>
      <c r="I328" s="84"/>
      <c r="J328" s="84"/>
      <c r="K328" s="88"/>
      <c r="L328" s="84"/>
      <c r="M328" s="88"/>
      <c r="N328" s="84"/>
      <c r="O328" s="88"/>
      <c r="P328" s="85"/>
      <c r="Q328" s="75"/>
      <c r="R328" s="75"/>
      <c r="S328" s="75"/>
      <c r="T328" s="75"/>
      <c r="U328" s="86"/>
      <c r="V328" s="84"/>
      <c r="W328" s="87"/>
      <c r="X328" s="84"/>
      <c r="Y328" s="84"/>
      <c r="Z328" s="87"/>
    </row>
    <row r="329" spans="1:26" ht="13">
      <c r="A329" s="83"/>
      <c r="B329" s="83"/>
      <c r="C329" s="83"/>
      <c r="D329" s="87"/>
      <c r="E329" s="84"/>
      <c r="F329" s="84"/>
      <c r="G329" s="83"/>
      <c r="H329" s="84"/>
      <c r="I329" s="84"/>
      <c r="J329" s="84"/>
      <c r="K329" s="88"/>
      <c r="L329" s="84"/>
      <c r="M329" s="88"/>
      <c r="N329" s="84"/>
      <c r="O329" s="88"/>
      <c r="P329" s="85"/>
      <c r="Q329" s="75"/>
      <c r="R329" s="75"/>
      <c r="S329" s="75"/>
      <c r="T329" s="75"/>
      <c r="U329" s="86"/>
      <c r="V329" s="84"/>
      <c r="W329" s="87"/>
      <c r="X329" s="84"/>
      <c r="Y329" s="84"/>
      <c r="Z329" s="87"/>
    </row>
    <row r="330" spans="1:26" ht="13">
      <c r="A330" s="83"/>
      <c r="B330" s="83"/>
      <c r="C330" s="83"/>
      <c r="D330" s="87"/>
      <c r="E330" s="84"/>
      <c r="F330" s="84"/>
      <c r="G330" s="83"/>
      <c r="H330" s="84"/>
      <c r="I330" s="84"/>
      <c r="J330" s="84"/>
      <c r="K330" s="88"/>
      <c r="L330" s="84"/>
      <c r="M330" s="88"/>
      <c r="N330" s="84"/>
      <c r="O330" s="88"/>
      <c r="P330" s="85"/>
      <c r="Q330" s="75"/>
      <c r="R330" s="75"/>
      <c r="S330" s="75"/>
      <c r="T330" s="75"/>
      <c r="U330" s="86"/>
      <c r="V330" s="84"/>
      <c r="W330" s="87"/>
      <c r="X330" s="84"/>
      <c r="Y330" s="84"/>
      <c r="Z330" s="87"/>
    </row>
    <row r="331" spans="1:26" ht="13">
      <c r="A331" s="83"/>
      <c r="B331" s="83"/>
      <c r="C331" s="83"/>
      <c r="D331" s="87"/>
      <c r="E331" s="84"/>
      <c r="F331" s="84"/>
      <c r="G331" s="83"/>
      <c r="H331" s="84"/>
      <c r="I331" s="84"/>
      <c r="J331" s="84"/>
      <c r="K331" s="88"/>
      <c r="L331" s="84"/>
      <c r="M331" s="88"/>
      <c r="N331" s="84"/>
      <c r="O331" s="88"/>
      <c r="P331" s="85"/>
      <c r="Q331" s="75"/>
      <c r="R331" s="75"/>
      <c r="S331" s="75"/>
      <c r="T331" s="75"/>
      <c r="U331" s="86"/>
      <c r="V331" s="84"/>
      <c r="W331" s="87"/>
      <c r="X331" s="84"/>
      <c r="Y331" s="84"/>
      <c r="Z331" s="87"/>
    </row>
    <row r="332" spans="1:26" ht="13">
      <c r="A332" s="83"/>
      <c r="B332" s="83"/>
      <c r="C332" s="83"/>
      <c r="D332" s="87"/>
      <c r="E332" s="84"/>
      <c r="F332" s="84"/>
      <c r="G332" s="83"/>
      <c r="H332" s="84"/>
      <c r="I332" s="84"/>
      <c r="J332" s="84"/>
      <c r="K332" s="88"/>
      <c r="L332" s="84"/>
      <c r="M332" s="88"/>
      <c r="N332" s="84"/>
      <c r="O332" s="88"/>
      <c r="P332" s="85"/>
      <c r="Q332" s="75"/>
      <c r="R332" s="75"/>
      <c r="S332" s="75"/>
      <c r="T332" s="75"/>
      <c r="U332" s="86"/>
      <c r="V332" s="84"/>
      <c r="W332" s="87"/>
      <c r="X332" s="84"/>
      <c r="Y332" s="84"/>
      <c r="Z332" s="87"/>
    </row>
    <row r="333" spans="1:26" ht="13">
      <c r="A333" s="83"/>
      <c r="B333" s="83"/>
      <c r="C333" s="83"/>
      <c r="D333" s="87"/>
      <c r="E333" s="84"/>
      <c r="F333" s="84"/>
      <c r="G333" s="83"/>
      <c r="H333" s="84"/>
      <c r="I333" s="84"/>
      <c r="J333" s="84"/>
      <c r="K333" s="88"/>
      <c r="L333" s="84"/>
      <c r="M333" s="88"/>
      <c r="N333" s="84"/>
      <c r="O333" s="88"/>
      <c r="P333" s="85"/>
      <c r="Q333" s="75"/>
      <c r="R333" s="75"/>
      <c r="S333" s="75"/>
      <c r="T333" s="75"/>
      <c r="U333" s="86"/>
      <c r="V333" s="84"/>
      <c r="W333" s="87"/>
      <c r="X333" s="84"/>
      <c r="Y333" s="84"/>
      <c r="Z333" s="87"/>
    </row>
    <row r="334" spans="1:26" ht="13">
      <c r="A334" s="83"/>
      <c r="B334" s="83"/>
      <c r="C334" s="83"/>
      <c r="D334" s="87"/>
      <c r="E334" s="84"/>
      <c r="F334" s="84"/>
      <c r="G334" s="83"/>
      <c r="H334" s="84"/>
      <c r="I334" s="84"/>
      <c r="J334" s="84"/>
      <c r="K334" s="88"/>
      <c r="L334" s="84"/>
      <c r="M334" s="88"/>
      <c r="N334" s="84"/>
      <c r="O334" s="88"/>
      <c r="P334" s="85"/>
      <c r="Q334" s="75"/>
      <c r="R334" s="75"/>
      <c r="S334" s="75"/>
      <c r="T334" s="75"/>
      <c r="U334" s="86"/>
      <c r="V334" s="84"/>
      <c r="W334" s="87"/>
      <c r="X334" s="84"/>
      <c r="Y334" s="84"/>
      <c r="Z334" s="87"/>
    </row>
    <row r="335" spans="1:26" ht="13">
      <c r="A335" s="83"/>
      <c r="B335" s="83"/>
      <c r="C335" s="83"/>
      <c r="D335" s="87"/>
      <c r="E335" s="84"/>
      <c r="F335" s="84"/>
      <c r="G335" s="83"/>
      <c r="H335" s="84"/>
      <c r="I335" s="84"/>
      <c r="J335" s="84"/>
      <c r="K335" s="88"/>
      <c r="L335" s="84"/>
      <c r="M335" s="88"/>
      <c r="N335" s="84"/>
      <c r="O335" s="88"/>
      <c r="P335" s="85"/>
      <c r="Q335" s="75"/>
      <c r="R335" s="75"/>
      <c r="S335" s="75"/>
      <c r="T335" s="75"/>
      <c r="U335" s="86"/>
      <c r="V335" s="84"/>
      <c r="W335" s="87"/>
      <c r="X335" s="84"/>
      <c r="Y335" s="84"/>
      <c r="Z335" s="87"/>
    </row>
    <row r="336" spans="1:26" ht="13">
      <c r="A336" s="83"/>
      <c r="B336" s="83"/>
      <c r="C336" s="83"/>
      <c r="D336" s="87"/>
      <c r="E336" s="84"/>
      <c r="F336" s="84"/>
      <c r="G336" s="83"/>
      <c r="H336" s="84"/>
      <c r="I336" s="84"/>
      <c r="J336" s="84"/>
      <c r="K336" s="88"/>
      <c r="L336" s="84"/>
      <c r="M336" s="88"/>
      <c r="N336" s="84"/>
      <c r="O336" s="88"/>
      <c r="P336" s="85"/>
      <c r="Q336" s="75"/>
      <c r="R336" s="75"/>
      <c r="S336" s="75"/>
      <c r="T336" s="75"/>
      <c r="U336" s="86"/>
      <c r="V336" s="84"/>
      <c r="W336" s="87"/>
      <c r="X336" s="84"/>
      <c r="Y336" s="84"/>
      <c r="Z336" s="87"/>
    </row>
    <row r="337" spans="1:26" ht="13">
      <c r="A337" s="83"/>
      <c r="B337" s="83"/>
      <c r="C337" s="83"/>
      <c r="D337" s="87"/>
      <c r="E337" s="84"/>
      <c r="F337" s="84"/>
      <c r="G337" s="83"/>
      <c r="H337" s="84"/>
      <c r="I337" s="84"/>
      <c r="J337" s="84"/>
      <c r="K337" s="88"/>
      <c r="L337" s="84"/>
      <c r="M337" s="88"/>
      <c r="N337" s="84"/>
      <c r="O337" s="88"/>
      <c r="P337" s="85"/>
      <c r="Q337" s="75"/>
      <c r="R337" s="75"/>
      <c r="S337" s="75"/>
      <c r="T337" s="75"/>
      <c r="U337" s="86"/>
      <c r="V337" s="84"/>
      <c r="W337" s="87"/>
      <c r="X337" s="84"/>
      <c r="Y337" s="84"/>
      <c r="Z337" s="87"/>
    </row>
    <row r="338" spans="1:26" ht="13">
      <c r="A338" s="83"/>
      <c r="B338" s="83"/>
      <c r="C338" s="83"/>
      <c r="D338" s="87"/>
      <c r="E338" s="84"/>
      <c r="F338" s="84"/>
      <c r="G338" s="83"/>
      <c r="H338" s="84"/>
      <c r="I338" s="84"/>
      <c r="J338" s="84"/>
      <c r="K338" s="88"/>
      <c r="L338" s="84"/>
      <c r="M338" s="88"/>
      <c r="N338" s="84"/>
      <c r="O338" s="88"/>
      <c r="P338" s="85"/>
      <c r="Q338" s="75"/>
      <c r="R338" s="75"/>
      <c r="S338" s="75"/>
      <c r="T338" s="75"/>
      <c r="U338" s="86"/>
      <c r="V338" s="84"/>
      <c r="W338" s="87"/>
      <c r="X338" s="84"/>
      <c r="Y338" s="84"/>
      <c r="Z338" s="87"/>
    </row>
    <row r="339" spans="1:26" ht="13">
      <c r="A339" s="83"/>
      <c r="B339" s="83"/>
      <c r="C339" s="83"/>
      <c r="D339" s="87"/>
      <c r="E339" s="84"/>
      <c r="F339" s="84"/>
      <c r="G339" s="83"/>
      <c r="H339" s="84"/>
      <c r="I339" s="84"/>
      <c r="J339" s="84"/>
      <c r="K339" s="88"/>
      <c r="L339" s="84"/>
      <c r="M339" s="88"/>
      <c r="N339" s="84"/>
      <c r="O339" s="88"/>
      <c r="P339" s="85"/>
      <c r="Q339" s="75"/>
      <c r="R339" s="75"/>
      <c r="S339" s="75"/>
      <c r="T339" s="75"/>
      <c r="U339" s="86"/>
      <c r="V339" s="84"/>
      <c r="W339" s="87"/>
      <c r="X339" s="84"/>
      <c r="Y339" s="84"/>
      <c r="Z339" s="87"/>
    </row>
    <row r="340" spans="1:26" ht="13">
      <c r="A340" s="83"/>
      <c r="B340" s="83"/>
      <c r="C340" s="83"/>
      <c r="D340" s="87"/>
      <c r="E340" s="84"/>
      <c r="F340" s="84"/>
      <c r="G340" s="83"/>
      <c r="H340" s="84"/>
      <c r="I340" s="84"/>
      <c r="J340" s="84"/>
      <c r="K340" s="88"/>
      <c r="L340" s="84"/>
      <c r="M340" s="88"/>
      <c r="N340" s="84"/>
      <c r="O340" s="88"/>
      <c r="P340" s="85"/>
      <c r="Q340" s="75"/>
      <c r="R340" s="75"/>
      <c r="S340" s="75"/>
      <c r="T340" s="75"/>
      <c r="U340" s="86"/>
      <c r="V340" s="84"/>
      <c r="W340" s="87"/>
      <c r="X340" s="84"/>
      <c r="Y340" s="84"/>
      <c r="Z340" s="87"/>
    </row>
    <row r="341" spans="1:26" ht="13">
      <c r="A341" s="83"/>
      <c r="B341" s="83"/>
      <c r="C341" s="83"/>
      <c r="D341" s="87"/>
      <c r="E341" s="84"/>
      <c r="F341" s="84"/>
      <c r="G341" s="83"/>
      <c r="H341" s="84"/>
      <c r="I341" s="84"/>
      <c r="J341" s="84"/>
      <c r="K341" s="88"/>
      <c r="L341" s="84"/>
      <c r="M341" s="88"/>
      <c r="N341" s="84"/>
      <c r="O341" s="88"/>
      <c r="P341" s="85"/>
      <c r="Q341" s="75"/>
      <c r="R341" s="75"/>
      <c r="S341" s="75"/>
      <c r="T341" s="75"/>
      <c r="U341" s="86"/>
      <c r="V341" s="84"/>
      <c r="W341" s="87"/>
      <c r="X341" s="84"/>
      <c r="Y341" s="84"/>
      <c r="Z341" s="87"/>
    </row>
    <row r="342" spans="1:26" ht="13">
      <c r="A342" s="83"/>
      <c r="B342" s="83"/>
      <c r="C342" s="83"/>
      <c r="D342" s="87"/>
      <c r="E342" s="84"/>
      <c r="F342" s="84"/>
      <c r="G342" s="83"/>
      <c r="H342" s="84"/>
      <c r="I342" s="84"/>
      <c r="J342" s="84"/>
      <c r="K342" s="88"/>
      <c r="L342" s="84"/>
      <c r="M342" s="88"/>
      <c r="N342" s="84"/>
      <c r="O342" s="88"/>
      <c r="P342" s="85"/>
      <c r="Q342" s="75"/>
      <c r="R342" s="75"/>
      <c r="S342" s="75"/>
      <c r="T342" s="75"/>
      <c r="U342" s="86"/>
      <c r="V342" s="84"/>
      <c r="W342" s="87"/>
      <c r="X342" s="84"/>
      <c r="Y342" s="84"/>
      <c r="Z342" s="87"/>
    </row>
    <row r="343" spans="1:26" ht="13">
      <c r="A343" s="83"/>
      <c r="B343" s="83"/>
      <c r="C343" s="83"/>
      <c r="D343" s="87"/>
      <c r="E343" s="84"/>
      <c r="F343" s="84"/>
      <c r="G343" s="83"/>
      <c r="H343" s="84"/>
      <c r="I343" s="84"/>
      <c r="J343" s="84"/>
      <c r="K343" s="88"/>
      <c r="L343" s="84"/>
      <c r="M343" s="88"/>
      <c r="N343" s="84"/>
      <c r="O343" s="88"/>
      <c r="P343" s="85"/>
      <c r="Q343" s="75"/>
      <c r="R343" s="75"/>
      <c r="S343" s="75"/>
      <c r="T343" s="75"/>
      <c r="U343" s="86"/>
      <c r="V343" s="84"/>
      <c r="W343" s="87"/>
      <c r="X343" s="84"/>
      <c r="Y343" s="84"/>
      <c r="Z343" s="87"/>
    </row>
    <row r="344" spans="1:26" ht="13">
      <c r="A344" s="83"/>
      <c r="B344" s="83"/>
      <c r="C344" s="83"/>
      <c r="D344" s="87"/>
      <c r="E344" s="84"/>
      <c r="F344" s="84"/>
      <c r="G344" s="83"/>
      <c r="H344" s="84"/>
      <c r="I344" s="84"/>
      <c r="J344" s="84"/>
      <c r="K344" s="88"/>
      <c r="L344" s="84"/>
      <c r="M344" s="88"/>
      <c r="N344" s="84"/>
      <c r="O344" s="88"/>
      <c r="P344" s="85"/>
      <c r="Q344" s="75"/>
      <c r="R344" s="75"/>
      <c r="S344" s="75"/>
      <c r="T344" s="75"/>
      <c r="U344" s="86"/>
      <c r="V344" s="84"/>
      <c r="W344" s="87"/>
      <c r="X344" s="84"/>
      <c r="Y344" s="84"/>
      <c r="Z344" s="87"/>
    </row>
    <row r="345" spans="1:26" ht="13">
      <c r="A345" s="83"/>
      <c r="B345" s="83"/>
      <c r="C345" s="83"/>
      <c r="D345" s="87"/>
      <c r="E345" s="84"/>
      <c r="F345" s="84"/>
      <c r="G345" s="83"/>
      <c r="H345" s="84"/>
      <c r="I345" s="84"/>
      <c r="J345" s="84"/>
      <c r="K345" s="88"/>
      <c r="L345" s="84"/>
      <c r="M345" s="88"/>
      <c r="N345" s="84"/>
      <c r="O345" s="88"/>
      <c r="P345" s="85"/>
      <c r="Q345" s="75"/>
      <c r="R345" s="75"/>
      <c r="S345" s="75"/>
      <c r="T345" s="75"/>
      <c r="U345" s="86"/>
      <c r="V345" s="84"/>
      <c r="W345" s="87"/>
      <c r="X345" s="84"/>
      <c r="Y345" s="84"/>
      <c r="Z345" s="87"/>
    </row>
    <row r="346" spans="1:26" ht="13">
      <c r="A346" s="83"/>
      <c r="B346" s="83"/>
      <c r="C346" s="83"/>
      <c r="D346" s="87"/>
      <c r="E346" s="84"/>
      <c r="F346" s="84"/>
      <c r="G346" s="83"/>
      <c r="H346" s="84"/>
      <c r="I346" s="84"/>
      <c r="J346" s="84"/>
      <c r="K346" s="88"/>
      <c r="L346" s="84"/>
      <c r="M346" s="88"/>
      <c r="N346" s="84"/>
      <c r="O346" s="88"/>
      <c r="P346" s="85"/>
      <c r="Q346" s="75"/>
      <c r="R346" s="75"/>
      <c r="S346" s="75"/>
      <c r="T346" s="75"/>
      <c r="U346" s="86"/>
      <c r="V346" s="84"/>
      <c r="W346" s="87"/>
      <c r="X346" s="84"/>
      <c r="Y346" s="84"/>
      <c r="Z346" s="87"/>
    </row>
    <row r="347" spans="1:26" ht="13">
      <c r="A347" s="83"/>
      <c r="B347" s="83"/>
      <c r="C347" s="83"/>
      <c r="D347" s="87"/>
      <c r="E347" s="84"/>
      <c r="F347" s="84"/>
      <c r="G347" s="83"/>
      <c r="H347" s="84"/>
      <c r="I347" s="84"/>
      <c r="J347" s="84"/>
      <c r="K347" s="88"/>
      <c r="L347" s="84"/>
      <c r="M347" s="88"/>
      <c r="N347" s="84"/>
      <c r="O347" s="88"/>
      <c r="P347" s="85"/>
      <c r="Q347" s="75"/>
      <c r="R347" s="75"/>
      <c r="S347" s="75"/>
      <c r="T347" s="75"/>
      <c r="U347" s="86"/>
      <c r="V347" s="84"/>
      <c r="W347" s="87"/>
      <c r="X347" s="84"/>
      <c r="Y347" s="84"/>
      <c r="Z347" s="87"/>
    </row>
    <row r="348" spans="1:26" ht="13">
      <c r="A348" s="83"/>
      <c r="B348" s="83"/>
      <c r="C348" s="83"/>
      <c r="D348" s="87"/>
      <c r="E348" s="84"/>
      <c r="F348" s="84"/>
      <c r="G348" s="83"/>
      <c r="H348" s="84"/>
      <c r="I348" s="84"/>
      <c r="J348" s="84"/>
      <c r="K348" s="88"/>
      <c r="L348" s="84"/>
      <c r="M348" s="88"/>
      <c r="N348" s="84"/>
      <c r="O348" s="88"/>
      <c r="P348" s="85"/>
      <c r="Q348" s="75"/>
      <c r="R348" s="75"/>
      <c r="S348" s="75"/>
      <c r="T348" s="75"/>
      <c r="U348" s="86"/>
      <c r="V348" s="84"/>
      <c r="W348" s="87"/>
      <c r="X348" s="84"/>
      <c r="Y348" s="84"/>
      <c r="Z348" s="87"/>
    </row>
    <row r="349" spans="1:26" ht="13">
      <c r="A349" s="83"/>
      <c r="B349" s="83"/>
      <c r="C349" s="83"/>
      <c r="D349" s="87"/>
      <c r="E349" s="84"/>
      <c r="F349" s="84"/>
      <c r="G349" s="83"/>
      <c r="H349" s="84"/>
      <c r="I349" s="84"/>
      <c r="J349" s="84"/>
      <c r="K349" s="88"/>
      <c r="L349" s="84"/>
      <c r="M349" s="88"/>
      <c r="N349" s="84"/>
      <c r="O349" s="88"/>
      <c r="P349" s="85"/>
      <c r="Q349" s="75"/>
      <c r="R349" s="75"/>
      <c r="S349" s="75"/>
      <c r="T349" s="75"/>
      <c r="U349" s="86"/>
      <c r="V349" s="84"/>
      <c r="W349" s="87"/>
      <c r="X349" s="84"/>
      <c r="Y349" s="84"/>
      <c r="Z349" s="87"/>
    </row>
    <row r="350" spans="1:26" ht="13">
      <c r="A350" s="83"/>
      <c r="B350" s="83"/>
      <c r="C350" s="83"/>
      <c r="D350" s="87"/>
      <c r="E350" s="84"/>
      <c r="F350" s="84"/>
      <c r="G350" s="83"/>
      <c r="H350" s="84"/>
      <c r="I350" s="84"/>
      <c r="J350" s="84"/>
      <c r="K350" s="88"/>
      <c r="L350" s="84"/>
      <c r="M350" s="88"/>
      <c r="N350" s="84"/>
      <c r="O350" s="88"/>
      <c r="P350" s="85"/>
      <c r="Q350" s="75"/>
      <c r="R350" s="75"/>
      <c r="S350" s="75"/>
      <c r="T350" s="75"/>
      <c r="U350" s="86"/>
      <c r="V350" s="84"/>
      <c r="W350" s="87"/>
      <c r="X350" s="84"/>
      <c r="Y350" s="84"/>
      <c r="Z350" s="87"/>
    </row>
    <row r="351" spans="1:26" ht="13">
      <c r="A351" s="83"/>
      <c r="B351" s="83"/>
      <c r="C351" s="83"/>
      <c r="D351" s="87"/>
      <c r="E351" s="84"/>
      <c r="F351" s="84"/>
      <c r="G351" s="83"/>
      <c r="H351" s="84"/>
      <c r="I351" s="84"/>
      <c r="J351" s="84"/>
      <c r="K351" s="88"/>
      <c r="L351" s="84"/>
      <c r="M351" s="88"/>
      <c r="N351" s="84"/>
      <c r="O351" s="88"/>
      <c r="P351" s="85"/>
      <c r="Q351" s="75"/>
      <c r="R351" s="75"/>
      <c r="S351" s="75"/>
      <c r="T351" s="75"/>
      <c r="U351" s="86"/>
      <c r="V351" s="84"/>
      <c r="W351" s="87"/>
      <c r="X351" s="84"/>
      <c r="Y351" s="84"/>
      <c r="Z351" s="87"/>
    </row>
    <row r="352" spans="1:26" ht="13">
      <c r="A352" s="83"/>
      <c r="B352" s="83"/>
      <c r="C352" s="83"/>
      <c r="D352" s="87"/>
      <c r="E352" s="84"/>
      <c r="F352" s="84"/>
      <c r="G352" s="83"/>
      <c r="H352" s="84"/>
      <c r="I352" s="84"/>
      <c r="J352" s="84"/>
      <c r="K352" s="88"/>
      <c r="L352" s="84"/>
      <c r="M352" s="88"/>
      <c r="N352" s="84"/>
      <c r="O352" s="88"/>
      <c r="P352" s="85"/>
      <c r="Q352" s="75"/>
      <c r="R352" s="75"/>
      <c r="S352" s="75"/>
      <c r="T352" s="75"/>
      <c r="U352" s="86"/>
      <c r="V352" s="84"/>
      <c r="W352" s="87"/>
      <c r="X352" s="84"/>
      <c r="Y352" s="84"/>
      <c r="Z352" s="87"/>
    </row>
    <row r="353" spans="1:26" ht="13">
      <c r="A353" s="83"/>
      <c r="B353" s="83"/>
      <c r="C353" s="83"/>
      <c r="D353" s="87"/>
      <c r="E353" s="84"/>
      <c r="F353" s="84"/>
      <c r="G353" s="83"/>
      <c r="H353" s="84"/>
      <c r="I353" s="84"/>
      <c r="J353" s="84"/>
      <c r="K353" s="88"/>
      <c r="L353" s="84"/>
      <c r="M353" s="88"/>
      <c r="N353" s="84"/>
      <c r="O353" s="88"/>
      <c r="P353" s="85"/>
      <c r="Q353" s="75"/>
      <c r="R353" s="75"/>
      <c r="S353" s="75"/>
      <c r="T353" s="75"/>
      <c r="U353" s="86"/>
      <c r="V353" s="84"/>
      <c r="W353" s="87"/>
      <c r="X353" s="84"/>
      <c r="Y353" s="84"/>
      <c r="Z353" s="87"/>
    </row>
    <row r="354" spans="1:26" ht="13">
      <c r="A354" s="83"/>
      <c r="B354" s="83"/>
      <c r="C354" s="83"/>
      <c r="D354" s="87"/>
      <c r="E354" s="84"/>
      <c r="F354" s="84"/>
      <c r="G354" s="83"/>
      <c r="H354" s="84"/>
      <c r="I354" s="84"/>
      <c r="J354" s="84"/>
      <c r="K354" s="88"/>
      <c r="L354" s="84"/>
      <c r="M354" s="88"/>
      <c r="N354" s="84"/>
      <c r="O354" s="88"/>
      <c r="P354" s="85"/>
      <c r="Q354" s="75"/>
      <c r="R354" s="75"/>
      <c r="S354" s="75"/>
      <c r="T354" s="75"/>
      <c r="U354" s="86"/>
      <c r="V354" s="84"/>
      <c r="W354" s="87"/>
      <c r="X354" s="84"/>
      <c r="Y354" s="84"/>
      <c r="Z354" s="87"/>
    </row>
    <row r="355" spans="1:26" ht="13">
      <c r="A355" s="83"/>
      <c r="B355" s="83"/>
      <c r="C355" s="83"/>
      <c r="D355" s="87"/>
      <c r="E355" s="84"/>
      <c r="F355" s="84"/>
      <c r="G355" s="83"/>
      <c r="H355" s="84"/>
      <c r="I355" s="84"/>
      <c r="J355" s="84"/>
      <c r="K355" s="88"/>
      <c r="L355" s="84"/>
      <c r="M355" s="88"/>
      <c r="N355" s="84"/>
      <c r="O355" s="88"/>
      <c r="P355" s="85"/>
      <c r="Q355" s="75"/>
      <c r="R355" s="75"/>
      <c r="S355" s="75"/>
      <c r="T355" s="75"/>
      <c r="U355" s="86"/>
      <c r="V355" s="84"/>
      <c r="W355" s="87"/>
      <c r="X355" s="84"/>
      <c r="Y355" s="84"/>
      <c r="Z355" s="87"/>
    </row>
    <row r="356" spans="1:26" ht="13">
      <c r="A356" s="83"/>
      <c r="B356" s="83"/>
      <c r="C356" s="83"/>
      <c r="D356" s="87"/>
      <c r="E356" s="84"/>
      <c r="F356" s="84"/>
      <c r="G356" s="83"/>
      <c r="H356" s="84"/>
      <c r="I356" s="84"/>
      <c r="J356" s="84"/>
      <c r="K356" s="88"/>
      <c r="L356" s="84"/>
      <c r="M356" s="88"/>
      <c r="N356" s="84"/>
      <c r="O356" s="88"/>
      <c r="P356" s="85"/>
      <c r="Q356" s="75"/>
      <c r="R356" s="75"/>
      <c r="S356" s="75"/>
      <c r="T356" s="75"/>
      <c r="U356" s="86"/>
      <c r="V356" s="84"/>
      <c r="W356" s="87"/>
      <c r="X356" s="84"/>
      <c r="Y356" s="84"/>
      <c r="Z356" s="87"/>
    </row>
    <row r="357" spans="1:26" ht="13">
      <c r="A357" s="83"/>
      <c r="B357" s="83"/>
      <c r="C357" s="83"/>
      <c r="D357" s="87"/>
      <c r="E357" s="84"/>
      <c r="F357" s="84"/>
      <c r="G357" s="83"/>
      <c r="H357" s="84"/>
      <c r="I357" s="84"/>
      <c r="J357" s="84"/>
      <c r="K357" s="88"/>
      <c r="L357" s="84"/>
      <c r="M357" s="88"/>
      <c r="N357" s="84"/>
      <c r="O357" s="88"/>
      <c r="P357" s="85"/>
      <c r="Q357" s="75"/>
      <c r="R357" s="75"/>
      <c r="S357" s="75"/>
      <c r="T357" s="75"/>
      <c r="U357" s="86"/>
      <c r="V357" s="84"/>
      <c r="W357" s="87"/>
      <c r="X357" s="84"/>
      <c r="Y357" s="84"/>
      <c r="Z357" s="87"/>
    </row>
    <row r="358" spans="1:26" ht="13">
      <c r="A358" s="83"/>
      <c r="B358" s="83"/>
      <c r="C358" s="83"/>
      <c r="D358" s="87"/>
      <c r="E358" s="84"/>
      <c r="F358" s="84"/>
      <c r="G358" s="83"/>
      <c r="H358" s="84"/>
      <c r="I358" s="84"/>
      <c r="J358" s="84"/>
      <c r="K358" s="88"/>
      <c r="L358" s="84"/>
      <c r="M358" s="88"/>
      <c r="N358" s="84"/>
      <c r="O358" s="88"/>
      <c r="P358" s="85"/>
      <c r="Q358" s="75"/>
      <c r="R358" s="75"/>
      <c r="S358" s="75"/>
      <c r="T358" s="75"/>
      <c r="U358" s="86"/>
      <c r="V358" s="84"/>
      <c r="W358" s="87"/>
      <c r="X358" s="84"/>
      <c r="Y358" s="84"/>
      <c r="Z358" s="87"/>
    </row>
    <row r="359" spans="1:26" ht="13">
      <c r="A359" s="83"/>
      <c r="B359" s="83"/>
      <c r="C359" s="83"/>
      <c r="D359" s="87"/>
      <c r="E359" s="84"/>
      <c r="F359" s="84"/>
      <c r="G359" s="83"/>
      <c r="H359" s="84"/>
      <c r="I359" s="84"/>
      <c r="J359" s="84"/>
      <c r="K359" s="88"/>
      <c r="L359" s="84"/>
      <c r="M359" s="88"/>
      <c r="N359" s="84"/>
      <c r="O359" s="88"/>
      <c r="P359" s="85"/>
      <c r="Q359" s="75"/>
      <c r="R359" s="75"/>
      <c r="S359" s="75"/>
      <c r="T359" s="75"/>
      <c r="U359" s="86"/>
      <c r="V359" s="84"/>
      <c r="W359" s="87"/>
      <c r="X359" s="84"/>
      <c r="Y359" s="84"/>
      <c r="Z359" s="87"/>
    </row>
    <row r="360" spans="1:26" ht="13">
      <c r="A360" s="83"/>
      <c r="B360" s="83"/>
      <c r="C360" s="83"/>
      <c r="D360" s="87"/>
      <c r="E360" s="84"/>
      <c r="F360" s="84"/>
      <c r="G360" s="83"/>
      <c r="H360" s="84"/>
      <c r="I360" s="84"/>
      <c r="J360" s="84"/>
      <c r="K360" s="88"/>
      <c r="L360" s="84"/>
      <c r="M360" s="88"/>
      <c r="N360" s="84"/>
      <c r="O360" s="88"/>
      <c r="P360" s="85"/>
      <c r="Q360" s="75"/>
      <c r="R360" s="75"/>
      <c r="S360" s="75"/>
      <c r="T360" s="75"/>
      <c r="U360" s="86"/>
      <c r="V360" s="84"/>
      <c r="W360" s="87"/>
      <c r="X360" s="84"/>
      <c r="Y360" s="84"/>
      <c r="Z360" s="87"/>
    </row>
    <row r="361" spans="1:26" ht="13">
      <c r="A361" s="83"/>
      <c r="B361" s="83"/>
      <c r="C361" s="83"/>
      <c r="D361" s="87"/>
      <c r="E361" s="84"/>
      <c r="F361" s="84"/>
      <c r="G361" s="83"/>
      <c r="H361" s="84"/>
      <c r="I361" s="84"/>
      <c r="J361" s="84"/>
      <c r="K361" s="88"/>
      <c r="L361" s="84"/>
      <c r="M361" s="88"/>
      <c r="N361" s="84"/>
      <c r="O361" s="88"/>
      <c r="P361" s="85"/>
      <c r="Q361" s="75"/>
      <c r="R361" s="75"/>
      <c r="S361" s="75"/>
      <c r="T361" s="75"/>
      <c r="U361" s="86"/>
      <c r="V361" s="84"/>
      <c r="W361" s="87"/>
      <c r="X361" s="84"/>
      <c r="Y361" s="84"/>
      <c r="Z361" s="87"/>
    </row>
    <row r="362" spans="1:26" ht="13">
      <c r="A362" s="83"/>
      <c r="B362" s="83"/>
      <c r="C362" s="83"/>
      <c r="D362" s="87"/>
      <c r="E362" s="84"/>
      <c r="F362" s="84"/>
      <c r="G362" s="83"/>
      <c r="H362" s="84"/>
      <c r="I362" s="84"/>
      <c r="J362" s="84"/>
      <c r="K362" s="88"/>
      <c r="L362" s="84"/>
      <c r="M362" s="88"/>
      <c r="N362" s="84"/>
      <c r="O362" s="88"/>
      <c r="P362" s="85"/>
      <c r="Q362" s="75"/>
      <c r="R362" s="75"/>
      <c r="S362" s="75"/>
      <c r="T362" s="75"/>
      <c r="U362" s="86"/>
      <c r="V362" s="84"/>
      <c r="W362" s="87"/>
      <c r="X362" s="84"/>
      <c r="Y362" s="84"/>
      <c r="Z362" s="87"/>
    </row>
    <row r="363" spans="1:26" ht="13">
      <c r="A363" s="83"/>
      <c r="B363" s="83"/>
      <c r="C363" s="83"/>
      <c r="D363" s="87"/>
      <c r="E363" s="84"/>
      <c r="F363" s="84"/>
      <c r="G363" s="83"/>
      <c r="H363" s="84"/>
      <c r="I363" s="84"/>
      <c r="J363" s="84"/>
      <c r="K363" s="88"/>
      <c r="L363" s="84"/>
      <c r="M363" s="88"/>
      <c r="N363" s="84"/>
      <c r="O363" s="88"/>
      <c r="P363" s="85"/>
      <c r="Q363" s="75"/>
      <c r="R363" s="75"/>
      <c r="S363" s="75"/>
      <c r="T363" s="75"/>
      <c r="U363" s="86"/>
      <c r="V363" s="84"/>
      <c r="W363" s="87"/>
      <c r="X363" s="84"/>
      <c r="Y363" s="84"/>
      <c r="Z363" s="87"/>
    </row>
    <row r="364" spans="1:26" ht="13">
      <c r="A364" s="83"/>
      <c r="B364" s="83"/>
      <c r="C364" s="83"/>
      <c r="D364" s="87"/>
      <c r="E364" s="84"/>
      <c r="F364" s="84"/>
      <c r="G364" s="83"/>
      <c r="H364" s="84"/>
      <c r="I364" s="84"/>
      <c r="J364" s="84"/>
      <c r="K364" s="88"/>
      <c r="L364" s="84"/>
      <c r="M364" s="88"/>
      <c r="N364" s="84"/>
      <c r="O364" s="88"/>
      <c r="P364" s="85"/>
      <c r="Q364" s="75"/>
      <c r="R364" s="75"/>
      <c r="S364" s="75"/>
      <c r="T364" s="75"/>
      <c r="U364" s="86"/>
      <c r="V364" s="84"/>
      <c r="W364" s="87"/>
      <c r="X364" s="84"/>
      <c r="Y364" s="84"/>
      <c r="Z364" s="87"/>
    </row>
    <row r="365" spans="1:26" ht="13">
      <c r="A365" s="83"/>
      <c r="B365" s="83"/>
      <c r="C365" s="83"/>
      <c r="D365" s="87"/>
      <c r="E365" s="84"/>
      <c r="F365" s="84"/>
      <c r="G365" s="83"/>
      <c r="H365" s="84"/>
      <c r="I365" s="84"/>
      <c r="J365" s="84"/>
      <c r="K365" s="88"/>
      <c r="L365" s="84"/>
      <c r="M365" s="88"/>
      <c r="N365" s="84"/>
      <c r="O365" s="88"/>
      <c r="P365" s="85"/>
      <c r="Q365" s="75"/>
      <c r="R365" s="75"/>
      <c r="S365" s="75"/>
      <c r="T365" s="75"/>
      <c r="U365" s="86"/>
      <c r="V365" s="84"/>
      <c r="W365" s="87"/>
      <c r="X365" s="84"/>
      <c r="Y365" s="84"/>
      <c r="Z365" s="87"/>
    </row>
    <row r="366" spans="1:26" ht="13">
      <c r="A366" s="83"/>
      <c r="B366" s="83"/>
      <c r="C366" s="83"/>
      <c r="D366" s="87"/>
      <c r="E366" s="84"/>
      <c r="F366" s="84"/>
      <c r="G366" s="83"/>
      <c r="H366" s="84"/>
      <c r="I366" s="84"/>
      <c r="J366" s="84"/>
      <c r="K366" s="88"/>
      <c r="L366" s="84"/>
      <c r="M366" s="88"/>
      <c r="N366" s="84"/>
      <c r="O366" s="88"/>
      <c r="P366" s="85"/>
      <c r="Q366" s="75"/>
      <c r="R366" s="75"/>
      <c r="S366" s="75"/>
      <c r="T366" s="75"/>
      <c r="U366" s="86"/>
      <c r="V366" s="84"/>
      <c r="W366" s="87"/>
      <c r="X366" s="84"/>
      <c r="Y366" s="84"/>
      <c r="Z366" s="87"/>
    </row>
    <row r="367" spans="1:26" ht="13">
      <c r="A367" s="83"/>
      <c r="B367" s="83"/>
      <c r="C367" s="83"/>
      <c r="D367" s="87"/>
      <c r="E367" s="84"/>
      <c r="F367" s="84"/>
      <c r="G367" s="83"/>
      <c r="H367" s="84"/>
      <c r="I367" s="84"/>
      <c r="J367" s="84"/>
      <c r="K367" s="88"/>
      <c r="L367" s="84"/>
      <c r="M367" s="88"/>
      <c r="N367" s="84"/>
      <c r="O367" s="88"/>
      <c r="P367" s="85"/>
      <c r="Q367" s="75"/>
      <c r="R367" s="75"/>
      <c r="S367" s="75"/>
      <c r="T367" s="75"/>
      <c r="U367" s="86"/>
      <c r="V367" s="84"/>
      <c r="W367" s="87"/>
      <c r="X367" s="84"/>
      <c r="Y367" s="84"/>
      <c r="Z367" s="87"/>
    </row>
    <row r="368" spans="1:26" ht="13">
      <c r="A368" s="83"/>
      <c r="B368" s="83"/>
      <c r="C368" s="83"/>
      <c r="D368" s="87"/>
      <c r="E368" s="84"/>
      <c r="F368" s="84"/>
      <c r="G368" s="83"/>
      <c r="H368" s="84"/>
      <c r="I368" s="84"/>
      <c r="J368" s="84"/>
      <c r="K368" s="88"/>
      <c r="L368" s="84"/>
      <c r="M368" s="88"/>
      <c r="N368" s="84"/>
      <c r="O368" s="88"/>
      <c r="P368" s="85"/>
      <c r="Q368" s="75"/>
      <c r="R368" s="75"/>
      <c r="S368" s="75"/>
      <c r="T368" s="75"/>
      <c r="U368" s="86"/>
      <c r="V368" s="84"/>
      <c r="W368" s="87"/>
      <c r="X368" s="84"/>
      <c r="Y368" s="84"/>
      <c r="Z368" s="87"/>
    </row>
    <row r="369" spans="1:26" ht="13">
      <c r="A369" s="83"/>
      <c r="B369" s="83"/>
      <c r="C369" s="83"/>
      <c r="D369" s="87"/>
      <c r="E369" s="84"/>
      <c r="F369" s="84"/>
      <c r="G369" s="83"/>
      <c r="H369" s="84"/>
      <c r="I369" s="84"/>
      <c r="J369" s="84"/>
      <c r="K369" s="88"/>
      <c r="L369" s="84"/>
      <c r="M369" s="88"/>
      <c r="N369" s="84"/>
      <c r="O369" s="88"/>
      <c r="P369" s="85"/>
      <c r="Q369" s="75"/>
      <c r="R369" s="75"/>
      <c r="S369" s="75"/>
      <c r="T369" s="75"/>
      <c r="U369" s="86"/>
      <c r="V369" s="84"/>
      <c r="W369" s="87"/>
      <c r="X369" s="84"/>
      <c r="Y369" s="84"/>
      <c r="Z369" s="87"/>
    </row>
    <row r="370" spans="1:26" ht="13">
      <c r="A370" s="83"/>
      <c r="B370" s="83"/>
      <c r="C370" s="83"/>
      <c r="D370" s="87"/>
      <c r="E370" s="84"/>
      <c r="F370" s="84"/>
      <c r="G370" s="83"/>
      <c r="H370" s="84"/>
      <c r="I370" s="84"/>
      <c r="J370" s="84"/>
      <c r="K370" s="88"/>
      <c r="L370" s="84"/>
      <c r="M370" s="88"/>
      <c r="N370" s="84"/>
      <c r="O370" s="88"/>
      <c r="P370" s="85"/>
      <c r="Q370" s="75"/>
      <c r="R370" s="75"/>
      <c r="S370" s="75"/>
      <c r="T370" s="75"/>
      <c r="U370" s="86"/>
      <c r="V370" s="84"/>
      <c r="W370" s="87"/>
      <c r="X370" s="84"/>
      <c r="Y370" s="84"/>
      <c r="Z370" s="87"/>
    </row>
    <row r="371" spans="1:26" ht="13">
      <c r="A371" s="83"/>
      <c r="B371" s="83"/>
      <c r="C371" s="83"/>
      <c r="D371" s="84"/>
      <c r="E371" s="84"/>
      <c r="F371" s="84"/>
      <c r="G371" s="83"/>
      <c r="H371" s="84"/>
      <c r="I371" s="84"/>
      <c r="J371" s="84"/>
      <c r="K371" s="84"/>
      <c r="L371" s="84"/>
      <c r="M371" s="84"/>
      <c r="N371" s="84"/>
      <c r="O371" s="84"/>
      <c r="P371" s="85"/>
      <c r="Q371" s="75"/>
      <c r="R371" s="75"/>
      <c r="S371" s="75"/>
      <c r="T371" s="75"/>
      <c r="U371" s="89"/>
      <c r="V371" s="84"/>
      <c r="W371" s="84"/>
      <c r="X371" s="84"/>
      <c r="Y371" s="84"/>
      <c r="Z371" s="84"/>
    </row>
    <row r="372" spans="1:26" ht="13">
      <c r="A372" s="83"/>
      <c r="B372" s="83"/>
      <c r="C372" s="83"/>
      <c r="D372" s="84"/>
      <c r="E372" s="84"/>
      <c r="F372" s="84"/>
      <c r="G372" s="83"/>
      <c r="H372" s="84"/>
      <c r="I372" s="84"/>
      <c r="J372" s="84"/>
      <c r="K372" s="84"/>
      <c r="L372" s="84"/>
      <c r="M372" s="84"/>
      <c r="N372" s="84"/>
      <c r="O372" s="84"/>
      <c r="P372" s="85"/>
      <c r="Q372" s="75"/>
      <c r="R372" s="75"/>
      <c r="S372" s="75"/>
      <c r="T372" s="75"/>
      <c r="U372" s="89"/>
      <c r="V372" s="84"/>
      <c r="W372" s="84"/>
      <c r="X372" s="84"/>
      <c r="Y372" s="84"/>
      <c r="Z372" s="84"/>
    </row>
    <row r="373" spans="1:26" ht="13">
      <c r="A373" s="83"/>
      <c r="B373" s="83"/>
      <c r="C373" s="83"/>
      <c r="D373" s="84"/>
      <c r="E373" s="84"/>
      <c r="F373" s="84"/>
      <c r="G373" s="83"/>
      <c r="H373" s="84"/>
      <c r="I373" s="84"/>
      <c r="J373" s="84"/>
      <c r="K373" s="84"/>
      <c r="L373" s="84"/>
      <c r="M373" s="84"/>
      <c r="N373" s="84"/>
      <c r="O373" s="84"/>
      <c r="P373" s="85"/>
      <c r="Q373" s="75"/>
      <c r="R373" s="75"/>
      <c r="S373" s="75"/>
      <c r="T373" s="75"/>
      <c r="U373" s="89"/>
      <c r="V373" s="84"/>
      <c r="W373" s="84"/>
      <c r="X373" s="84"/>
      <c r="Y373" s="84"/>
      <c r="Z373" s="84"/>
    </row>
    <row r="374" spans="1:26" ht="13">
      <c r="A374" s="83"/>
      <c r="B374" s="83"/>
      <c r="C374" s="83"/>
      <c r="D374" s="84"/>
      <c r="E374" s="84"/>
      <c r="F374" s="84"/>
      <c r="G374" s="83"/>
      <c r="H374" s="84"/>
      <c r="I374" s="84"/>
      <c r="J374" s="84"/>
      <c r="K374" s="84"/>
      <c r="L374" s="84"/>
      <c r="M374" s="84"/>
      <c r="N374" s="84"/>
      <c r="O374" s="84"/>
      <c r="P374" s="85"/>
      <c r="Q374" s="75"/>
      <c r="R374" s="75"/>
      <c r="S374" s="75"/>
      <c r="T374" s="75"/>
      <c r="U374" s="89"/>
      <c r="V374" s="84"/>
      <c r="W374" s="84"/>
      <c r="X374" s="84"/>
      <c r="Y374" s="84"/>
      <c r="Z374" s="84"/>
    </row>
    <row r="375" spans="1:26" ht="13">
      <c r="A375" s="83"/>
      <c r="B375" s="83"/>
      <c r="C375" s="83"/>
      <c r="D375" s="84"/>
      <c r="E375" s="84"/>
      <c r="F375" s="84"/>
      <c r="G375" s="83"/>
      <c r="H375" s="84"/>
      <c r="I375" s="84"/>
      <c r="J375" s="84"/>
      <c r="K375" s="84"/>
      <c r="L375" s="84"/>
      <c r="M375" s="84"/>
      <c r="N375" s="84"/>
      <c r="O375" s="84"/>
      <c r="P375" s="85"/>
      <c r="Q375" s="75"/>
      <c r="R375" s="75"/>
      <c r="S375" s="75"/>
      <c r="T375" s="75"/>
      <c r="U375" s="89"/>
      <c r="V375" s="84"/>
      <c r="W375" s="84"/>
      <c r="X375" s="84"/>
      <c r="Y375" s="84"/>
      <c r="Z375" s="84"/>
    </row>
    <row r="376" spans="1:26" ht="13">
      <c r="A376" s="83"/>
      <c r="B376" s="83"/>
      <c r="C376" s="83"/>
      <c r="D376" s="84"/>
      <c r="E376" s="84"/>
      <c r="F376" s="84"/>
      <c r="G376" s="83"/>
      <c r="H376" s="84"/>
      <c r="I376" s="84"/>
      <c r="J376" s="84"/>
      <c r="K376" s="84"/>
      <c r="L376" s="84"/>
      <c r="M376" s="84"/>
      <c r="N376" s="84"/>
      <c r="O376" s="84"/>
      <c r="P376" s="85"/>
      <c r="Q376" s="75"/>
      <c r="R376" s="75"/>
      <c r="S376" s="75"/>
      <c r="T376" s="75"/>
      <c r="U376" s="89"/>
      <c r="V376" s="84"/>
      <c r="W376" s="84"/>
      <c r="X376" s="84"/>
      <c r="Y376" s="84"/>
      <c r="Z376" s="84"/>
    </row>
    <row r="377" spans="1:26" ht="13">
      <c r="A377" s="83"/>
      <c r="B377" s="83"/>
      <c r="C377" s="83"/>
      <c r="D377" s="84"/>
      <c r="E377" s="84"/>
      <c r="F377" s="84"/>
      <c r="G377" s="83"/>
      <c r="H377" s="84"/>
      <c r="I377" s="84"/>
      <c r="J377" s="84"/>
      <c r="K377" s="84"/>
      <c r="L377" s="84"/>
      <c r="M377" s="84"/>
      <c r="N377" s="84"/>
      <c r="O377" s="84"/>
      <c r="P377" s="85"/>
      <c r="Q377" s="75"/>
      <c r="R377" s="75"/>
      <c r="S377" s="75"/>
      <c r="T377" s="75"/>
      <c r="U377" s="89"/>
      <c r="V377" s="84"/>
      <c r="W377" s="84"/>
      <c r="X377" s="84"/>
      <c r="Y377" s="84"/>
      <c r="Z377" s="84"/>
    </row>
    <row r="378" spans="1:26" ht="13">
      <c r="A378" s="83"/>
      <c r="B378" s="83"/>
      <c r="C378" s="83"/>
      <c r="D378" s="84"/>
      <c r="E378" s="84"/>
      <c r="F378" s="84"/>
      <c r="G378" s="83"/>
      <c r="H378" s="84"/>
      <c r="I378" s="84"/>
      <c r="J378" s="84"/>
      <c r="K378" s="84"/>
      <c r="L378" s="84"/>
      <c r="M378" s="84"/>
      <c r="N378" s="84"/>
      <c r="O378" s="84"/>
      <c r="P378" s="85"/>
      <c r="Q378" s="75"/>
      <c r="R378" s="75"/>
      <c r="S378" s="75"/>
      <c r="T378" s="75"/>
      <c r="U378" s="89"/>
      <c r="V378" s="84"/>
      <c r="W378" s="84"/>
      <c r="X378" s="84"/>
      <c r="Y378" s="84"/>
      <c r="Z378" s="84"/>
    </row>
    <row r="379" spans="1:26" ht="13">
      <c r="A379" s="83"/>
      <c r="B379" s="83"/>
      <c r="C379" s="83"/>
      <c r="D379" s="84"/>
      <c r="E379" s="84"/>
      <c r="F379" s="84"/>
      <c r="G379" s="83"/>
      <c r="H379" s="84"/>
      <c r="I379" s="84"/>
      <c r="J379" s="84"/>
      <c r="K379" s="84"/>
      <c r="L379" s="84"/>
      <c r="M379" s="84"/>
      <c r="N379" s="84"/>
      <c r="O379" s="84"/>
      <c r="P379" s="85"/>
      <c r="Q379" s="75"/>
      <c r="R379" s="75"/>
      <c r="S379" s="75"/>
      <c r="T379" s="75"/>
      <c r="U379" s="89"/>
      <c r="V379" s="84"/>
      <c r="W379" s="84"/>
      <c r="X379" s="84"/>
      <c r="Y379" s="84"/>
      <c r="Z379" s="84"/>
    </row>
    <row r="380" spans="1:26" ht="13">
      <c r="A380" s="83"/>
      <c r="B380" s="83"/>
      <c r="C380" s="83"/>
      <c r="D380" s="84"/>
      <c r="E380" s="84"/>
      <c r="F380" s="84"/>
      <c r="G380" s="83"/>
      <c r="H380" s="84"/>
      <c r="I380" s="84"/>
      <c r="J380" s="84"/>
      <c r="K380" s="84"/>
      <c r="L380" s="84"/>
      <c r="M380" s="84"/>
      <c r="N380" s="84"/>
      <c r="O380" s="84"/>
      <c r="P380" s="85"/>
      <c r="Q380" s="75"/>
      <c r="R380" s="75"/>
      <c r="S380" s="75"/>
      <c r="T380" s="75"/>
      <c r="U380" s="89"/>
      <c r="V380" s="84"/>
      <c r="W380" s="84"/>
      <c r="X380" s="84"/>
      <c r="Y380" s="84"/>
      <c r="Z380" s="84"/>
    </row>
    <row r="381" spans="1:26" ht="13">
      <c r="A381" s="83"/>
      <c r="B381" s="83"/>
      <c r="C381" s="83"/>
      <c r="D381" s="84"/>
      <c r="E381" s="84"/>
      <c r="F381" s="84"/>
      <c r="G381" s="83"/>
      <c r="H381" s="84"/>
      <c r="I381" s="84"/>
      <c r="J381" s="84"/>
      <c r="K381" s="84"/>
      <c r="L381" s="84"/>
      <c r="M381" s="84"/>
      <c r="N381" s="84"/>
      <c r="O381" s="84"/>
      <c r="P381" s="85"/>
      <c r="Q381" s="75"/>
      <c r="R381" s="75"/>
      <c r="S381" s="75"/>
      <c r="T381" s="75"/>
      <c r="U381" s="89"/>
      <c r="V381" s="84"/>
      <c r="W381" s="84"/>
      <c r="X381" s="84"/>
      <c r="Y381" s="84"/>
      <c r="Z381" s="84"/>
    </row>
    <row r="382" spans="1:26" ht="13">
      <c r="A382" s="83"/>
      <c r="B382" s="83"/>
      <c r="C382" s="83"/>
      <c r="D382" s="84"/>
      <c r="E382" s="84"/>
      <c r="F382" s="84"/>
      <c r="G382" s="83"/>
      <c r="H382" s="84"/>
      <c r="I382" s="84"/>
      <c r="J382" s="84"/>
      <c r="K382" s="84"/>
      <c r="L382" s="84"/>
      <c r="M382" s="84"/>
      <c r="N382" s="84"/>
      <c r="O382" s="84"/>
      <c r="P382" s="85"/>
      <c r="Q382" s="75"/>
      <c r="R382" s="75"/>
      <c r="S382" s="75"/>
      <c r="T382" s="75"/>
      <c r="U382" s="89"/>
      <c r="V382" s="84"/>
      <c r="W382" s="84"/>
      <c r="X382" s="84"/>
      <c r="Y382" s="84"/>
      <c r="Z382" s="84"/>
    </row>
    <row r="383" spans="1:26" ht="13">
      <c r="A383" s="83"/>
      <c r="B383" s="83"/>
      <c r="C383" s="83"/>
      <c r="D383" s="84"/>
      <c r="E383" s="84"/>
      <c r="F383" s="84"/>
      <c r="G383" s="83"/>
      <c r="H383" s="84"/>
      <c r="I383" s="84"/>
      <c r="J383" s="84"/>
      <c r="K383" s="84"/>
      <c r="L383" s="84"/>
      <c r="M383" s="84"/>
      <c r="N383" s="84"/>
      <c r="O383" s="84"/>
      <c r="P383" s="85"/>
      <c r="Q383" s="75"/>
      <c r="R383" s="75"/>
      <c r="S383" s="75"/>
      <c r="T383" s="75"/>
      <c r="U383" s="89"/>
      <c r="V383" s="84"/>
      <c r="W383" s="84"/>
      <c r="X383" s="84"/>
      <c r="Y383" s="84"/>
      <c r="Z383" s="84"/>
    </row>
    <row r="384" spans="1:26" ht="13">
      <c r="A384" s="83"/>
      <c r="B384" s="83"/>
      <c r="C384" s="83"/>
      <c r="D384" s="84"/>
      <c r="E384" s="84"/>
      <c r="F384" s="84"/>
      <c r="G384" s="83"/>
      <c r="H384" s="84"/>
      <c r="I384" s="84"/>
      <c r="J384" s="84"/>
      <c r="K384" s="84"/>
      <c r="L384" s="84"/>
      <c r="M384" s="84"/>
      <c r="N384" s="84"/>
      <c r="O384" s="84"/>
      <c r="P384" s="85"/>
      <c r="Q384" s="75"/>
      <c r="R384" s="75"/>
      <c r="S384" s="75"/>
      <c r="T384" s="75"/>
      <c r="U384" s="89"/>
      <c r="V384" s="84"/>
      <c r="W384" s="84"/>
      <c r="X384" s="84"/>
      <c r="Y384" s="84"/>
      <c r="Z384" s="84"/>
    </row>
    <row r="385" spans="1:26" ht="13">
      <c r="A385" s="83"/>
      <c r="B385" s="83"/>
      <c r="C385" s="83"/>
      <c r="D385" s="84"/>
      <c r="E385" s="84"/>
      <c r="F385" s="84"/>
      <c r="G385" s="83"/>
      <c r="H385" s="84"/>
      <c r="I385" s="84"/>
      <c r="J385" s="84"/>
      <c r="K385" s="84"/>
      <c r="L385" s="84"/>
      <c r="M385" s="84"/>
      <c r="N385" s="84"/>
      <c r="O385" s="84"/>
      <c r="P385" s="85"/>
      <c r="Q385" s="75"/>
      <c r="R385" s="75"/>
      <c r="S385" s="75"/>
      <c r="T385" s="75"/>
      <c r="U385" s="89"/>
      <c r="V385" s="84"/>
      <c r="W385" s="84"/>
      <c r="X385" s="84"/>
      <c r="Y385" s="84"/>
      <c r="Z385" s="84"/>
    </row>
    <row r="386" spans="1:26" ht="13">
      <c r="A386" s="83"/>
      <c r="B386" s="83"/>
      <c r="C386" s="83"/>
      <c r="D386" s="84"/>
      <c r="E386" s="84"/>
      <c r="F386" s="84"/>
      <c r="G386" s="83"/>
      <c r="H386" s="84"/>
      <c r="I386" s="84"/>
      <c r="J386" s="84"/>
      <c r="K386" s="84"/>
      <c r="L386" s="84"/>
      <c r="M386" s="84"/>
      <c r="N386" s="84"/>
      <c r="O386" s="84"/>
      <c r="P386" s="85"/>
      <c r="Q386" s="75"/>
      <c r="R386" s="75"/>
      <c r="S386" s="75"/>
      <c r="T386" s="75"/>
      <c r="U386" s="89"/>
      <c r="V386" s="84"/>
      <c r="W386" s="84"/>
      <c r="X386" s="84"/>
      <c r="Y386" s="84"/>
      <c r="Z386" s="84"/>
    </row>
    <row r="387" spans="1:26" ht="13">
      <c r="A387" s="83"/>
      <c r="B387" s="83"/>
      <c r="C387" s="83"/>
      <c r="D387" s="84"/>
      <c r="E387" s="84"/>
      <c r="F387" s="84"/>
      <c r="G387" s="83"/>
      <c r="H387" s="84"/>
      <c r="I387" s="84"/>
      <c r="J387" s="84"/>
      <c r="K387" s="84"/>
      <c r="L387" s="84"/>
      <c r="M387" s="84"/>
      <c r="N387" s="84"/>
      <c r="O387" s="84"/>
      <c r="P387" s="85"/>
      <c r="Q387" s="75"/>
      <c r="R387" s="75"/>
      <c r="S387" s="75"/>
      <c r="T387" s="75"/>
      <c r="U387" s="89"/>
      <c r="V387" s="84"/>
      <c r="W387" s="84"/>
      <c r="X387" s="84"/>
      <c r="Y387" s="84"/>
      <c r="Z387" s="84"/>
    </row>
    <row r="388" spans="1:26" ht="13">
      <c r="A388" s="83"/>
      <c r="B388" s="83"/>
      <c r="C388" s="83"/>
      <c r="D388" s="84"/>
      <c r="E388" s="84"/>
      <c r="F388" s="84"/>
      <c r="G388" s="83"/>
      <c r="H388" s="84"/>
      <c r="I388" s="84"/>
      <c r="J388" s="84"/>
      <c r="K388" s="84"/>
      <c r="L388" s="84"/>
      <c r="M388" s="84"/>
      <c r="N388" s="84"/>
      <c r="O388" s="84"/>
      <c r="P388" s="85"/>
      <c r="Q388" s="75"/>
      <c r="R388" s="75"/>
      <c r="S388" s="75"/>
      <c r="T388" s="75"/>
      <c r="U388" s="89"/>
      <c r="V388" s="84"/>
      <c r="W388" s="84"/>
      <c r="X388" s="84"/>
      <c r="Y388" s="84"/>
      <c r="Z388" s="84"/>
    </row>
    <row r="389" spans="1:26" ht="13">
      <c r="A389" s="83"/>
      <c r="B389" s="83"/>
      <c r="C389" s="83"/>
      <c r="D389" s="84"/>
      <c r="E389" s="84"/>
      <c r="F389" s="84"/>
      <c r="G389" s="83"/>
      <c r="H389" s="84"/>
      <c r="I389" s="84"/>
      <c r="J389" s="84"/>
      <c r="K389" s="84"/>
      <c r="L389" s="84"/>
      <c r="M389" s="84"/>
      <c r="N389" s="84"/>
      <c r="O389" s="84"/>
      <c r="P389" s="85"/>
      <c r="Q389" s="75"/>
      <c r="R389" s="75"/>
      <c r="S389" s="75"/>
      <c r="T389" s="75"/>
      <c r="U389" s="89"/>
      <c r="V389" s="84"/>
      <c r="W389" s="84"/>
      <c r="X389" s="84"/>
      <c r="Y389" s="84"/>
      <c r="Z389" s="84"/>
    </row>
    <row r="390" spans="1:26" ht="13">
      <c r="A390" s="83"/>
      <c r="B390" s="83"/>
      <c r="C390" s="83"/>
      <c r="D390" s="84"/>
      <c r="E390" s="84"/>
      <c r="F390" s="84"/>
      <c r="G390" s="83"/>
      <c r="H390" s="84"/>
      <c r="I390" s="84"/>
      <c r="J390" s="84"/>
      <c r="K390" s="84"/>
      <c r="L390" s="84"/>
      <c r="M390" s="84"/>
      <c r="N390" s="84"/>
      <c r="O390" s="84"/>
      <c r="P390" s="85"/>
      <c r="Q390" s="75"/>
      <c r="R390" s="75"/>
      <c r="S390" s="75"/>
      <c r="T390" s="75"/>
      <c r="U390" s="89"/>
      <c r="V390" s="84"/>
      <c r="W390" s="84"/>
      <c r="X390" s="84"/>
      <c r="Y390" s="84"/>
      <c r="Z390" s="84"/>
    </row>
    <row r="391" spans="1:26" ht="13">
      <c r="A391" s="83"/>
      <c r="B391" s="83"/>
      <c r="C391" s="83"/>
      <c r="D391" s="84"/>
      <c r="E391" s="84"/>
      <c r="F391" s="84"/>
      <c r="G391" s="83"/>
      <c r="H391" s="84"/>
      <c r="I391" s="84"/>
      <c r="J391" s="84"/>
      <c r="K391" s="84"/>
      <c r="L391" s="84"/>
      <c r="M391" s="84"/>
      <c r="N391" s="84"/>
      <c r="O391" s="84"/>
      <c r="P391" s="85"/>
      <c r="Q391" s="75"/>
      <c r="R391" s="75"/>
      <c r="S391" s="75"/>
      <c r="T391" s="75"/>
      <c r="U391" s="89"/>
      <c r="V391" s="84"/>
      <c r="W391" s="84"/>
      <c r="X391" s="84"/>
      <c r="Y391" s="84"/>
      <c r="Z391" s="84"/>
    </row>
    <row r="392" spans="1:26" ht="13">
      <c r="A392" s="83"/>
      <c r="B392" s="83"/>
      <c r="C392" s="83"/>
      <c r="D392" s="84"/>
      <c r="E392" s="84"/>
      <c r="F392" s="84"/>
      <c r="G392" s="83"/>
      <c r="H392" s="84"/>
      <c r="I392" s="84"/>
      <c r="J392" s="84"/>
      <c r="K392" s="84"/>
      <c r="L392" s="84"/>
      <c r="M392" s="84"/>
      <c r="N392" s="84"/>
      <c r="O392" s="84"/>
      <c r="P392" s="85"/>
      <c r="Q392" s="75"/>
      <c r="R392" s="75"/>
      <c r="S392" s="75"/>
      <c r="T392" s="75"/>
      <c r="U392" s="89"/>
      <c r="V392" s="84"/>
      <c r="W392" s="84"/>
      <c r="X392" s="84"/>
      <c r="Y392" s="84"/>
      <c r="Z392" s="84"/>
    </row>
    <row r="393" spans="1:26" ht="13">
      <c r="A393" s="83"/>
      <c r="B393" s="83"/>
      <c r="C393" s="83"/>
      <c r="D393" s="84"/>
      <c r="E393" s="84"/>
      <c r="F393" s="84"/>
      <c r="G393" s="83"/>
      <c r="H393" s="84"/>
      <c r="I393" s="84"/>
      <c r="J393" s="84"/>
      <c r="K393" s="84"/>
      <c r="L393" s="84"/>
      <c r="M393" s="84"/>
      <c r="N393" s="84"/>
      <c r="O393" s="84"/>
      <c r="P393" s="85"/>
      <c r="Q393" s="75"/>
      <c r="R393" s="75"/>
      <c r="S393" s="75"/>
      <c r="T393" s="75"/>
      <c r="U393" s="89"/>
      <c r="V393" s="84"/>
      <c r="W393" s="84"/>
      <c r="X393" s="84"/>
      <c r="Y393" s="84"/>
      <c r="Z393" s="84"/>
    </row>
    <row r="394" spans="1:26" ht="13">
      <c r="A394" s="83"/>
      <c r="B394" s="83"/>
      <c r="C394" s="83"/>
      <c r="D394" s="84"/>
      <c r="E394" s="84"/>
      <c r="F394" s="84"/>
      <c r="G394" s="83"/>
      <c r="H394" s="84"/>
      <c r="I394" s="84"/>
      <c r="J394" s="84"/>
      <c r="K394" s="84"/>
      <c r="L394" s="84"/>
      <c r="M394" s="84"/>
      <c r="N394" s="84"/>
      <c r="O394" s="84"/>
      <c r="P394" s="85"/>
      <c r="Q394" s="75"/>
      <c r="R394" s="75"/>
      <c r="S394" s="75"/>
      <c r="T394" s="75"/>
      <c r="U394" s="89"/>
      <c r="V394" s="84"/>
      <c r="W394" s="84"/>
      <c r="X394" s="84"/>
      <c r="Y394" s="84"/>
      <c r="Z394" s="84"/>
    </row>
    <row r="395" spans="1:26" ht="13">
      <c r="A395" s="83"/>
      <c r="B395" s="83"/>
      <c r="C395" s="83"/>
      <c r="D395" s="84"/>
      <c r="E395" s="84"/>
      <c r="F395" s="84"/>
      <c r="G395" s="83"/>
      <c r="H395" s="84"/>
      <c r="I395" s="84"/>
      <c r="J395" s="84"/>
      <c r="K395" s="84"/>
      <c r="L395" s="84"/>
      <c r="M395" s="84"/>
      <c r="N395" s="84"/>
      <c r="O395" s="84"/>
      <c r="P395" s="85"/>
      <c r="Q395" s="75"/>
      <c r="R395" s="75"/>
      <c r="S395" s="75"/>
      <c r="T395" s="75"/>
      <c r="U395" s="89"/>
      <c r="V395" s="84"/>
      <c r="W395" s="84"/>
      <c r="X395" s="84"/>
      <c r="Y395" s="84"/>
      <c r="Z395" s="84"/>
    </row>
    <row r="396" spans="1:26" ht="13">
      <c r="A396" s="83"/>
      <c r="B396" s="83"/>
      <c r="C396" s="83"/>
      <c r="D396" s="84"/>
      <c r="E396" s="84"/>
      <c r="F396" s="84"/>
      <c r="G396" s="83"/>
      <c r="H396" s="84"/>
      <c r="I396" s="84"/>
      <c r="J396" s="84"/>
      <c r="K396" s="84"/>
      <c r="L396" s="84"/>
      <c r="M396" s="84"/>
      <c r="N396" s="84"/>
      <c r="O396" s="84"/>
      <c r="P396" s="85"/>
      <c r="Q396" s="75"/>
      <c r="R396" s="75"/>
      <c r="S396" s="75"/>
      <c r="T396" s="75"/>
      <c r="U396" s="89"/>
      <c r="V396" s="84"/>
      <c r="W396" s="84"/>
      <c r="X396" s="84"/>
      <c r="Y396" s="84"/>
      <c r="Z396" s="84"/>
    </row>
    <row r="397" spans="1:26" ht="13">
      <c r="A397" s="83"/>
      <c r="B397" s="83"/>
      <c r="C397" s="83"/>
      <c r="D397" s="84"/>
      <c r="E397" s="84"/>
      <c r="F397" s="84"/>
      <c r="G397" s="83"/>
      <c r="H397" s="84"/>
      <c r="I397" s="84"/>
      <c r="J397" s="84"/>
      <c r="K397" s="84"/>
      <c r="L397" s="84"/>
      <c r="M397" s="84"/>
      <c r="N397" s="84"/>
      <c r="O397" s="84"/>
      <c r="P397" s="85"/>
      <c r="Q397" s="75"/>
      <c r="R397" s="75"/>
      <c r="S397" s="75"/>
      <c r="T397" s="75"/>
      <c r="U397" s="89"/>
      <c r="V397" s="84"/>
      <c r="W397" s="84"/>
      <c r="X397" s="84"/>
      <c r="Y397" s="84"/>
      <c r="Z397" s="84"/>
    </row>
    <row r="398" spans="1:26" ht="13">
      <c r="A398" s="83"/>
      <c r="B398" s="83"/>
      <c r="C398" s="83"/>
      <c r="D398" s="84"/>
      <c r="E398" s="84"/>
      <c r="F398" s="84"/>
      <c r="G398" s="83"/>
      <c r="H398" s="84"/>
      <c r="I398" s="84"/>
      <c r="J398" s="84"/>
      <c r="K398" s="84"/>
      <c r="L398" s="84"/>
      <c r="M398" s="84"/>
      <c r="N398" s="84"/>
      <c r="O398" s="84"/>
      <c r="P398" s="85"/>
      <c r="Q398" s="75"/>
      <c r="R398" s="75"/>
      <c r="S398" s="75"/>
      <c r="T398" s="75"/>
      <c r="U398" s="89"/>
      <c r="V398" s="84"/>
      <c r="W398" s="84"/>
      <c r="X398" s="84"/>
      <c r="Y398" s="84"/>
      <c r="Z398" s="84"/>
    </row>
    <row r="399" spans="1:26" ht="13">
      <c r="A399" s="83"/>
      <c r="B399" s="83"/>
      <c r="C399" s="83"/>
      <c r="D399" s="84"/>
      <c r="E399" s="84"/>
      <c r="F399" s="84"/>
      <c r="G399" s="83"/>
      <c r="H399" s="84"/>
      <c r="I399" s="84"/>
      <c r="J399" s="84"/>
      <c r="K399" s="84"/>
      <c r="L399" s="84"/>
      <c r="M399" s="84"/>
      <c r="N399" s="84"/>
      <c r="O399" s="84"/>
      <c r="P399" s="85"/>
      <c r="Q399" s="75"/>
      <c r="R399" s="75"/>
      <c r="S399" s="75"/>
      <c r="T399" s="75"/>
      <c r="U399" s="89"/>
      <c r="V399" s="84"/>
      <c r="W399" s="84"/>
      <c r="X399" s="84"/>
      <c r="Y399" s="84"/>
      <c r="Z399" s="84"/>
    </row>
    <row r="400" spans="1:26" ht="13">
      <c r="A400" s="83"/>
      <c r="B400" s="83"/>
      <c r="C400" s="83"/>
      <c r="D400" s="84"/>
      <c r="E400" s="84"/>
      <c r="F400" s="84"/>
      <c r="G400" s="83"/>
      <c r="H400" s="84"/>
      <c r="I400" s="84"/>
      <c r="J400" s="84"/>
      <c r="K400" s="84"/>
      <c r="L400" s="84"/>
      <c r="M400" s="84"/>
      <c r="N400" s="84"/>
      <c r="O400" s="84"/>
      <c r="P400" s="85"/>
      <c r="Q400" s="75"/>
      <c r="R400" s="75"/>
      <c r="S400" s="75"/>
      <c r="T400" s="75"/>
      <c r="U400" s="89"/>
      <c r="V400" s="84"/>
      <c r="W400" s="84"/>
      <c r="X400" s="84"/>
      <c r="Y400" s="84"/>
      <c r="Z400" s="84"/>
    </row>
    <row r="401" spans="1:26" ht="13">
      <c r="A401" s="83"/>
      <c r="B401" s="83"/>
      <c r="C401" s="83"/>
      <c r="D401" s="84"/>
      <c r="E401" s="84"/>
      <c r="F401" s="84"/>
      <c r="G401" s="83"/>
      <c r="H401" s="84"/>
      <c r="I401" s="84"/>
      <c r="J401" s="84"/>
      <c r="K401" s="84"/>
      <c r="L401" s="84"/>
      <c r="M401" s="84"/>
      <c r="N401" s="84"/>
      <c r="O401" s="84"/>
      <c r="P401" s="85"/>
      <c r="Q401" s="75"/>
      <c r="R401" s="75"/>
      <c r="S401" s="75"/>
      <c r="T401" s="75"/>
      <c r="U401" s="89"/>
      <c r="V401" s="84"/>
      <c r="W401" s="84"/>
      <c r="X401" s="84"/>
      <c r="Y401" s="84"/>
      <c r="Z401" s="84"/>
    </row>
    <row r="402" spans="1:26" ht="13">
      <c r="A402" s="83"/>
      <c r="B402" s="83"/>
      <c r="C402" s="83"/>
      <c r="D402" s="84"/>
      <c r="E402" s="84"/>
      <c r="F402" s="84"/>
      <c r="G402" s="83"/>
      <c r="H402" s="84"/>
      <c r="I402" s="84"/>
      <c r="J402" s="84"/>
      <c r="K402" s="84"/>
      <c r="L402" s="84"/>
      <c r="M402" s="84"/>
      <c r="N402" s="84"/>
      <c r="O402" s="84"/>
      <c r="P402" s="85"/>
      <c r="Q402" s="75"/>
      <c r="R402" s="75"/>
      <c r="S402" s="75"/>
      <c r="T402" s="75"/>
      <c r="U402" s="89"/>
      <c r="V402" s="84"/>
      <c r="W402" s="84"/>
      <c r="X402" s="84"/>
      <c r="Y402" s="84"/>
      <c r="Z402" s="84"/>
    </row>
    <row r="403" spans="1:26" ht="13">
      <c r="A403" s="83"/>
      <c r="B403" s="83"/>
      <c r="C403" s="83"/>
      <c r="D403" s="84"/>
      <c r="E403" s="84"/>
      <c r="F403" s="84"/>
      <c r="G403" s="83"/>
      <c r="H403" s="84"/>
      <c r="I403" s="84"/>
      <c r="J403" s="84"/>
      <c r="K403" s="84"/>
      <c r="L403" s="84"/>
      <c r="M403" s="84"/>
      <c r="N403" s="84"/>
      <c r="O403" s="84"/>
      <c r="P403" s="85"/>
      <c r="Q403" s="75"/>
      <c r="R403" s="75"/>
      <c r="S403" s="75"/>
      <c r="T403" s="75"/>
      <c r="U403" s="89"/>
      <c r="V403" s="84"/>
      <c r="W403" s="84"/>
      <c r="X403" s="84"/>
      <c r="Y403" s="84"/>
      <c r="Z403" s="84"/>
    </row>
    <row r="404" spans="1:26" ht="13">
      <c r="A404" s="83"/>
      <c r="B404" s="83"/>
      <c r="C404" s="83"/>
      <c r="D404" s="84"/>
      <c r="E404" s="84"/>
      <c r="F404" s="84"/>
      <c r="G404" s="83"/>
      <c r="H404" s="84"/>
      <c r="I404" s="84"/>
      <c r="J404" s="84"/>
      <c r="K404" s="84"/>
      <c r="L404" s="84"/>
      <c r="M404" s="84"/>
      <c r="N404" s="84"/>
      <c r="O404" s="84"/>
      <c r="P404" s="85"/>
      <c r="Q404" s="75"/>
      <c r="R404" s="75"/>
      <c r="S404" s="75"/>
      <c r="T404" s="75"/>
      <c r="U404" s="89"/>
      <c r="V404" s="84"/>
      <c r="W404" s="84"/>
      <c r="X404" s="84"/>
      <c r="Y404" s="84"/>
      <c r="Z404" s="84"/>
    </row>
    <row r="405" spans="1:26" ht="13">
      <c r="A405" s="83"/>
      <c r="B405" s="83"/>
      <c r="C405" s="83"/>
      <c r="D405" s="84"/>
      <c r="E405" s="84"/>
      <c r="F405" s="84"/>
      <c r="G405" s="83"/>
      <c r="H405" s="84"/>
      <c r="I405" s="84"/>
      <c r="J405" s="84"/>
      <c r="K405" s="84"/>
      <c r="L405" s="84"/>
      <c r="M405" s="84"/>
      <c r="N405" s="84"/>
      <c r="O405" s="84"/>
      <c r="P405" s="85"/>
      <c r="Q405" s="75"/>
      <c r="R405" s="75"/>
      <c r="S405" s="75"/>
      <c r="T405" s="75"/>
      <c r="U405" s="89"/>
      <c r="V405" s="84"/>
      <c r="W405" s="84"/>
      <c r="X405" s="84"/>
      <c r="Y405" s="84"/>
      <c r="Z405" s="84"/>
    </row>
    <row r="406" spans="1:26" ht="13">
      <c r="A406" s="83"/>
      <c r="B406" s="83"/>
      <c r="C406" s="83"/>
      <c r="D406" s="84"/>
      <c r="E406" s="84"/>
      <c r="F406" s="84"/>
      <c r="G406" s="83"/>
      <c r="H406" s="84"/>
      <c r="I406" s="84"/>
      <c r="J406" s="84"/>
      <c r="K406" s="84"/>
      <c r="L406" s="84"/>
      <c r="M406" s="84"/>
      <c r="N406" s="84"/>
      <c r="O406" s="84"/>
      <c r="P406" s="85"/>
      <c r="Q406" s="75"/>
      <c r="R406" s="75"/>
      <c r="S406" s="75"/>
      <c r="T406" s="75"/>
      <c r="U406" s="89"/>
      <c r="V406" s="84"/>
      <c r="W406" s="84"/>
      <c r="X406" s="84"/>
      <c r="Y406" s="84"/>
      <c r="Z406" s="84"/>
    </row>
    <row r="407" spans="1:26" ht="13">
      <c r="A407" s="83"/>
      <c r="B407" s="83"/>
      <c r="C407" s="83"/>
      <c r="D407" s="84"/>
      <c r="E407" s="84"/>
      <c r="F407" s="84"/>
      <c r="G407" s="83"/>
      <c r="H407" s="84"/>
      <c r="I407" s="84"/>
      <c r="J407" s="84"/>
      <c r="K407" s="84"/>
      <c r="L407" s="84"/>
      <c r="M407" s="84"/>
      <c r="N407" s="84"/>
      <c r="O407" s="84"/>
      <c r="P407" s="85"/>
      <c r="Q407" s="75"/>
      <c r="R407" s="75"/>
      <c r="S407" s="75"/>
      <c r="T407" s="75"/>
      <c r="U407" s="89"/>
      <c r="V407" s="84"/>
      <c r="W407" s="84"/>
      <c r="X407" s="84"/>
      <c r="Y407" s="84"/>
      <c r="Z407" s="84"/>
    </row>
    <row r="408" spans="1:26" ht="13">
      <c r="A408" s="83"/>
      <c r="B408" s="83"/>
      <c r="C408" s="83"/>
      <c r="D408" s="84"/>
      <c r="E408" s="84"/>
      <c r="F408" s="84"/>
      <c r="G408" s="83"/>
      <c r="H408" s="84"/>
      <c r="I408" s="84"/>
      <c r="J408" s="84"/>
      <c r="K408" s="84"/>
      <c r="L408" s="84"/>
      <c r="M408" s="84"/>
      <c r="N408" s="84"/>
      <c r="O408" s="84"/>
      <c r="P408" s="85"/>
      <c r="Q408" s="75"/>
      <c r="R408" s="75"/>
      <c r="S408" s="75"/>
      <c r="T408" s="75"/>
      <c r="U408" s="89"/>
      <c r="V408" s="84"/>
      <c r="W408" s="84"/>
      <c r="X408" s="84"/>
      <c r="Y408" s="84"/>
      <c r="Z408" s="84"/>
    </row>
    <row r="409" spans="1:26" ht="13">
      <c r="A409" s="83"/>
      <c r="B409" s="83"/>
      <c r="C409" s="83"/>
      <c r="D409" s="84"/>
      <c r="E409" s="84"/>
      <c r="F409" s="84"/>
      <c r="G409" s="83"/>
      <c r="H409" s="84"/>
      <c r="I409" s="84"/>
      <c r="J409" s="84"/>
      <c r="K409" s="84"/>
      <c r="L409" s="84"/>
      <c r="M409" s="84"/>
      <c r="N409" s="84"/>
      <c r="O409" s="84"/>
      <c r="P409" s="85"/>
      <c r="Q409" s="75"/>
      <c r="R409" s="75"/>
      <c r="S409" s="75"/>
      <c r="T409" s="75"/>
      <c r="U409" s="89"/>
      <c r="V409" s="84"/>
      <c r="W409" s="84"/>
      <c r="X409" s="84"/>
      <c r="Y409" s="84"/>
      <c r="Z409" s="84"/>
    </row>
    <row r="410" spans="1:26" ht="13">
      <c r="A410" s="83"/>
      <c r="B410" s="83"/>
      <c r="C410" s="83"/>
      <c r="D410" s="84"/>
      <c r="E410" s="84"/>
      <c r="F410" s="84"/>
      <c r="G410" s="83"/>
      <c r="H410" s="84"/>
      <c r="I410" s="84"/>
      <c r="J410" s="84"/>
      <c r="K410" s="84"/>
      <c r="L410" s="84"/>
      <c r="M410" s="84"/>
      <c r="N410" s="84"/>
      <c r="O410" s="84"/>
      <c r="P410" s="85"/>
      <c r="Q410" s="75"/>
      <c r="R410" s="75"/>
      <c r="S410" s="75"/>
      <c r="T410" s="75"/>
      <c r="U410" s="89"/>
      <c r="V410" s="84"/>
      <c r="W410" s="84"/>
      <c r="X410" s="84"/>
      <c r="Y410" s="84"/>
      <c r="Z410" s="84"/>
    </row>
    <row r="411" spans="1:26" ht="13">
      <c r="A411" s="83"/>
      <c r="B411" s="83"/>
      <c r="C411" s="83"/>
      <c r="D411" s="84"/>
      <c r="E411" s="84"/>
      <c r="F411" s="84"/>
      <c r="G411" s="83"/>
      <c r="H411" s="84"/>
      <c r="I411" s="84"/>
      <c r="J411" s="84"/>
      <c r="K411" s="84"/>
      <c r="L411" s="84"/>
      <c r="M411" s="84"/>
      <c r="N411" s="84"/>
      <c r="O411" s="84"/>
      <c r="P411" s="85"/>
      <c r="Q411" s="75"/>
      <c r="R411" s="75"/>
      <c r="S411" s="75"/>
      <c r="T411" s="75"/>
      <c r="U411" s="89"/>
      <c r="V411" s="84"/>
      <c r="W411" s="84"/>
      <c r="X411" s="84"/>
      <c r="Y411" s="84"/>
      <c r="Z411" s="84"/>
    </row>
    <row r="412" spans="1:26" ht="13">
      <c r="A412" s="83"/>
      <c r="B412" s="83"/>
      <c r="C412" s="83"/>
      <c r="D412" s="84"/>
      <c r="E412" s="84"/>
      <c r="F412" s="84"/>
      <c r="G412" s="83"/>
      <c r="H412" s="84"/>
      <c r="I412" s="84"/>
      <c r="J412" s="84"/>
      <c r="K412" s="84"/>
      <c r="L412" s="84"/>
      <c r="M412" s="84"/>
      <c r="N412" s="84"/>
      <c r="O412" s="84"/>
      <c r="P412" s="85"/>
      <c r="Q412" s="75"/>
      <c r="R412" s="75"/>
      <c r="S412" s="75"/>
      <c r="T412" s="75"/>
      <c r="U412" s="89"/>
      <c r="V412" s="84"/>
      <c r="W412" s="84"/>
      <c r="X412" s="84"/>
      <c r="Y412" s="84"/>
      <c r="Z412" s="84"/>
    </row>
    <row r="413" spans="1:26" ht="13">
      <c r="A413" s="83"/>
      <c r="B413" s="83"/>
      <c r="C413" s="83"/>
      <c r="D413" s="84"/>
      <c r="E413" s="84"/>
      <c r="F413" s="84"/>
      <c r="G413" s="83"/>
      <c r="H413" s="84"/>
      <c r="I413" s="84"/>
      <c r="J413" s="84"/>
      <c r="K413" s="84"/>
      <c r="L413" s="84"/>
      <c r="M413" s="84"/>
      <c r="N413" s="84"/>
      <c r="O413" s="84"/>
      <c r="P413" s="85"/>
      <c r="Q413" s="75"/>
      <c r="R413" s="75"/>
      <c r="S413" s="75"/>
      <c r="T413" s="75"/>
      <c r="U413" s="89"/>
      <c r="V413" s="84"/>
      <c r="W413" s="84"/>
      <c r="X413" s="84"/>
      <c r="Y413" s="84"/>
      <c r="Z413" s="84"/>
    </row>
    <row r="414" spans="1:26" ht="13">
      <c r="A414" s="83"/>
      <c r="B414" s="83"/>
      <c r="C414" s="83"/>
      <c r="D414" s="84"/>
      <c r="E414" s="84"/>
      <c r="F414" s="84"/>
      <c r="G414" s="83"/>
      <c r="H414" s="84"/>
      <c r="I414" s="84"/>
      <c r="J414" s="84"/>
      <c r="K414" s="84"/>
      <c r="L414" s="84"/>
      <c r="M414" s="84"/>
      <c r="N414" s="84"/>
      <c r="O414" s="84"/>
      <c r="P414" s="85"/>
      <c r="Q414" s="75"/>
      <c r="R414" s="75"/>
      <c r="S414" s="75"/>
      <c r="T414" s="75"/>
      <c r="U414" s="89"/>
      <c r="V414" s="84"/>
      <c r="W414" s="84"/>
      <c r="X414" s="84"/>
      <c r="Y414" s="84"/>
      <c r="Z414" s="84"/>
    </row>
    <row r="415" spans="1:26" ht="13">
      <c r="A415" s="83"/>
      <c r="B415" s="83"/>
      <c r="C415" s="83"/>
      <c r="D415" s="84"/>
      <c r="E415" s="84"/>
      <c r="F415" s="84"/>
      <c r="G415" s="83"/>
      <c r="H415" s="84"/>
      <c r="I415" s="84"/>
      <c r="J415" s="84"/>
      <c r="K415" s="84"/>
      <c r="L415" s="84"/>
      <c r="M415" s="84"/>
      <c r="N415" s="84"/>
      <c r="O415" s="84"/>
      <c r="P415" s="85"/>
      <c r="Q415" s="75"/>
      <c r="R415" s="75"/>
      <c r="S415" s="75"/>
      <c r="T415" s="75"/>
      <c r="U415" s="89"/>
      <c r="V415" s="84"/>
      <c r="W415" s="84"/>
      <c r="X415" s="84"/>
      <c r="Y415" s="84"/>
      <c r="Z415" s="84"/>
    </row>
    <row r="416" spans="1:26" ht="13">
      <c r="A416" s="83"/>
      <c r="B416" s="83"/>
      <c r="C416" s="83"/>
      <c r="D416" s="84"/>
      <c r="E416" s="84"/>
      <c r="F416" s="84"/>
      <c r="G416" s="83"/>
      <c r="H416" s="84"/>
      <c r="I416" s="84"/>
      <c r="J416" s="84"/>
      <c r="K416" s="84"/>
      <c r="L416" s="84"/>
      <c r="M416" s="84"/>
      <c r="N416" s="84"/>
      <c r="O416" s="84"/>
      <c r="P416" s="85"/>
      <c r="Q416" s="75"/>
      <c r="R416" s="75"/>
      <c r="S416" s="75"/>
      <c r="T416" s="75"/>
      <c r="U416" s="89"/>
      <c r="V416" s="84"/>
      <c r="W416" s="84"/>
      <c r="X416" s="84"/>
      <c r="Y416" s="84"/>
      <c r="Z416" s="84"/>
    </row>
    <row r="417" spans="1:26" ht="13">
      <c r="A417" s="83"/>
      <c r="B417" s="83"/>
      <c r="C417" s="83"/>
      <c r="D417" s="84"/>
      <c r="E417" s="84"/>
      <c r="F417" s="84"/>
      <c r="G417" s="83"/>
      <c r="H417" s="84"/>
      <c r="I417" s="84"/>
      <c r="J417" s="84"/>
      <c r="K417" s="84"/>
      <c r="L417" s="84"/>
      <c r="M417" s="84"/>
      <c r="N417" s="84"/>
      <c r="O417" s="84"/>
      <c r="P417" s="85"/>
      <c r="Q417" s="75"/>
      <c r="R417" s="75"/>
      <c r="S417" s="75"/>
      <c r="T417" s="75"/>
      <c r="U417" s="89"/>
      <c r="V417" s="84"/>
      <c r="W417" s="84"/>
      <c r="X417" s="84"/>
      <c r="Y417" s="84"/>
      <c r="Z417" s="84"/>
    </row>
    <row r="418" spans="1:26" ht="13">
      <c r="A418" s="83"/>
      <c r="B418" s="83"/>
      <c r="C418" s="83"/>
      <c r="D418" s="84"/>
      <c r="E418" s="84"/>
      <c r="F418" s="84"/>
      <c r="G418" s="83"/>
      <c r="H418" s="84"/>
      <c r="I418" s="84"/>
      <c r="J418" s="84"/>
      <c r="K418" s="84"/>
      <c r="L418" s="84"/>
      <c r="M418" s="84"/>
      <c r="N418" s="84"/>
      <c r="O418" s="84"/>
      <c r="P418" s="85"/>
      <c r="Q418" s="75"/>
      <c r="R418" s="75"/>
      <c r="S418" s="75"/>
      <c r="T418" s="75"/>
      <c r="U418" s="89"/>
      <c r="V418" s="84"/>
      <c r="W418" s="84"/>
      <c r="X418" s="84"/>
      <c r="Y418" s="84"/>
      <c r="Z418" s="84"/>
    </row>
    <row r="419" spans="1:26" ht="13">
      <c r="A419" s="83"/>
      <c r="B419" s="83"/>
      <c r="C419" s="83"/>
      <c r="D419" s="84"/>
      <c r="E419" s="84"/>
      <c r="F419" s="84"/>
      <c r="G419" s="83"/>
      <c r="H419" s="84"/>
      <c r="I419" s="84"/>
      <c r="J419" s="84"/>
      <c r="K419" s="84"/>
      <c r="L419" s="84"/>
      <c r="M419" s="84"/>
      <c r="N419" s="84"/>
      <c r="O419" s="84"/>
      <c r="P419" s="85"/>
      <c r="Q419" s="75"/>
      <c r="R419" s="75"/>
      <c r="S419" s="75"/>
      <c r="T419" s="75"/>
      <c r="U419" s="89"/>
      <c r="V419" s="84"/>
      <c r="W419" s="84"/>
      <c r="X419" s="84"/>
      <c r="Y419" s="84"/>
      <c r="Z419" s="84"/>
    </row>
    <row r="420" spans="1:26" ht="13">
      <c r="A420" s="83"/>
      <c r="B420" s="83"/>
      <c r="C420" s="83"/>
      <c r="D420" s="84"/>
      <c r="E420" s="84"/>
      <c r="F420" s="84"/>
      <c r="G420" s="83"/>
      <c r="H420" s="84"/>
      <c r="I420" s="84"/>
      <c r="J420" s="84"/>
      <c r="K420" s="84"/>
      <c r="L420" s="84"/>
      <c r="M420" s="84"/>
      <c r="N420" s="84"/>
      <c r="O420" s="84"/>
      <c r="P420" s="85"/>
      <c r="Q420" s="75"/>
      <c r="R420" s="75"/>
      <c r="S420" s="75"/>
      <c r="T420" s="75"/>
      <c r="U420" s="89"/>
      <c r="V420" s="84"/>
      <c r="W420" s="84"/>
      <c r="X420" s="84"/>
      <c r="Y420" s="84"/>
      <c r="Z420" s="84"/>
    </row>
    <row r="421" spans="1:26" ht="13">
      <c r="A421" s="83"/>
      <c r="B421" s="83"/>
      <c r="C421" s="83"/>
      <c r="D421" s="84"/>
      <c r="E421" s="84"/>
      <c r="F421" s="84"/>
      <c r="G421" s="83"/>
      <c r="H421" s="84"/>
      <c r="I421" s="84"/>
      <c r="J421" s="84"/>
      <c r="K421" s="84"/>
      <c r="L421" s="84"/>
      <c r="M421" s="84"/>
      <c r="N421" s="84"/>
      <c r="O421" s="84"/>
      <c r="P421" s="85"/>
      <c r="Q421" s="75"/>
      <c r="R421" s="75"/>
      <c r="S421" s="75"/>
      <c r="T421" s="75"/>
      <c r="U421" s="89"/>
      <c r="V421" s="84"/>
      <c r="W421" s="84"/>
      <c r="X421" s="84"/>
      <c r="Y421" s="84"/>
      <c r="Z421" s="84"/>
    </row>
    <row r="422" spans="1:26" ht="13">
      <c r="A422" s="83"/>
      <c r="B422" s="83"/>
      <c r="C422" s="83"/>
      <c r="D422" s="84"/>
      <c r="E422" s="84"/>
      <c r="F422" s="84"/>
      <c r="G422" s="83"/>
      <c r="H422" s="84"/>
      <c r="I422" s="84"/>
      <c r="J422" s="84"/>
      <c r="K422" s="84"/>
      <c r="L422" s="84"/>
      <c r="M422" s="84"/>
      <c r="N422" s="84"/>
      <c r="O422" s="84"/>
      <c r="P422" s="85"/>
      <c r="Q422" s="75"/>
      <c r="R422" s="75"/>
      <c r="S422" s="75"/>
      <c r="T422" s="75"/>
      <c r="U422" s="89"/>
      <c r="V422" s="84"/>
      <c r="W422" s="84"/>
      <c r="X422" s="84"/>
      <c r="Y422" s="84"/>
      <c r="Z422" s="84"/>
    </row>
    <row r="423" spans="1:26" ht="13">
      <c r="A423" s="83"/>
      <c r="B423" s="83"/>
      <c r="C423" s="83"/>
      <c r="D423" s="84"/>
      <c r="E423" s="84"/>
      <c r="F423" s="84"/>
      <c r="G423" s="83"/>
      <c r="H423" s="84"/>
      <c r="I423" s="84"/>
      <c r="J423" s="84"/>
      <c r="K423" s="84"/>
      <c r="L423" s="84"/>
      <c r="M423" s="84"/>
      <c r="N423" s="84"/>
      <c r="O423" s="84"/>
      <c r="P423" s="85"/>
      <c r="Q423" s="75"/>
      <c r="R423" s="75"/>
      <c r="S423" s="75"/>
      <c r="T423" s="75"/>
      <c r="U423" s="89"/>
      <c r="V423" s="84"/>
      <c r="W423" s="84"/>
      <c r="X423" s="84"/>
      <c r="Y423" s="84"/>
      <c r="Z423" s="84"/>
    </row>
    <row r="424" spans="1:26" ht="13">
      <c r="A424" s="83"/>
      <c r="B424" s="83"/>
      <c r="C424" s="83"/>
      <c r="D424" s="84"/>
      <c r="E424" s="84"/>
      <c r="F424" s="84"/>
      <c r="G424" s="83"/>
      <c r="H424" s="84"/>
      <c r="I424" s="84"/>
      <c r="J424" s="84"/>
      <c r="K424" s="84"/>
      <c r="L424" s="84"/>
      <c r="M424" s="84"/>
      <c r="N424" s="84"/>
      <c r="O424" s="84"/>
      <c r="P424" s="85"/>
      <c r="Q424" s="75"/>
      <c r="R424" s="75"/>
      <c r="S424" s="75"/>
      <c r="T424" s="75"/>
      <c r="U424" s="89"/>
      <c r="V424" s="84"/>
      <c r="W424" s="84"/>
      <c r="X424" s="84"/>
      <c r="Y424" s="84"/>
      <c r="Z424" s="84"/>
    </row>
    <row r="425" spans="1:26" ht="13">
      <c r="A425" s="83"/>
      <c r="B425" s="83"/>
      <c r="C425" s="83"/>
      <c r="D425" s="84"/>
      <c r="E425" s="84"/>
      <c r="F425" s="84"/>
      <c r="G425" s="83"/>
      <c r="H425" s="84"/>
      <c r="I425" s="84"/>
      <c r="J425" s="84"/>
      <c r="K425" s="84"/>
      <c r="L425" s="84"/>
      <c r="M425" s="84"/>
      <c r="N425" s="84"/>
      <c r="O425" s="84"/>
      <c r="P425" s="85"/>
      <c r="Q425" s="75"/>
      <c r="R425" s="75"/>
      <c r="S425" s="75"/>
      <c r="T425" s="75"/>
      <c r="U425" s="89"/>
      <c r="V425" s="84"/>
      <c r="W425" s="84"/>
      <c r="X425" s="84"/>
      <c r="Y425" s="84"/>
      <c r="Z425" s="84"/>
    </row>
    <row r="426" spans="1:26" ht="13">
      <c r="A426" s="83"/>
      <c r="B426" s="83"/>
      <c r="C426" s="83"/>
      <c r="D426" s="84"/>
      <c r="E426" s="84"/>
      <c r="F426" s="84"/>
      <c r="G426" s="83"/>
      <c r="H426" s="84"/>
      <c r="I426" s="84"/>
      <c r="J426" s="84"/>
      <c r="K426" s="84"/>
      <c r="L426" s="84"/>
      <c r="M426" s="84"/>
      <c r="N426" s="84"/>
      <c r="O426" s="84"/>
      <c r="P426" s="85"/>
      <c r="Q426" s="75"/>
      <c r="R426" s="75"/>
      <c r="S426" s="75"/>
      <c r="T426" s="75"/>
      <c r="U426" s="89"/>
      <c r="V426" s="84"/>
      <c r="W426" s="84"/>
      <c r="X426" s="84"/>
      <c r="Y426" s="84"/>
      <c r="Z426" s="84"/>
    </row>
    <row r="427" spans="1:26" ht="13">
      <c r="A427" s="83"/>
      <c r="B427" s="83"/>
      <c r="C427" s="83"/>
      <c r="D427" s="84"/>
      <c r="E427" s="84"/>
      <c r="F427" s="84"/>
      <c r="G427" s="83"/>
      <c r="H427" s="84"/>
      <c r="I427" s="84"/>
      <c r="J427" s="84"/>
      <c r="K427" s="84"/>
      <c r="L427" s="84"/>
      <c r="M427" s="84"/>
      <c r="N427" s="84"/>
      <c r="O427" s="84"/>
      <c r="P427" s="85"/>
      <c r="Q427" s="75"/>
      <c r="R427" s="75"/>
      <c r="S427" s="75"/>
      <c r="T427" s="75"/>
      <c r="U427" s="89"/>
      <c r="V427" s="84"/>
      <c r="W427" s="84"/>
      <c r="X427" s="84"/>
      <c r="Y427" s="84"/>
      <c r="Z427" s="84"/>
    </row>
    <row r="428" spans="1:26" ht="13">
      <c r="A428" s="83"/>
      <c r="B428" s="83"/>
      <c r="C428" s="83"/>
      <c r="D428" s="84"/>
      <c r="E428" s="84"/>
      <c r="F428" s="84"/>
      <c r="G428" s="83"/>
      <c r="H428" s="84"/>
      <c r="I428" s="84"/>
      <c r="J428" s="84"/>
      <c r="K428" s="84"/>
      <c r="L428" s="84"/>
      <c r="M428" s="84"/>
      <c r="N428" s="84"/>
      <c r="O428" s="84"/>
      <c r="P428" s="85"/>
      <c r="Q428" s="75"/>
      <c r="R428" s="75"/>
      <c r="S428" s="75"/>
      <c r="T428" s="75"/>
      <c r="U428" s="89"/>
      <c r="V428" s="84"/>
      <c r="W428" s="84"/>
      <c r="X428" s="84"/>
      <c r="Y428" s="84"/>
      <c r="Z428" s="84"/>
    </row>
    <row r="429" spans="1:26" ht="13">
      <c r="A429" s="83"/>
      <c r="B429" s="83"/>
      <c r="C429" s="83"/>
      <c r="D429" s="84"/>
      <c r="E429" s="84"/>
      <c r="F429" s="84"/>
      <c r="G429" s="83"/>
      <c r="H429" s="84"/>
      <c r="I429" s="84"/>
      <c r="J429" s="84"/>
      <c r="K429" s="84"/>
      <c r="L429" s="84"/>
      <c r="M429" s="84"/>
      <c r="N429" s="84"/>
      <c r="O429" s="84"/>
      <c r="P429" s="85"/>
      <c r="Q429" s="75"/>
      <c r="R429" s="75"/>
      <c r="S429" s="75"/>
      <c r="T429" s="75"/>
      <c r="U429" s="89"/>
      <c r="V429" s="84"/>
      <c r="W429" s="84"/>
      <c r="X429" s="84"/>
      <c r="Y429" s="84"/>
      <c r="Z429" s="84"/>
    </row>
    <row r="430" spans="1:26" ht="13">
      <c r="A430" s="83"/>
      <c r="B430" s="83"/>
      <c r="C430" s="83"/>
      <c r="D430" s="84"/>
      <c r="E430" s="84"/>
      <c r="F430" s="84"/>
      <c r="G430" s="83"/>
      <c r="H430" s="84"/>
      <c r="I430" s="84"/>
      <c r="J430" s="84"/>
      <c r="K430" s="84"/>
      <c r="L430" s="84"/>
      <c r="M430" s="84"/>
      <c r="N430" s="84"/>
      <c r="O430" s="84"/>
      <c r="P430" s="85"/>
      <c r="Q430" s="75"/>
      <c r="R430" s="75"/>
      <c r="S430" s="75"/>
      <c r="T430" s="75"/>
      <c r="U430" s="89"/>
      <c r="V430" s="84"/>
      <c r="W430" s="84"/>
      <c r="X430" s="84"/>
      <c r="Y430" s="84"/>
      <c r="Z430" s="84"/>
    </row>
    <row r="431" spans="1:26" ht="13">
      <c r="A431" s="83"/>
      <c r="B431" s="83"/>
      <c r="C431" s="83"/>
      <c r="D431" s="84"/>
      <c r="E431" s="84"/>
      <c r="F431" s="84"/>
      <c r="G431" s="83"/>
      <c r="H431" s="84"/>
      <c r="I431" s="84"/>
      <c r="J431" s="84"/>
      <c r="K431" s="84"/>
      <c r="L431" s="84"/>
      <c r="M431" s="84"/>
      <c r="N431" s="84"/>
      <c r="O431" s="84"/>
      <c r="P431" s="85"/>
      <c r="Q431" s="75"/>
      <c r="R431" s="75"/>
      <c r="S431" s="75"/>
      <c r="T431" s="75"/>
      <c r="U431" s="89"/>
      <c r="V431" s="84"/>
      <c r="W431" s="84"/>
      <c r="X431" s="84"/>
      <c r="Y431" s="84"/>
      <c r="Z431" s="84"/>
    </row>
    <row r="432" spans="1:26" ht="13">
      <c r="A432" s="83"/>
      <c r="B432" s="83"/>
      <c r="C432" s="83"/>
      <c r="D432" s="84"/>
      <c r="E432" s="84"/>
      <c r="F432" s="84"/>
      <c r="G432" s="83"/>
      <c r="H432" s="84"/>
      <c r="I432" s="84"/>
      <c r="J432" s="84"/>
      <c r="K432" s="84"/>
      <c r="L432" s="84"/>
      <c r="M432" s="84"/>
      <c r="N432" s="84"/>
      <c r="O432" s="84"/>
      <c r="P432" s="85"/>
      <c r="Q432" s="75"/>
      <c r="R432" s="75"/>
      <c r="S432" s="75"/>
      <c r="T432" s="75"/>
      <c r="U432" s="89"/>
      <c r="V432" s="84"/>
      <c r="W432" s="84"/>
      <c r="X432" s="84"/>
      <c r="Y432" s="84"/>
      <c r="Z432" s="84"/>
    </row>
    <row r="433" spans="1:26" ht="13">
      <c r="A433" s="83"/>
      <c r="B433" s="83"/>
      <c r="C433" s="83"/>
      <c r="D433" s="84"/>
      <c r="E433" s="84"/>
      <c r="F433" s="84"/>
      <c r="G433" s="83"/>
      <c r="H433" s="84"/>
      <c r="I433" s="84"/>
      <c r="J433" s="84"/>
      <c r="K433" s="84"/>
      <c r="L433" s="84"/>
      <c r="M433" s="84"/>
      <c r="N433" s="84"/>
      <c r="O433" s="84"/>
      <c r="P433" s="85"/>
      <c r="Q433" s="75"/>
      <c r="R433" s="75"/>
      <c r="S433" s="75"/>
      <c r="T433" s="75"/>
      <c r="U433" s="89"/>
      <c r="V433" s="84"/>
      <c r="W433" s="84"/>
      <c r="X433" s="84"/>
      <c r="Y433" s="84"/>
      <c r="Z433" s="84"/>
    </row>
    <row r="434" spans="1:26" ht="13">
      <c r="A434" s="83"/>
      <c r="B434" s="83"/>
      <c r="C434" s="83"/>
      <c r="D434" s="84"/>
      <c r="E434" s="84"/>
      <c r="F434" s="84"/>
      <c r="G434" s="83"/>
      <c r="H434" s="84"/>
      <c r="I434" s="84"/>
      <c r="J434" s="84"/>
      <c r="K434" s="84"/>
      <c r="L434" s="84"/>
      <c r="M434" s="84"/>
      <c r="N434" s="84"/>
      <c r="O434" s="84"/>
      <c r="P434" s="85"/>
      <c r="Q434" s="75"/>
      <c r="R434" s="75"/>
      <c r="S434" s="75"/>
      <c r="T434" s="75"/>
      <c r="U434" s="89"/>
      <c r="V434" s="84"/>
      <c r="W434" s="84"/>
      <c r="X434" s="84"/>
      <c r="Y434" s="84"/>
      <c r="Z434" s="84"/>
    </row>
    <row r="435" spans="1:26" ht="13">
      <c r="A435" s="83"/>
      <c r="B435" s="83"/>
      <c r="C435" s="83"/>
      <c r="D435" s="84"/>
      <c r="E435" s="84"/>
      <c r="F435" s="84"/>
      <c r="G435" s="83"/>
      <c r="H435" s="84"/>
      <c r="I435" s="84"/>
      <c r="J435" s="84"/>
      <c r="K435" s="84"/>
      <c r="L435" s="84"/>
      <c r="M435" s="84"/>
      <c r="N435" s="84"/>
      <c r="O435" s="84"/>
      <c r="P435" s="85"/>
      <c r="Q435" s="75"/>
      <c r="R435" s="75"/>
      <c r="S435" s="75"/>
      <c r="T435" s="75"/>
      <c r="U435" s="89"/>
      <c r="V435" s="84"/>
      <c r="W435" s="84"/>
      <c r="X435" s="84"/>
      <c r="Y435" s="84"/>
      <c r="Z435" s="84"/>
    </row>
    <row r="436" spans="1:26" ht="13">
      <c r="A436" s="83"/>
      <c r="B436" s="83"/>
      <c r="C436" s="83"/>
      <c r="D436" s="84"/>
      <c r="E436" s="84"/>
      <c r="F436" s="84"/>
      <c r="G436" s="83"/>
      <c r="H436" s="84"/>
      <c r="I436" s="84"/>
      <c r="J436" s="84"/>
      <c r="K436" s="84"/>
      <c r="L436" s="84"/>
      <c r="M436" s="84"/>
      <c r="N436" s="84"/>
      <c r="O436" s="84"/>
      <c r="P436" s="85"/>
      <c r="Q436" s="75"/>
      <c r="R436" s="75"/>
      <c r="S436" s="75"/>
      <c r="T436" s="75"/>
      <c r="U436" s="89"/>
      <c r="V436" s="84"/>
      <c r="W436" s="84"/>
      <c r="X436" s="84"/>
      <c r="Y436" s="84"/>
      <c r="Z436" s="84"/>
    </row>
    <row r="437" spans="1:26" ht="13">
      <c r="A437" s="83"/>
      <c r="B437" s="83"/>
      <c r="C437" s="83"/>
      <c r="D437" s="84"/>
      <c r="E437" s="84"/>
      <c r="F437" s="84"/>
      <c r="G437" s="83"/>
      <c r="H437" s="84"/>
      <c r="I437" s="84"/>
      <c r="J437" s="84"/>
      <c r="K437" s="84"/>
      <c r="L437" s="84"/>
      <c r="M437" s="84"/>
      <c r="N437" s="84"/>
      <c r="O437" s="84"/>
      <c r="P437" s="85"/>
      <c r="Q437" s="75"/>
      <c r="R437" s="75"/>
      <c r="S437" s="75"/>
      <c r="T437" s="75"/>
      <c r="U437" s="89"/>
      <c r="V437" s="84"/>
      <c r="W437" s="84"/>
      <c r="X437" s="84"/>
      <c r="Y437" s="84"/>
      <c r="Z437" s="84"/>
    </row>
    <row r="438" spans="1:26" ht="13">
      <c r="A438" s="83"/>
      <c r="B438" s="83"/>
      <c r="C438" s="83"/>
      <c r="D438" s="84"/>
      <c r="E438" s="84"/>
      <c r="F438" s="84"/>
      <c r="G438" s="83"/>
      <c r="H438" s="84"/>
      <c r="I438" s="84"/>
      <c r="J438" s="84"/>
      <c r="K438" s="84"/>
      <c r="L438" s="84"/>
      <c r="M438" s="84"/>
      <c r="N438" s="84"/>
      <c r="O438" s="84"/>
      <c r="P438" s="85"/>
      <c r="Q438" s="75"/>
      <c r="R438" s="75"/>
      <c r="S438" s="75"/>
      <c r="T438" s="75"/>
      <c r="U438" s="89"/>
      <c r="V438" s="84"/>
      <c r="W438" s="84"/>
      <c r="X438" s="84"/>
      <c r="Y438" s="84"/>
      <c r="Z438" s="84"/>
    </row>
    <row r="439" spans="1:26" ht="13">
      <c r="A439" s="83"/>
      <c r="B439" s="83"/>
      <c r="C439" s="83"/>
      <c r="D439" s="84"/>
      <c r="E439" s="84"/>
      <c r="F439" s="84"/>
      <c r="G439" s="83"/>
      <c r="H439" s="84"/>
      <c r="I439" s="84"/>
      <c r="J439" s="84"/>
      <c r="K439" s="84"/>
      <c r="L439" s="84"/>
      <c r="M439" s="84"/>
      <c r="N439" s="84"/>
      <c r="O439" s="84"/>
      <c r="P439" s="85"/>
      <c r="Q439" s="75"/>
      <c r="R439" s="75"/>
      <c r="S439" s="75"/>
      <c r="T439" s="75"/>
      <c r="U439" s="89"/>
      <c r="V439" s="84"/>
      <c r="W439" s="84"/>
      <c r="X439" s="84"/>
      <c r="Y439" s="84"/>
      <c r="Z439" s="84"/>
    </row>
    <row r="440" spans="1:26" ht="13">
      <c r="A440" s="83"/>
      <c r="B440" s="83"/>
      <c r="C440" s="83"/>
      <c r="D440" s="84"/>
      <c r="E440" s="84"/>
      <c r="F440" s="84"/>
      <c r="G440" s="83"/>
      <c r="H440" s="84"/>
      <c r="I440" s="84"/>
      <c r="J440" s="84"/>
      <c r="K440" s="84"/>
      <c r="L440" s="84"/>
      <c r="M440" s="84"/>
      <c r="N440" s="84"/>
      <c r="O440" s="84"/>
      <c r="P440" s="85"/>
      <c r="Q440" s="75"/>
      <c r="R440" s="75"/>
      <c r="S440" s="75"/>
      <c r="T440" s="75"/>
      <c r="U440" s="89"/>
      <c r="V440" s="84"/>
      <c r="W440" s="84"/>
      <c r="X440" s="84"/>
      <c r="Y440" s="84"/>
      <c r="Z440" s="84"/>
    </row>
    <row r="441" spans="1:26" ht="13">
      <c r="A441" s="83"/>
      <c r="B441" s="83"/>
      <c r="C441" s="83"/>
      <c r="D441" s="84"/>
      <c r="E441" s="84"/>
      <c r="F441" s="84"/>
      <c r="G441" s="83"/>
      <c r="H441" s="84"/>
      <c r="I441" s="84"/>
      <c r="J441" s="84"/>
      <c r="K441" s="84"/>
      <c r="L441" s="84"/>
      <c r="M441" s="84"/>
      <c r="N441" s="84"/>
      <c r="O441" s="84"/>
      <c r="P441" s="85"/>
      <c r="Q441" s="75"/>
      <c r="R441" s="75"/>
      <c r="S441" s="75"/>
      <c r="T441" s="75"/>
      <c r="U441" s="89"/>
      <c r="V441" s="84"/>
      <c r="W441" s="84"/>
      <c r="X441" s="84"/>
      <c r="Y441" s="84"/>
      <c r="Z441" s="84"/>
    </row>
    <row r="442" spans="1:26" ht="13">
      <c r="A442" s="83"/>
      <c r="B442" s="83"/>
      <c r="C442" s="83"/>
      <c r="D442" s="84"/>
      <c r="E442" s="84"/>
      <c r="F442" s="84"/>
      <c r="G442" s="83"/>
      <c r="H442" s="84"/>
      <c r="I442" s="84"/>
      <c r="J442" s="84"/>
      <c r="K442" s="84"/>
      <c r="L442" s="84"/>
      <c r="M442" s="84"/>
      <c r="N442" s="84"/>
      <c r="O442" s="84"/>
      <c r="P442" s="85"/>
      <c r="Q442" s="75"/>
      <c r="R442" s="75"/>
      <c r="S442" s="75"/>
      <c r="T442" s="75"/>
      <c r="U442" s="89"/>
      <c r="V442" s="84"/>
      <c r="W442" s="84"/>
      <c r="X442" s="84"/>
      <c r="Y442" s="84"/>
      <c r="Z442" s="84"/>
    </row>
    <row r="443" spans="1:26" ht="13">
      <c r="A443" s="83"/>
      <c r="B443" s="83"/>
      <c r="C443" s="83"/>
      <c r="D443" s="84"/>
      <c r="E443" s="84"/>
      <c r="F443" s="84"/>
      <c r="G443" s="83"/>
      <c r="H443" s="84"/>
      <c r="I443" s="84"/>
      <c r="J443" s="84"/>
      <c r="K443" s="84"/>
      <c r="L443" s="84"/>
      <c r="M443" s="84"/>
      <c r="N443" s="84"/>
      <c r="O443" s="84"/>
      <c r="P443" s="85"/>
      <c r="Q443" s="75"/>
      <c r="R443" s="75"/>
      <c r="S443" s="75"/>
      <c r="T443" s="75"/>
      <c r="U443" s="89"/>
      <c r="V443" s="84"/>
      <c r="W443" s="84"/>
      <c r="X443" s="84"/>
      <c r="Y443" s="84"/>
      <c r="Z443" s="84"/>
    </row>
    <row r="444" spans="1:26" ht="13">
      <c r="A444" s="83"/>
      <c r="B444" s="83"/>
      <c r="C444" s="83"/>
      <c r="D444" s="84"/>
      <c r="E444" s="84"/>
      <c r="F444" s="84"/>
      <c r="G444" s="83"/>
      <c r="H444" s="84"/>
      <c r="I444" s="84"/>
      <c r="J444" s="84"/>
      <c r="K444" s="84"/>
      <c r="L444" s="84"/>
      <c r="M444" s="84"/>
      <c r="N444" s="84"/>
      <c r="O444" s="84"/>
      <c r="P444" s="85"/>
      <c r="Q444" s="75"/>
      <c r="R444" s="75"/>
      <c r="S444" s="75"/>
      <c r="T444" s="75"/>
      <c r="U444" s="89"/>
      <c r="V444" s="84"/>
      <c r="W444" s="84"/>
      <c r="X444" s="84"/>
      <c r="Y444" s="84"/>
      <c r="Z444" s="84"/>
    </row>
    <row r="445" spans="1:26" ht="13">
      <c r="A445" s="83"/>
      <c r="B445" s="83"/>
      <c r="C445" s="83"/>
      <c r="D445" s="84"/>
      <c r="E445" s="84"/>
      <c r="F445" s="84"/>
      <c r="G445" s="83"/>
      <c r="H445" s="84"/>
      <c r="I445" s="84"/>
      <c r="J445" s="84"/>
      <c r="K445" s="84"/>
      <c r="L445" s="84"/>
      <c r="M445" s="84"/>
      <c r="N445" s="84"/>
      <c r="O445" s="84"/>
      <c r="P445" s="85"/>
      <c r="Q445" s="75"/>
      <c r="R445" s="75"/>
      <c r="S445" s="75"/>
      <c r="T445" s="75"/>
      <c r="U445" s="89"/>
      <c r="V445" s="84"/>
      <c r="W445" s="84"/>
      <c r="X445" s="84"/>
      <c r="Y445" s="84"/>
      <c r="Z445" s="84"/>
    </row>
    <row r="446" spans="1:26" ht="13">
      <c r="A446" s="83"/>
      <c r="B446" s="83"/>
      <c r="C446" s="83"/>
      <c r="D446" s="84"/>
      <c r="E446" s="84"/>
      <c r="F446" s="84"/>
      <c r="G446" s="83"/>
      <c r="H446" s="84"/>
      <c r="I446" s="84"/>
      <c r="J446" s="84"/>
      <c r="K446" s="84"/>
      <c r="L446" s="84"/>
      <c r="M446" s="84"/>
      <c r="N446" s="84"/>
      <c r="O446" s="84"/>
      <c r="P446" s="85"/>
      <c r="Q446" s="75"/>
      <c r="R446" s="75"/>
      <c r="S446" s="75"/>
      <c r="T446" s="75"/>
      <c r="U446" s="89"/>
      <c r="V446" s="84"/>
      <c r="W446" s="84"/>
      <c r="X446" s="84"/>
      <c r="Y446" s="84"/>
      <c r="Z446" s="84"/>
    </row>
    <row r="447" spans="1:26" ht="13">
      <c r="A447" s="83"/>
      <c r="B447" s="83"/>
      <c r="C447" s="83"/>
      <c r="D447" s="84"/>
      <c r="E447" s="84"/>
      <c r="F447" s="84"/>
      <c r="G447" s="83"/>
      <c r="H447" s="84"/>
      <c r="I447" s="84"/>
      <c r="J447" s="84"/>
      <c r="K447" s="84"/>
      <c r="L447" s="84"/>
      <c r="M447" s="84"/>
      <c r="N447" s="84"/>
      <c r="O447" s="84"/>
      <c r="P447" s="85"/>
      <c r="Q447" s="75"/>
      <c r="R447" s="75"/>
      <c r="S447" s="75"/>
      <c r="T447" s="75"/>
      <c r="U447" s="89"/>
      <c r="V447" s="84"/>
      <c r="W447" s="84"/>
      <c r="X447" s="84"/>
      <c r="Y447" s="84"/>
      <c r="Z447" s="84"/>
    </row>
    <row r="448" spans="1:26" ht="13">
      <c r="A448" s="83"/>
      <c r="B448" s="83"/>
      <c r="C448" s="83"/>
      <c r="D448" s="84"/>
      <c r="E448" s="84"/>
      <c r="F448" s="84"/>
      <c r="G448" s="83"/>
      <c r="H448" s="84"/>
      <c r="I448" s="84"/>
      <c r="J448" s="84"/>
      <c r="K448" s="84"/>
      <c r="L448" s="84"/>
      <c r="M448" s="84"/>
      <c r="N448" s="84"/>
      <c r="O448" s="84"/>
      <c r="P448" s="85"/>
      <c r="Q448" s="75"/>
      <c r="R448" s="75"/>
      <c r="S448" s="75"/>
      <c r="T448" s="75"/>
      <c r="U448" s="89"/>
      <c r="V448" s="84"/>
      <c r="W448" s="84"/>
      <c r="X448" s="84"/>
      <c r="Y448" s="84"/>
      <c r="Z448" s="84"/>
    </row>
    <row r="449" spans="1:26" ht="13">
      <c r="A449" s="83"/>
      <c r="B449" s="83"/>
      <c r="C449" s="83"/>
      <c r="D449" s="84"/>
      <c r="E449" s="84"/>
      <c r="F449" s="84"/>
      <c r="G449" s="83"/>
      <c r="H449" s="84"/>
      <c r="I449" s="84"/>
      <c r="J449" s="84"/>
      <c r="K449" s="84"/>
      <c r="L449" s="84"/>
      <c r="M449" s="84"/>
      <c r="N449" s="84"/>
      <c r="O449" s="84"/>
      <c r="P449" s="85"/>
      <c r="Q449" s="75"/>
      <c r="R449" s="75"/>
      <c r="S449" s="75"/>
      <c r="T449" s="75"/>
      <c r="U449" s="89"/>
      <c r="V449" s="84"/>
      <c r="W449" s="84"/>
      <c r="X449" s="84"/>
      <c r="Y449" s="84"/>
      <c r="Z449" s="84"/>
    </row>
    <row r="450" spans="1:26" ht="13">
      <c r="A450" s="83"/>
      <c r="B450" s="83"/>
      <c r="C450" s="83"/>
      <c r="D450" s="84"/>
      <c r="E450" s="84"/>
      <c r="F450" s="84"/>
      <c r="G450" s="83"/>
      <c r="H450" s="84"/>
      <c r="I450" s="84"/>
      <c r="J450" s="84"/>
      <c r="K450" s="84"/>
      <c r="L450" s="84"/>
      <c r="M450" s="84"/>
      <c r="N450" s="84"/>
      <c r="O450" s="84"/>
      <c r="P450" s="85"/>
      <c r="Q450" s="75"/>
      <c r="R450" s="75"/>
      <c r="S450" s="75"/>
      <c r="T450" s="75"/>
      <c r="U450" s="89"/>
      <c r="V450" s="84"/>
      <c r="W450" s="84"/>
      <c r="X450" s="84"/>
      <c r="Y450" s="84"/>
      <c r="Z450" s="84"/>
    </row>
    <row r="451" spans="1:26" ht="13">
      <c r="A451" s="83"/>
      <c r="B451" s="83"/>
      <c r="C451" s="83"/>
      <c r="D451" s="84"/>
      <c r="E451" s="84"/>
      <c r="F451" s="84"/>
      <c r="G451" s="83"/>
      <c r="H451" s="84"/>
      <c r="I451" s="84"/>
      <c r="J451" s="84"/>
      <c r="K451" s="84"/>
      <c r="L451" s="84"/>
      <c r="M451" s="84"/>
      <c r="N451" s="84"/>
      <c r="O451" s="84"/>
      <c r="P451" s="85"/>
      <c r="Q451" s="75"/>
      <c r="R451" s="75"/>
      <c r="S451" s="75"/>
      <c r="T451" s="75"/>
      <c r="U451" s="89"/>
      <c r="V451" s="84"/>
      <c r="W451" s="84"/>
      <c r="X451" s="84"/>
      <c r="Y451" s="84"/>
      <c r="Z451" s="84"/>
    </row>
    <row r="452" spans="1:26" ht="13">
      <c r="A452" s="83"/>
      <c r="B452" s="83"/>
      <c r="C452" s="83"/>
      <c r="D452" s="84"/>
      <c r="E452" s="84"/>
      <c r="F452" s="84"/>
      <c r="G452" s="83"/>
      <c r="H452" s="84"/>
      <c r="I452" s="84"/>
      <c r="J452" s="84"/>
      <c r="K452" s="84"/>
      <c r="L452" s="84"/>
      <c r="M452" s="84"/>
      <c r="N452" s="84"/>
      <c r="O452" s="84"/>
      <c r="P452" s="85"/>
      <c r="Q452" s="75"/>
      <c r="R452" s="75"/>
      <c r="S452" s="75"/>
      <c r="T452" s="75"/>
      <c r="U452" s="89"/>
      <c r="V452" s="84"/>
      <c r="W452" s="84"/>
      <c r="X452" s="84"/>
      <c r="Y452" s="84"/>
      <c r="Z452" s="84"/>
    </row>
    <row r="453" spans="1:26" ht="13">
      <c r="A453" s="83"/>
      <c r="B453" s="83"/>
      <c r="C453" s="83"/>
      <c r="D453" s="84"/>
      <c r="E453" s="84"/>
      <c r="F453" s="84"/>
      <c r="G453" s="83"/>
      <c r="H453" s="84"/>
      <c r="I453" s="84"/>
      <c r="J453" s="84"/>
      <c r="K453" s="84"/>
      <c r="L453" s="84"/>
      <c r="M453" s="84"/>
      <c r="N453" s="84"/>
      <c r="O453" s="84"/>
      <c r="P453" s="85"/>
      <c r="Q453" s="75"/>
      <c r="R453" s="75"/>
      <c r="S453" s="75"/>
      <c r="T453" s="75"/>
      <c r="U453" s="89"/>
      <c r="V453" s="84"/>
      <c r="W453" s="84"/>
      <c r="X453" s="84"/>
      <c r="Y453" s="84"/>
      <c r="Z453" s="84"/>
    </row>
    <row r="454" spans="1:26" ht="13">
      <c r="A454" s="83"/>
      <c r="B454" s="83"/>
      <c r="C454" s="83"/>
      <c r="D454" s="84"/>
      <c r="E454" s="84"/>
      <c r="F454" s="84"/>
      <c r="G454" s="83"/>
      <c r="H454" s="84"/>
      <c r="I454" s="84"/>
      <c r="J454" s="84"/>
      <c r="K454" s="84"/>
      <c r="L454" s="84"/>
      <c r="M454" s="84"/>
      <c r="N454" s="84"/>
      <c r="O454" s="84"/>
      <c r="P454" s="85"/>
      <c r="Q454" s="75"/>
      <c r="R454" s="75"/>
      <c r="S454" s="75"/>
      <c r="T454" s="75"/>
      <c r="U454" s="89"/>
      <c r="V454" s="84"/>
      <c r="W454" s="84"/>
      <c r="X454" s="84"/>
      <c r="Y454" s="84"/>
      <c r="Z454" s="84"/>
    </row>
    <row r="455" spans="1:26" ht="13">
      <c r="A455" s="83"/>
      <c r="B455" s="83"/>
      <c r="C455" s="83"/>
      <c r="D455" s="84"/>
      <c r="E455" s="84"/>
      <c r="F455" s="84"/>
      <c r="G455" s="83"/>
      <c r="H455" s="84"/>
      <c r="I455" s="84"/>
      <c r="J455" s="84"/>
      <c r="K455" s="84"/>
      <c r="L455" s="84"/>
      <c r="M455" s="84"/>
      <c r="N455" s="84"/>
      <c r="O455" s="84"/>
      <c r="P455" s="85"/>
      <c r="Q455" s="75"/>
      <c r="R455" s="75"/>
      <c r="S455" s="75"/>
      <c r="T455" s="75"/>
      <c r="U455" s="89"/>
      <c r="V455" s="84"/>
      <c r="W455" s="84"/>
      <c r="X455" s="84"/>
      <c r="Y455" s="84"/>
      <c r="Z455" s="84"/>
    </row>
    <row r="456" spans="1:26" ht="13">
      <c r="A456" s="83"/>
      <c r="B456" s="83"/>
      <c r="C456" s="83"/>
      <c r="D456" s="84"/>
      <c r="E456" s="84"/>
      <c r="F456" s="84"/>
      <c r="G456" s="83"/>
      <c r="H456" s="84"/>
      <c r="I456" s="84"/>
      <c r="J456" s="84"/>
      <c r="K456" s="84"/>
      <c r="L456" s="84"/>
      <c r="M456" s="84"/>
      <c r="N456" s="84"/>
      <c r="O456" s="84"/>
      <c r="P456" s="85"/>
      <c r="Q456" s="75"/>
      <c r="R456" s="75"/>
      <c r="S456" s="75"/>
      <c r="T456" s="75"/>
      <c r="U456" s="89"/>
      <c r="V456" s="84"/>
      <c r="W456" s="84"/>
      <c r="X456" s="84"/>
      <c r="Y456" s="84"/>
      <c r="Z456" s="84"/>
    </row>
    <row r="457" spans="1:26" ht="13">
      <c r="A457" s="83"/>
      <c r="B457" s="83"/>
      <c r="C457" s="83"/>
      <c r="D457" s="84"/>
      <c r="E457" s="84"/>
      <c r="F457" s="84"/>
      <c r="G457" s="83"/>
      <c r="H457" s="84"/>
      <c r="I457" s="84"/>
      <c r="J457" s="84"/>
      <c r="K457" s="84"/>
      <c r="L457" s="84"/>
      <c r="M457" s="84"/>
      <c r="N457" s="84"/>
      <c r="O457" s="84"/>
      <c r="P457" s="85"/>
      <c r="Q457" s="75"/>
      <c r="R457" s="75"/>
      <c r="S457" s="75"/>
      <c r="T457" s="75"/>
      <c r="U457" s="89"/>
      <c r="V457" s="84"/>
      <c r="W457" s="84"/>
      <c r="X457" s="84"/>
      <c r="Y457" s="84"/>
      <c r="Z457" s="84"/>
    </row>
    <row r="458" spans="1:26" ht="13">
      <c r="A458" s="83"/>
      <c r="B458" s="83"/>
      <c r="C458" s="83"/>
      <c r="D458" s="84"/>
      <c r="E458" s="84"/>
      <c r="F458" s="84"/>
      <c r="G458" s="83"/>
      <c r="H458" s="84"/>
      <c r="I458" s="84"/>
      <c r="J458" s="84"/>
      <c r="K458" s="84"/>
      <c r="L458" s="84"/>
      <c r="M458" s="84"/>
      <c r="N458" s="84"/>
      <c r="O458" s="84"/>
      <c r="P458" s="85"/>
      <c r="Q458" s="75"/>
      <c r="R458" s="75"/>
      <c r="S458" s="75"/>
      <c r="T458" s="75"/>
      <c r="U458" s="89"/>
      <c r="V458" s="84"/>
      <c r="W458" s="84"/>
      <c r="X458" s="84"/>
      <c r="Y458" s="84"/>
      <c r="Z458" s="84"/>
    </row>
    <row r="459" spans="1:26" ht="13">
      <c r="A459" s="83"/>
      <c r="B459" s="83"/>
      <c r="C459" s="83"/>
      <c r="D459" s="84"/>
      <c r="E459" s="84"/>
      <c r="F459" s="84"/>
      <c r="G459" s="83"/>
      <c r="H459" s="84"/>
      <c r="I459" s="84"/>
      <c r="J459" s="84"/>
      <c r="K459" s="84"/>
      <c r="L459" s="84"/>
      <c r="M459" s="84"/>
      <c r="N459" s="84"/>
      <c r="O459" s="84"/>
      <c r="P459" s="85"/>
      <c r="Q459" s="75"/>
      <c r="R459" s="75"/>
      <c r="S459" s="75"/>
      <c r="T459" s="75"/>
      <c r="U459" s="89"/>
      <c r="V459" s="84"/>
      <c r="W459" s="84"/>
      <c r="X459" s="84"/>
      <c r="Y459" s="84"/>
      <c r="Z459" s="84"/>
    </row>
    <row r="460" spans="1:26" ht="13">
      <c r="A460" s="83"/>
      <c r="B460" s="83"/>
      <c r="C460" s="83"/>
      <c r="D460" s="84"/>
      <c r="E460" s="84"/>
      <c r="F460" s="84"/>
      <c r="G460" s="83"/>
      <c r="H460" s="84"/>
      <c r="I460" s="84"/>
      <c r="J460" s="84"/>
      <c r="K460" s="84"/>
      <c r="L460" s="84"/>
      <c r="M460" s="84"/>
      <c r="N460" s="84"/>
      <c r="O460" s="84"/>
      <c r="P460" s="85"/>
      <c r="Q460" s="75"/>
      <c r="R460" s="75"/>
      <c r="S460" s="75"/>
      <c r="T460" s="75"/>
      <c r="U460" s="89"/>
      <c r="V460" s="84"/>
      <c r="W460" s="84"/>
      <c r="X460" s="84"/>
      <c r="Y460" s="84"/>
      <c r="Z460" s="84"/>
    </row>
    <row r="461" spans="1:26" ht="13">
      <c r="A461" s="83"/>
      <c r="B461" s="83"/>
      <c r="C461" s="83"/>
      <c r="D461" s="84"/>
      <c r="E461" s="84"/>
      <c r="F461" s="84"/>
      <c r="G461" s="83"/>
      <c r="H461" s="84"/>
      <c r="I461" s="84"/>
      <c r="J461" s="84"/>
      <c r="K461" s="84"/>
      <c r="L461" s="84"/>
      <c r="M461" s="84"/>
      <c r="N461" s="84"/>
      <c r="O461" s="84"/>
      <c r="P461" s="85"/>
      <c r="Q461" s="75"/>
      <c r="R461" s="75"/>
      <c r="S461" s="75"/>
      <c r="T461" s="75"/>
      <c r="U461" s="89"/>
      <c r="V461" s="84"/>
      <c r="W461" s="84"/>
      <c r="X461" s="84"/>
      <c r="Y461" s="84"/>
      <c r="Z461" s="84"/>
    </row>
    <row r="462" spans="1:26" ht="13">
      <c r="A462" s="83"/>
      <c r="B462" s="83"/>
      <c r="C462" s="83"/>
      <c r="D462" s="84"/>
      <c r="E462" s="84"/>
      <c r="F462" s="84"/>
      <c r="G462" s="83"/>
      <c r="H462" s="84"/>
      <c r="I462" s="84"/>
      <c r="J462" s="84"/>
      <c r="K462" s="84"/>
      <c r="L462" s="84"/>
      <c r="M462" s="84"/>
      <c r="N462" s="84"/>
      <c r="O462" s="84"/>
      <c r="P462" s="85"/>
      <c r="Q462" s="75"/>
      <c r="R462" s="75"/>
      <c r="S462" s="75"/>
      <c r="T462" s="75"/>
      <c r="U462" s="89"/>
      <c r="V462" s="84"/>
      <c r="W462" s="84"/>
      <c r="X462" s="84"/>
      <c r="Y462" s="84"/>
      <c r="Z462" s="84"/>
    </row>
    <row r="463" spans="1:26" ht="13">
      <c r="A463" s="83"/>
      <c r="B463" s="83"/>
      <c r="C463" s="83"/>
      <c r="D463" s="84"/>
      <c r="E463" s="84"/>
      <c r="F463" s="84"/>
      <c r="G463" s="83"/>
      <c r="H463" s="84"/>
      <c r="I463" s="84"/>
      <c r="J463" s="84"/>
      <c r="K463" s="84"/>
      <c r="L463" s="84"/>
      <c r="M463" s="84"/>
      <c r="N463" s="84"/>
      <c r="O463" s="84"/>
      <c r="P463" s="85"/>
      <c r="Q463" s="75"/>
      <c r="R463" s="75"/>
      <c r="S463" s="75"/>
      <c r="T463" s="75"/>
      <c r="U463" s="89"/>
      <c r="V463" s="84"/>
      <c r="W463" s="84"/>
      <c r="X463" s="84"/>
      <c r="Y463" s="84"/>
      <c r="Z463" s="84"/>
    </row>
    <row r="464" spans="1:26" ht="13">
      <c r="A464" s="83"/>
      <c r="B464" s="83"/>
      <c r="C464" s="83"/>
      <c r="D464" s="84"/>
      <c r="E464" s="84"/>
      <c r="F464" s="84"/>
      <c r="G464" s="83"/>
      <c r="H464" s="84"/>
      <c r="I464" s="84"/>
      <c r="J464" s="84"/>
      <c r="K464" s="84"/>
      <c r="L464" s="84"/>
      <c r="M464" s="84"/>
      <c r="N464" s="84"/>
      <c r="O464" s="84"/>
      <c r="P464" s="85"/>
      <c r="Q464" s="75"/>
      <c r="R464" s="75"/>
      <c r="S464" s="75"/>
      <c r="T464" s="75"/>
      <c r="U464" s="89"/>
      <c r="V464" s="84"/>
      <c r="W464" s="84"/>
      <c r="X464" s="84"/>
      <c r="Y464" s="84"/>
      <c r="Z464" s="84"/>
    </row>
    <row r="465" spans="1:26" ht="13">
      <c r="A465" s="83"/>
      <c r="B465" s="83"/>
      <c r="C465" s="83"/>
      <c r="D465" s="84"/>
      <c r="E465" s="84"/>
      <c r="F465" s="84"/>
      <c r="G465" s="83"/>
      <c r="H465" s="84"/>
      <c r="I465" s="84"/>
      <c r="J465" s="84"/>
      <c r="K465" s="84"/>
      <c r="L465" s="84"/>
      <c r="M465" s="84"/>
      <c r="N465" s="84"/>
      <c r="O465" s="84"/>
      <c r="P465" s="85"/>
      <c r="Q465" s="75"/>
      <c r="R465" s="75"/>
      <c r="S465" s="75"/>
      <c r="T465" s="75"/>
      <c r="U465" s="89"/>
      <c r="V465" s="84"/>
      <c r="W465" s="84"/>
      <c r="X465" s="84"/>
      <c r="Y465" s="84"/>
      <c r="Z465" s="84"/>
    </row>
    <row r="466" spans="1:26" ht="13">
      <c r="A466" s="83"/>
      <c r="B466" s="83"/>
      <c r="C466" s="83"/>
      <c r="D466" s="84"/>
      <c r="E466" s="84"/>
      <c r="F466" s="84"/>
      <c r="G466" s="83"/>
      <c r="H466" s="84"/>
      <c r="I466" s="84"/>
      <c r="J466" s="84"/>
      <c r="K466" s="84"/>
      <c r="L466" s="84"/>
      <c r="M466" s="84"/>
      <c r="N466" s="84"/>
      <c r="O466" s="84"/>
      <c r="P466" s="85"/>
      <c r="Q466" s="75"/>
      <c r="R466" s="75"/>
      <c r="S466" s="75"/>
      <c r="T466" s="75"/>
      <c r="U466" s="89"/>
      <c r="V466" s="84"/>
      <c r="W466" s="84"/>
      <c r="X466" s="84"/>
      <c r="Y466" s="84"/>
      <c r="Z466" s="84"/>
    </row>
    <row r="467" spans="1:26" ht="13">
      <c r="A467" s="83"/>
      <c r="B467" s="83"/>
      <c r="C467" s="83"/>
      <c r="D467" s="84"/>
      <c r="E467" s="84"/>
      <c r="F467" s="84"/>
      <c r="G467" s="83"/>
      <c r="H467" s="84"/>
      <c r="I467" s="84"/>
      <c r="J467" s="84"/>
      <c r="K467" s="84"/>
      <c r="L467" s="84"/>
      <c r="M467" s="84"/>
      <c r="N467" s="84"/>
      <c r="O467" s="84"/>
      <c r="P467" s="85"/>
      <c r="Q467" s="75"/>
      <c r="R467" s="75"/>
      <c r="S467" s="75"/>
      <c r="T467" s="75"/>
      <c r="U467" s="89"/>
      <c r="V467" s="84"/>
      <c r="W467" s="84"/>
      <c r="X467" s="84"/>
      <c r="Y467" s="84"/>
      <c r="Z467" s="84"/>
    </row>
    <row r="468" spans="1:26" ht="13">
      <c r="A468" s="83"/>
      <c r="B468" s="83"/>
      <c r="C468" s="83"/>
      <c r="D468" s="84"/>
      <c r="E468" s="84"/>
      <c r="F468" s="84"/>
      <c r="G468" s="83"/>
      <c r="H468" s="84"/>
      <c r="I468" s="84"/>
      <c r="J468" s="84"/>
      <c r="K468" s="84"/>
      <c r="L468" s="84"/>
      <c r="M468" s="84"/>
      <c r="N468" s="84"/>
      <c r="O468" s="84"/>
      <c r="P468" s="85"/>
      <c r="Q468" s="75"/>
      <c r="R468" s="75"/>
      <c r="S468" s="75"/>
      <c r="T468" s="75"/>
      <c r="U468" s="89"/>
      <c r="V468" s="84"/>
      <c r="W468" s="84"/>
      <c r="X468" s="84"/>
      <c r="Y468" s="84"/>
      <c r="Z468" s="84"/>
    </row>
    <row r="469" spans="1:26" ht="13">
      <c r="A469" s="83"/>
      <c r="B469" s="83"/>
      <c r="C469" s="83"/>
      <c r="D469" s="84"/>
      <c r="E469" s="84"/>
      <c r="F469" s="84"/>
      <c r="G469" s="83"/>
      <c r="H469" s="84"/>
      <c r="I469" s="84"/>
      <c r="J469" s="84"/>
      <c r="K469" s="84"/>
      <c r="L469" s="84"/>
      <c r="M469" s="84"/>
      <c r="N469" s="84"/>
      <c r="O469" s="84"/>
      <c r="P469" s="85"/>
      <c r="Q469" s="75"/>
      <c r="R469" s="75"/>
      <c r="S469" s="75"/>
      <c r="T469" s="75"/>
      <c r="U469" s="89"/>
      <c r="V469" s="84"/>
      <c r="W469" s="84"/>
      <c r="X469" s="84"/>
      <c r="Y469" s="84"/>
      <c r="Z469" s="84"/>
    </row>
    <row r="470" spans="1:26" ht="13">
      <c r="A470" s="83"/>
      <c r="B470" s="83"/>
      <c r="C470" s="83"/>
      <c r="D470" s="84"/>
      <c r="E470" s="84"/>
      <c r="F470" s="84"/>
      <c r="G470" s="83"/>
      <c r="H470" s="84"/>
      <c r="I470" s="84"/>
      <c r="J470" s="84"/>
      <c r="K470" s="84"/>
      <c r="L470" s="84"/>
      <c r="M470" s="84"/>
      <c r="N470" s="84"/>
      <c r="O470" s="84"/>
      <c r="P470" s="85"/>
      <c r="Q470" s="75"/>
      <c r="R470" s="75"/>
      <c r="S470" s="75"/>
      <c r="T470" s="75"/>
      <c r="U470" s="89"/>
      <c r="V470" s="84"/>
      <c r="W470" s="84"/>
      <c r="X470" s="84"/>
      <c r="Y470" s="84"/>
      <c r="Z470" s="84"/>
    </row>
    <row r="471" spans="1:26" ht="13">
      <c r="A471" s="83"/>
      <c r="B471" s="83"/>
      <c r="C471" s="83"/>
      <c r="D471" s="84"/>
      <c r="E471" s="84"/>
      <c r="F471" s="84"/>
      <c r="G471" s="83"/>
      <c r="H471" s="84"/>
      <c r="I471" s="84"/>
      <c r="J471" s="84"/>
      <c r="K471" s="84"/>
      <c r="L471" s="84"/>
      <c r="M471" s="84"/>
      <c r="N471" s="84"/>
      <c r="O471" s="84"/>
      <c r="P471" s="85"/>
      <c r="Q471" s="75"/>
      <c r="R471" s="75"/>
      <c r="S471" s="75"/>
      <c r="T471" s="75"/>
      <c r="U471" s="89"/>
      <c r="V471" s="84"/>
      <c r="W471" s="84"/>
      <c r="X471" s="84"/>
      <c r="Y471" s="84"/>
      <c r="Z471" s="84"/>
    </row>
    <row r="472" spans="1:26" ht="13">
      <c r="A472" s="83"/>
      <c r="B472" s="83"/>
      <c r="C472" s="83"/>
      <c r="D472" s="84"/>
      <c r="E472" s="84"/>
      <c r="F472" s="84"/>
      <c r="G472" s="83"/>
      <c r="H472" s="84"/>
      <c r="I472" s="84"/>
      <c r="J472" s="84"/>
      <c r="K472" s="84"/>
      <c r="L472" s="84"/>
      <c r="M472" s="84"/>
      <c r="N472" s="84"/>
      <c r="O472" s="84"/>
      <c r="P472" s="85"/>
      <c r="Q472" s="75"/>
      <c r="R472" s="75"/>
      <c r="S472" s="75"/>
      <c r="T472" s="75"/>
      <c r="U472" s="89"/>
      <c r="V472" s="84"/>
      <c r="W472" s="84"/>
      <c r="X472" s="84"/>
      <c r="Y472" s="84"/>
      <c r="Z472" s="84"/>
    </row>
    <row r="473" spans="1:26" ht="13">
      <c r="A473" s="83"/>
      <c r="B473" s="83"/>
      <c r="C473" s="83"/>
      <c r="D473" s="84"/>
      <c r="E473" s="84"/>
      <c r="F473" s="84"/>
      <c r="G473" s="83"/>
      <c r="H473" s="84"/>
      <c r="I473" s="84"/>
      <c r="J473" s="84"/>
      <c r="K473" s="84"/>
      <c r="L473" s="84"/>
      <c r="M473" s="84"/>
      <c r="N473" s="84"/>
      <c r="O473" s="84"/>
      <c r="P473" s="85"/>
      <c r="Q473" s="75"/>
      <c r="R473" s="75"/>
      <c r="S473" s="75"/>
      <c r="T473" s="75"/>
      <c r="U473" s="89"/>
      <c r="V473" s="84"/>
      <c r="W473" s="84"/>
      <c r="X473" s="84"/>
      <c r="Y473" s="84"/>
      <c r="Z473" s="84"/>
    </row>
    <row r="474" spans="1:26" ht="13">
      <c r="A474" s="83"/>
      <c r="B474" s="83"/>
      <c r="C474" s="83"/>
      <c r="D474" s="84"/>
      <c r="E474" s="84"/>
      <c r="F474" s="84"/>
      <c r="G474" s="83"/>
      <c r="H474" s="84"/>
      <c r="I474" s="84"/>
      <c r="J474" s="84"/>
      <c r="K474" s="84"/>
      <c r="L474" s="84"/>
      <c r="M474" s="84"/>
      <c r="N474" s="84"/>
      <c r="O474" s="84"/>
      <c r="P474" s="85"/>
      <c r="Q474" s="75"/>
      <c r="R474" s="75"/>
      <c r="S474" s="75"/>
      <c r="T474" s="75"/>
      <c r="U474" s="89"/>
      <c r="V474" s="84"/>
      <c r="W474" s="84"/>
      <c r="X474" s="84"/>
      <c r="Y474" s="84"/>
      <c r="Z474" s="84"/>
    </row>
    <row r="475" spans="1:26" ht="13">
      <c r="A475" s="83"/>
      <c r="B475" s="83"/>
      <c r="C475" s="83"/>
      <c r="D475" s="84"/>
      <c r="E475" s="84"/>
      <c r="F475" s="84"/>
      <c r="G475" s="83"/>
      <c r="H475" s="84"/>
      <c r="I475" s="84"/>
      <c r="J475" s="84"/>
      <c r="K475" s="84"/>
      <c r="L475" s="84"/>
      <c r="M475" s="84"/>
      <c r="N475" s="84"/>
      <c r="O475" s="84"/>
      <c r="P475" s="85"/>
      <c r="Q475" s="75"/>
      <c r="R475" s="75"/>
      <c r="S475" s="75"/>
      <c r="T475" s="75"/>
      <c r="U475" s="89"/>
      <c r="V475" s="84"/>
      <c r="W475" s="84"/>
      <c r="X475" s="84"/>
      <c r="Y475" s="84"/>
      <c r="Z475" s="84"/>
    </row>
    <row r="476" spans="1:26" ht="13">
      <c r="A476" s="83"/>
      <c r="B476" s="83"/>
      <c r="C476" s="83"/>
      <c r="D476" s="84"/>
      <c r="E476" s="84"/>
      <c r="F476" s="84"/>
      <c r="G476" s="83"/>
      <c r="H476" s="84"/>
      <c r="I476" s="84"/>
      <c r="J476" s="84"/>
      <c r="K476" s="84"/>
      <c r="L476" s="84"/>
      <c r="M476" s="84"/>
      <c r="N476" s="84"/>
      <c r="O476" s="84"/>
      <c r="P476" s="85"/>
      <c r="Q476" s="75"/>
      <c r="R476" s="75"/>
      <c r="S476" s="75"/>
      <c r="T476" s="75"/>
      <c r="U476" s="89"/>
      <c r="V476" s="84"/>
      <c r="W476" s="84"/>
      <c r="X476" s="84"/>
      <c r="Y476" s="84"/>
      <c r="Z476" s="84"/>
    </row>
    <row r="477" spans="1:26" ht="13">
      <c r="A477" s="83"/>
      <c r="B477" s="83"/>
      <c r="C477" s="83"/>
      <c r="D477" s="84"/>
      <c r="E477" s="84"/>
      <c r="F477" s="84"/>
      <c r="G477" s="83"/>
      <c r="H477" s="84"/>
      <c r="I477" s="84"/>
      <c r="J477" s="84"/>
      <c r="K477" s="84"/>
      <c r="L477" s="84"/>
      <c r="M477" s="84"/>
      <c r="N477" s="84"/>
      <c r="O477" s="84"/>
      <c r="P477" s="85"/>
      <c r="Q477" s="75"/>
      <c r="R477" s="75"/>
      <c r="S477" s="75"/>
      <c r="T477" s="75"/>
      <c r="U477" s="89"/>
      <c r="V477" s="84"/>
      <c r="W477" s="84"/>
      <c r="X477" s="84"/>
      <c r="Y477" s="84"/>
      <c r="Z477" s="84"/>
    </row>
    <row r="478" spans="1:26" ht="13">
      <c r="A478" s="83"/>
      <c r="B478" s="83"/>
      <c r="C478" s="83"/>
      <c r="D478" s="84"/>
      <c r="E478" s="84"/>
      <c r="F478" s="84"/>
      <c r="G478" s="83"/>
      <c r="H478" s="84"/>
      <c r="I478" s="84"/>
      <c r="J478" s="84"/>
      <c r="K478" s="84"/>
      <c r="L478" s="84"/>
      <c r="M478" s="84"/>
      <c r="N478" s="84"/>
      <c r="O478" s="84"/>
      <c r="P478" s="85"/>
      <c r="Q478" s="75"/>
      <c r="R478" s="75"/>
      <c r="S478" s="75"/>
      <c r="T478" s="75"/>
      <c r="U478" s="89"/>
      <c r="V478" s="84"/>
      <c r="W478" s="84"/>
      <c r="X478" s="84"/>
      <c r="Y478" s="84"/>
      <c r="Z478" s="84"/>
    </row>
    <row r="479" spans="1:26" ht="13">
      <c r="A479" s="83"/>
      <c r="B479" s="83"/>
      <c r="C479" s="83"/>
      <c r="D479" s="84"/>
      <c r="E479" s="84"/>
      <c r="F479" s="84"/>
      <c r="G479" s="83"/>
      <c r="H479" s="84"/>
      <c r="I479" s="84"/>
      <c r="J479" s="84"/>
      <c r="K479" s="84"/>
      <c r="L479" s="84"/>
      <c r="M479" s="84"/>
      <c r="N479" s="84"/>
      <c r="O479" s="84"/>
      <c r="P479" s="85"/>
      <c r="Q479" s="75"/>
      <c r="R479" s="75"/>
      <c r="S479" s="75"/>
      <c r="T479" s="75"/>
      <c r="U479" s="89"/>
      <c r="V479" s="84"/>
      <c r="W479" s="84"/>
      <c r="X479" s="84"/>
      <c r="Y479" s="84"/>
      <c r="Z479" s="84"/>
    </row>
    <row r="480" spans="1:26" ht="13">
      <c r="A480" s="83"/>
      <c r="B480" s="83"/>
      <c r="C480" s="83"/>
      <c r="D480" s="84"/>
      <c r="E480" s="84"/>
      <c r="F480" s="84"/>
      <c r="G480" s="83"/>
      <c r="H480" s="84"/>
      <c r="I480" s="84"/>
      <c r="J480" s="84"/>
      <c r="K480" s="84"/>
      <c r="L480" s="84"/>
      <c r="M480" s="84"/>
      <c r="N480" s="84"/>
      <c r="O480" s="84"/>
      <c r="P480" s="85"/>
      <c r="Q480" s="75"/>
      <c r="R480" s="75"/>
      <c r="S480" s="75"/>
      <c r="T480" s="75"/>
      <c r="U480" s="89"/>
      <c r="V480" s="84"/>
      <c r="W480" s="84"/>
      <c r="X480" s="84"/>
      <c r="Y480" s="84"/>
      <c r="Z480" s="84"/>
    </row>
    <row r="481" spans="1:26" ht="13">
      <c r="A481" s="83"/>
      <c r="B481" s="83"/>
      <c r="C481" s="83"/>
      <c r="D481" s="84"/>
      <c r="E481" s="84"/>
      <c r="F481" s="84"/>
      <c r="G481" s="83"/>
      <c r="H481" s="84"/>
      <c r="I481" s="84"/>
      <c r="J481" s="84"/>
      <c r="K481" s="84"/>
      <c r="L481" s="84"/>
      <c r="M481" s="84"/>
      <c r="N481" s="84"/>
      <c r="O481" s="84"/>
      <c r="P481" s="85"/>
      <c r="Q481" s="75"/>
      <c r="R481" s="75"/>
      <c r="S481" s="75"/>
      <c r="T481" s="75"/>
      <c r="U481" s="89"/>
      <c r="V481" s="84"/>
      <c r="W481" s="84"/>
      <c r="X481" s="84"/>
      <c r="Y481" s="84"/>
      <c r="Z481" s="84"/>
    </row>
    <row r="482" spans="1:26" ht="13">
      <c r="A482" s="83"/>
      <c r="B482" s="83"/>
      <c r="C482" s="83"/>
      <c r="D482" s="84"/>
      <c r="E482" s="84"/>
      <c r="F482" s="84"/>
      <c r="G482" s="83"/>
      <c r="H482" s="84"/>
      <c r="I482" s="84"/>
      <c r="J482" s="84"/>
      <c r="K482" s="84"/>
      <c r="L482" s="84"/>
      <c r="M482" s="84"/>
      <c r="N482" s="84"/>
      <c r="O482" s="84"/>
      <c r="P482" s="85"/>
      <c r="Q482" s="75"/>
      <c r="R482" s="75"/>
      <c r="S482" s="75"/>
      <c r="T482" s="75"/>
      <c r="U482" s="89"/>
      <c r="V482" s="84"/>
      <c r="W482" s="84"/>
      <c r="X482" s="84"/>
      <c r="Y482" s="84"/>
      <c r="Z482" s="84"/>
    </row>
    <row r="483" spans="1:26" ht="13">
      <c r="A483" s="83"/>
      <c r="B483" s="83"/>
      <c r="C483" s="83"/>
      <c r="D483" s="84"/>
      <c r="E483" s="84"/>
      <c r="F483" s="84"/>
      <c r="G483" s="83"/>
      <c r="H483" s="84"/>
      <c r="I483" s="84"/>
      <c r="J483" s="84"/>
      <c r="K483" s="84"/>
      <c r="L483" s="84"/>
      <c r="M483" s="84"/>
      <c r="N483" s="84"/>
      <c r="O483" s="84"/>
      <c r="P483" s="85"/>
      <c r="Q483" s="75"/>
      <c r="R483" s="75"/>
      <c r="S483" s="75"/>
      <c r="T483" s="75"/>
      <c r="U483" s="89"/>
      <c r="V483" s="84"/>
      <c r="W483" s="84"/>
      <c r="X483" s="84"/>
      <c r="Y483" s="84"/>
      <c r="Z483" s="84"/>
    </row>
    <row r="484" spans="1:26" ht="13">
      <c r="A484" s="83"/>
      <c r="B484" s="83"/>
      <c r="C484" s="83"/>
      <c r="D484" s="84"/>
      <c r="E484" s="84"/>
      <c r="F484" s="84"/>
      <c r="G484" s="83"/>
      <c r="H484" s="84"/>
      <c r="I484" s="84"/>
      <c r="J484" s="84"/>
      <c r="K484" s="84"/>
      <c r="L484" s="84"/>
      <c r="M484" s="84"/>
      <c r="N484" s="84"/>
      <c r="O484" s="84"/>
      <c r="P484" s="85"/>
      <c r="Q484" s="75"/>
      <c r="R484" s="75"/>
      <c r="S484" s="75"/>
      <c r="T484" s="75"/>
      <c r="U484" s="89"/>
      <c r="V484" s="84"/>
      <c r="W484" s="84"/>
      <c r="X484" s="84"/>
      <c r="Y484" s="84"/>
      <c r="Z484" s="84"/>
    </row>
    <row r="485" spans="1:26" ht="13">
      <c r="A485" s="83"/>
      <c r="B485" s="83"/>
      <c r="C485" s="83"/>
      <c r="D485" s="84"/>
      <c r="E485" s="84"/>
      <c r="F485" s="84"/>
      <c r="G485" s="83"/>
      <c r="H485" s="84"/>
      <c r="I485" s="84"/>
      <c r="J485" s="84"/>
      <c r="K485" s="84"/>
      <c r="L485" s="84"/>
      <c r="M485" s="84"/>
      <c r="N485" s="84"/>
      <c r="O485" s="84"/>
      <c r="P485" s="85"/>
      <c r="Q485" s="75"/>
      <c r="R485" s="75"/>
      <c r="S485" s="75"/>
      <c r="T485" s="75"/>
      <c r="U485" s="89"/>
      <c r="V485" s="84"/>
      <c r="W485" s="84"/>
      <c r="X485" s="84"/>
      <c r="Y485" s="84"/>
      <c r="Z485" s="84"/>
    </row>
    <row r="486" spans="1:26" ht="13">
      <c r="A486" s="83"/>
      <c r="B486" s="83"/>
      <c r="C486" s="83"/>
      <c r="D486" s="84"/>
      <c r="E486" s="84"/>
      <c r="F486" s="84"/>
      <c r="G486" s="83"/>
      <c r="H486" s="84"/>
      <c r="I486" s="84"/>
      <c r="J486" s="84"/>
      <c r="K486" s="84"/>
      <c r="L486" s="84"/>
      <c r="M486" s="84"/>
      <c r="N486" s="84"/>
      <c r="O486" s="84"/>
      <c r="P486" s="85"/>
      <c r="Q486" s="75"/>
      <c r="R486" s="75"/>
      <c r="S486" s="75"/>
      <c r="T486" s="75"/>
      <c r="U486" s="89"/>
      <c r="V486" s="84"/>
      <c r="W486" s="84"/>
      <c r="X486" s="84"/>
      <c r="Y486" s="84"/>
      <c r="Z486" s="84"/>
    </row>
    <row r="487" spans="1:26" ht="13">
      <c r="A487" s="83"/>
      <c r="B487" s="83"/>
      <c r="C487" s="83"/>
      <c r="D487" s="84"/>
      <c r="E487" s="84"/>
      <c r="F487" s="84"/>
      <c r="G487" s="83"/>
      <c r="H487" s="84"/>
      <c r="I487" s="84"/>
      <c r="J487" s="84"/>
      <c r="K487" s="84"/>
      <c r="L487" s="84"/>
      <c r="M487" s="84"/>
      <c r="N487" s="84"/>
      <c r="O487" s="84"/>
      <c r="P487" s="85"/>
      <c r="Q487" s="75"/>
      <c r="R487" s="75"/>
      <c r="S487" s="75"/>
      <c r="T487" s="75"/>
      <c r="U487" s="89"/>
      <c r="V487" s="84"/>
      <c r="W487" s="84"/>
      <c r="X487" s="84"/>
      <c r="Y487" s="84"/>
      <c r="Z487" s="84"/>
    </row>
    <row r="488" spans="1:26" ht="13">
      <c r="A488" s="83"/>
      <c r="B488" s="83"/>
      <c r="C488" s="83"/>
      <c r="D488" s="84"/>
      <c r="E488" s="84"/>
      <c r="F488" s="84"/>
      <c r="G488" s="83"/>
      <c r="H488" s="84"/>
      <c r="I488" s="84"/>
      <c r="J488" s="84"/>
      <c r="K488" s="84"/>
      <c r="L488" s="84"/>
      <c r="M488" s="84"/>
      <c r="N488" s="84"/>
      <c r="O488" s="84"/>
      <c r="P488" s="85"/>
      <c r="Q488" s="75"/>
      <c r="R488" s="75"/>
      <c r="S488" s="75"/>
      <c r="T488" s="75"/>
      <c r="U488" s="89"/>
      <c r="V488" s="84"/>
      <c r="W488" s="84"/>
      <c r="X488" s="84"/>
      <c r="Y488" s="84"/>
      <c r="Z488" s="84"/>
    </row>
    <row r="489" spans="1:26" ht="13">
      <c r="A489" s="83"/>
      <c r="B489" s="83"/>
      <c r="C489" s="83"/>
      <c r="D489" s="84"/>
      <c r="E489" s="84"/>
      <c r="F489" s="84"/>
      <c r="G489" s="83"/>
      <c r="H489" s="84"/>
      <c r="I489" s="84"/>
      <c r="J489" s="84"/>
      <c r="K489" s="84"/>
      <c r="L489" s="84"/>
      <c r="M489" s="84"/>
      <c r="N489" s="84"/>
      <c r="O489" s="84"/>
      <c r="P489" s="85"/>
      <c r="Q489" s="75"/>
      <c r="R489" s="75"/>
      <c r="S489" s="75"/>
      <c r="T489" s="75"/>
      <c r="U489" s="89"/>
      <c r="V489" s="84"/>
      <c r="W489" s="84"/>
      <c r="X489" s="84"/>
      <c r="Y489" s="84"/>
      <c r="Z489" s="84"/>
    </row>
    <row r="490" spans="1:26" ht="13">
      <c r="A490" s="83"/>
      <c r="B490" s="83"/>
      <c r="C490" s="83"/>
      <c r="D490" s="84"/>
      <c r="E490" s="84"/>
      <c r="F490" s="84"/>
      <c r="G490" s="83"/>
      <c r="H490" s="84"/>
      <c r="I490" s="84"/>
      <c r="J490" s="84"/>
      <c r="K490" s="84"/>
      <c r="L490" s="84"/>
      <c r="M490" s="84"/>
      <c r="N490" s="84"/>
      <c r="O490" s="84"/>
      <c r="P490" s="85"/>
      <c r="Q490" s="75"/>
      <c r="R490" s="75"/>
      <c r="S490" s="75"/>
      <c r="T490" s="75"/>
      <c r="U490" s="89"/>
      <c r="V490" s="84"/>
      <c r="W490" s="84"/>
      <c r="X490" s="84"/>
      <c r="Y490" s="84"/>
      <c r="Z490" s="84"/>
    </row>
    <row r="491" spans="1:26" ht="13">
      <c r="A491" s="83"/>
      <c r="B491" s="83"/>
      <c r="C491" s="83"/>
      <c r="D491" s="84"/>
      <c r="E491" s="84"/>
      <c r="F491" s="84"/>
      <c r="G491" s="83"/>
      <c r="H491" s="84"/>
      <c r="I491" s="84"/>
      <c r="J491" s="84"/>
      <c r="K491" s="84"/>
      <c r="L491" s="84"/>
      <c r="M491" s="84"/>
      <c r="N491" s="84"/>
      <c r="O491" s="84"/>
      <c r="P491" s="85"/>
      <c r="Q491" s="75"/>
      <c r="R491" s="75"/>
      <c r="S491" s="75"/>
      <c r="T491" s="75"/>
      <c r="U491" s="89"/>
      <c r="V491" s="84"/>
      <c r="W491" s="84"/>
      <c r="X491" s="84"/>
      <c r="Y491" s="84"/>
      <c r="Z491" s="84"/>
    </row>
    <row r="492" spans="1:26" ht="13">
      <c r="A492" s="83"/>
      <c r="B492" s="83"/>
      <c r="C492" s="83"/>
      <c r="D492" s="84"/>
      <c r="E492" s="84"/>
      <c r="F492" s="84"/>
      <c r="G492" s="83"/>
      <c r="H492" s="84"/>
      <c r="I492" s="84"/>
      <c r="J492" s="84"/>
      <c r="K492" s="84"/>
      <c r="L492" s="84"/>
      <c r="M492" s="84"/>
      <c r="N492" s="84"/>
      <c r="O492" s="84"/>
      <c r="P492" s="85"/>
      <c r="Q492" s="75"/>
      <c r="R492" s="75"/>
      <c r="S492" s="75"/>
      <c r="T492" s="75"/>
      <c r="U492" s="89"/>
      <c r="V492" s="84"/>
      <c r="W492" s="84"/>
      <c r="X492" s="84"/>
      <c r="Y492" s="84"/>
      <c r="Z492" s="84"/>
    </row>
    <row r="493" spans="1:26" ht="13">
      <c r="A493" s="83"/>
      <c r="B493" s="83"/>
      <c r="C493" s="83"/>
      <c r="D493" s="84"/>
      <c r="E493" s="84"/>
      <c r="F493" s="84"/>
      <c r="G493" s="83"/>
      <c r="H493" s="84"/>
      <c r="I493" s="84"/>
      <c r="J493" s="84"/>
      <c r="K493" s="84"/>
      <c r="L493" s="84"/>
      <c r="M493" s="84"/>
      <c r="N493" s="84"/>
      <c r="O493" s="84"/>
      <c r="P493" s="85"/>
      <c r="Q493" s="75"/>
      <c r="R493" s="75"/>
      <c r="S493" s="75"/>
      <c r="T493" s="75"/>
      <c r="U493" s="89"/>
      <c r="V493" s="84"/>
      <c r="W493" s="84"/>
      <c r="X493" s="84"/>
      <c r="Y493" s="84"/>
      <c r="Z493" s="84"/>
    </row>
    <row r="494" spans="1:26" ht="13">
      <c r="A494" s="83"/>
      <c r="B494" s="83"/>
      <c r="C494" s="83"/>
      <c r="D494" s="84"/>
      <c r="E494" s="84"/>
      <c r="F494" s="84"/>
      <c r="G494" s="83"/>
      <c r="H494" s="84"/>
      <c r="I494" s="84"/>
      <c r="J494" s="84"/>
      <c r="K494" s="84"/>
      <c r="L494" s="84"/>
      <c r="M494" s="84"/>
      <c r="N494" s="84"/>
      <c r="O494" s="84"/>
      <c r="P494" s="85"/>
      <c r="Q494" s="75"/>
      <c r="R494" s="75"/>
      <c r="S494" s="75"/>
      <c r="T494" s="75"/>
      <c r="U494" s="89"/>
      <c r="V494" s="84"/>
      <c r="W494" s="84"/>
      <c r="X494" s="84"/>
      <c r="Y494" s="84"/>
      <c r="Z494" s="84"/>
    </row>
    <row r="495" spans="1:26" ht="13">
      <c r="A495" s="83"/>
      <c r="B495" s="83"/>
      <c r="C495" s="83"/>
      <c r="D495" s="84"/>
      <c r="E495" s="84"/>
      <c r="F495" s="84"/>
      <c r="G495" s="83"/>
      <c r="H495" s="84"/>
      <c r="I495" s="84"/>
      <c r="J495" s="84"/>
      <c r="K495" s="84"/>
      <c r="L495" s="84"/>
      <c r="M495" s="84"/>
      <c r="N495" s="84"/>
      <c r="O495" s="84"/>
      <c r="P495" s="85"/>
      <c r="Q495" s="75"/>
      <c r="R495" s="75"/>
      <c r="S495" s="75"/>
      <c r="T495" s="75"/>
      <c r="U495" s="89"/>
      <c r="V495" s="84"/>
      <c r="W495" s="84"/>
      <c r="X495" s="84"/>
      <c r="Y495" s="84"/>
      <c r="Z495" s="84"/>
    </row>
    <row r="496" spans="1:26" ht="13">
      <c r="A496" s="83"/>
      <c r="B496" s="83"/>
      <c r="C496" s="83"/>
      <c r="D496" s="84"/>
      <c r="E496" s="84"/>
      <c r="F496" s="84"/>
      <c r="G496" s="83"/>
      <c r="H496" s="84"/>
      <c r="I496" s="84"/>
      <c r="J496" s="84"/>
      <c r="K496" s="84"/>
      <c r="L496" s="84"/>
      <c r="M496" s="84"/>
      <c r="N496" s="84"/>
      <c r="O496" s="84"/>
      <c r="P496" s="85"/>
      <c r="Q496" s="75"/>
      <c r="R496" s="75"/>
      <c r="S496" s="75"/>
      <c r="T496" s="75"/>
      <c r="U496" s="89"/>
      <c r="V496" s="84"/>
      <c r="W496" s="84"/>
      <c r="X496" s="84"/>
      <c r="Y496" s="84"/>
      <c r="Z496" s="84"/>
    </row>
    <row r="497" spans="1:26" ht="13">
      <c r="A497" s="83"/>
      <c r="B497" s="83"/>
      <c r="C497" s="83"/>
      <c r="D497" s="84"/>
      <c r="E497" s="84"/>
      <c r="F497" s="84"/>
      <c r="G497" s="83"/>
      <c r="H497" s="84"/>
      <c r="I497" s="84"/>
      <c r="J497" s="84"/>
      <c r="K497" s="84"/>
      <c r="L497" s="84"/>
      <c r="M497" s="84"/>
      <c r="N497" s="84"/>
      <c r="O497" s="84"/>
      <c r="P497" s="85"/>
      <c r="Q497" s="75"/>
      <c r="R497" s="75"/>
      <c r="S497" s="75"/>
      <c r="T497" s="75"/>
      <c r="U497" s="89"/>
      <c r="V497" s="84"/>
      <c r="W497" s="84"/>
      <c r="X497" s="84"/>
      <c r="Y497" s="84"/>
      <c r="Z497" s="84"/>
    </row>
    <row r="498" spans="1:26" ht="13">
      <c r="A498" s="83"/>
      <c r="B498" s="83"/>
      <c r="C498" s="83"/>
      <c r="D498" s="84"/>
      <c r="E498" s="84"/>
      <c r="F498" s="84"/>
      <c r="G498" s="83"/>
      <c r="H498" s="84"/>
      <c r="I498" s="84"/>
      <c r="J498" s="84"/>
      <c r="K498" s="84"/>
      <c r="L498" s="84"/>
      <c r="M498" s="84"/>
      <c r="N498" s="84"/>
      <c r="O498" s="84"/>
      <c r="P498" s="85"/>
      <c r="Q498" s="75"/>
      <c r="R498" s="75"/>
      <c r="S498" s="75"/>
      <c r="T498" s="75"/>
      <c r="U498" s="89"/>
      <c r="V498" s="84"/>
      <c r="W498" s="84"/>
      <c r="X498" s="84"/>
      <c r="Y498" s="84"/>
      <c r="Z498" s="84"/>
    </row>
    <row r="499" spans="1:26" ht="13">
      <c r="A499" s="83"/>
      <c r="B499" s="83"/>
      <c r="C499" s="83"/>
      <c r="D499" s="84"/>
      <c r="E499" s="84"/>
      <c r="F499" s="84"/>
      <c r="G499" s="83"/>
      <c r="H499" s="84"/>
      <c r="I499" s="84"/>
      <c r="J499" s="84"/>
      <c r="K499" s="84"/>
      <c r="L499" s="84"/>
      <c r="M499" s="84"/>
      <c r="N499" s="84"/>
      <c r="O499" s="84"/>
      <c r="P499" s="85"/>
      <c r="Q499" s="75"/>
      <c r="R499" s="75"/>
      <c r="S499" s="75"/>
      <c r="T499" s="75"/>
      <c r="U499" s="89"/>
      <c r="V499" s="84"/>
      <c r="W499" s="84"/>
      <c r="X499" s="84"/>
      <c r="Y499" s="84"/>
      <c r="Z499" s="84"/>
    </row>
    <row r="500" spans="1:26" ht="13">
      <c r="A500" s="83"/>
      <c r="B500" s="83"/>
      <c r="C500" s="83"/>
      <c r="D500" s="84"/>
      <c r="E500" s="84"/>
      <c r="F500" s="84"/>
      <c r="G500" s="83"/>
      <c r="H500" s="84"/>
      <c r="I500" s="84"/>
      <c r="J500" s="84"/>
      <c r="K500" s="84"/>
      <c r="L500" s="84"/>
      <c r="M500" s="84"/>
      <c r="N500" s="84"/>
      <c r="O500" s="84"/>
      <c r="P500" s="85"/>
      <c r="Q500" s="75"/>
      <c r="R500" s="75"/>
      <c r="S500" s="75"/>
      <c r="T500" s="75"/>
      <c r="U500" s="89"/>
      <c r="V500" s="84"/>
      <c r="W500" s="84"/>
      <c r="X500" s="84"/>
      <c r="Y500" s="84"/>
      <c r="Z500" s="84"/>
    </row>
    <row r="501" spans="1:26" ht="13">
      <c r="A501" s="83"/>
      <c r="B501" s="83"/>
      <c r="C501" s="83"/>
      <c r="D501" s="84"/>
      <c r="E501" s="84"/>
      <c r="F501" s="84"/>
      <c r="G501" s="83"/>
      <c r="H501" s="84"/>
      <c r="I501" s="84"/>
      <c r="J501" s="84"/>
      <c r="K501" s="84"/>
      <c r="L501" s="84"/>
      <c r="M501" s="84"/>
      <c r="N501" s="84"/>
      <c r="O501" s="84"/>
      <c r="P501" s="85"/>
      <c r="Q501" s="75"/>
      <c r="R501" s="75"/>
      <c r="S501" s="75"/>
      <c r="T501" s="75"/>
      <c r="U501" s="89"/>
      <c r="V501" s="84"/>
      <c r="W501" s="84"/>
      <c r="X501" s="84"/>
      <c r="Y501" s="84"/>
      <c r="Z501" s="84"/>
    </row>
    <row r="502" spans="1:26" ht="13">
      <c r="A502" s="83"/>
      <c r="B502" s="83"/>
      <c r="C502" s="83"/>
      <c r="D502" s="84"/>
      <c r="E502" s="84"/>
      <c r="F502" s="84"/>
      <c r="G502" s="83"/>
      <c r="H502" s="84"/>
      <c r="I502" s="84"/>
      <c r="J502" s="84"/>
      <c r="K502" s="84"/>
      <c r="L502" s="84"/>
      <c r="M502" s="84"/>
      <c r="N502" s="84"/>
      <c r="O502" s="84"/>
      <c r="P502" s="85"/>
      <c r="Q502" s="75"/>
      <c r="R502" s="75"/>
      <c r="S502" s="75"/>
      <c r="T502" s="75"/>
      <c r="U502" s="89"/>
      <c r="V502" s="84"/>
      <c r="W502" s="84"/>
      <c r="X502" s="84"/>
      <c r="Y502" s="84"/>
      <c r="Z502" s="84"/>
    </row>
    <row r="503" spans="1:26" ht="13">
      <c r="A503" s="83"/>
      <c r="B503" s="83"/>
      <c r="C503" s="83"/>
      <c r="D503" s="84"/>
      <c r="E503" s="84"/>
      <c r="F503" s="84"/>
      <c r="G503" s="83"/>
      <c r="H503" s="84"/>
      <c r="I503" s="84"/>
      <c r="J503" s="84"/>
      <c r="K503" s="84"/>
      <c r="L503" s="84"/>
      <c r="M503" s="84"/>
      <c r="N503" s="84"/>
      <c r="O503" s="84"/>
      <c r="P503" s="85"/>
      <c r="Q503" s="75"/>
      <c r="R503" s="75"/>
      <c r="S503" s="75"/>
      <c r="T503" s="75"/>
      <c r="U503" s="89"/>
      <c r="V503" s="84"/>
      <c r="W503" s="84"/>
      <c r="X503" s="84"/>
      <c r="Y503" s="84"/>
      <c r="Z503" s="84"/>
    </row>
    <row r="504" spans="1:26" ht="13">
      <c r="A504" s="83"/>
      <c r="B504" s="83"/>
      <c r="C504" s="83"/>
      <c r="D504" s="84"/>
      <c r="E504" s="84"/>
      <c r="F504" s="84"/>
      <c r="G504" s="83"/>
      <c r="H504" s="84"/>
      <c r="I504" s="84"/>
      <c r="J504" s="84"/>
      <c r="K504" s="84"/>
      <c r="L504" s="84"/>
      <c r="M504" s="84"/>
      <c r="N504" s="84"/>
      <c r="O504" s="84"/>
      <c r="P504" s="85"/>
      <c r="Q504" s="75"/>
      <c r="R504" s="75"/>
      <c r="S504" s="75"/>
      <c r="T504" s="75"/>
      <c r="U504" s="89"/>
      <c r="V504" s="84"/>
      <c r="W504" s="84"/>
      <c r="X504" s="84"/>
      <c r="Y504" s="84"/>
      <c r="Z504" s="84"/>
    </row>
    <row r="505" spans="1:26" ht="13">
      <c r="A505" s="83"/>
      <c r="B505" s="83"/>
      <c r="C505" s="83"/>
      <c r="D505" s="84"/>
      <c r="E505" s="84"/>
      <c r="F505" s="84"/>
      <c r="G505" s="83"/>
      <c r="H505" s="84"/>
      <c r="I505" s="84"/>
      <c r="J505" s="84"/>
      <c r="K505" s="84"/>
      <c r="L505" s="84"/>
      <c r="M505" s="84"/>
      <c r="N505" s="84"/>
      <c r="O505" s="84"/>
      <c r="P505" s="85"/>
      <c r="Q505" s="75"/>
      <c r="R505" s="75"/>
      <c r="S505" s="75"/>
      <c r="T505" s="75"/>
      <c r="U505" s="89"/>
      <c r="V505" s="84"/>
      <c r="W505" s="84"/>
      <c r="X505" s="84"/>
      <c r="Y505" s="84"/>
      <c r="Z505" s="84"/>
    </row>
    <row r="506" spans="1:26" ht="13">
      <c r="A506" s="83"/>
      <c r="B506" s="83"/>
      <c r="C506" s="83"/>
      <c r="D506" s="84"/>
      <c r="E506" s="84"/>
      <c r="F506" s="84"/>
      <c r="G506" s="83"/>
      <c r="H506" s="84"/>
      <c r="I506" s="84"/>
      <c r="J506" s="84"/>
      <c r="K506" s="84"/>
      <c r="L506" s="84"/>
      <c r="M506" s="84"/>
      <c r="N506" s="84"/>
      <c r="O506" s="84"/>
      <c r="P506" s="85"/>
      <c r="Q506" s="75"/>
      <c r="R506" s="75"/>
      <c r="S506" s="75"/>
      <c r="T506" s="75"/>
      <c r="U506" s="89"/>
      <c r="V506" s="84"/>
      <c r="W506" s="84"/>
      <c r="X506" s="84"/>
      <c r="Y506" s="84"/>
      <c r="Z506" s="84"/>
    </row>
    <row r="507" spans="1:26" ht="13">
      <c r="A507" s="83"/>
      <c r="B507" s="83"/>
      <c r="C507" s="83"/>
      <c r="D507" s="84"/>
      <c r="E507" s="84"/>
      <c r="F507" s="84"/>
      <c r="G507" s="83"/>
      <c r="H507" s="84"/>
      <c r="I507" s="84"/>
      <c r="J507" s="84"/>
      <c r="K507" s="84"/>
      <c r="L507" s="84"/>
      <c r="M507" s="84"/>
      <c r="N507" s="84"/>
      <c r="O507" s="84"/>
      <c r="P507" s="85"/>
      <c r="Q507" s="75"/>
      <c r="R507" s="75"/>
      <c r="S507" s="75"/>
      <c r="T507" s="75"/>
      <c r="U507" s="89"/>
      <c r="V507" s="84"/>
      <c r="W507" s="84"/>
      <c r="X507" s="84"/>
      <c r="Y507" s="84"/>
      <c r="Z507" s="84"/>
    </row>
    <row r="508" spans="1:26" ht="13">
      <c r="A508" s="83"/>
      <c r="B508" s="83"/>
      <c r="C508" s="83"/>
      <c r="D508" s="84"/>
      <c r="E508" s="84"/>
      <c r="F508" s="84"/>
      <c r="G508" s="83"/>
      <c r="H508" s="84"/>
      <c r="I508" s="84"/>
      <c r="J508" s="84"/>
      <c r="K508" s="84"/>
      <c r="L508" s="84"/>
      <c r="M508" s="84"/>
      <c r="N508" s="84"/>
      <c r="O508" s="84"/>
      <c r="P508" s="85"/>
      <c r="Q508" s="75"/>
      <c r="R508" s="75"/>
      <c r="S508" s="75"/>
      <c r="T508" s="75"/>
      <c r="U508" s="89"/>
      <c r="V508" s="84"/>
      <c r="W508" s="84"/>
      <c r="X508" s="84"/>
      <c r="Y508" s="84"/>
      <c r="Z508" s="84"/>
    </row>
    <row r="509" spans="1:26" ht="13">
      <c r="A509" s="83"/>
      <c r="B509" s="83"/>
      <c r="C509" s="83"/>
      <c r="D509" s="84"/>
      <c r="E509" s="84"/>
      <c r="F509" s="84"/>
      <c r="G509" s="83"/>
      <c r="H509" s="84"/>
      <c r="I509" s="84"/>
      <c r="J509" s="84"/>
      <c r="K509" s="84"/>
      <c r="L509" s="84"/>
      <c r="M509" s="84"/>
      <c r="N509" s="84"/>
      <c r="O509" s="84"/>
      <c r="P509" s="85"/>
      <c r="Q509" s="75"/>
      <c r="R509" s="75"/>
      <c r="S509" s="75"/>
      <c r="T509" s="75"/>
      <c r="U509" s="89"/>
      <c r="V509" s="84"/>
      <c r="W509" s="84"/>
      <c r="X509" s="84"/>
      <c r="Y509" s="84"/>
      <c r="Z509" s="84"/>
    </row>
    <row r="510" spans="1:26" ht="13">
      <c r="A510" s="83"/>
      <c r="B510" s="83"/>
      <c r="C510" s="83"/>
      <c r="D510" s="84"/>
      <c r="E510" s="84"/>
      <c r="F510" s="84"/>
      <c r="G510" s="83"/>
      <c r="H510" s="84"/>
      <c r="I510" s="84"/>
      <c r="J510" s="84"/>
      <c r="K510" s="84"/>
      <c r="L510" s="84"/>
      <c r="M510" s="84"/>
      <c r="N510" s="84"/>
      <c r="O510" s="84"/>
      <c r="P510" s="85"/>
      <c r="Q510" s="75"/>
      <c r="R510" s="75"/>
      <c r="S510" s="75"/>
      <c r="T510" s="75"/>
      <c r="U510" s="89"/>
      <c r="V510" s="84"/>
      <c r="W510" s="84"/>
      <c r="X510" s="84"/>
      <c r="Y510" s="84"/>
      <c r="Z510" s="84"/>
    </row>
    <row r="511" spans="1:26" ht="13">
      <c r="A511" s="83"/>
      <c r="B511" s="83"/>
      <c r="C511" s="83"/>
      <c r="D511" s="84"/>
      <c r="E511" s="84"/>
      <c r="F511" s="84"/>
      <c r="G511" s="83"/>
      <c r="H511" s="84"/>
      <c r="I511" s="84"/>
      <c r="J511" s="84"/>
      <c r="K511" s="84"/>
      <c r="L511" s="84"/>
      <c r="M511" s="84"/>
      <c r="N511" s="84"/>
      <c r="O511" s="84"/>
      <c r="P511" s="85"/>
      <c r="Q511" s="75"/>
      <c r="R511" s="75"/>
      <c r="S511" s="75"/>
      <c r="T511" s="75"/>
      <c r="U511" s="89"/>
      <c r="V511" s="84"/>
      <c r="W511" s="84"/>
      <c r="X511" s="84"/>
      <c r="Y511" s="84"/>
      <c r="Z511" s="84"/>
    </row>
    <row r="512" spans="1:26" ht="13">
      <c r="A512" s="83"/>
      <c r="B512" s="83"/>
      <c r="C512" s="83"/>
      <c r="D512" s="84"/>
      <c r="E512" s="84"/>
      <c r="F512" s="84"/>
      <c r="G512" s="83"/>
      <c r="H512" s="84"/>
      <c r="I512" s="84"/>
      <c r="J512" s="84"/>
      <c r="K512" s="84"/>
      <c r="L512" s="84"/>
      <c r="M512" s="84"/>
      <c r="N512" s="84"/>
      <c r="O512" s="84"/>
      <c r="P512" s="85"/>
      <c r="Q512" s="75"/>
      <c r="R512" s="75"/>
      <c r="S512" s="75"/>
      <c r="T512" s="75"/>
      <c r="U512" s="89"/>
      <c r="V512" s="84"/>
      <c r="W512" s="84"/>
      <c r="X512" s="84"/>
      <c r="Y512" s="84"/>
      <c r="Z512" s="84"/>
    </row>
    <row r="513" spans="1:26" ht="13">
      <c r="A513" s="83"/>
      <c r="B513" s="83"/>
      <c r="C513" s="83"/>
      <c r="D513" s="84"/>
      <c r="E513" s="84"/>
      <c r="F513" s="84"/>
      <c r="G513" s="83"/>
      <c r="H513" s="84"/>
      <c r="I513" s="84"/>
      <c r="J513" s="84"/>
      <c r="K513" s="84"/>
      <c r="L513" s="84"/>
      <c r="M513" s="84"/>
      <c r="N513" s="84"/>
      <c r="O513" s="84"/>
      <c r="P513" s="85"/>
      <c r="Q513" s="75"/>
      <c r="R513" s="75"/>
      <c r="S513" s="75"/>
      <c r="T513" s="75"/>
      <c r="U513" s="89"/>
      <c r="V513" s="84"/>
      <c r="W513" s="84"/>
      <c r="X513" s="84"/>
      <c r="Y513" s="84"/>
      <c r="Z513" s="84"/>
    </row>
    <row r="514" spans="1:26" ht="13">
      <c r="A514" s="83"/>
      <c r="B514" s="83"/>
      <c r="C514" s="83"/>
      <c r="D514" s="84"/>
      <c r="E514" s="84"/>
      <c r="F514" s="84"/>
      <c r="G514" s="83"/>
      <c r="H514" s="84"/>
      <c r="I514" s="84"/>
      <c r="J514" s="84"/>
      <c r="K514" s="84"/>
      <c r="L514" s="84"/>
      <c r="M514" s="84"/>
      <c r="N514" s="84"/>
      <c r="O514" s="84"/>
      <c r="P514" s="85"/>
      <c r="Q514" s="75"/>
      <c r="R514" s="75"/>
      <c r="S514" s="75"/>
      <c r="T514" s="75"/>
      <c r="U514" s="89"/>
      <c r="V514" s="84"/>
      <c r="W514" s="84"/>
      <c r="X514" s="84"/>
      <c r="Y514" s="84"/>
      <c r="Z514" s="84"/>
    </row>
    <row r="515" spans="1:26" ht="13">
      <c r="A515" s="83"/>
      <c r="B515" s="83"/>
      <c r="C515" s="83"/>
      <c r="D515" s="84"/>
      <c r="E515" s="84"/>
      <c r="F515" s="84"/>
      <c r="G515" s="83"/>
      <c r="H515" s="84"/>
      <c r="I515" s="84"/>
      <c r="J515" s="84"/>
      <c r="K515" s="84"/>
      <c r="L515" s="84"/>
      <c r="M515" s="84"/>
      <c r="N515" s="84"/>
      <c r="O515" s="84"/>
      <c r="P515" s="85"/>
      <c r="Q515" s="75"/>
      <c r="R515" s="75"/>
      <c r="S515" s="75"/>
      <c r="T515" s="75"/>
      <c r="U515" s="89"/>
      <c r="V515" s="84"/>
      <c r="W515" s="84"/>
      <c r="X515" s="84"/>
      <c r="Y515" s="84"/>
      <c r="Z515" s="84"/>
    </row>
    <row r="516" spans="1:26" ht="13">
      <c r="A516" s="83"/>
      <c r="B516" s="83"/>
      <c r="C516" s="83"/>
      <c r="D516" s="84"/>
      <c r="E516" s="84"/>
      <c r="F516" s="84"/>
      <c r="G516" s="83"/>
      <c r="H516" s="84"/>
      <c r="I516" s="84"/>
      <c r="J516" s="84"/>
      <c r="K516" s="84"/>
      <c r="L516" s="84"/>
      <c r="M516" s="84"/>
      <c r="N516" s="84"/>
      <c r="O516" s="84"/>
      <c r="P516" s="85"/>
      <c r="Q516" s="75"/>
      <c r="R516" s="75"/>
      <c r="S516" s="75"/>
      <c r="T516" s="75"/>
      <c r="U516" s="89"/>
      <c r="V516" s="84"/>
      <c r="W516" s="84"/>
      <c r="X516" s="84"/>
      <c r="Y516" s="84"/>
      <c r="Z516" s="84"/>
    </row>
    <row r="517" spans="1:26" ht="13">
      <c r="A517" s="83"/>
      <c r="B517" s="83"/>
      <c r="C517" s="83"/>
      <c r="D517" s="84"/>
      <c r="E517" s="84"/>
      <c r="F517" s="84"/>
      <c r="G517" s="83"/>
      <c r="H517" s="84"/>
      <c r="I517" s="84"/>
      <c r="J517" s="84"/>
      <c r="K517" s="84"/>
      <c r="L517" s="84"/>
      <c r="M517" s="84"/>
      <c r="N517" s="84"/>
      <c r="O517" s="84"/>
      <c r="P517" s="85"/>
      <c r="Q517" s="75"/>
      <c r="R517" s="75"/>
      <c r="S517" s="75"/>
      <c r="T517" s="75"/>
      <c r="U517" s="89"/>
      <c r="V517" s="84"/>
      <c r="W517" s="84"/>
      <c r="X517" s="84"/>
      <c r="Y517" s="84"/>
      <c r="Z517" s="84"/>
    </row>
    <row r="518" spans="1:26" ht="13">
      <c r="A518" s="83"/>
      <c r="B518" s="83"/>
      <c r="C518" s="83"/>
      <c r="D518" s="84"/>
      <c r="E518" s="84"/>
      <c r="F518" s="84"/>
      <c r="G518" s="83"/>
      <c r="H518" s="84"/>
      <c r="I518" s="84"/>
      <c r="J518" s="84"/>
      <c r="K518" s="84"/>
      <c r="L518" s="84"/>
      <c r="M518" s="84"/>
      <c r="N518" s="84"/>
      <c r="O518" s="84"/>
      <c r="P518" s="85"/>
      <c r="Q518" s="75"/>
      <c r="R518" s="75"/>
      <c r="S518" s="75"/>
      <c r="T518" s="75"/>
      <c r="U518" s="89"/>
      <c r="V518" s="84"/>
      <c r="W518" s="84"/>
      <c r="X518" s="84"/>
      <c r="Y518" s="84"/>
      <c r="Z518" s="84"/>
    </row>
    <row r="519" spans="1:26" ht="13">
      <c r="A519" s="83"/>
      <c r="B519" s="83"/>
      <c r="C519" s="83"/>
      <c r="D519" s="84"/>
      <c r="E519" s="84"/>
      <c r="F519" s="84"/>
      <c r="G519" s="83"/>
      <c r="H519" s="84"/>
      <c r="I519" s="84"/>
      <c r="J519" s="84"/>
      <c r="K519" s="84"/>
      <c r="L519" s="84"/>
      <c r="M519" s="84"/>
      <c r="N519" s="84"/>
      <c r="O519" s="84"/>
      <c r="P519" s="85"/>
      <c r="Q519" s="75"/>
      <c r="R519" s="75"/>
      <c r="S519" s="75"/>
      <c r="T519" s="75"/>
      <c r="U519" s="89"/>
      <c r="V519" s="84"/>
      <c r="W519" s="84"/>
      <c r="X519" s="84"/>
      <c r="Y519" s="84"/>
      <c r="Z519" s="84"/>
    </row>
    <row r="520" spans="1:26" ht="13">
      <c r="A520" s="83"/>
      <c r="B520" s="83"/>
      <c r="C520" s="83"/>
      <c r="D520" s="84"/>
      <c r="E520" s="84"/>
      <c r="F520" s="84"/>
      <c r="G520" s="83"/>
      <c r="H520" s="84"/>
      <c r="I520" s="84"/>
      <c r="J520" s="84"/>
      <c r="K520" s="84"/>
      <c r="L520" s="84"/>
      <c r="M520" s="84"/>
      <c r="N520" s="84"/>
      <c r="O520" s="84"/>
      <c r="P520" s="85"/>
      <c r="Q520" s="75"/>
      <c r="R520" s="75"/>
      <c r="S520" s="75"/>
      <c r="T520" s="75"/>
      <c r="U520" s="89"/>
      <c r="V520" s="84"/>
      <c r="W520" s="84"/>
      <c r="X520" s="84"/>
      <c r="Y520" s="84"/>
      <c r="Z520" s="84"/>
    </row>
    <row r="521" spans="1:26" ht="13">
      <c r="A521" s="83"/>
      <c r="B521" s="83"/>
      <c r="C521" s="83"/>
      <c r="D521" s="84"/>
      <c r="E521" s="84"/>
      <c r="F521" s="84"/>
      <c r="G521" s="83"/>
      <c r="H521" s="84"/>
      <c r="I521" s="84"/>
      <c r="J521" s="84"/>
      <c r="K521" s="84"/>
      <c r="L521" s="84"/>
      <c r="M521" s="84"/>
      <c r="N521" s="84"/>
      <c r="O521" s="84"/>
      <c r="P521" s="85"/>
      <c r="Q521" s="75"/>
      <c r="R521" s="75"/>
      <c r="S521" s="75"/>
      <c r="T521" s="75"/>
      <c r="U521" s="89"/>
      <c r="V521" s="84"/>
      <c r="W521" s="84"/>
      <c r="X521" s="84"/>
      <c r="Y521" s="84"/>
      <c r="Z521" s="84"/>
    </row>
    <row r="522" spans="1:26" ht="13">
      <c r="A522" s="83"/>
      <c r="B522" s="83"/>
      <c r="C522" s="83"/>
      <c r="D522" s="84"/>
      <c r="E522" s="84"/>
      <c r="F522" s="84"/>
      <c r="G522" s="83"/>
      <c r="H522" s="84"/>
      <c r="I522" s="84"/>
      <c r="J522" s="84"/>
      <c r="K522" s="84"/>
      <c r="L522" s="84"/>
      <c r="M522" s="84"/>
      <c r="N522" s="84"/>
      <c r="O522" s="84"/>
      <c r="P522" s="85"/>
      <c r="Q522" s="75"/>
      <c r="R522" s="75"/>
      <c r="S522" s="75"/>
      <c r="T522" s="75"/>
      <c r="U522" s="89"/>
      <c r="V522" s="84"/>
      <c r="W522" s="84"/>
      <c r="X522" s="84"/>
      <c r="Y522" s="84"/>
      <c r="Z522" s="84"/>
    </row>
    <row r="523" spans="1:26" ht="13">
      <c r="A523" s="83"/>
      <c r="B523" s="83"/>
      <c r="C523" s="83"/>
      <c r="D523" s="84"/>
      <c r="E523" s="84"/>
      <c r="F523" s="84"/>
      <c r="G523" s="83"/>
      <c r="H523" s="84"/>
      <c r="I523" s="84"/>
      <c r="J523" s="84"/>
      <c r="K523" s="84"/>
      <c r="L523" s="84"/>
      <c r="M523" s="84"/>
      <c r="N523" s="84"/>
      <c r="O523" s="84"/>
      <c r="P523" s="85"/>
      <c r="Q523" s="75"/>
      <c r="R523" s="75"/>
      <c r="S523" s="75"/>
      <c r="T523" s="75"/>
      <c r="U523" s="89"/>
      <c r="V523" s="84"/>
      <c r="W523" s="84"/>
      <c r="X523" s="84"/>
      <c r="Y523" s="84"/>
      <c r="Z523" s="84"/>
    </row>
    <row r="524" spans="1:26" ht="13">
      <c r="A524" s="83"/>
      <c r="B524" s="83"/>
      <c r="C524" s="83"/>
      <c r="D524" s="84"/>
      <c r="E524" s="84"/>
      <c r="F524" s="84"/>
      <c r="G524" s="83"/>
      <c r="H524" s="84"/>
      <c r="I524" s="84"/>
      <c r="J524" s="84"/>
      <c r="K524" s="84"/>
      <c r="L524" s="84"/>
      <c r="M524" s="84"/>
      <c r="N524" s="84"/>
      <c r="O524" s="84"/>
      <c r="P524" s="85"/>
      <c r="Q524" s="75"/>
      <c r="R524" s="75"/>
      <c r="S524" s="75"/>
      <c r="T524" s="75"/>
      <c r="U524" s="89"/>
      <c r="V524" s="84"/>
      <c r="W524" s="84"/>
      <c r="X524" s="84"/>
      <c r="Y524" s="84"/>
      <c r="Z524" s="84"/>
    </row>
    <row r="525" spans="1:26" ht="13">
      <c r="A525" s="83"/>
      <c r="B525" s="83"/>
      <c r="C525" s="83"/>
      <c r="D525" s="84"/>
      <c r="E525" s="84"/>
      <c r="F525" s="84"/>
      <c r="G525" s="83"/>
      <c r="H525" s="84"/>
      <c r="I525" s="84"/>
      <c r="J525" s="84"/>
      <c r="K525" s="84"/>
      <c r="L525" s="84"/>
      <c r="M525" s="84"/>
      <c r="N525" s="84"/>
      <c r="O525" s="84"/>
      <c r="P525" s="85"/>
      <c r="Q525" s="75"/>
      <c r="R525" s="75"/>
      <c r="S525" s="75"/>
      <c r="T525" s="75"/>
      <c r="U525" s="89"/>
      <c r="V525" s="84"/>
      <c r="W525" s="84"/>
      <c r="X525" s="84"/>
      <c r="Y525" s="84"/>
      <c r="Z525" s="84"/>
    </row>
    <row r="526" spans="1:26" ht="13">
      <c r="A526" s="83"/>
      <c r="B526" s="83"/>
      <c r="C526" s="83"/>
      <c r="D526" s="84"/>
      <c r="E526" s="84"/>
      <c r="F526" s="84"/>
      <c r="G526" s="83"/>
      <c r="H526" s="84"/>
      <c r="I526" s="84"/>
      <c r="J526" s="84"/>
      <c r="K526" s="84"/>
      <c r="L526" s="84"/>
      <c r="M526" s="84"/>
      <c r="N526" s="84"/>
      <c r="O526" s="84"/>
      <c r="P526" s="85"/>
      <c r="Q526" s="75"/>
      <c r="R526" s="75"/>
      <c r="S526" s="75"/>
      <c r="T526" s="75"/>
      <c r="U526" s="89"/>
      <c r="V526" s="84"/>
      <c r="W526" s="84"/>
      <c r="X526" s="84"/>
      <c r="Y526" s="84"/>
      <c r="Z526" s="84"/>
    </row>
    <row r="527" spans="1:26" ht="13">
      <c r="A527" s="83"/>
      <c r="B527" s="83"/>
      <c r="C527" s="83"/>
      <c r="D527" s="84"/>
      <c r="E527" s="84"/>
      <c r="F527" s="84"/>
      <c r="G527" s="83"/>
      <c r="H527" s="84"/>
      <c r="I527" s="84"/>
      <c r="J527" s="84"/>
      <c r="K527" s="84"/>
      <c r="L527" s="84"/>
      <c r="M527" s="84"/>
      <c r="N527" s="84"/>
      <c r="O527" s="84"/>
      <c r="P527" s="85"/>
      <c r="Q527" s="75"/>
      <c r="R527" s="75"/>
      <c r="S527" s="75"/>
      <c r="T527" s="75"/>
      <c r="U527" s="89"/>
      <c r="V527" s="84"/>
      <c r="W527" s="84"/>
      <c r="X527" s="84"/>
      <c r="Y527" s="84"/>
      <c r="Z527" s="84"/>
    </row>
    <row r="528" spans="1:26" ht="13">
      <c r="A528" s="83"/>
      <c r="B528" s="83"/>
      <c r="C528" s="83"/>
      <c r="D528" s="84"/>
      <c r="E528" s="84"/>
      <c r="F528" s="84"/>
      <c r="G528" s="83"/>
      <c r="H528" s="84"/>
      <c r="I528" s="84"/>
      <c r="J528" s="84"/>
      <c r="K528" s="84"/>
      <c r="L528" s="84"/>
      <c r="M528" s="84"/>
      <c r="N528" s="84"/>
      <c r="O528" s="84"/>
      <c r="P528" s="85"/>
      <c r="Q528" s="75"/>
      <c r="R528" s="75"/>
      <c r="S528" s="75"/>
      <c r="T528" s="75"/>
      <c r="U528" s="89"/>
      <c r="V528" s="84"/>
      <c r="W528" s="84"/>
      <c r="X528" s="84"/>
      <c r="Y528" s="84"/>
      <c r="Z528" s="84"/>
    </row>
    <row r="529" spans="1:26" ht="13">
      <c r="A529" s="83"/>
      <c r="B529" s="83"/>
      <c r="C529" s="83"/>
      <c r="D529" s="84"/>
      <c r="E529" s="84"/>
      <c r="F529" s="84"/>
      <c r="G529" s="83"/>
      <c r="H529" s="84"/>
      <c r="I529" s="84"/>
      <c r="J529" s="84"/>
      <c r="K529" s="84"/>
      <c r="L529" s="84"/>
      <c r="M529" s="84"/>
      <c r="N529" s="84"/>
      <c r="O529" s="84"/>
      <c r="P529" s="85"/>
      <c r="Q529" s="75"/>
      <c r="R529" s="75"/>
      <c r="S529" s="75"/>
      <c r="T529" s="75"/>
      <c r="U529" s="89"/>
      <c r="V529" s="84"/>
      <c r="W529" s="84"/>
      <c r="X529" s="84"/>
      <c r="Y529" s="84"/>
      <c r="Z529" s="84"/>
    </row>
    <row r="530" spans="1:26" ht="13">
      <c r="A530" s="83"/>
      <c r="B530" s="83"/>
      <c r="C530" s="83"/>
      <c r="D530" s="84"/>
      <c r="E530" s="84"/>
      <c r="F530" s="84"/>
      <c r="G530" s="83"/>
      <c r="H530" s="84"/>
      <c r="I530" s="84"/>
      <c r="J530" s="84"/>
      <c r="K530" s="84"/>
      <c r="L530" s="84"/>
      <c r="M530" s="84"/>
      <c r="N530" s="84"/>
      <c r="O530" s="84"/>
      <c r="P530" s="85"/>
      <c r="Q530" s="75"/>
      <c r="R530" s="75"/>
      <c r="S530" s="75"/>
      <c r="T530" s="75"/>
      <c r="U530" s="89"/>
      <c r="V530" s="84"/>
      <c r="W530" s="84"/>
      <c r="X530" s="84"/>
      <c r="Y530" s="84"/>
      <c r="Z530" s="84"/>
    </row>
    <row r="531" spans="1:26" ht="13">
      <c r="A531" s="83"/>
      <c r="B531" s="83"/>
      <c r="C531" s="83"/>
      <c r="D531" s="84"/>
      <c r="E531" s="84"/>
      <c r="F531" s="84"/>
      <c r="G531" s="83"/>
      <c r="H531" s="84"/>
      <c r="I531" s="84"/>
      <c r="J531" s="84"/>
      <c r="K531" s="84"/>
      <c r="L531" s="84"/>
      <c r="M531" s="84"/>
      <c r="N531" s="84"/>
      <c r="O531" s="84"/>
      <c r="P531" s="85"/>
      <c r="Q531" s="75"/>
      <c r="R531" s="75"/>
      <c r="S531" s="75"/>
      <c r="T531" s="75"/>
      <c r="U531" s="89"/>
      <c r="V531" s="84"/>
      <c r="W531" s="84"/>
      <c r="X531" s="84"/>
      <c r="Y531" s="84"/>
      <c r="Z531" s="84"/>
    </row>
    <row r="532" spans="1:26" ht="13">
      <c r="A532" s="83"/>
      <c r="B532" s="83"/>
      <c r="C532" s="83"/>
      <c r="D532" s="84"/>
      <c r="E532" s="84"/>
      <c r="F532" s="84"/>
      <c r="G532" s="83"/>
      <c r="H532" s="84"/>
      <c r="I532" s="84"/>
      <c r="J532" s="84"/>
      <c r="K532" s="84"/>
      <c r="L532" s="84"/>
      <c r="M532" s="84"/>
      <c r="N532" s="84"/>
      <c r="O532" s="84"/>
      <c r="P532" s="85"/>
      <c r="Q532" s="75"/>
      <c r="R532" s="75"/>
      <c r="S532" s="75"/>
      <c r="T532" s="75"/>
      <c r="U532" s="89"/>
      <c r="V532" s="84"/>
      <c r="W532" s="84"/>
      <c r="X532" s="84"/>
      <c r="Y532" s="84"/>
      <c r="Z532" s="84"/>
    </row>
    <row r="533" spans="1:26" ht="13">
      <c r="A533" s="83"/>
      <c r="B533" s="83"/>
      <c r="C533" s="83"/>
      <c r="D533" s="84"/>
      <c r="E533" s="84"/>
      <c r="F533" s="84"/>
      <c r="G533" s="83"/>
      <c r="H533" s="84"/>
      <c r="I533" s="84"/>
      <c r="J533" s="84"/>
      <c r="K533" s="84"/>
      <c r="L533" s="84"/>
      <c r="M533" s="84"/>
      <c r="N533" s="84"/>
      <c r="O533" s="84"/>
      <c r="P533" s="85"/>
      <c r="Q533" s="75"/>
      <c r="R533" s="75"/>
      <c r="S533" s="75"/>
      <c r="T533" s="75"/>
      <c r="U533" s="89"/>
      <c r="V533" s="84"/>
      <c r="W533" s="84"/>
      <c r="X533" s="84"/>
      <c r="Y533" s="84"/>
      <c r="Z533" s="84"/>
    </row>
    <row r="534" spans="1:26" ht="13">
      <c r="A534" s="83"/>
      <c r="B534" s="83"/>
      <c r="C534" s="83"/>
      <c r="D534" s="84"/>
      <c r="E534" s="84"/>
      <c r="F534" s="84"/>
      <c r="G534" s="83"/>
      <c r="H534" s="84"/>
      <c r="I534" s="84"/>
      <c r="J534" s="84"/>
      <c r="K534" s="84"/>
      <c r="L534" s="84"/>
      <c r="M534" s="84"/>
      <c r="N534" s="84"/>
      <c r="O534" s="84"/>
      <c r="P534" s="85"/>
      <c r="Q534" s="75"/>
      <c r="R534" s="75"/>
      <c r="S534" s="75"/>
      <c r="T534" s="75"/>
      <c r="U534" s="89"/>
      <c r="V534" s="84"/>
      <c r="W534" s="84"/>
      <c r="X534" s="84"/>
      <c r="Y534" s="84"/>
      <c r="Z534" s="84"/>
    </row>
    <row r="535" spans="1:26" ht="13">
      <c r="A535" s="83"/>
      <c r="B535" s="83"/>
      <c r="C535" s="83"/>
      <c r="D535" s="84"/>
      <c r="E535" s="84"/>
      <c r="F535" s="84"/>
      <c r="G535" s="83"/>
      <c r="H535" s="84"/>
      <c r="I535" s="84"/>
      <c r="J535" s="84"/>
      <c r="K535" s="84"/>
      <c r="L535" s="84"/>
      <c r="M535" s="84"/>
      <c r="N535" s="84"/>
      <c r="O535" s="84"/>
      <c r="P535" s="85"/>
      <c r="Q535" s="75"/>
      <c r="R535" s="75"/>
      <c r="S535" s="75"/>
      <c r="T535" s="75"/>
      <c r="U535" s="89"/>
      <c r="V535" s="84"/>
      <c r="W535" s="84"/>
      <c r="X535" s="84"/>
      <c r="Y535" s="84"/>
      <c r="Z535" s="84"/>
    </row>
    <row r="536" spans="1:26" ht="13">
      <c r="A536" s="83"/>
      <c r="B536" s="83"/>
      <c r="C536" s="83"/>
      <c r="D536" s="84"/>
      <c r="E536" s="84"/>
      <c r="F536" s="84"/>
      <c r="G536" s="83"/>
      <c r="H536" s="84"/>
      <c r="I536" s="84"/>
      <c r="J536" s="84"/>
      <c r="K536" s="84"/>
      <c r="L536" s="84"/>
      <c r="M536" s="84"/>
      <c r="N536" s="84"/>
      <c r="O536" s="84"/>
      <c r="P536" s="85"/>
      <c r="Q536" s="75"/>
      <c r="R536" s="75"/>
      <c r="S536" s="75"/>
      <c r="T536" s="75"/>
      <c r="U536" s="89"/>
      <c r="V536" s="84"/>
      <c r="W536" s="84"/>
      <c r="X536" s="84"/>
      <c r="Y536" s="84"/>
      <c r="Z536" s="84"/>
    </row>
    <row r="537" spans="1:26" ht="13">
      <c r="A537" s="83"/>
      <c r="B537" s="83"/>
      <c r="C537" s="83"/>
      <c r="D537" s="84"/>
      <c r="E537" s="84"/>
      <c r="F537" s="84"/>
      <c r="G537" s="83"/>
      <c r="H537" s="84"/>
      <c r="I537" s="84"/>
      <c r="J537" s="84"/>
      <c r="K537" s="84"/>
      <c r="L537" s="84"/>
      <c r="M537" s="84"/>
      <c r="N537" s="84"/>
      <c r="O537" s="84"/>
      <c r="P537" s="85"/>
      <c r="Q537" s="75"/>
      <c r="R537" s="75"/>
      <c r="S537" s="75"/>
      <c r="T537" s="75"/>
      <c r="U537" s="89"/>
      <c r="V537" s="84"/>
      <c r="W537" s="84"/>
      <c r="X537" s="84"/>
      <c r="Y537" s="84"/>
      <c r="Z537" s="84"/>
    </row>
    <row r="538" spans="1:26" ht="13">
      <c r="A538" s="83"/>
      <c r="B538" s="83"/>
      <c r="C538" s="83"/>
      <c r="D538" s="84"/>
      <c r="E538" s="84"/>
      <c r="F538" s="84"/>
      <c r="G538" s="83"/>
      <c r="H538" s="84"/>
      <c r="I538" s="84"/>
      <c r="J538" s="84"/>
      <c r="K538" s="84"/>
      <c r="L538" s="84"/>
      <c r="M538" s="84"/>
      <c r="N538" s="84"/>
      <c r="O538" s="84"/>
      <c r="P538" s="85"/>
      <c r="Q538" s="75"/>
      <c r="R538" s="75"/>
      <c r="S538" s="75"/>
      <c r="T538" s="75"/>
      <c r="U538" s="89"/>
      <c r="V538" s="84"/>
      <c r="W538" s="84"/>
      <c r="X538" s="84"/>
      <c r="Y538" s="84"/>
      <c r="Z538" s="84"/>
    </row>
    <row r="539" spans="1:26" ht="13">
      <c r="A539" s="83"/>
      <c r="B539" s="83"/>
      <c r="C539" s="83"/>
      <c r="D539" s="84"/>
      <c r="E539" s="84"/>
      <c r="F539" s="84"/>
      <c r="G539" s="83"/>
      <c r="H539" s="84"/>
      <c r="I539" s="84"/>
      <c r="J539" s="84"/>
      <c r="K539" s="84"/>
      <c r="L539" s="84"/>
      <c r="M539" s="84"/>
      <c r="N539" s="84"/>
      <c r="O539" s="84"/>
      <c r="P539" s="85"/>
      <c r="Q539" s="75"/>
      <c r="R539" s="75"/>
      <c r="S539" s="75"/>
      <c r="T539" s="75"/>
      <c r="U539" s="89"/>
      <c r="V539" s="84"/>
      <c r="W539" s="84"/>
      <c r="X539" s="84"/>
      <c r="Y539" s="84"/>
      <c r="Z539" s="84"/>
    </row>
    <row r="540" spans="1:26" ht="13">
      <c r="A540" s="83"/>
      <c r="B540" s="83"/>
      <c r="C540" s="83"/>
      <c r="D540" s="84"/>
      <c r="E540" s="84"/>
      <c r="F540" s="84"/>
      <c r="G540" s="83"/>
      <c r="H540" s="84"/>
      <c r="I540" s="84"/>
      <c r="J540" s="84"/>
      <c r="K540" s="84"/>
      <c r="L540" s="84"/>
      <c r="M540" s="84"/>
      <c r="N540" s="84"/>
      <c r="O540" s="84"/>
      <c r="P540" s="85"/>
      <c r="Q540" s="75"/>
      <c r="R540" s="75"/>
      <c r="S540" s="75"/>
      <c r="T540" s="75"/>
      <c r="U540" s="89"/>
      <c r="V540" s="84"/>
      <c r="W540" s="84"/>
      <c r="X540" s="84"/>
      <c r="Y540" s="84"/>
      <c r="Z540" s="84"/>
    </row>
    <row r="541" spans="1:26" ht="13">
      <c r="A541" s="83"/>
      <c r="B541" s="83"/>
      <c r="C541" s="83"/>
      <c r="D541" s="84"/>
      <c r="E541" s="84"/>
      <c r="F541" s="84"/>
      <c r="G541" s="83"/>
      <c r="H541" s="84"/>
      <c r="I541" s="84"/>
      <c r="J541" s="84"/>
      <c r="K541" s="84"/>
      <c r="L541" s="84"/>
      <c r="M541" s="84"/>
      <c r="N541" s="84"/>
      <c r="O541" s="84"/>
      <c r="P541" s="85"/>
      <c r="Q541" s="75"/>
      <c r="R541" s="75"/>
      <c r="S541" s="75"/>
      <c r="T541" s="75"/>
      <c r="U541" s="89"/>
      <c r="V541" s="84"/>
      <c r="W541" s="84"/>
      <c r="X541" s="84"/>
      <c r="Y541" s="84"/>
      <c r="Z541" s="84"/>
    </row>
    <row r="542" spans="1:26" ht="13">
      <c r="A542" s="83"/>
      <c r="B542" s="83"/>
      <c r="C542" s="83"/>
      <c r="D542" s="84"/>
      <c r="E542" s="84"/>
      <c r="F542" s="84"/>
      <c r="G542" s="83"/>
      <c r="H542" s="84"/>
      <c r="I542" s="84"/>
      <c r="J542" s="84"/>
      <c r="K542" s="84"/>
      <c r="L542" s="84"/>
      <c r="M542" s="84"/>
      <c r="N542" s="84"/>
      <c r="O542" s="84"/>
      <c r="P542" s="85"/>
      <c r="Q542" s="75"/>
      <c r="R542" s="75"/>
      <c r="S542" s="75"/>
      <c r="T542" s="75"/>
      <c r="U542" s="89"/>
      <c r="V542" s="84"/>
      <c r="W542" s="84"/>
      <c r="X542" s="84"/>
      <c r="Y542" s="84"/>
      <c r="Z542" s="84"/>
    </row>
    <row r="543" spans="1:26" ht="13">
      <c r="A543" s="83"/>
      <c r="B543" s="83"/>
      <c r="C543" s="83"/>
      <c r="D543" s="84"/>
      <c r="E543" s="84"/>
      <c r="F543" s="84"/>
      <c r="G543" s="83"/>
      <c r="H543" s="84"/>
      <c r="I543" s="84"/>
      <c r="J543" s="84"/>
      <c r="K543" s="84"/>
      <c r="L543" s="84"/>
      <c r="M543" s="84"/>
      <c r="N543" s="84"/>
      <c r="O543" s="84"/>
      <c r="P543" s="85"/>
      <c r="Q543" s="75"/>
      <c r="R543" s="75"/>
      <c r="S543" s="75"/>
      <c r="T543" s="75"/>
      <c r="U543" s="89"/>
      <c r="V543" s="84"/>
      <c r="W543" s="84"/>
      <c r="X543" s="84"/>
      <c r="Y543" s="84"/>
      <c r="Z543" s="84"/>
    </row>
    <row r="544" spans="1:26" ht="13">
      <c r="A544" s="83"/>
      <c r="B544" s="83"/>
      <c r="C544" s="83"/>
      <c r="D544" s="84"/>
      <c r="E544" s="84"/>
      <c r="F544" s="84"/>
      <c r="G544" s="83"/>
      <c r="H544" s="84"/>
      <c r="I544" s="84"/>
      <c r="J544" s="84"/>
      <c r="K544" s="84"/>
      <c r="L544" s="84"/>
      <c r="M544" s="84"/>
      <c r="N544" s="84"/>
      <c r="O544" s="84"/>
      <c r="P544" s="85"/>
      <c r="Q544" s="75"/>
      <c r="R544" s="75"/>
      <c r="S544" s="75"/>
      <c r="T544" s="75"/>
      <c r="U544" s="89"/>
      <c r="V544" s="84"/>
      <c r="W544" s="84"/>
      <c r="X544" s="84"/>
      <c r="Y544" s="84"/>
      <c r="Z544" s="84"/>
    </row>
    <row r="545" spans="1:26" ht="13">
      <c r="A545" s="83"/>
      <c r="B545" s="83"/>
      <c r="C545" s="83"/>
      <c r="D545" s="84"/>
      <c r="E545" s="84"/>
      <c r="F545" s="84"/>
      <c r="G545" s="83"/>
      <c r="H545" s="84"/>
      <c r="I545" s="84"/>
      <c r="J545" s="84"/>
      <c r="K545" s="84"/>
      <c r="L545" s="84"/>
      <c r="M545" s="84"/>
      <c r="N545" s="84"/>
      <c r="O545" s="84"/>
      <c r="P545" s="85"/>
      <c r="Q545" s="75"/>
      <c r="R545" s="75"/>
      <c r="S545" s="75"/>
      <c r="T545" s="75"/>
      <c r="U545" s="89"/>
      <c r="V545" s="84"/>
      <c r="W545" s="84"/>
      <c r="X545" s="84"/>
      <c r="Y545" s="84"/>
      <c r="Z545" s="84"/>
    </row>
    <row r="546" spans="1:26" ht="13">
      <c r="A546" s="83"/>
      <c r="B546" s="83"/>
      <c r="C546" s="83"/>
      <c r="D546" s="84"/>
      <c r="E546" s="84"/>
      <c r="F546" s="84"/>
      <c r="G546" s="83"/>
      <c r="H546" s="84"/>
      <c r="I546" s="84"/>
      <c r="J546" s="84"/>
      <c r="K546" s="84"/>
      <c r="L546" s="84"/>
      <c r="M546" s="84"/>
      <c r="N546" s="84"/>
      <c r="O546" s="84"/>
      <c r="P546" s="85"/>
      <c r="Q546" s="75"/>
      <c r="R546" s="75"/>
      <c r="S546" s="75"/>
      <c r="T546" s="75"/>
      <c r="U546" s="89"/>
      <c r="V546" s="84"/>
      <c r="W546" s="84"/>
      <c r="X546" s="84"/>
      <c r="Y546" s="84"/>
      <c r="Z546" s="84"/>
    </row>
    <row r="547" spans="1:26" ht="13">
      <c r="A547" s="83"/>
      <c r="B547" s="83"/>
      <c r="C547" s="83"/>
      <c r="D547" s="84"/>
      <c r="E547" s="84"/>
      <c r="F547" s="84"/>
      <c r="G547" s="83"/>
      <c r="H547" s="84"/>
      <c r="I547" s="84"/>
      <c r="J547" s="84"/>
      <c r="K547" s="84"/>
      <c r="L547" s="84"/>
      <c r="M547" s="84"/>
      <c r="N547" s="84"/>
      <c r="O547" s="84"/>
      <c r="P547" s="85"/>
      <c r="Q547" s="75"/>
      <c r="R547" s="75"/>
      <c r="S547" s="75"/>
      <c r="T547" s="75"/>
      <c r="U547" s="89"/>
      <c r="V547" s="84"/>
      <c r="W547" s="84"/>
      <c r="X547" s="84"/>
      <c r="Y547" s="84"/>
      <c r="Z547" s="84"/>
    </row>
    <row r="548" spans="1:26" ht="13">
      <c r="A548" s="83"/>
      <c r="B548" s="83"/>
      <c r="C548" s="83"/>
      <c r="D548" s="84"/>
      <c r="E548" s="84"/>
      <c r="F548" s="84"/>
      <c r="G548" s="83"/>
      <c r="H548" s="84"/>
      <c r="I548" s="84"/>
      <c r="J548" s="84"/>
      <c r="K548" s="84"/>
      <c r="L548" s="84"/>
      <c r="M548" s="84"/>
      <c r="N548" s="84"/>
      <c r="O548" s="84"/>
      <c r="P548" s="85"/>
      <c r="Q548" s="75"/>
      <c r="R548" s="75"/>
      <c r="S548" s="75"/>
      <c r="T548" s="75"/>
      <c r="U548" s="89"/>
      <c r="V548" s="84"/>
      <c r="W548" s="84"/>
      <c r="X548" s="84"/>
      <c r="Y548" s="84"/>
      <c r="Z548" s="84"/>
    </row>
    <row r="549" spans="1:26" ht="13">
      <c r="A549" s="83"/>
      <c r="B549" s="83"/>
      <c r="C549" s="83"/>
      <c r="D549" s="84"/>
      <c r="E549" s="84"/>
      <c r="F549" s="84"/>
      <c r="G549" s="83"/>
      <c r="H549" s="84"/>
      <c r="I549" s="84"/>
      <c r="J549" s="84"/>
      <c r="K549" s="84"/>
      <c r="L549" s="84"/>
      <c r="M549" s="84"/>
      <c r="N549" s="84"/>
      <c r="O549" s="84"/>
      <c r="P549" s="85"/>
      <c r="Q549" s="75"/>
      <c r="R549" s="75"/>
      <c r="S549" s="75"/>
      <c r="T549" s="75"/>
      <c r="U549" s="89"/>
      <c r="V549" s="84"/>
      <c r="W549" s="84"/>
      <c r="X549" s="84"/>
      <c r="Y549" s="84"/>
      <c r="Z549" s="84"/>
    </row>
    <row r="550" spans="1:26" ht="13">
      <c r="A550" s="83"/>
      <c r="B550" s="83"/>
      <c r="C550" s="83"/>
      <c r="D550" s="84"/>
      <c r="E550" s="84"/>
      <c r="F550" s="84"/>
      <c r="G550" s="83"/>
      <c r="H550" s="84"/>
      <c r="I550" s="84"/>
      <c r="J550" s="84"/>
      <c r="K550" s="84"/>
      <c r="L550" s="84"/>
      <c r="M550" s="84"/>
      <c r="N550" s="84"/>
      <c r="O550" s="84"/>
      <c r="P550" s="85"/>
      <c r="Q550" s="75"/>
      <c r="R550" s="75"/>
      <c r="S550" s="75"/>
      <c r="T550" s="75"/>
      <c r="U550" s="89"/>
      <c r="V550" s="84"/>
      <c r="W550" s="84"/>
      <c r="X550" s="84"/>
      <c r="Y550" s="84"/>
      <c r="Z550" s="84"/>
    </row>
    <row r="551" spans="1:26" ht="13">
      <c r="A551" s="83"/>
      <c r="B551" s="83"/>
      <c r="C551" s="83"/>
      <c r="D551" s="84"/>
      <c r="E551" s="84"/>
      <c r="F551" s="84"/>
      <c r="G551" s="83"/>
      <c r="H551" s="84"/>
      <c r="I551" s="84"/>
      <c r="J551" s="84"/>
      <c r="K551" s="84"/>
      <c r="L551" s="84"/>
      <c r="M551" s="84"/>
      <c r="N551" s="84"/>
      <c r="O551" s="84"/>
      <c r="P551" s="85"/>
      <c r="Q551" s="75"/>
      <c r="R551" s="75"/>
      <c r="S551" s="75"/>
      <c r="T551" s="75"/>
      <c r="U551" s="89"/>
      <c r="V551" s="84"/>
      <c r="W551" s="84"/>
      <c r="X551" s="84"/>
      <c r="Y551" s="84"/>
      <c r="Z551" s="84"/>
    </row>
    <row r="552" spans="1:26" ht="13">
      <c r="A552" s="83"/>
      <c r="B552" s="83"/>
      <c r="C552" s="83"/>
      <c r="D552" s="84"/>
      <c r="E552" s="84"/>
      <c r="F552" s="84"/>
      <c r="G552" s="83"/>
      <c r="H552" s="84"/>
      <c r="I552" s="84"/>
      <c r="J552" s="84"/>
      <c r="K552" s="84"/>
      <c r="L552" s="84"/>
      <c r="M552" s="84"/>
      <c r="N552" s="84"/>
      <c r="O552" s="84"/>
      <c r="P552" s="85"/>
      <c r="Q552" s="75"/>
      <c r="R552" s="75"/>
      <c r="S552" s="75"/>
      <c r="T552" s="75"/>
      <c r="U552" s="89"/>
      <c r="V552" s="84"/>
      <c r="W552" s="84"/>
      <c r="X552" s="84"/>
      <c r="Y552" s="84"/>
      <c r="Z552" s="84"/>
    </row>
    <row r="553" spans="1:26" ht="13">
      <c r="A553" s="83"/>
      <c r="B553" s="83"/>
      <c r="C553" s="83"/>
      <c r="D553" s="84"/>
      <c r="E553" s="84"/>
      <c r="F553" s="84"/>
      <c r="G553" s="83"/>
      <c r="H553" s="84"/>
      <c r="I553" s="84"/>
      <c r="J553" s="84"/>
      <c r="K553" s="84"/>
      <c r="L553" s="84"/>
      <c r="M553" s="84"/>
      <c r="N553" s="84"/>
      <c r="O553" s="84"/>
      <c r="P553" s="85"/>
      <c r="Q553" s="75"/>
      <c r="R553" s="75"/>
      <c r="S553" s="75"/>
      <c r="T553" s="75"/>
      <c r="U553" s="89"/>
      <c r="V553" s="84"/>
      <c r="W553" s="84"/>
      <c r="X553" s="84"/>
      <c r="Y553" s="84"/>
      <c r="Z553" s="84"/>
    </row>
    <row r="554" spans="1:26" ht="13">
      <c r="A554" s="83"/>
      <c r="B554" s="83"/>
      <c r="C554" s="83"/>
      <c r="D554" s="84"/>
      <c r="E554" s="84"/>
      <c r="F554" s="84"/>
      <c r="G554" s="83"/>
      <c r="H554" s="84"/>
      <c r="I554" s="84"/>
      <c r="J554" s="84"/>
      <c r="K554" s="84"/>
      <c r="L554" s="84"/>
      <c r="M554" s="84"/>
      <c r="N554" s="84"/>
      <c r="O554" s="84"/>
      <c r="P554" s="85"/>
      <c r="Q554" s="75"/>
      <c r="R554" s="75"/>
      <c r="S554" s="75"/>
      <c r="T554" s="75"/>
      <c r="U554" s="89"/>
      <c r="V554" s="84"/>
      <c r="W554" s="84"/>
      <c r="X554" s="84"/>
      <c r="Y554" s="84"/>
      <c r="Z554" s="84"/>
    </row>
    <row r="555" spans="1:26" ht="13">
      <c r="A555" s="83"/>
      <c r="B555" s="83"/>
      <c r="C555" s="83"/>
      <c r="D555" s="84"/>
      <c r="E555" s="84"/>
      <c r="F555" s="84"/>
      <c r="G555" s="83"/>
      <c r="H555" s="84"/>
      <c r="I555" s="84"/>
      <c r="J555" s="84"/>
      <c r="K555" s="84"/>
      <c r="L555" s="84"/>
      <c r="M555" s="84"/>
      <c r="N555" s="84"/>
      <c r="O555" s="84"/>
      <c r="P555" s="85"/>
      <c r="Q555" s="75"/>
      <c r="R555" s="75"/>
      <c r="S555" s="75"/>
      <c r="T555" s="75"/>
      <c r="U555" s="89"/>
      <c r="V555" s="84"/>
      <c r="W555" s="84"/>
      <c r="X555" s="84"/>
      <c r="Y555" s="84"/>
      <c r="Z555" s="84"/>
    </row>
    <row r="556" spans="1:26" ht="13">
      <c r="A556" s="83"/>
      <c r="B556" s="83"/>
      <c r="C556" s="83"/>
      <c r="D556" s="84"/>
      <c r="E556" s="84"/>
      <c r="F556" s="84"/>
      <c r="G556" s="83"/>
      <c r="H556" s="84"/>
      <c r="I556" s="84"/>
      <c r="J556" s="84"/>
      <c r="K556" s="84"/>
      <c r="L556" s="84"/>
      <c r="M556" s="84"/>
      <c r="N556" s="84"/>
      <c r="O556" s="84"/>
      <c r="P556" s="85"/>
      <c r="Q556" s="75"/>
      <c r="R556" s="75"/>
      <c r="S556" s="75"/>
      <c r="T556" s="75"/>
      <c r="U556" s="89"/>
      <c r="V556" s="84"/>
      <c r="W556" s="84"/>
      <c r="X556" s="84"/>
      <c r="Y556" s="84"/>
      <c r="Z556" s="84"/>
    </row>
    <row r="557" spans="1:26" ht="13">
      <c r="A557" s="83"/>
      <c r="B557" s="83"/>
      <c r="C557" s="83"/>
      <c r="D557" s="84"/>
      <c r="E557" s="84"/>
      <c r="F557" s="84"/>
      <c r="G557" s="83"/>
      <c r="H557" s="84"/>
      <c r="I557" s="84"/>
      <c r="J557" s="84"/>
      <c r="K557" s="84"/>
      <c r="L557" s="84"/>
      <c r="M557" s="84"/>
      <c r="N557" s="84"/>
      <c r="O557" s="84"/>
      <c r="P557" s="85"/>
      <c r="Q557" s="75"/>
      <c r="R557" s="75"/>
      <c r="S557" s="75"/>
      <c r="T557" s="75"/>
      <c r="U557" s="89"/>
      <c r="V557" s="84"/>
      <c r="W557" s="84"/>
      <c r="X557" s="84"/>
      <c r="Y557" s="84"/>
      <c r="Z557" s="84"/>
    </row>
    <row r="558" spans="1:26" ht="13">
      <c r="A558" s="83"/>
      <c r="B558" s="83"/>
      <c r="C558" s="83"/>
      <c r="D558" s="84"/>
      <c r="E558" s="84"/>
      <c r="F558" s="84"/>
      <c r="G558" s="83"/>
      <c r="H558" s="84"/>
      <c r="I558" s="84"/>
      <c r="J558" s="84"/>
      <c r="K558" s="84"/>
      <c r="L558" s="84"/>
      <c r="M558" s="84"/>
      <c r="N558" s="84"/>
      <c r="O558" s="84"/>
      <c r="P558" s="85"/>
      <c r="Q558" s="75"/>
      <c r="R558" s="75"/>
      <c r="S558" s="75"/>
      <c r="T558" s="75"/>
      <c r="U558" s="89"/>
      <c r="V558" s="84"/>
      <c r="W558" s="84"/>
      <c r="X558" s="84"/>
      <c r="Y558" s="84"/>
      <c r="Z558" s="84"/>
    </row>
    <row r="559" spans="1:26" ht="13">
      <c r="A559" s="83"/>
      <c r="B559" s="83"/>
      <c r="C559" s="83"/>
      <c r="D559" s="84"/>
      <c r="E559" s="84"/>
      <c r="F559" s="84"/>
      <c r="G559" s="83"/>
      <c r="H559" s="84"/>
      <c r="I559" s="84"/>
      <c r="J559" s="84"/>
      <c r="K559" s="84"/>
      <c r="L559" s="84"/>
      <c r="M559" s="84"/>
      <c r="N559" s="84"/>
      <c r="O559" s="84"/>
      <c r="P559" s="85"/>
      <c r="Q559" s="75"/>
      <c r="R559" s="75"/>
      <c r="S559" s="75"/>
      <c r="T559" s="75"/>
      <c r="U559" s="89"/>
      <c r="V559" s="84"/>
      <c r="W559" s="84"/>
      <c r="X559" s="84"/>
      <c r="Y559" s="84"/>
      <c r="Z559" s="84"/>
    </row>
    <row r="560" spans="1:26" ht="13">
      <c r="A560" s="83"/>
      <c r="B560" s="83"/>
      <c r="C560" s="83"/>
      <c r="D560" s="84"/>
      <c r="E560" s="84"/>
      <c r="F560" s="84"/>
      <c r="G560" s="83"/>
      <c r="H560" s="84"/>
      <c r="I560" s="84"/>
      <c r="J560" s="84"/>
      <c r="K560" s="84"/>
      <c r="L560" s="84"/>
      <c r="M560" s="84"/>
      <c r="N560" s="84"/>
      <c r="O560" s="84"/>
      <c r="P560" s="85"/>
      <c r="Q560" s="75"/>
      <c r="R560" s="75"/>
      <c r="S560" s="75"/>
      <c r="T560" s="75"/>
      <c r="U560" s="89"/>
      <c r="V560" s="84"/>
      <c r="W560" s="84"/>
      <c r="X560" s="84"/>
      <c r="Y560" s="84"/>
      <c r="Z560" s="84"/>
    </row>
    <row r="561" spans="1:26" ht="13">
      <c r="A561" s="83"/>
      <c r="B561" s="83"/>
      <c r="C561" s="83"/>
      <c r="D561" s="84"/>
      <c r="E561" s="84"/>
      <c r="F561" s="84"/>
      <c r="G561" s="83"/>
      <c r="H561" s="84"/>
      <c r="I561" s="84"/>
      <c r="J561" s="84"/>
      <c r="K561" s="84"/>
      <c r="L561" s="84"/>
      <c r="M561" s="84"/>
      <c r="N561" s="84"/>
      <c r="O561" s="84"/>
      <c r="P561" s="85"/>
      <c r="Q561" s="75"/>
      <c r="R561" s="75"/>
      <c r="S561" s="75"/>
      <c r="T561" s="75"/>
      <c r="U561" s="89"/>
      <c r="V561" s="84"/>
      <c r="W561" s="84"/>
      <c r="X561" s="84"/>
      <c r="Y561" s="84"/>
      <c r="Z561" s="84"/>
    </row>
    <row r="562" spans="1:26" ht="13">
      <c r="A562" s="83"/>
      <c r="B562" s="83"/>
      <c r="C562" s="83"/>
      <c r="D562" s="84"/>
      <c r="E562" s="84"/>
      <c r="F562" s="84"/>
      <c r="G562" s="83"/>
      <c r="H562" s="84"/>
      <c r="I562" s="84"/>
      <c r="J562" s="84"/>
      <c r="K562" s="84"/>
      <c r="L562" s="84"/>
      <c r="M562" s="84"/>
      <c r="N562" s="84"/>
      <c r="O562" s="84"/>
      <c r="P562" s="85"/>
      <c r="Q562" s="75"/>
      <c r="R562" s="75"/>
      <c r="S562" s="75"/>
      <c r="T562" s="75"/>
      <c r="U562" s="89"/>
      <c r="V562" s="84"/>
      <c r="W562" s="84"/>
      <c r="X562" s="84"/>
      <c r="Y562" s="84"/>
      <c r="Z562" s="84"/>
    </row>
    <row r="563" spans="1:26" ht="13">
      <c r="A563" s="83"/>
      <c r="B563" s="83"/>
      <c r="C563" s="83"/>
      <c r="D563" s="84"/>
      <c r="E563" s="84"/>
      <c r="F563" s="84"/>
      <c r="G563" s="83"/>
      <c r="H563" s="84"/>
      <c r="I563" s="84"/>
      <c r="J563" s="84"/>
      <c r="K563" s="84"/>
      <c r="L563" s="84"/>
      <c r="M563" s="84"/>
      <c r="N563" s="84"/>
      <c r="O563" s="84"/>
      <c r="P563" s="85"/>
      <c r="Q563" s="75"/>
      <c r="R563" s="75"/>
      <c r="S563" s="75"/>
      <c r="T563" s="75"/>
      <c r="U563" s="89"/>
      <c r="V563" s="84"/>
      <c r="W563" s="84"/>
      <c r="X563" s="84"/>
      <c r="Y563" s="84"/>
      <c r="Z563" s="84"/>
    </row>
    <row r="564" spans="1:26" ht="13">
      <c r="A564" s="83"/>
      <c r="B564" s="83"/>
      <c r="C564" s="83"/>
      <c r="D564" s="84"/>
      <c r="E564" s="84"/>
      <c r="F564" s="84"/>
      <c r="G564" s="83"/>
      <c r="H564" s="84"/>
      <c r="I564" s="84"/>
      <c r="J564" s="84"/>
      <c r="K564" s="84"/>
      <c r="L564" s="84"/>
      <c r="M564" s="84"/>
      <c r="N564" s="84"/>
      <c r="O564" s="84"/>
      <c r="P564" s="85"/>
      <c r="Q564" s="75"/>
      <c r="R564" s="75"/>
      <c r="S564" s="75"/>
      <c r="T564" s="75"/>
      <c r="U564" s="89"/>
      <c r="V564" s="84"/>
      <c r="W564" s="84"/>
      <c r="X564" s="84"/>
      <c r="Y564" s="84"/>
      <c r="Z564" s="84"/>
    </row>
    <row r="565" spans="1:26" ht="13">
      <c r="A565" s="83"/>
      <c r="B565" s="83"/>
      <c r="C565" s="83"/>
      <c r="D565" s="84"/>
      <c r="E565" s="84"/>
      <c r="F565" s="84"/>
      <c r="G565" s="83"/>
      <c r="H565" s="84"/>
      <c r="I565" s="84"/>
      <c r="J565" s="84"/>
      <c r="K565" s="84"/>
      <c r="L565" s="84"/>
      <c r="M565" s="84"/>
      <c r="N565" s="84"/>
      <c r="O565" s="84"/>
      <c r="P565" s="85"/>
      <c r="Q565" s="75"/>
      <c r="R565" s="75"/>
      <c r="S565" s="75"/>
      <c r="T565" s="75"/>
      <c r="U565" s="89"/>
      <c r="V565" s="84"/>
      <c r="W565" s="84"/>
      <c r="X565" s="84"/>
      <c r="Y565" s="84"/>
      <c r="Z565" s="84"/>
    </row>
    <row r="566" spans="1:26" ht="13">
      <c r="A566" s="83"/>
      <c r="B566" s="83"/>
      <c r="C566" s="83"/>
      <c r="D566" s="84"/>
      <c r="E566" s="84"/>
      <c r="F566" s="84"/>
      <c r="G566" s="83"/>
      <c r="H566" s="84"/>
      <c r="I566" s="84"/>
      <c r="J566" s="84"/>
      <c r="K566" s="84"/>
      <c r="L566" s="84"/>
      <c r="M566" s="84"/>
      <c r="N566" s="84"/>
      <c r="O566" s="84"/>
      <c r="P566" s="85"/>
      <c r="Q566" s="75"/>
      <c r="R566" s="75"/>
      <c r="S566" s="75"/>
      <c r="T566" s="75"/>
      <c r="U566" s="89"/>
      <c r="V566" s="84"/>
      <c r="W566" s="84"/>
      <c r="X566" s="84"/>
      <c r="Y566" s="84"/>
      <c r="Z566" s="84"/>
    </row>
    <row r="567" spans="1:26" ht="13">
      <c r="A567" s="83"/>
      <c r="B567" s="83"/>
      <c r="C567" s="83"/>
      <c r="D567" s="84"/>
      <c r="E567" s="84"/>
      <c r="F567" s="84"/>
      <c r="G567" s="83"/>
      <c r="H567" s="84"/>
      <c r="I567" s="84"/>
      <c r="J567" s="84"/>
      <c r="K567" s="84"/>
      <c r="L567" s="84"/>
      <c r="M567" s="84"/>
      <c r="N567" s="84"/>
      <c r="O567" s="84"/>
      <c r="P567" s="85"/>
      <c r="Q567" s="75"/>
      <c r="R567" s="75"/>
      <c r="S567" s="75"/>
      <c r="T567" s="75"/>
      <c r="U567" s="89"/>
      <c r="V567" s="84"/>
      <c r="W567" s="84"/>
      <c r="X567" s="84"/>
      <c r="Y567" s="84"/>
      <c r="Z567" s="84"/>
    </row>
    <row r="568" spans="1:26" ht="13">
      <c r="A568" s="83"/>
      <c r="B568" s="83"/>
      <c r="C568" s="83"/>
      <c r="D568" s="84"/>
      <c r="E568" s="84"/>
      <c r="F568" s="84"/>
      <c r="G568" s="83"/>
      <c r="H568" s="84"/>
      <c r="I568" s="84"/>
      <c r="J568" s="84"/>
      <c r="K568" s="84"/>
      <c r="L568" s="84"/>
      <c r="M568" s="84"/>
      <c r="N568" s="84"/>
      <c r="O568" s="84"/>
      <c r="P568" s="85"/>
      <c r="Q568" s="75"/>
      <c r="R568" s="75"/>
      <c r="S568" s="75"/>
      <c r="T568" s="75"/>
      <c r="U568" s="89"/>
      <c r="V568" s="84"/>
      <c r="W568" s="84"/>
      <c r="X568" s="84"/>
      <c r="Y568" s="84"/>
      <c r="Z568" s="84"/>
    </row>
    <row r="569" spans="1:26" ht="13">
      <c r="A569" s="83"/>
      <c r="B569" s="83"/>
      <c r="C569" s="83"/>
      <c r="D569" s="84"/>
      <c r="E569" s="84"/>
      <c r="F569" s="84"/>
      <c r="G569" s="83"/>
      <c r="H569" s="84"/>
      <c r="I569" s="84"/>
      <c r="J569" s="84"/>
      <c r="K569" s="84"/>
      <c r="L569" s="84"/>
      <c r="M569" s="84"/>
      <c r="N569" s="84"/>
      <c r="O569" s="84"/>
      <c r="P569" s="85"/>
      <c r="Q569" s="75"/>
      <c r="R569" s="75"/>
      <c r="S569" s="75"/>
      <c r="T569" s="75"/>
      <c r="U569" s="89"/>
      <c r="V569" s="84"/>
      <c r="W569" s="84"/>
      <c r="X569" s="84"/>
      <c r="Y569" s="84"/>
      <c r="Z569" s="84"/>
    </row>
    <row r="570" spans="1:26" ht="13">
      <c r="A570" s="83"/>
      <c r="B570" s="83"/>
      <c r="C570" s="83"/>
      <c r="D570" s="84"/>
      <c r="E570" s="84"/>
      <c r="F570" s="84"/>
      <c r="G570" s="83"/>
      <c r="H570" s="84"/>
      <c r="I570" s="84"/>
      <c r="J570" s="84"/>
      <c r="K570" s="84"/>
      <c r="L570" s="84"/>
      <c r="M570" s="84"/>
      <c r="N570" s="84"/>
      <c r="O570" s="84"/>
      <c r="P570" s="85"/>
      <c r="Q570" s="75"/>
      <c r="R570" s="75"/>
      <c r="S570" s="75"/>
      <c r="T570" s="75"/>
      <c r="U570" s="89"/>
      <c r="V570" s="84"/>
      <c r="W570" s="84"/>
      <c r="X570" s="84"/>
      <c r="Y570" s="84"/>
      <c r="Z570" s="84"/>
    </row>
    <row r="571" spans="1:26" ht="13">
      <c r="A571" s="83"/>
      <c r="B571" s="83"/>
      <c r="C571" s="83"/>
      <c r="D571" s="84"/>
      <c r="E571" s="84"/>
      <c r="F571" s="84"/>
      <c r="G571" s="83"/>
      <c r="H571" s="84"/>
      <c r="I571" s="84"/>
      <c r="J571" s="84"/>
      <c r="K571" s="84"/>
      <c r="L571" s="84"/>
      <c r="M571" s="84"/>
      <c r="N571" s="84"/>
      <c r="O571" s="84"/>
      <c r="P571" s="85"/>
      <c r="Q571" s="75"/>
      <c r="R571" s="75"/>
      <c r="S571" s="75"/>
      <c r="T571" s="75"/>
      <c r="U571" s="89"/>
      <c r="V571" s="84"/>
      <c r="W571" s="84"/>
      <c r="X571" s="84"/>
      <c r="Y571" s="84"/>
      <c r="Z571" s="84"/>
    </row>
    <row r="572" spans="1:26" ht="13">
      <c r="A572" s="83"/>
      <c r="B572" s="83"/>
      <c r="C572" s="83"/>
      <c r="D572" s="84"/>
      <c r="E572" s="84"/>
      <c r="F572" s="84"/>
      <c r="G572" s="83"/>
      <c r="H572" s="84"/>
      <c r="I572" s="84"/>
      <c r="J572" s="84"/>
      <c r="K572" s="84"/>
      <c r="L572" s="84"/>
      <c r="M572" s="84"/>
      <c r="N572" s="84"/>
      <c r="O572" s="84"/>
      <c r="P572" s="85"/>
      <c r="Q572" s="75"/>
      <c r="R572" s="75"/>
      <c r="S572" s="75"/>
      <c r="T572" s="75"/>
      <c r="U572" s="89"/>
      <c r="V572" s="84"/>
      <c r="W572" s="84"/>
      <c r="X572" s="84"/>
      <c r="Y572" s="84"/>
      <c r="Z572" s="84"/>
    </row>
    <row r="573" spans="1:26" ht="13">
      <c r="A573" s="83"/>
      <c r="B573" s="83"/>
      <c r="C573" s="83"/>
      <c r="D573" s="84"/>
      <c r="E573" s="84"/>
      <c r="F573" s="84"/>
      <c r="G573" s="83"/>
      <c r="H573" s="84"/>
      <c r="I573" s="84"/>
      <c r="J573" s="84"/>
      <c r="K573" s="84"/>
      <c r="L573" s="84"/>
      <c r="M573" s="84"/>
      <c r="N573" s="84"/>
      <c r="O573" s="84"/>
      <c r="P573" s="85"/>
      <c r="Q573" s="75"/>
      <c r="R573" s="75"/>
      <c r="S573" s="75"/>
      <c r="T573" s="75"/>
      <c r="U573" s="89"/>
      <c r="V573" s="84"/>
      <c r="W573" s="84"/>
      <c r="X573" s="84"/>
      <c r="Y573" s="84"/>
      <c r="Z573" s="84"/>
    </row>
    <row r="574" spans="1:26" ht="13">
      <c r="A574" s="83"/>
      <c r="B574" s="83"/>
      <c r="C574" s="83"/>
      <c r="D574" s="84"/>
      <c r="E574" s="84"/>
      <c r="F574" s="84"/>
      <c r="G574" s="83"/>
      <c r="H574" s="84"/>
      <c r="I574" s="84"/>
      <c r="J574" s="84"/>
      <c r="K574" s="84"/>
      <c r="L574" s="84"/>
      <c r="M574" s="84"/>
      <c r="N574" s="84"/>
      <c r="O574" s="84"/>
      <c r="P574" s="85"/>
      <c r="Q574" s="75"/>
      <c r="R574" s="75"/>
      <c r="S574" s="75"/>
      <c r="T574" s="75"/>
      <c r="U574" s="89"/>
      <c r="V574" s="84"/>
      <c r="W574" s="84"/>
      <c r="X574" s="84"/>
      <c r="Y574" s="84"/>
      <c r="Z574" s="84"/>
    </row>
    <row r="575" spans="1:26" ht="13">
      <c r="A575" s="83"/>
      <c r="B575" s="83"/>
      <c r="C575" s="83"/>
      <c r="D575" s="84"/>
      <c r="E575" s="84"/>
      <c r="F575" s="84"/>
      <c r="G575" s="83"/>
      <c r="H575" s="84"/>
      <c r="I575" s="84"/>
      <c r="J575" s="84"/>
      <c r="K575" s="84"/>
      <c r="L575" s="84"/>
      <c r="M575" s="84"/>
      <c r="N575" s="84"/>
      <c r="O575" s="84"/>
      <c r="P575" s="85"/>
      <c r="Q575" s="75"/>
      <c r="R575" s="75"/>
      <c r="S575" s="75"/>
      <c r="T575" s="75"/>
      <c r="U575" s="89"/>
      <c r="V575" s="84"/>
      <c r="W575" s="84"/>
      <c r="X575" s="84"/>
      <c r="Y575" s="84"/>
      <c r="Z575" s="84"/>
    </row>
    <row r="576" spans="1:26" ht="13">
      <c r="A576" s="83"/>
      <c r="B576" s="83"/>
      <c r="C576" s="83"/>
      <c r="D576" s="84"/>
      <c r="E576" s="84"/>
      <c r="F576" s="84"/>
      <c r="G576" s="83"/>
      <c r="H576" s="84"/>
      <c r="I576" s="84"/>
      <c r="J576" s="84"/>
      <c r="K576" s="84"/>
      <c r="L576" s="84"/>
      <c r="M576" s="84"/>
      <c r="N576" s="84"/>
      <c r="O576" s="84"/>
      <c r="P576" s="85"/>
      <c r="Q576" s="75"/>
      <c r="R576" s="75"/>
      <c r="S576" s="75"/>
      <c r="T576" s="75"/>
      <c r="U576" s="89"/>
      <c r="V576" s="84"/>
      <c r="W576" s="84"/>
      <c r="X576" s="84"/>
      <c r="Y576" s="84"/>
      <c r="Z576" s="84"/>
    </row>
    <row r="577" spans="1:26" ht="13">
      <c r="A577" s="83"/>
      <c r="B577" s="83"/>
      <c r="C577" s="83"/>
      <c r="D577" s="84"/>
      <c r="E577" s="84"/>
      <c r="F577" s="84"/>
      <c r="G577" s="83"/>
      <c r="H577" s="84"/>
      <c r="I577" s="84"/>
      <c r="J577" s="84"/>
      <c r="K577" s="84"/>
      <c r="L577" s="84"/>
      <c r="M577" s="84"/>
      <c r="N577" s="84"/>
      <c r="O577" s="84"/>
      <c r="P577" s="85"/>
      <c r="Q577" s="75"/>
      <c r="R577" s="75"/>
      <c r="S577" s="75"/>
      <c r="T577" s="75"/>
      <c r="U577" s="89"/>
      <c r="V577" s="84"/>
      <c r="W577" s="84"/>
      <c r="X577" s="84"/>
      <c r="Y577" s="84"/>
      <c r="Z577" s="84"/>
    </row>
    <row r="578" spans="1:26" ht="13">
      <c r="A578" s="83"/>
      <c r="B578" s="83"/>
      <c r="C578" s="83"/>
      <c r="D578" s="84"/>
      <c r="E578" s="84"/>
      <c r="F578" s="84"/>
      <c r="G578" s="83"/>
      <c r="H578" s="84"/>
      <c r="I578" s="84"/>
      <c r="J578" s="84"/>
      <c r="K578" s="84"/>
      <c r="L578" s="84"/>
      <c r="M578" s="84"/>
      <c r="N578" s="84"/>
      <c r="O578" s="84"/>
      <c r="P578" s="85"/>
      <c r="Q578" s="75"/>
      <c r="R578" s="75"/>
      <c r="S578" s="75"/>
      <c r="T578" s="75"/>
      <c r="U578" s="89"/>
      <c r="V578" s="84"/>
      <c r="W578" s="84"/>
      <c r="X578" s="84"/>
      <c r="Y578" s="84"/>
      <c r="Z578" s="84"/>
    </row>
    <row r="579" spans="1:26" ht="13">
      <c r="A579" s="83"/>
      <c r="B579" s="83"/>
      <c r="C579" s="83"/>
      <c r="D579" s="84"/>
      <c r="E579" s="84"/>
      <c r="F579" s="84"/>
      <c r="G579" s="83"/>
      <c r="H579" s="84"/>
      <c r="I579" s="84"/>
      <c r="J579" s="84"/>
      <c r="K579" s="84"/>
      <c r="L579" s="84"/>
      <c r="M579" s="84"/>
      <c r="N579" s="84"/>
      <c r="O579" s="84"/>
      <c r="P579" s="85"/>
      <c r="Q579" s="75"/>
      <c r="R579" s="75"/>
      <c r="S579" s="75"/>
      <c r="T579" s="75"/>
      <c r="U579" s="89"/>
      <c r="V579" s="84"/>
      <c r="W579" s="84"/>
      <c r="X579" s="84"/>
      <c r="Y579" s="84"/>
      <c r="Z579" s="84"/>
    </row>
    <row r="580" spans="1:26" ht="13">
      <c r="A580" s="83"/>
      <c r="B580" s="83"/>
      <c r="C580" s="83"/>
      <c r="D580" s="84"/>
      <c r="E580" s="84"/>
      <c r="F580" s="84"/>
      <c r="G580" s="83"/>
      <c r="H580" s="84"/>
      <c r="I580" s="84"/>
      <c r="J580" s="84"/>
      <c r="K580" s="84"/>
      <c r="L580" s="84"/>
      <c r="M580" s="84"/>
      <c r="N580" s="84"/>
      <c r="O580" s="84"/>
      <c r="P580" s="85"/>
      <c r="Q580" s="75"/>
      <c r="R580" s="75"/>
      <c r="S580" s="75"/>
      <c r="T580" s="75"/>
      <c r="U580" s="89"/>
      <c r="V580" s="84"/>
      <c r="W580" s="84"/>
      <c r="X580" s="84"/>
      <c r="Y580" s="84"/>
      <c r="Z580" s="84"/>
    </row>
    <row r="581" spans="1:26" ht="13">
      <c r="A581" s="83"/>
      <c r="B581" s="83"/>
      <c r="C581" s="83"/>
      <c r="D581" s="84"/>
      <c r="E581" s="84"/>
      <c r="F581" s="84"/>
      <c r="G581" s="83"/>
      <c r="H581" s="84"/>
      <c r="I581" s="84"/>
      <c r="J581" s="84"/>
      <c r="K581" s="84"/>
      <c r="L581" s="84"/>
      <c r="M581" s="84"/>
      <c r="N581" s="84"/>
      <c r="O581" s="84"/>
      <c r="P581" s="85"/>
      <c r="Q581" s="75"/>
      <c r="R581" s="75"/>
      <c r="S581" s="75"/>
      <c r="T581" s="75"/>
      <c r="U581" s="89"/>
      <c r="V581" s="84"/>
      <c r="W581" s="84"/>
      <c r="X581" s="84"/>
      <c r="Y581" s="84"/>
      <c r="Z581" s="84"/>
    </row>
    <row r="582" spans="1:26" ht="13">
      <c r="A582" s="83"/>
      <c r="B582" s="83"/>
      <c r="C582" s="83"/>
      <c r="D582" s="84"/>
      <c r="E582" s="84"/>
      <c r="F582" s="84"/>
      <c r="G582" s="83"/>
      <c r="H582" s="84"/>
      <c r="I582" s="84"/>
      <c r="J582" s="84"/>
      <c r="K582" s="84"/>
      <c r="L582" s="84"/>
      <c r="M582" s="84"/>
      <c r="N582" s="84"/>
      <c r="O582" s="84"/>
      <c r="P582" s="85"/>
      <c r="Q582" s="75"/>
      <c r="R582" s="75"/>
      <c r="S582" s="75"/>
      <c r="T582" s="75"/>
      <c r="U582" s="89"/>
      <c r="V582" s="84"/>
      <c r="W582" s="84"/>
      <c r="X582" s="84"/>
      <c r="Y582" s="84"/>
      <c r="Z582" s="84"/>
    </row>
    <row r="583" spans="1:26" ht="13">
      <c r="A583" s="83"/>
      <c r="B583" s="83"/>
      <c r="C583" s="83"/>
      <c r="D583" s="84"/>
      <c r="E583" s="84"/>
      <c r="F583" s="84"/>
      <c r="G583" s="83"/>
      <c r="H583" s="84"/>
      <c r="I583" s="84"/>
      <c r="J583" s="84"/>
      <c r="K583" s="84"/>
      <c r="L583" s="84"/>
      <c r="M583" s="84"/>
      <c r="N583" s="84"/>
      <c r="O583" s="84"/>
      <c r="P583" s="85"/>
      <c r="Q583" s="75"/>
      <c r="R583" s="75"/>
      <c r="S583" s="75"/>
      <c r="T583" s="75"/>
      <c r="U583" s="89"/>
      <c r="V583" s="84"/>
      <c r="W583" s="84"/>
      <c r="X583" s="84"/>
      <c r="Y583" s="84"/>
      <c r="Z583" s="84"/>
    </row>
    <row r="584" spans="1:26" ht="13">
      <c r="A584" s="83"/>
      <c r="B584" s="83"/>
      <c r="C584" s="83"/>
      <c r="D584" s="84"/>
      <c r="E584" s="84"/>
      <c r="F584" s="84"/>
      <c r="G584" s="83"/>
      <c r="H584" s="84"/>
      <c r="I584" s="84"/>
      <c r="J584" s="84"/>
      <c r="K584" s="84"/>
      <c r="L584" s="84"/>
      <c r="M584" s="84"/>
      <c r="N584" s="84"/>
      <c r="O584" s="84"/>
      <c r="P584" s="85"/>
      <c r="Q584" s="75"/>
      <c r="R584" s="75"/>
      <c r="S584" s="75"/>
      <c r="T584" s="75"/>
      <c r="U584" s="89"/>
      <c r="V584" s="84"/>
      <c r="W584" s="84"/>
      <c r="X584" s="84"/>
      <c r="Y584" s="84"/>
      <c r="Z584" s="84"/>
    </row>
    <row r="585" spans="1:26" ht="13">
      <c r="A585" s="83"/>
      <c r="B585" s="83"/>
      <c r="C585" s="83"/>
      <c r="D585" s="84"/>
      <c r="E585" s="84"/>
      <c r="F585" s="84"/>
      <c r="G585" s="83"/>
      <c r="H585" s="84"/>
      <c r="I585" s="84"/>
      <c r="J585" s="84"/>
      <c r="K585" s="84"/>
      <c r="L585" s="84"/>
      <c r="M585" s="84"/>
      <c r="N585" s="84"/>
      <c r="O585" s="84"/>
      <c r="P585" s="85"/>
      <c r="Q585" s="75"/>
      <c r="R585" s="75"/>
      <c r="S585" s="75"/>
      <c r="T585" s="75"/>
      <c r="U585" s="89"/>
      <c r="V585" s="84"/>
      <c r="W585" s="84"/>
      <c r="X585" s="84"/>
      <c r="Y585" s="84"/>
      <c r="Z585" s="84"/>
    </row>
    <row r="586" spans="1:26" ht="13">
      <c r="A586" s="83"/>
      <c r="B586" s="83"/>
      <c r="C586" s="83"/>
      <c r="D586" s="84"/>
      <c r="E586" s="84"/>
      <c r="F586" s="84"/>
      <c r="G586" s="83"/>
      <c r="H586" s="84"/>
      <c r="I586" s="84"/>
      <c r="J586" s="84"/>
      <c r="K586" s="84"/>
      <c r="L586" s="84"/>
      <c r="M586" s="84"/>
      <c r="N586" s="84"/>
      <c r="O586" s="84"/>
      <c r="P586" s="85"/>
      <c r="Q586" s="75"/>
      <c r="R586" s="75"/>
      <c r="S586" s="75"/>
      <c r="T586" s="75"/>
      <c r="U586" s="89"/>
      <c r="V586" s="84"/>
      <c r="W586" s="84"/>
      <c r="X586" s="84"/>
      <c r="Y586" s="84"/>
      <c r="Z586" s="84"/>
    </row>
    <row r="587" spans="1:26" ht="13">
      <c r="A587" s="83"/>
      <c r="B587" s="83"/>
      <c r="C587" s="83"/>
      <c r="D587" s="84"/>
      <c r="E587" s="84"/>
      <c r="F587" s="84"/>
      <c r="G587" s="83"/>
      <c r="H587" s="84"/>
      <c r="I587" s="84"/>
      <c r="J587" s="84"/>
      <c r="K587" s="84"/>
      <c r="L587" s="84"/>
      <c r="M587" s="84"/>
      <c r="N587" s="84"/>
      <c r="O587" s="84"/>
      <c r="P587" s="85"/>
      <c r="Q587" s="75"/>
      <c r="R587" s="75"/>
      <c r="S587" s="75"/>
      <c r="T587" s="75"/>
      <c r="U587" s="89"/>
      <c r="V587" s="84"/>
      <c r="W587" s="84"/>
      <c r="X587" s="84"/>
      <c r="Y587" s="84"/>
      <c r="Z587" s="84"/>
    </row>
    <row r="588" spans="1:26" ht="13">
      <c r="A588" s="83"/>
      <c r="B588" s="83"/>
      <c r="C588" s="83"/>
      <c r="D588" s="84"/>
      <c r="E588" s="84"/>
      <c r="F588" s="84"/>
      <c r="G588" s="83"/>
      <c r="H588" s="84"/>
      <c r="I588" s="84"/>
      <c r="J588" s="84"/>
      <c r="K588" s="84"/>
      <c r="L588" s="84"/>
      <c r="M588" s="84"/>
      <c r="N588" s="84"/>
      <c r="O588" s="84"/>
      <c r="P588" s="85"/>
      <c r="Q588" s="75"/>
      <c r="R588" s="75"/>
      <c r="S588" s="75"/>
      <c r="T588" s="75"/>
      <c r="U588" s="89"/>
      <c r="V588" s="84"/>
      <c r="W588" s="84"/>
      <c r="X588" s="84"/>
      <c r="Y588" s="84"/>
      <c r="Z588" s="84"/>
    </row>
    <row r="589" spans="1:26" ht="13">
      <c r="A589" s="83"/>
      <c r="B589" s="83"/>
      <c r="C589" s="83"/>
      <c r="D589" s="84"/>
      <c r="E589" s="84"/>
      <c r="F589" s="84"/>
      <c r="G589" s="83"/>
      <c r="H589" s="84"/>
      <c r="I589" s="84"/>
      <c r="J589" s="84"/>
      <c r="K589" s="84"/>
      <c r="L589" s="84"/>
      <c r="M589" s="84"/>
      <c r="N589" s="84"/>
      <c r="O589" s="84"/>
      <c r="P589" s="85"/>
      <c r="Q589" s="75"/>
      <c r="R589" s="75"/>
      <c r="S589" s="75"/>
      <c r="T589" s="75"/>
      <c r="U589" s="89"/>
      <c r="V589" s="84"/>
      <c r="W589" s="84"/>
      <c r="X589" s="84"/>
      <c r="Y589" s="84"/>
      <c r="Z589" s="84"/>
    </row>
    <row r="590" spans="1:26" ht="13">
      <c r="A590" s="83"/>
      <c r="B590" s="83"/>
      <c r="C590" s="83"/>
      <c r="D590" s="84"/>
      <c r="E590" s="84"/>
      <c r="F590" s="84"/>
      <c r="G590" s="83"/>
      <c r="H590" s="84"/>
      <c r="I590" s="84"/>
      <c r="J590" s="84"/>
      <c r="K590" s="84"/>
      <c r="L590" s="84"/>
      <c r="M590" s="84"/>
      <c r="N590" s="84"/>
      <c r="O590" s="84"/>
      <c r="P590" s="85"/>
      <c r="Q590" s="75"/>
      <c r="R590" s="75"/>
      <c r="S590" s="75"/>
      <c r="T590" s="75"/>
      <c r="U590" s="89"/>
      <c r="V590" s="84"/>
      <c r="W590" s="84"/>
      <c r="X590" s="84"/>
      <c r="Y590" s="84"/>
      <c r="Z590" s="84"/>
    </row>
    <row r="591" spans="1:26" ht="13">
      <c r="A591" s="83"/>
      <c r="B591" s="83"/>
      <c r="C591" s="83"/>
      <c r="D591" s="84"/>
      <c r="E591" s="84"/>
      <c r="F591" s="84"/>
      <c r="G591" s="83"/>
      <c r="H591" s="84"/>
      <c r="I591" s="84"/>
      <c r="J591" s="84"/>
      <c r="K591" s="84"/>
      <c r="L591" s="84"/>
      <c r="M591" s="84"/>
      <c r="N591" s="84"/>
      <c r="O591" s="84"/>
      <c r="P591" s="85"/>
      <c r="Q591" s="75"/>
      <c r="R591" s="75"/>
      <c r="S591" s="75"/>
      <c r="T591" s="75"/>
      <c r="U591" s="89"/>
      <c r="V591" s="84"/>
      <c r="W591" s="84"/>
      <c r="X591" s="84"/>
      <c r="Y591" s="84"/>
      <c r="Z591" s="84"/>
    </row>
    <row r="592" spans="1:26" ht="13">
      <c r="A592" s="83"/>
      <c r="B592" s="83"/>
      <c r="C592" s="83"/>
      <c r="D592" s="84"/>
      <c r="E592" s="84"/>
      <c r="F592" s="84"/>
      <c r="G592" s="83"/>
      <c r="H592" s="84"/>
      <c r="I592" s="84"/>
      <c r="J592" s="84"/>
      <c r="K592" s="84"/>
      <c r="L592" s="84"/>
      <c r="M592" s="84"/>
      <c r="N592" s="84"/>
      <c r="O592" s="84"/>
      <c r="P592" s="85"/>
      <c r="Q592" s="75"/>
      <c r="R592" s="75"/>
      <c r="S592" s="75"/>
      <c r="T592" s="75"/>
      <c r="U592" s="89"/>
      <c r="V592" s="84"/>
      <c r="W592" s="84"/>
      <c r="X592" s="84"/>
      <c r="Y592" s="84"/>
      <c r="Z592" s="84"/>
    </row>
    <row r="593" spans="1:26" ht="13">
      <c r="A593" s="83"/>
      <c r="B593" s="83"/>
      <c r="C593" s="83"/>
      <c r="D593" s="84"/>
      <c r="E593" s="84"/>
      <c r="F593" s="84"/>
      <c r="G593" s="83"/>
      <c r="H593" s="84"/>
      <c r="I593" s="84"/>
      <c r="J593" s="84"/>
      <c r="K593" s="84"/>
      <c r="L593" s="84"/>
      <c r="M593" s="84"/>
      <c r="N593" s="84"/>
      <c r="O593" s="84"/>
      <c r="P593" s="85"/>
      <c r="Q593" s="75"/>
      <c r="R593" s="75"/>
      <c r="S593" s="75"/>
      <c r="T593" s="75"/>
      <c r="U593" s="89"/>
      <c r="V593" s="84"/>
      <c r="W593" s="84"/>
      <c r="X593" s="84"/>
      <c r="Y593" s="84"/>
      <c r="Z593" s="84"/>
    </row>
    <row r="594" spans="1:26" ht="13">
      <c r="A594" s="83"/>
      <c r="B594" s="83"/>
      <c r="C594" s="83"/>
      <c r="D594" s="84"/>
      <c r="E594" s="84"/>
      <c r="F594" s="84"/>
      <c r="G594" s="83"/>
      <c r="H594" s="84"/>
      <c r="I594" s="84"/>
      <c r="J594" s="84"/>
      <c r="K594" s="84"/>
      <c r="L594" s="84"/>
      <c r="M594" s="84"/>
      <c r="N594" s="84"/>
      <c r="O594" s="84"/>
      <c r="P594" s="85"/>
      <c r="Q594" s="75"/>
      <c r="R594" s="75"/>
      <c r="S594" s="75"/>
      <c r="T594" s="75"/>
      <c r="U594" s="89"/>
      <c r="V594" s="84"/>
      <c r="W594" s="84"/>
      <c r="X594" s="84"/>
      <c r="Y594" s="84"/>
      <c r="Z594" s="84"/>
    </row>
    <row r="595" spans="1:26" ht="13">
      <c r="A595" s="83"/>
      <c r="B595" s="83"/>
      <c r="C595" s="83"/>
      <c r="D595" s="84"/>
      <c r="E595" s="84"/>
      <c r="F595" s="84"/>
      <c r="G595" s="83"/>
      <c r="H595" s="84"/>
      <c r="I595" s="84"/>
      <c r="J595" s="84"/>
      <c r="K595" s="84"/>
      <c r="L595" s="84"/>
      <c r="M595" s="84"/>
      <c r="N595" s="84"/>
      <c r="O595" s="84"/>
      <c r="P595" s="85"/>
      <c r="Q595" s="75"/>
      <c r="R595" s="75"/>
      <c r="S595" s="75"/>
      <c r="T595" s="75"/>
      <c r="U595" s="89"/>
      <c r="V595" s="84"/>
      <c r="W595" s="84"/>
      <c r="X595" s="84"/>
      <c r="Y595" s="84"/>
      <c r="Z595" s="84"/>
    </row>
    <row r="596" spans="1:26" ht="13">
      <c r="A596" s="83"/>
      <c r="B596" s="83"/>
      <c r="C596" s="83"/>
      <c r="D596" s="84"/>
      <c r="E596" s="84"/>
      <c r="F596" s="84"/>
      <c r="G596" s="83"/>
      <c r="H596" s="84"/>
      <c r="I596" s="84"/>
      <c r="J596" s="84"/>
      <c r="K596" s="84"/>
      <c r="L596" s="84"/>
      <c r="M596" s="84"/>
      <c r="N596" s="84"/>
      <c r="O596" s="84"/>
      <c r="P596" s="85"/>
      <c r="Q596" s="75"/>
      <c r="R596" s="75"/>
      <c r="S596" s="75"/>
      <c r="T596" s="75"/>
      <c r="U596" s="89"/>
      <c r="V596" s="84"/>
      <c r="W596" s="84"/>
      <c r="X596" s="84"/>
      <c r="Y596" s="84"/>
      <c r="Z596" s="84"/>
    </row>
    <row r="597" spans="1:26" ht="13">
      <c r="A597" s="83"/>
      <c r="B597" s="83"/>
      <c r="C597" s="83"/>
      <c r="D597" s="84"/>
      <c r="E597" s="84"/>
      <c r="F597" s="84"/>
      <c r="G597" s="83"/>
      <c r="H597" s="84"/>
      <c r="I597" s="84"/>
      <c r="J597" s="84"/>
      <c r="K597" s="84"/>
      <c r="L597" s="84"/>
      <c r="M597" s="84"/>
      <c r="N597" s="84"/>
      <c r="O597" s="84"/>
      <c r="P597" s="85"/>
      <c r="Q597" s="75"/>
      <c r="R597" s="75"/>
      <c r="S597" s="75"/>
      <c r="T597" s="75"/>
      <c r="U597" s="89"/>
      <c r="V597" s="84"/>
      <c r="W597" s="84"/>
      <c r="X597" s="84"/>
      <c r="Y597" s="84"/>
      <c r="Z597" s="84"/>
    </row>
    <row r="598" spans="1:26" ht="13">
      <c r="A598" s="83"/>
      <c r="B598" s="83"/>
      <c r="C598" s="83"/>
      <c r="D598" s="84"/>
      <c r="E598" s="84"/>
      <c r="F598" s="84"/>
      <c r="G598" s="83"/>
      <c r="H598" s="84"/>
      <c r="I598" s="84"/>
      <c r="J598" s="84"/>
      <c r="K598" s="84"/>
      <c r="L598" s="84"/>
      <c r="M598" s="84"/>
      <c r="N598" s="84"/>
      <c r="O598" s="84"/>
      <c r="P598" s="85"/>
      <c r="Q598" s="75"/>
      <c r="R598" s="75"/>
      <c r="S598" s="75"/>
      <c r="T598" s="75"/>
      <c r="U598" s="89"/>
      <c r="V598" s="84"/>
      <c r="W598" s="84"/>
      <c r="X598" s="84"/>
      <c r="Y598" s="84"/>
      <c r="Z598" s="84"/>
    </row>
    <row r="599" spans="1:26" ht="13">
      <c r="A599" s="83"/>
      <c r="B599" s="83"/>
      <c r="C599" s="83"/>
      <c r="D599" s="84"/>
      <c r="E599" s="84"/>
      <c r="F599" s="84"/>
      <c r="G599" s="83"/>
      <c r="H599" s="84"/>
      <c r="I599" s="84"/>
      <c r="J599" s="84"/>
      <c r="K599" s="84"/>
      <c r="L599" s="84"/>
      <c r="M599" s="84"/>
      <c r="N599" s="84"/>
      <c r="O599" s="84"/>
      <c r="P599" s="85"/>
      <c r="Q599" s="75"/>
      <c r="R599" s="75"/>
      <c r="S599" s="75"/>
      <c r="T599" s="75"/>
      <c r="U599" s="89"/>
      <c r="V599" s="84"/>
      <c r="W599" s="84"/>
      <c r="X599" s="84"/>
      <c r="Y599" s="84"/>
      <c r="Z599" s="84"/>
    </row>
    <row r="600" spans="1:26" ht="13">
      <c r="A600" s="83"/>
      <c r="B600" s="83"/>
      <c r="C600" s="83"/>
      <c r="D600" s="84"/>
      <c r="E600" s="84"/>
      <c r="F600" s="84"/>
      <c r="G600" s="83"/>
      <c r="H600" s="84"/>
      <c r="I600" s="84"/>
      <c r="J600" s="84"/>
      <c r="K600" s="84"/>
      <c r="L600" s="84"/>
      <c r="M600" s="84"/>
      <c r="N600" s="84"/>
      <c r="O600" s="84"/>
      <c r="P600" s="85"/>
      <c r="Q600" s="75"/>
      <c r="R600" s="75"/>
      <c r="S600" s="75"/>
      <c r="T600" s="75"/>
      <c r="U600" s="89"/>
      <c r="V600" s="84"/>
      <c r="W600" s="84"/>
      <c r="X600" s="84"/>
      <c r="Y600" s="84"/>
      <c r="Z600" s="84"/>
    </row>
    <row r="601" spans="1:26" ht="13">
      <c r="A601" s="83"/>
      <c r="B601" s="83"/>
      <c r="C601" s="83"/>
      <c r="D601" s="84"/>
      <c r="E601" s="84"/>
      <c r="F601" s="84"/>
      <c r="G601" s="83"/>
      <c r="H601" s="84"/>
      <c r="I601" s="84"/>
      <c r="J601" s="84"/>
      <c r="K601" s="84"/>
      <c r="L601" s="84"/>
      <c r="M601" s="84"/>
      <c r="N601" s="84"/>
      <c r="O601" s="84"/>
      <c r="P601" s="85"/>
      <c r="Q601" s="75"/>
      <c r="R601" s="75"/>
      <c r="S601" s="75"/>
      <c r="T601" s="75"/>
      <c r="U601" s="89"/>
      <c r="V601" s="84"/>
      <c r="W601" s="84"/>
      <c r="X601" s="84"/>
      <c r="Y601" s="84"/>
      <c r="Z601" s="84"/>
    </row>
    <row r="602" spans="1:26" ht="13">
      <c r="A602" s="83"/>
      <c r="B602" s="83"/>
      <c r="C602" s="83"/>
      <c r="D602" s="84"/>
      <c r="E602" s="84"/>
      <c r="F602" s="84"/>
      <c r="G602" s="83"/>
      <c r="H602" s="84"/>
      <c r="I602" s="84"/>
      <c r="J602" s="84"/>
      <c r="K602" s="84"/>
      <c r="L602" s="84"/>
      <c r="M602" s="84"/>
      <c r="N602" s="84"/>
      <c r="O602" s="84"/>
      <c r="P602" s="85"/>
      <c r="Q602" s="75"/>
      <c r="R602" s="75"/>
      <c r="S602" s="75"/>
      <c r="T602" s="75"/>
      <c r="U602" s="89"/>
      <c r="V602" s="84"/>
      <c r="W602" s="84"/>
      <c r="X602" s="84"/>
      <c r="Y602" s="84"/>
      <c r="Z602" s="84"/>
    </row>
    <row r="603" spans="1:26" ht="13">
      <c r="A603" s="83"/>
      <c r="B603" s="83"/>
      <c r="C603" s="83"/>
      <c r="D603" s="84"/>
      <c r="E603" s="84"/>
      <c r="F603" s="84"/>
      <c r="G603" s="83"/>
      <c r="H603" s="84"/>
      <c r="I603" s="84"/>
      <c r="J603" s="84"/>
      <c r="K603" s="84"/>
      <c r="L603" s="84"/>
      <c r="M603" s="84"/>
      <c r="N603" s="84"/>
      <c r="O603" s="84"/>
      <c r="P603" s="85"/>
      <c r="Q603" s="75"/>
      <c r="R603" s="75"/>
      <c r="S603" s="75"/>
      <c r="T603" s="75"/>
      <c r="U603" s="89"/>
      <c r="V603" s="84"/>
      <c r="W603" s="84"/>
      <c r="X603" s="84"/>
      <c r="Y603" s="84"/>
      <c r="Z603" s="84"/>
    </row>
    <row r="604" spans="1:26" ht="13">
      <c r="A604" s="83"/>
      <c r="B604" s="83"/>
      <c r="C604" s="83"/>
      <c r="D604" s="84"/>
      <c r="E604" s="84"/>
      <c r="F604" s="84"/>
      <c r="G604" s="83"/>
      <c r="H604" s="84"/>
      <c r="I604" s="84"/>
      <c r="J604" s="84"/>
      <c r="K604" s="84"/>
      <c r="L604" s="84"/>
      <c r="M604" s="84"/>
      <c r="N604" s="84"/>
      <c r="O604" s="84"/>
      <c r="P604" s="85"/>
      <c r="Q604" s="75"/>
      <c r="R604" s="75"/>
      <c r="S604" s="75"/>
      <c r="T604" s="75"/>
      <c r="U604" s="89"/>
      <c r="V604" s="84"/>
      <c r="W604" s="84"/>
      <c r="X604" s="84"/>
      <c r="Y604" s="84"/>
      <c r="Z604" s="84"/>
    </row>
    <row r="605" spans="1:26" ht="13">
      <c r="A605" s="83"/>
      <c r="B605" s="83"/>
      <c r="C605" s="83"/>
      <c r="D605" s="84"/>
      <c r="E605" s="84"/>
      <c r="F605" s="84"/>
      <c r="G605" s="83"/>
      <c r="H605" s="84"/>
      <c r="I605" s="84"/>
      <c r="J605" s="84"/>
      <c r="K605" s="84"/>
      <c r="L605" s="84"/>
      <c r="M605" s="84"/>
      <c r="N605" s="84"/>
      <c r="O605" s="84"/>
      <c r="P605" s="85"/>
      <c r="Q605" s="75"/>
      <c r="R605" s="75"/>
      <c r="S605" s="75"/>
      <c r="T605" s="75"/>
      <c r="U605" s="89"/>
      <c r="V605" s="84"/>
      <c r="W605" s="84"/>
      <c r="X605" s="84"/>
      <c r="Y605" s="84"/>
      <c r="Z605" s="84"/>
    </row>
    <row r="606" spans="1:26" ht="13">
      <c r="A606" s="83"/>
      <c r="B606" s="83"/>
      <c r="C606" s="83"/>
      <c r="D606" s="84"/>
      <c r="E606" s="84"/>
      <c r="F606" s="84"/>
      <c r="G606" s="83"/>
      <c r="H606" s="84"/>
      <c r="I606" s="84"/>
      <c r="J606" s="84"/>
      <c r="K606" s="84"/>
      <c r="L606" s="84"/>
      <c r="M606" s="84"/>
      <c r="N606" s="84"/>
      <c r="O606" s="84"/>
      <c r="P606" s="85"/>
      <c r="Q606" s="75"/>
      <c r="R606" s="75"/>
      <c r="S606" s="75"/>
      <c r="T606" s="75"/>
      <c r="U606" s="89"/>
      <c r="V606" s="84"/>
      <c r="W606" s="84"/>
      <c r="X606" s="84"/>
      <c r="Y606" s="84"/>
      <c r="Z606" s="84"/>
    </row>
    <row r="607" spans="1:26" ht="13">
      <c r="A607" s="83"/>
      <c r="B607" s="83"/>
      <c r="C607" s="83"/>
      <c r="D607" s="84"/>
      <c r="E607" s="84"/>
      <c r="F607" s="84"/>
      <c r="G607" s="83"/>
      <c r="H607" s="84"/>
      <c r="I607" s="84"/>
      <c r="J607" s="84"/>
      <c r="K607" s="84"/>
      <c r="L607" s="84"/>
      <c r="M607" s="84"/>
      <c r="N607" s="84"/>
      <c r="O607" s="84"/>
      <c r="P607" s="85"/>
      <c r="Q607" s="75"/>
      <c r="R607" s="75"/>
      <c r="S607" s="75"/>
      <c r="T607" s="75"/>
      <c r="U607" s="89"/>
      <c r="V607" s="84"/>
      <c r="W607" s="84"/>
      <c r="X607" s="84"/>
      <c r="Y607" s="84"/>
      <c r="Z607" s="84"/>
    </row>
    <row r="608" spans="1:26" ht="13">
      <c r="A608" s="83"/>
      <c r="B608" s="83"/>
      <c r="C608" s="83"/>
      <c r="D608" s="84"/>
      <c r="E608" s="84"/>
      <c r="F608" s="84"/>
      <c r="G608" s="83"/>
      <c r="H608" s="84"/>
      <c r="I608" s="84"/>
      <c r="J608" s="84"/>
      <c r="K608" s="84"/>
      <c r="L608" s="84"/>
      <c r="M608" s="84"/>
      <c r="N608" s="84"/>
      <c r="O608" s="84"/>
      <c r="P608" s="85"/>
      <c r="Q608" s="75"/>
      <c r="R608" s="75"/>
      <c r="S608" s="75"/>
      <c r="T608" s="75"/>
      <c r="U608" s="89"/>
      <c r="V608" s="84"/>
      <c r="W608" s="84"/>
      <c r="X608" s="84"/>
      <c r="Y608" s="84"/>
      <c r="Z608" s="84"/>
    </row>
    <row r="609" spans="1:26" ht="13">
      <c r="A609" s="83"/>
      <c r="B609" s="83"/>
      <c r="C609" s="83"/>
      <c r="D609" s="84"/>
      <c r="E609" s="84"/>
      <c r="F609" s="84"/>
      <c r="G609" s="83"/>
      <c r="H609" s="84"/>
      <c r="I609" s="84"/>
      <c r="J609" s="84"/>
      <c r="K609" s="84"/>
      <c r="L609" s="84"/>
      <c r="M609" s="84"/>
      <c r="N609" s="84"/>
      <c r="O609" s="84"/>
      <c r="P609" s="85"/>
      <c r="Q609" s="75"/>
      <c r="R609" s="75"/>
      <c r="S609" s="75"/>
      <c r="T609" s="75"/>
      <c r="U609" s="89"/>
      <c r="V609" s="84"/>
      <c r="W609" s="84"/>
      <c r="X609" s="84"/>
      <c r="Y609" s="84"/>
      <c r="Z609" s="84"/>
    </row>
    <row r="610" spans="1:26" ht="13">
      <c r="A610" s="83"/>
      <c r="B610" s="83"/>
      <c r="C610" s="83"/>
      <c r="D610" s="84"/>
      <c r="E610" s="84"/>
      <c r="F610" s="84"/>
      <c r="G610" s="83"/>
      <c r="H610" s="84"/>
      <c r="I610" s="84"/>
      <c r="J610" s="84"/>
      <c r="K610" s="84"/>
      <c r="L610" s="84"/>
      <c r="M610" s="84"/>
      <c r="N610" s="84"/>
      <c r="O610" s="84"/>
      <c r="P610" s="85"/>
      <c r="Q610" s="75"/>
      <c r="R610" s="75"/>
      <c r="S610" s="75"/>
      <c r="T610" s="75"/>
      <c r="U610" s="89"/>
      <c r="V610" s="84"/>
      <c r="W610" s="84"/>
      <c r="X610" s="84"/>
      <c r="Y610" s="84"/>
      <c r="Z610" s="84"/>
    </row>
    <row r="611" spans="1:26" ht="13">
      <c r="A611" s="83"/>
      <c r="B611" s="83"/>
      <c r="C611" s="83"/>
      <c r="D611" s="84"/>
      <c r="E611" s="84"/>
      <c r="F611" s="84"/>
      <c r="G611" s="83"/>
      <c r="H611" s="84"/>
      <c r="I611" s="84"/>
      <c r="J611" s="84"/>
      <c r="K611" s="84"/>
      <c r="L611" s="84"/>
      <c r="M611" s="84"/>
      <c r="N611" s="84"/>
      <c r="O611" s="84"/>
      <c r="P611" s="85"/>
      <c r="Q611" s="75"/>
      <c r="R611" s="75"/>
      <c r="S611" s="75"/>
      <c r="T611" s="75"/>
      <c r="U611" s="89"/>
      <c r="V611" s="84"/>
      <c r="W611" s="84"/>
      <c r="X611" s="84"/>
      <c r="Y611" s="84"/>
      <c r="Z611" s="84"/>
    </row>
    <row r="612" spans="1:26" ht="13">
      <c r="A612" s="83"/>
      <c r="B612" s="83"/>
      <c r="C612" s="83"/>
      <c r="D612" s="84"/>
      <c r="E612" s="84"/>
      <c r="F612" s="84"/>
      <c r="G612" s="83"/>
      <c r="H612" s="84"/>
      <c r="I612" s="84"/>
      <c r="J612" s="84"/>
      <c r="K612" s="84"/>
      <c r="L612" s="84"/>
      <c r="M612" s="84"/>
      <c r="N612" s="84"/>
      <c r="O612" s="84"/>
      <c r="P612" s="85"/>
      <c r="Q612" s="75"/>
      <c r="R612" s="75"/>
      <c r="S612" s="75"/>
      <c r="T612" s="75"/>
      <c r="U612" s="89"/>
      <c r="V612" s="84"/>
      <c r="W612" s="84"/>
      <c r="X612" s="84"/>
      <c r="Y612" s="84"/>
      <c r="Z612" s="84"/>
    </row>
    <row r="613" spans="1:26" ht="13">
      <c r="A613" s="83"/>
      <c r="B613" s="83"/>
      <c r="C613" s="83"/>
      <c r="D613" s="84"/>
      <c r="E613" s="84"/>
      <c r="F613" s="84"/>
      <c r="G613" s="83"/>
      <c r="H613" s="84"/>
      <c r="I613" s="84"/>
      <c r="J613" s="84"/>
      <c r="K613" s="84"/>
      <c r="L613" s="84"/>
      <c r="M613" s="84"/>
      <c r="N613" s="84"/>
      <c r="O613" s="84"/>
      <c r="P613" s="85"/>
      <c r="Q613" s="75"/>
      <c r="R613" s="75"/>
      <c r="S613" s="75"/>
      <c r="T613" s="75"/>
      <c r="U613" s="89"/>
      <c r="V613" s="84"/>
      <c r="W613" s="84"/>
      <c r="X613" s="84"/>
      <c r="Y613" s="84"/>
      <c r="Z613" s="84"/>
    </row>
    <row r="614" spans="1:26" ht="13">
      <c r="A614" s="83"/>
      <c r="B614" s="83"/>
      <c r="C614" s="83"/>
      <c r="D614" s="84"/>
      <c r="E614" s="84"/>
      <c r="F614" s="84"/>
      <c r="G614" s="83"/>
      <c r="H614" s="84"/>
      <c r="I614" s="84"/>
      <c r="J614" s="84"/>
      <c r="K614" s="84"/>
      <c r="L614" s="84"/>
      <c r="M614" s="84"/>
      <c r="N614" s="84"/>
      <c r="O614" s="84"/>
      <c r="P614" s="85"/>
      <c r="Q614" s="75"/>
      <c r="R614" s="75"/>
      <c r="S614" s="75"/>
      <c r="T614" s="75"/>
      <c r="U614" s="89"/>
      <c r="V614" s="84"/>
      <c r="W614" s="84"/>
      <c r="X614" s="84"/>
      <c r="Y614" s="84"/>
      <c r="Z614" s="84"/>
    </row>
    <row r="615" spans="1:26" ht="13">
      <c r="A615" s="83"/>
      <c r="B615" s="83"/>
      <c r="C615" s="83"/>
      <c r="D615" s="84"/>
      <c r="E615" s="84"/>
      <c r="F615" s="84"/>
      <c r="G615" s="83"/>
      <c r="H615" s="84"/>
      <c r="I615" s="84"/>
      <c r="J615" s="84"/>
      <c r="K615" s="84"/>
      <c r="L615" s="84"/>
      <c r="M615" s="84"/>
      <c r="N615" s="84"/>
      <c r="O615" s="84"/>
      <c r="P615" s="85"/>
      <c r="Q615" s="75"/>
      <c r="R615" s="75"/>
      <c r="S615" s="75"/>
      <c r="T615" s="75"/>
      <c r="U615" s="89"/>
      <c r="V615" s="84"/>
      <c r="W615" s="84"/>
      <c r="X615" s="84"/>
      <c r="Y615" s="84"/>
      <c r="Z615" s="84"/>
    </row>
    <row r="616" spans="1:26" ht="13">
      <c r="A616" s="83"/>
      <c r="B616" s="83"/>
      <c r="C616" s="83"/>
      <c r="D616" s="84"/>
      <c r="E616" s="84"/>
      <c r="F616" s="84"/>
      <c r="G616" s="83"/>
      <c r="H616" s="84"/>
      <c r="I616" s="84"/>
      <c r="J616" s="84"/>
      <c r="K616" s="84"/>
      <c r="L616" s="84"/>
      <c r="M616" s="84"/>
      <c r="N616" s="84"/>
      <c r="O616" s="84"/>
      <c r="P616" s="85"/>
      <c r="Q616" s="75"/>
      <c r="R616" s="75"/>
      <c r="S616" s="75"/>
      <c r="T616" s="75"/>
      <c r="U616" s="89"/>
      <c r="V616" s="84"/>
      <c r="W616" s="84"/>
      <c r="X616" s="84"/>
      <c r="Y616" s="84"/>
      <c r="Z616" s="84"/>
    </row>
    <row r="617" spans="1:26" ht="13">
      <c r="A617" s="83"/>
      <c r="B617" s="83"/>
      <c r="C617" s="83"/>
      <c r="D617" s="84"/>
      <c r="E617" s="84"/>
      <c r="F617" s="84"/>
      <c r="G617" s="83"/>
      <c r="H617" s="84"/>
      <c r="I617" s="84"/>
      <c r="J617" s="84"/>
      <c r="K617" s="84"/>
      <c r="L617" s="84"/>
      <c r="M617" s="84"/>
      <c r="N617" s="84"/>
      <c r="O617" s="84"/>
      <c r="P617" s="85"/>
      <c r="Q617" s="75"/>
      <c r="R617" s="75"/>
      <c r="S617" s="75"/>
      <c r="T617" s="75"/>
      <c r="U617" s="89"/>
      <c r="V617" s="84"/>
      <c r="W617" s="84"/>
      <c r="X617" s="84"/>
      <c r="Y617" s="84"/>
      <c r="Z617" s="84"/>
    </row>
    <row r="618" spans="1:26" ht="13">
      <c r="A618" s="83"/>
      <c r="B618" s="83"/>
      <c r="C618" s="83"/>
      <c r="D618" s="84"/>
      <c r="E618" s="84"/>
      <c r="F618" s="84"/>
      <c r="G618" s="83"/>
      <c r="H618" s="84"/>
      <c r="I618" s="84"/>
      <c r="J618" s="84"/>
      <c r="K618" s="84"/>
      <c r="L618" s="84"/>
      <c r="M618" s="84"/>
      <c r="N618" s="84"/>
      <c r="O618" s="84"/>
      <c r="P618" s="85"/>
      <c r="Q618" s="75"/>
      <c r="R618" s="75"/>
      <c r="S618" s="75"/>
      <c r="T618" s="75"/>
      <c r="U618" s="89"/>
      <c r="V618" s="84"/>
      <c r="W618" s="84"/>
      <c r="X618" s="84"/>
      <c r="Y618" s="84"/>
      <c r="Z618" s="84"/>
    </row>
    <row r="619" spans="1:26" ht="13">
      <c r="A619" s="83"/>
      <c r="B619" s="83"/>
      <c r="C619" s="83"/>
      <c r="D619" s="84"/>
      <c r="E619" s="84"/>
      <c r="F619" s="84"/>
      <c r="G619" s="83"/>
      <c r="H619" s="84"/>
      <c r="I619" s="84"/>
      <c r="J619" s="84"/>
      <c r="K619" s="84"/>
      <c r="L619" s="84"/>
      <c r="M619" s="84"/>
      <c r="N619" s="84"/>
      <c r="O619" s="84"/>
      <c r="P619" s="85"/>
      <c r="Q619" s="75"/>
      <c r="R619" s="75"/>
      <c r="S619" s="75"/>
      <c r="T619" s="75"/>
      <c r="U619" s="89"/>
      <c r="V619" s="84"/>
      <c r="W619" s="84"/>
      <c r="X619" s="84"/>
      <c r="Y619" s="84"/>
      <c r="Z619" s="84"/>
    </row>
    <row r="620" spans="1:26" ht="13">
      <c r="A620" s="83"/>
      <c r="B620" s="83"/>
      <c r="C620" s="83"/>
      <c r="D620" s="84"/>
      <c r="E620" s="84"/>
      <c r="F620" s="84"/>
      <c r="G620" s="83"/>
      <c r="H620" s="84"/>
      <c r="I620" s="84"/>
      <c r="J620" s="84"/>
      <c r="K620" s="84"/>
      <c r="L620" s="84"/>
      <c r="M620" s="84"/>
      <c r="N620" s="84"/>
      <c r="O620" s="84"/>
      <c r="P620" s="85"/>
      <c r="Q620" s="75"/>
      <c r="R620" s="75"/>
      <c r="S620" s="75"/>
      <c r="T620" s="75"/>
      <c r="U620" s="89"/>
      <c r="V620" s="84"/>
      <c r="W620" s="84"/>
      <c r="X620" s="84"/>
      <c r="Y620" s="84"/>
      <c r="Z620" s="84"/>
    </row>
    <row r="621" spans="1:26" ht="13">
      <c r="A621" s="83"/>
      <c r="B621" s="83"/>
      <c r="C621" s="83"/>
      <c r="D621" s="84"/>
      <c r="E621" s="84"/>
      <c r="F621" s="84"/>
      <c r="G621" s="83"/>
      <c r="H621" s="84"/>
      <c r="I621" s="84"/>
      <c r="J621" s="84"/>
      <c r="K621" s="84"/>
      <c r="L621" s="84"/>
      <c r="M621" s="84"/>
      <c r="N621" s="84"/>
      <c r="O621" s="84"/>
      <c r="P621" s="85"/>
      <c r="Q621" s="75"/>
      <c r="R621" s="75"/>
      <c r="S621" s="75"/>
      <c r="T621" s="75"/>
      <c r="U621" s="89"/>
      <c r="V621" s="84"/>
      <c r="W621" s="84"/>
      <c r="X621" s="84"/>
      <c r="Y621" s="84"/>
      <c r="Z621" s="84"/>
    </row>
    <row r="622" spans="1:26" ht="13">
      <c r="A622" s="83"/>
      <c r="B622" s="83"/>
      <c r="C622" s="83"/>
      <c r="D622" s="84"/>
      <c r="E622" s="84"/>
      <c r="F622" s="84"/>
      <c r="G622" s="83"/>
      <c r="H622" s="84"/>
      <c r="I622" s="84"/>
      <c r="J622" s="84"/>
      <c r="K622" s="84"/>
      <c r="L622" s="84"/>
      <c r="M622" s="84"/>
      <c r="N622" s="84"/>
      <c r="O622" s="84"/>
      <c r="P622" s="85"/>
      <c r="Q622" s="75"/>
      <c r="R622" s="75"/>
      <c r="S622" s="75"/>
      <c r="T622" s="75"/>
      <c r="U622" s="89"/>
      <c r="V622" s="84"/>
      <c r="W622" s="84"/>
      <c r="X622" s="84"/>
      <c r="Y622" s="84"/>
      <c r="Z622" s="84"/>
    </row>
    <row r="623" spans="1:26" ht="13">
      <c r="A623" s="83"/>
      <c r="B623" s="83"/>
      <c r="C623" s="83"/>
      <c r="D623" s="84"/>
      <c r="E623" s="84"/>
      <c r="F623" s="84"/>
      <c r="G623" s="83"/>
      <c r="H623" s="84"/>
      <c r="I623" s="84"/>
      <c r="J623" s="84"/>
      <c r="K623" s="84"/>
      <c r="L623" s="84"/>
      <c r="M623" s="84"/>
      <c r="N623" s="84"/>
      <c r="O623" s="84"/>
      <c r="P623" s="85"/>
      <c r="Q623" s="75"/>
      <c r="R623" s="75"/>
      <c r="S623" s="75"/>
      <c r="T623" s="75"/>
      <c r="U623" s="89"/>
      <c r="V623" s="84"/>
      <c r="W623" s="84"/>
      <c r="X623" s="84"/>
      <c r="Y623" s="84"/>
      <c r="Z623" s="84"/>
    </row>
    <row r="624" spans="1:26" ht="13">
      <c r="A624" s="83"/>
      <c r="B624" s="83"/>
      <c r="C624" s="83"/>
      <c r="D624" s="84"/>
      <c r="E624" s="84"/>
      <c r="F624" s="84"/>
      <c r="G624" s="83"/>
      <c r="H624" s="84"/>
      <c r="I624" s="84"/>
      <c r="J624" s="84"/>
      <c r="K624" s="84"/>
      <c r="L624" s="84"/>
      <c r="M624" s="84"/>
      <c r="N624" s="84"/>
      <c r="O624" s="84"/>
      <c r="P624" s="85"/>
      <c r="Q624" s="75"/>
      <c r="R624" s="75"/>
      <c r="S624" s="75"/>
      <c r="T624" s="75"/>
      <c r="U624" s="89"/>
      <c r="V624" s="84"/>
      <c r="W624" s="84"/>
      <c r="X624" s="84"/>
      <c r="Y624" s="84"/>
      <c r="Z624" s="84"/>
    </row>
    <row r="625" spans="1:26" ht="13">
      <c r="A625" s="83"/>
      <c r="B625" s="83"/>
      <c r="C625" s="83"/>
      <c r="D625" s="84"/>
      <c r="E625" s="84"/>
      <c r="F625" s="84"/>
      <c r="G625" s="83"/>
      <c r="H625" s="84"/>
      <c r="I625" s="84"/>
      <c r="J625" s="84"/>
      <c r="K625" s="84"/>
      <c r="L625" s="84"/>
      <c r="M625" s="84"/>
      <c r="N625" s="84"/>
      <c r="O625" s="84"/>
      <c r="P625" s="85"/>
      <c r="Q625" s="75"/>
      <c r="R625" s="75"/>
      <c r="S625" s="75"/>
      <c r="T625" s="75"/>
      <c r="U625" s="89"/>
      <c r="V625" s="84"/>
      <c r="W625" s="84"/>
      <c r="X625" s="84"/>
      <c r="Y625" s="84"/>
      <c r="Z625" s="84"/>
    </row>
    <row r="626" spans="1:26" ht="13">
      <c r="A626" s="83"/>
      <c r="B626" s="83"/>
      <c r="C626" s="83"/>
      <c r="D626" s="84"/>
      <c r="E626" s="84"/>
      <c r="F626" s="84"/>
      <c r="G626" s="83"/>
      <c r="H626" s="84"/>
      <c r="I626" s="84"/>
      <c r="J626" s="84"/>
      <c r="K626" s="84"/>
      <c r="L626" s="84"/>
      <c r="M626" s="84"/>
      <c r="N626" s="84"/>
      <c r="O626" s="84"/>
      <c r="P626" s="85"/>
      <c r="Q626" s="75"/>
      <c r="R626" s="75"/>
      <c r="S626" s="75"/>
      <c r="T626" s="75"/>
      <c r="U626" s="89"/>
      <c r="V626" s="84"/>
      <c r="W626" s="84"/>
      <c r="X626" s="84"/>
      <c r="Y626" s="84"/>
      <c r="Z626" s="84"/>
    </row>
    <row r="627" spans="1:26" ht="13">
      <c r="A627" s="83"/>
      <c r="B627" s="83"/>
      <c r="C627" s="83"/>
      <c r="D627" s="84"/>
      <c r="E627" s="84"/>
      <c r="F627" s="84"/>
      <c r="G627" s="83"/>
      <c r="H627" s="84"/>
      <c r="I627" s="84"/>
      <c r="J627" s="84"/>
      <c r="K627" s="84"/>
      <c r="L627" s="84"/>
      <c r="M627" s="84"/>
      <c r="N627" s="84"/>
      <c r="O627" s="84"/>
      <c r="P627" s="85"/>
      <c r="Q627" s="75"/>
      <c r="R627" s="75"/>
      <c r="S627" s="75"/>
      <c r="T627" s="75"/>
      <c r="U627" s="89"/>
      <c r="V627" s="84"/>
      <c r="W627" s="84"/>
      <c r="X627" s="84"/>
      <c r="Y627" s="84"/>
      <c r="Z627" s="84"/>
    </row>
    <row r="628" spans="1:26" ht="13">
      <c r="A628" s="83"/>
      <c r="B628" s="83"/>
      <c r="C628" s="83"/>
      <c r="D628" s="84"/>
      <c r="E628" s="84"/>
      <c r="F628" s="84"/>
      <c r="G628" s="83"/>
      <c r="H628" s="84"/>
      <c r="I628" s="84"/>
      <c r="J628" s="84"/>
      <c r="K628" s="84"/>
      <c r="L628" s="84"/>
      <c r="M628" s="84"/>
      <c r="N628" s="84"/>
      <c r="O628" s="84"/>
      <c r="P628" s="85"/>
      <c r="Q628" s="75"/>
      <c r="R628" s="75"/>
      <c r="S628" s="75"/>
      <c r="T628" s="75"/>
      <c r="U628" s="89"/>
      <c r="V628" s="84"/>
      <c r="W628" s="84"/>
      <c r="X628" s="84"/>
      <c r="Y628" s="84"/>
      <c r="Z628" s="84"/>
    </row>
    <row r="629" spans="1:26" ht="13">
      <c r="A629" s="83"/>
      <c r="B629" s="83"/>
      <c r="C629" s="83"/>
      <c r="D629" s="84"/>
      <c r="E629" s="84"/>
      <c r="F629" s="84"/>
      <c r="G629" s="83"/>
      <c r="H629" s="84"/>
      <c r="I629" s="84"/>
      <c r="J629" s="84"/>
      <c r="K629" s="84"/>
      <c r="L629" s="84"/>
      <c r="M629" s="84"/>
      <c r="N629" s="84"/>
      <c r="O629" s="84"/>
      <c r="P629" s="85"/>
      <c r="Q629" s="75"/>
      <c r="R629" s="75"/>
      <c r="S629" s="75"/>
      <c r="T629" s="75"/>
      <c r="U629" s="89"/>
      <c r="V629" s="84"/>
      <c r="W629" s="84"/>
      <c r="X629" s="84"/>
      <c r="Y629" s="84"/>
      <c r="Z629" s="84"/>
    </row>
    <row r="630" spans="1:26" ht="13">
      <c r="A630" s="83"/>
      <c r="B630" s="83"/>
      <c r="C630" s="83"/>
      <c r="D630" s="84"/>
      <c r="E630" s="84"/>
      <c r="F630" s="84"/>
      <c r="G630" s="83"/>
      <c r="H630" s="84"/>
      <c r="I630" s="84"/>
      <c r="J630" s="84"/>
      <c r="K630" s="84"/>
      <c r="L630" s="84"/>
      <c r="M630" s="84"/>
      <c r="N630" s="84"/>
      <c r="O630" s="84"/>
      <c r="P630" s="85"/>
      <c r="Q630" s="75"/>
      <c r="R630" s="75"/>
      <c r="S630" s="75"/>
      <c r="T630" s="75"/>
      <c r="U630" s="89"/>
      <c r="V630" s="84"/>
      <c r="W630" s="84"/>
      <c r="X630" s="84"/>
      <c r="Y630" s="84"/>
      <c r="Z630" s="84"/>
    </row>
    <row r="631" spans="1:26" ht="13">
      <c r="A631" s="83"/>
      <c r="B631" s="83"/>
      <c r="C631" s="83"/>
      <c r="D631" s="84"/>
      <c r="E631" s="84"/>
      <c r="F631" s="84"/>
      <c r="G631" s="83"/>
      <c r="H631" s="84"/>
      <c r="I631" s="84"/>
      <c r="J631" s="84"/>
      <c r="K631" s="84"/>
      <c r="L631" s="84"/>
      <c r="M631" s="84"/>
      <c r="N631" s="84"/>
      <c r="O631" s="84"/>
      <c r="P631" s="85"/>
      <c r="Q631" s="75"/>
      <c r="R631" s="75"/>
      <c r="S631" s="75"/>
      <c r="T631" s="75"/>
      <c r="U631" s="89"/>
      <c r="V631" s="84"/>
      <c r="W631" s="84"/>
      <c r="X631" s="84"/>
      <c r="Y631" s="84"/>
      <c r="Z631" s="84"/>
    </row>
    <row r="632" spans="1:26" ht="13">
      <c r="A632" s="83"/>
      <c r="B632" s="83"/>
      <c r="C632" s="83"/>
      <c r="D632" s="84"/>
      <c r="E632" s="84"/>
      <c r="F632" s="84"/>
      <c r="G632" s="83"/>
      <c r="H632" s="84"/>
      <c r="I632" s="84"/>
      <c r="J632" s="84"/>
      <c r="K632" s="84"/>
      <c r="L632" s="84"/>
      <c r="M632" s="84"/>
      <c r="N632" s="84"/>
      <c r="O632" s="84"/>
      <c r="P632" s="85"/>
      <c r="Q632" s="75"/>
      <c r="R632" s="75"/>
      <c r="S632" s="75"/>
      <c r="T632" s="75"/>
      <c r="U632" s="89"/>
      <c r="V632" s="84"/>
      <c r="W632" s="84"/>
      <c r="X632" s="84"/>
      <c r="Y632" s="84"/>
      <c r="Z632" s="84"/>
    </row>
    <row r="633" spans="1:26" ht="13">
      <c r="A633" s="83"/>
      <c r="B633" s="83"/>
      <c r="C633" s="83"/>
      <c r="D633" s="84"/>
      <c r="E633" s="84"/>
      <c r="F633" s="84"/>
      <c r="G633" s="83"/>
      <c r="H633" s="84"/>
      <c r="I633" s="84"/>
      <c r="J633" s="84"/>
      <c r="K633" s="84"/>
      <c r="L633" s="84"/>
      <c r="M633" s="84"/>
      <c r="N633" s="84"/>
      <c r="O633" s="84"/>
      <c r="P633" s="85"/>
      <c r="Q633" s="75"/>
      <c r="R633" s="75"/>
      <c r="S633" s="75"/>
      <c r="T633" s="75"/>
      <c r="U633" s="89"/>
      <c r="V633" s="84"/>
      <c r="W633" s="84"/>
      <c r="X633" s="84"/>
      <c r="Y633" s="84"/>
      <c r="Z633" s="84"/>
    </row>
    <row r="634" spans="1:26" ht="13">
      <c r="A634" s="83"/>
      <c r="B634" s="83"/>
      <c r="C634" s="83"/>
      <c r="D634" s="84"/>
      <c r="E634" s="84"/>
      <c r="F634" s="84"/>
      <c r="G634" s="83"/>
      <c r="H634" s="84"/>
      <c r="I634" s="84"/>
      <c r="J634" s="84"/>
      <c r="K634" s="84"/>
      <c r="L634" s="84"/>
      <c r="M634" s="84"/>
      <c r="N634" s="84"/>
      <c r="O634" s="84"/>
      <c r="P634" s="85"/>
      <c r="Q634" s="75"/>
      <c r="R634" s="75"/>
      <c r="S634" s="75"/>
      <c r="T634" s="75"/>
      <c r="U634" s="89"/>
      <c r="V634" s="84"/>
      <c r="W634" s="84"/>
      <c r="X634" s="84"/>
      <c r="Y634" s="84"/>
      <c r="Z634" s="84"/>
    </row>
    <row r="635" spans="1:26" ht="13">
      <c r="A635" s="83"/>
      <c r="B635" s="83"/>
      <c r="C635" s="83"/>
      <c r="D635" s="84"/>
      <c r="E635" s="84"/>
      <c r="F635" s="84"/>
      <c r="G635" s="83"/>
      <c r="H635" s="84"/>
      <c r="I635" s="84"/>
      <c r="J635" s="84"/>
      <c r="K635" s="84"/>
      <c r="L635" s="84"/>
      <c r="M635" s="84"/>
      <c r="N635" s="84"/>
      <c r="O635" s="84"/>
      <c r="P635" s="85"/>
      <c r="Q635" s="75"/>
      <c r="R635" s="75"/>
      <c r="S635" s="75"/>
      <c r="T635" s="75"/>
      <c r="U635" s="89"/>
      <c r="V635" s="84"/>
      <c r="W635" s="84"/>
      <c r="X635" s="84"/>
      <c r="Y635" s="84"/>
      <c r="Z635" s="84"/>
    </row>
    <row r="636" spans="1:26" ht="13">
      <c r="A636" s="83"/>
      <c r="B636" s="83"/>
      <c r="C636" s="83"/>
      <c r="D636" s="84"/>
      <c r="E636" s="84"/>
      <c r="F636" s="84"/>
      <c r="G636" s="83"/>
      <c r="H636" s="84"/>
      <c r="I636" s="84"/>
      <c r="J636" s="84"/>
      <c r="K636" s="84"/>
      <c r="L636" s="84"/>
      <c r="M636" s="84"/>
      <c r="N636" s="84"/>
      <c r="O636" s="84"/>
      <c r="P636" s="85"/>
      <c r="Q636" s="75"/>
      <c r="R636" s="75"/>
      <c r="S636" s="75"/>
      <c r="T636" s="75"/>
      <c r="U636" s="89"/>
      <c r="V636" s="84"/>
      <c r="W636" s="84"/>
      <c r="X636" s="84"/>
      <c r="Y636" s="84"/>
      <c r="Z636" s="84"/>
    </row>
    <row r="637" spans="1:26" ht="13">
      <c r="A637" s="83"/>
      <c r="B637" s="83"/>
      <c r="C637" s="83"/>
      <c r="D637" s="84"/>
      <c r="E637" s="84"/>
      <c r="F637" s="84"/>
      <c r="G637" s="83"/>
      <c r="H637" s="84"/>
      <c r="I637" s="84"/>
      <c r="J637" s="84"/>
      <c r="K637" s="84"/>
      <c r="L637" s="84"/>
      <c r="M637" s="84"/>
      <c r="N637" s="84"/>
      <c r="O637" s="84"/>
      <c r="P637" s="85"/>
      <c r="Q637" s="75"/>
      <c r="R637" s="75"/>
      <c r="S637" s="75"/>
      <c r="T637" s="75"/>
      <c r="U637" s="89"/>
      <c r="V637" s="84"/>
      <c r="W637" s="84"/>
      <c r="X637" s="84"/>
      <c r="Y637" s="84"/>
      <c r="Z637" s="84"/>
    </row>
    <row r="638" spans="1:26" ht="13">
      <c r="A638" s="83"/>
      <c r="B638" s="83"/>
      <c r="C638" s="83"/>
      <c r="D638" s="84"/>
      <c r="E638" s="84"/>
      <c r="F638" s="84"/>
      <c r="G638" s="83"/>
      <c r="H638" s="84"/>
      <c r="I638" s="84"/>
      <c r="J638" s="84"/>
      <c r="K638" s="84"/>
      <c r="L638" s="84"/>
      <c r="M638" s="84"/>
      <c r="N638" s="84"/>
      <c r="O638" s="84"/>
      <c r="P638" s="85"/>
      <c r="Q638" s="75"/>
      <c r="R638" s="75"/>
      <c r="S638" s="75"/>
      <c r="T638" s="75"/>
      <c r="U638" s="89"/>
      <c r="V638" s="84"/>
      <c r="W638" s="84"/>
      <c r="X638" s="84"/>
      <c r="Y638" s="84"/>
      <c r="Z638" s="84"/>
    </row>
    <row r="639" spans="1:26" ht="13">
      <c r="A639" s="83"/>
      <c r="B639" s="83"/>
      <c r="C639" s="83"/>
      <c r="D639" s="84"/>
      <c r="E639" s="84"/>
      <c r="F639" s="84"/>
      <c r="G639" s="83"/>
      <c r="H639" s="84"/>
      <c r="I639" s="84"/>
      <c r="J639" s="84"/>
      <c r="K639" s="84"/>
      <c r="L639" s="84"/>
      <c r="M639" s="84"/>
      <c r="N639" s="84"/>
      <c r="O639" s="84"/>
      <c r="P639" s="85"/>
      <c r="Q639" s="75"/>
      <c r="R639" s="75"/>
      <c r="S639" s="75"/>
      <c r="T639" s="75"/>
      <c r="U639" s="89"/>
      <c r="V639" s="84"/>
      <c r="W639" s="84"/>
      <c r="X639" s="84"/>
      <c r="Y639" s="84"/>
      <c r="Z639" s="84"/>
    </row>
    <row r="640" spans="1:26" ht="13">
      <c r="A640" s="83"/>
      <c r="B640" s="83"/>
      <c r="C640" s="83"/>
      <c r="D640" s="84"/>
      <c r="E640" s="84"/>
      <c r="F640" s="84"/>
      <c r="G640" s="83"/>
      <c r="H640" s="84"/>
      <c r="I640" s="84"/>
      <c r="J640" s="84"/>
      <c r="K640" s="84"/>
      <c r="L640" s="84"/>
      <c r="M640" s="84"/>
      <c r="N640" s="84"/>
      <c r="O640" s="84"/>
      <c r="P640" s="85"/>
      <c r="Q640" s="75"/>
      <c r="R640" s="75"/>
      <c r="S640" s="75"/>
      <c r="T640" s="75"/>
      <c r="U640" s="89"/>
      <c r="V640" s="84"/>
      <c r="W640" s="84"/>
      <c r="X640" s="84"/>
      <c r="Y640" s="84"/>
      <c r="Z640" s="84"/>
    </row>
    <row r="641" spans="1:26" ht="13">
      <c r="A641" s="83"/>
      <c r="B641" s="83"/>
      <c r="C641" s="83"/>
      <c r="D641" s="84"/>
      <c r="E641" s="84"/>
      <c r="F641" s="84"/>
      <c r="G641" s="83"/>
      <c r="H641" s="84"/>
      <c r="I641" s="84"/>
      <c r="J641" s="84"/>
      <c r="K641" s="84"/>
      <c r="L641" s="84"/>
      <c r="M641" s="84"/>
      <c r="N641" s="84"/>
      <c r="O641" s="84"/>
      <c r="P641" s="85"/>
      <c r="Q641" s="75"/>
      <c r="R641" s="75"/>
      <c r="S641" s="75"/>
      <c r="T641" s="75"/>
      <c r="U641" s="89"/>
      <c r="V641" s="84"/>
      <c r="W641" s="84"/>
      <c r="X641" s="84"/>
      <c r="Y641" s="84"/>
      <c r="Z641" s="84"/>
    </row>
    <row r="642" spans="1:26" ht="13">
      <c r="A642" s="83"/>
      <c r="B642" s="83"/>
      <c r="C642" s="83"/>
      <c r="D642" s="84"/>
      <c r="E642" s="84"/>
      <c r="F642" s="84"/>
      <c r="G642" s="83"/>
      <c r="H642" s="84"/>
      <c r="I642" s="84"/>
      <c r="J642" s="84"/>
      <c r="K642" s="84"/>
      <c r="L642" s="84"/>
      <c r="M642" s="84"/>
      <c r="N642" s="84"/>
      <c r="O642" s="84"/>
      <c r="P642" s="85"/>
      <c r="Q642" s="75"/>
      <c r="R642" s="75"/>
      <c r="S642" s="75"/>
      <c r="T642" s="75"/>
      <c r="U642" s="89"/>
      <c r="V642" s="84"/>
      <c r="W642" s="84"/>
      <c r="X642" s="84"/>
      <c r="Y642" s="84"/>
      <c r="Z642" s="84"/>
    </row>
    <row r="643" spans="1:26" ht="13">
      <c r="A643" s="83"/>
      <c r="B643" s="83"/>
      <c r="C643" s="83"/>
      <c r="D643" s="84"/>
      <c r="E643" s="84"/>
      <c r="F643" s="84"/>
      <c r="G643" s="83"/>
      <c r="H643" s="84"/>
      <c r="I643" s="84"/>
      <c r="J643" s="84"/>
      <c r="K643" s="84"/>
      <c r="L643" s="84"/>
      <c r="M643" s="84"/>
      <c r="N643" s="84"/>
      <c r="O643" s="84"/>
      <c r="P643" s="85"/>
      <c r="Q643" s="75"/>
      <c r="R643" s="75"/>
      <c r="S643" s="75"/>
      <c r="T643" s="75"/>
      <c r="U643" s="89"/>
      <c r="V643" s="84"/>
      <c r="W643" s="84"/>
      <c r="X643" s="84"/>
      <c r="Y643" s="84"/>
      <c r="Z643" s="84"/>
    </row>
    <row r="644" spans="1:26" ht="13">
      <c r="A644" s="83"/>
      <c r="B644" s="83"/>
      <c r="C644" s="83"/>
      <c r="D644" s="84"/>
      <c r="E644" s="84"/>
      <c r="F644" s="84"/>
      <c r="G644" s="83"/>
      <c r="H644" s="84"/>
      <c r="I644" s="84"/>
      <c r="J644" s="84"/>
      <c r="K644" s="84"/>
      <c r="L644" s="84"/>
      <c r="M644" s="84"/>
      <c r="N644" s="84"/>
      <c r="O644" s="84"/>
      <c r="P644" s="85"/>
      <c r="Q644" s="75"/>
      <c r="R644" s="75"/>
      <c r="S644" s="75"/>
      <c r="T644" s="75"/>
      <c r="U644" s="89"/>
      <c r="V644" s="84"/>
      <c r="W644" s="84"/>
      <c r="X644" s="84"/>
      <c r="Y644" s="84"/>
      <c r="Z644" s="84"/>
    </row>
    <row r="645" spans="1:26" ht="13">
      <c r="A645" s="83"/>
      <c r="B645" s="83"/>
      <c r="C645" s="83"/>
      <c r="D645" s="84"/>
      <c r="E645" s="84"/>
      <c r="F645" s="84"/>
      <c r="G645" s="83"/>
      <c r="H645" s="84"/>
      <c r="I645" s="84"/>
      <c r="J645" s="84"/>
      <c r="K645" s="84"/>
      <c r="L645" s="84"/>
      <c r="M645" s="84"/>
      <c r="N645" s="84"/>
      <c r="O645" s="84"/>
      <c r="P645" s="85"/>
      <c r="Q645" s="75"/>
      <c r="R645" s="75"/>
      <c r="S645" s="75"/>
      <c r="T645" s="75"/>
      <c r="U645" s="89"/>
      <c r="V645" s="84"/>
      <c r="W645" s="84"/>
      <c r="X645" s="84"/>
      <c r="Y645" s="84"/>
      <c r="Z645" s="84"/>
    </row>
    <row r="646" spans="1:26" ht="13">
      <c r="A646" s="83"/>
      <c r="B646" s="83"/>
      <c r="C646" s="83"/>
      <c r="D646" s="84"/>
      <c r="E646" s="84"/>
      <c r="F646" s="84"/>
      <c r="G646" s="83"/>
      <c r="H646" s="84"/>
      <c r="I646" s="84"/>
      <c r="J646" s="84"/>
      <c r="K646" s="84"/>
      <c r="L646" s="84"/>
      <c r="M646" s="84"/>
      <c r="N646" s="84"/>
      <c r="O646" s="84"/>
      <c r="P646" s="85"/>
      <c r="Q646" s="75"/>
      <c r="R646" s="75"/>
      <c r="S646" s="75"/>
      <c r="T646" s="75"/>
      <c r="U646" s="89"/>
      <c r="V646" s="84"/>
      <c r="W646" s="84"/>
      <c r="X646" s="84"/>
      <c r="Y646" s="84"/>
      <c r="Z646" s="84"/>
    </row>
    <row r="647" spans="1:26" ht="13">
      <c r="A647" s="83"/>
      <c r="B647" s="83"/>
      <c r="C647" s="83"/>
      <c r="D647" s="84"/>
      <c r="E647" s="84"/>
      <c r="F647" s="84"/>
      <c r="G647" s="83"/>
      <c r="H647" s="84"/>
      <c r="I647" s="84"/>
      <c r="J647" s="84"/>
      <c r="K647" s="84"/>
      <c r="L647" s="84"/>
      <c r="M647" s="84"/>
      <c r="N647" s="84"/>
      <c r="O647" s="84"/>
      <c r="P647" s="85"/>
      <c r="Q647" s="75"/>
      <c r="R647" s="75"/>
      <c r="S647" s="75"/>
      <c r="T647" s="75"/>
      <c r="U647" s="89"/>
      <c r="V647" s="84"/>
      <c r="W647" s="84"/>
      <c r="X647" s="84"/>
      <c r="Y647" s="84"/>
      <c r="Z647" s="84"/>
    </row>
    <row r="648" spans="1:26" ht="13">
      <c r="A648" s="83"/>
      <c r="B648" s="83"/>
      <c r="C648" s="83"/>
      <c r="D648" s="84"/>
      <c r="E648" s="84"/>
      <c r="F648" s="84"/>
      <c r="G648" s="83"/>
      <c r="H648" s="84"/>
      <c r="I648" s="84"/>
      <c r="J648" s="84"/>
      <c r="K648" s="84"/>
      <c r="L648" s="84"/>
      <c r="M648" s="84"/>
      <c r="N648" s="84"/>
      <c r="O648" s="84"/>
      <c r="P648" s="85"/>
      <c r="Q648" s="75"/>
      <c r="R648" s="75"/>
      <c r="S648" s="75"/>
      <c r="T648" s="75"/>
      <c r="U648" s="89"/>
      <c r="V648" s="84"/>
      <c r="W648" s="84"/>
      <c r="X648" s="84"/>
      <c r="Y648" s="84"/>
      <c r="Z648" s="84"/>
    </row>
    <row r="649" spans="1:26" ht="13">
      <c r="A649" s="83"/>
      <c r="B649" s="83"/>
      <c r="C649" s="83"/>
      <c r="D649" s="84"/>
      <c r="E649" s="84"/>
      <c r="F649" s="84"/>
      <c r="G649" s="83"/>
      <c r="H649" s="84"/>
      <c r="I649" s="84"/>
      <c r="J649" s="84"/>
      <c r="K649" s="84"/>
      <c r="L649" s="84"/>
      <c r="M649" s="84"/>
      <c r="N649" s="84"/>
      <c r="O649" s="84"/>
      <c r="P649" s="85"/>
      <c r="Q649" s="75"/>
      <c r="R649" s="75"/>
      <c r="S649" s="75"/>
      <c r="T649" s="75"/>
      <c r="U649" s="89"/>
      <c r="V649" s="84"/>
      <c r="W649" s="84"/>
      <c r="X649" s="84"/>
      <c r="Y649" s="84"/>
      <c r="Z649" s="84"/>
    </row>
    <row r="650" spans="1:26" ht="13">
      <c r="A650" s="83"/>
      <c r="B650" s="83"/>
      <c r="C650" s="83"/>
      <c r="D650" s="84"/>
      <c r="E650" s="84"/>
      <c r="F650" s="84"/>
      <c r="G650" s="83"/>
      <c r="H650" s="84"/>
      <c r="I650" s="84"/>
      <c r="J650" s="84"/>
      <c r="K650" s="84"/>
      <c r="L650" s="84"/>
      <c r="M650" s="84"/>
      <c r="N650" s="84"/>
      <c r="O650" s="84"/>
      <c r="P650" s="85"/>
      <c r="Q650" s="75"/>
      <c r="R650" s="75"/>
      <c r="S650" s="75"/>
      <c r="T650" s="75"/>
      <c r="U650" s="89"/>
      <c r="V650" s="84"/>
      <c r="W650" s="84"/>
      <c r="X650" s="84"/>
      <c r="Y650" s="84"/>
      <c r="Z650" s="84"/>
    </row>
    <row r="651" spans="1:26" ht="13">
      <c r="A651" s="83"/>
      <c r="B651" s="83"/>
      <c r="C651" s="83"/>
      <c r="D651" s="84"/>
      <c r="E651" s="84"/>
      <c r="F651" s="84"/>
      <c r="G651" s="83"/>
      <c r="H651" s="84"/>
      <c r="I651" s="84"/>
      <c r="J651" s="84"/>
      <c r="K651" s="84"/>
      <c r="L651" s="84"/>
      <c r="M651" s="84"/>
      <c r="N651" s="84"/>
      <c r="O651" s="84"/>
      <c r="P651" s="85"/>
      <c r="Q651" s="75"/>
      <c r="R651" s="75"/>
      <c r="S651" s="75"/>
      <c r="T651" s="75"/>
      <c r="U651" s="89"/>
      <c r="V651" s="84"/>
      <c r="W651" s="84"/>
      <c r="X651" s="84"/>
      <c r="Y651" s="84"/>
      <c r="Z651" s="84"/>
    </row>
    <row r="652" spans="1:26" ht="13">
      <c r="A652" s="83"/>
      <c r="B652" s="83"/>
      <c r="C652" s="83"/>
      <c r="D652" s="84"/>
      <c r="E652" s="84"/>
      <c r="F652" s="84"/>
      <c r="G652" s="83"/>
      <c r="H652" s="84"/>
      <c r="I652" s="84"/>
      <c r="J652" s="84"/>
      <c r="K652" s="84"/>
      <c r="L652" s="84"/>
      <c r="M652" s="84"/>
      <c r="N652" s="84"/>
      <c r="O652" s="84"/>
      <c r="P652" s="85"/>
      <c r="Q652" s="75"/>
      <c r="R652" s="75"/>
      <c r="S652" s="75"/>
      <c r="T652" s="75"/>
      <c r="U652" s="89"/>
      <c r="V652" s="84"/>
      <c r="W652" s="84"/>
      <c r="X652" s="84"/>
      <c r="Y652" s="84"/>
      <c r="Z652" s="84"/>
    </row>
    <row r="653" spans="1:26" ht="13">
      <c r="A653" s="83"/>
      <c r="B653" s="83"/>
      <c r="C653" s="83"/>
      <c r="D653" s="84"/>
      <c r="E653" s="84"/>
      <c r="F653" s="84"/>
      <c r="G653" s="83"/>
      <c r="H653" s="84"/>
      <c r="I653" s="84"/>
      <c r="J653" s="84"/>
      <c r="K653" s="84"/>
      <c r="L653" s="84"/>
      <c r="M653" s="84"/>
      <c r="N653" s="84"/>
      <c r="O653" s="84"/>
      <c r="P653" s="85"/>
      <c r="Q653" s="75"/>
      <c r="R653" s="75"/>
      <c r="S653" s="75"/>
      <c r="T653" s="75"/>
      <c r="U653" s="89"/>
      <c r="V653" s="84"/>
      <c r="W653" s="84"/>
      <c r="X653" s="84"/>
      <c r="Y653" s="84"/>
      <c r="Z653" s="84"/>
    </row>
    <row r="654" spans="1:26" ht="13">
      <c r="A654" s="83"/>
      <c r="B654" s="83"/>
      <c r="C654" s="83"/>
      <c r="D654" s="84"/>
      <c r="E654" s="84"/>
      <c r="F654" s="84"/>
      <c r="G654" s="83"/>
      <c r="H654" s="84"/>
      <c r="I654" s="84"/>
      <c r="J654" s="84"/>
      <c r="K654" s="84"/>
      <c r="L654" s="84"/>
      <c r="M654" s="84"/>
      <c r="N654" s="84"/>
      <c r="O654" s="84"/>
      <c r="P654" s="85"/>
      <c r="Q654" s="75"/>
      <c r="R654" s="75"/>
      <c r="S654" s="75"/>
      <c r="T654" s="75"/>
      <c r="U654" s="89"/>
      <c r="V654" s="84"/>
      <c r="W654" s="84"/>
      <c r="X654" s="84"/>
      <c r="Y654" s="84"/>
      <c r="Z654" s="84"/>
    </row>
    <row r="655" spans="1:26" ht="13">
      <c r="A655" s="83"/>
      <c r="B655" s="83"/>
      <c r="C655" s="83"/>
      <c r="D655" s="84"/>
      <c r="E655" s="84"/>
      <c r="F655" s="84"/>
      <c r="G655" s="83"/>
      <c r="H655" s="84"/>
      <c r="I655" s="84"/>
      <c r="J655" s="84"/>
      <c r="K655" s="84"/>
      <c r="L655" s="84"/>
      <c r="M655" s="84"/>
      <c r="N655" s="84"/>
      <c r="O655" s="84"/>
      <c r="P655" s="85"/>
      <c r="Q655" s="75"/>
      <c r="R655" s="75"/>
      <c r="S655" s="75"/>
      <c r="T655" s="75"/>
      <c r="U655" s="89"/>
      <c r="V655" s="84"/>
      <c r="W655" s="84"/>
      <c r="X655" s="84"/>
      <c r="Y655" s="84"/>
      <c r="Z655" s="84"/>
    </row>
    <row r="656" spans="1:26" ht="13">
      <c r="A656" s="83"/>
      <c r="B656" s="83"/>
      <c r="C656" s="83"/>
      <c r="D656" s="84"/>
      <c r="E656" s="84"/>
      <c r="F656" s="84"/>
      <c r="G656" s="83"/>
      <c r="H656" s="84"/>
      <c r="I656" s="84"/>
      <c r="J656" s="84"/>
      <c r="K656" s="84"/>
      <c r="L656" s="84"/>
      <c r="M656" s="84"/>
      <c r="N656" s="84"/>
      <c r="O656" s="84"/>
      <c r="P656" s="85"/>
      <c r="Q656" s="75"/>
      <c r="R656" s="75"/>
      <c r="S656" s="75"/>
      <c r="T656" s="75"/>
      <c r="U656" s="89"/>
      <c r="V656" s="84"/>
      <c r="W656" s="84"/>
      <c r="X656" s="84"/>
      <c r="Y656" s="84"/>
      <c r="Z656" s="84"/>
    </row>
    <row r="657" spans="1:26" ht="13">
      <c r="A657" s="83"/>
      <c r="B657" s="83"/>
      <c r="C657" s="83"/>
      <c r="D657" s="84"/>
      <c r="E657" s="84"/>
      <c r="F657" s="84"/>
      <c r="G657" s="83"/>
      <c r="H657" s="84"/>
      <c r="I657" s="84"/>
      <c r="J657" s="84"/>
      <c r="K657" s="84"/>
      <c r="L657" s="84"/>
      <c r="M657" s="84"/>
      <c r="N657" s="84"/>
      <c r="O657" s="84"/>
      <c r="P657" s="85"/>
      <c r="Q657" s="75"/>
      <c r="R657" s="75"/>
      <c r="S657" s="75"/>
      <c r="T657" s="75"/>
      <c r="U657" s="89"/>
      <c r="V657" s="84"/>
      <c r="W657" s="84"/>
      <c r="X657" s="84"/>
      <c r="Y657" s="84"/>
      <c r="Z657" s="84"/>
    </row>
    <row r="658" spans="1:26" ht="13">
      <c r="A658" s="83"/>
      <c r="B658" s="83"/>
      <c r="C658" s="83"/>
      <c r="D658" s="84"/>
      <c r="E658" s="84"/>
      <c r="F658" s="84"/>
      <c r="G658" s="83"/>
      <c r="H658" s="84"/>
      <c r="I658" s="84"/>
      <c r="J658" s="84"/>
      <c r="K658" s="84"/>
      <c r="L658" s="84"/>
      <c r="M658" s="84"/>
      <c r="N658" s="84"/>
      <c r="O658" s="84"/>
      <c r="P658" s="85"/>
      <c r="Q658" s="75"/>
      <c r="R658" s="75"/>
      <c r="S658" s="75"/>
      <c r="T658" s="75"/>
      <c r="U658" s="89"/>
      <c r="V658" s="84"/>
      <c r="W658" s="84"/>
      <c r="X658" s="84"/>
      <c r="Y658" s="84"/>
      <c r="Z658" s="84"/>
    </row>
    <row r="659" spans="1:26" ht="13">
      <c r="A659" s="83"/>
      <c r="B659" s="83"/>
      <c r="C659" s="83"/>
      <c r="D659" s="84"/>
      <c r="E659" s="84"/>
      <c r="F659" s="84"/>
      <c r="G659" s="83"/>
      <c r="H659" s="84"/>
      <c r="I659" s="84"/>
      <c r="J659" s="84"/>
      <c r="K659" s="84"/>
      <c r="L659" s="84"/>
      <c r="M659" s="84"/>
      <c r="N659" s="84"/>
      <c r="O659" s="84"/>
      <c r="P659" s="85"/>
      <c r="Q659" s="75"/>
      <c r="R659" s="75"/>
      <c r="S659" s="75"/>
      <c r="T659" s="75"/>
      <c r="U659" s="89"/>
      <c r="V659" s="84"/>
      <c r="W659" s="84"/>
      <c r="X659" s="84"/>
      <c r="Y659" s="84"/>
      <c r="Z659" s="84"/>
    </row>
    <row r="660" spans="1:26" ht="13">
      <c r="A660" s="83"/>
      <c r="B660" s="83"/>
      <c r="C660" s="83"/>
      <c r="D660" s="84"/>
      <c r="E660" s="84"/>
      <c r="F660" s="84"/>
      <c r="G660" s="83"/>
      <c r="H660" s="84"/>
      <c r="I660" s="84"/>
      <c r="J660" s="84"/>
      <c r="K660" s="84"/>
      <c r="L660" s="84"/>
      <c r="M660" s="84"/>
      <c r="N660" s="84"/>
      <c r="O660" s="84"/>
      <c r="P660" s="85"/>
      <c r="Q660" s="75"/>
      <c r="R660" s="75"/>
      <c r="S660" s="75"/>
      <c r="T660" s="75"/>
      <c r="U660" s="89"/>
      <c r="V660" s="84"/>
      <c r="W660" s="84"/>
      <c r="X660" s="84"/>
      <c r="Y660" s="84"/>
      <c r="Z660" s="84"/>
    </row>
    <row r="661" spans="1:26" ht="13">
      <c r="A661" s="83"/>
      <c r="B661" s="83"/>
      <c r="C661" s="83"/>
      <c r="D661" s="84"/>
      <c r="E661" s="84"/>
      <c r="F661" s="84"/>
      <c r="G661" s="83"/>
      <c r="H661" s="84"/>
      <c r="I661" s="84"/>
      <c r="J661" s="84"/>
      <c r="K661" s="84"/>
      <c r="L661" s="84"/>
      <c r="M661" s="84"/>
      <c r="N661" s="84"/>
      <c r="O661" s="84"/>
      <c r="P661" s="85"/>
      <c r="Q661" s="75"/>
      <c r="R661" s="75"/>
      <c r="S661" s="75"/>
      <c r="T661" s="75"/>
      <c r="U661" s="89"/>
      <c r="V661" s="84"/>
      <c r="W661" s="84"/>
      <c r="X661" s="84"/>
      <c r="Y661" s="84"/>
      <c r="Z661" s="84"/>
    </row>
    <row r="662" spans="1:26" ht="13">
      <c r="A662" s="83"/>
      <c r="B662" s="83"/>
      <c r="C662" s="83"/>
      <c r="D662" s="84"/>
      <c r="E662" s="84"/>
      <c r="F662" s="84"/>
      <c r="G662" s="83"/>
      <c r="H662" s="84"/>
      <c r="I662" s="84"/>
      <c r="J662" s="84"/>
      <c r="K662" s="84"/>
      <c r="L662" s="84"/>
      <c r="M662" s="84"/>
      <c r="N662" s="84"/>
      <c r="O662" s="84"/>
      <c r="P662" s="85"/>
      <c r="Q662" s="75"/>
      <c r="R662" s="75"/>
      <c r="S662" s="75"/>
      <c r="T662" s="75"/>
      <c r="U662" s="89"/>
      <c r="V662" s="84"/>
      <c r="W662" s="84"/>
      <c r="X662" s="84"/>
      <c r="Y662" s="84"/>
      <c r="Z662" s="84"/>
    </row>
    <row r="663" spans="1:26" ht="13">
      <c r="A663" s="83"/>
      <c r="B663" s="83"/>
      <c r="C663" s="83"/>
      <c r="D663" s="84"/>
      <c r="E663" s="84"/>
      <c r="F663" s="84"/>
      <c r="G663" s="83"/>
      <c r="H663" s="84"/>
      <c r="I663" s="84"/>
      <c r="J663" s="84"/>
      <c r="K663" s="84"/>
      <c r="L663" s="84"/>
      <c r="M663" s="84"/>
      <c r="N663" s="84"/>
      <c r="O663" s="84"/>
      <c r="P663" s="85"/>
      <c r="Q663" s="75"/>
      <c r="R663" s="75"/>
      <c r="S663" s="75"/>
      <c r="T663" s="75"/>
      <c r="U663" s="89"/>
      <c r="V663" s="84"/>
      <c r="W663" s="84"/>
      <c r="X663" s="84"/>
      <c r="Y663" s="84"/>
      <c r="Z663" s="84"/>
    </row>
    <row r="664" spans="1:26" ht="13">
      <c r="A664" s="83"/>
      <c r="B664" s="83"/>
      <c r="C664" s="83"/>
      <c r="D664" s="84"/>
      <c r="E664" s="84"/>
      <c r="F664" s="84"/>
      <c r="G664" s="83"/>
      <c r="H664" s="84"/>
      <c r="I664" s="84"/>
      <c r="J664" s="84"/>
      <c r="K664" s="84"/>
      <c r="L664" s="84"/>
      <c r="M664" s="84"/>
      <c r="N664" s="84"/>
      <c r="O664" s="84"/>
      <c r="P664" s="85"/>
      <c r="Q664" s="75"/>
      <c r="R664" s="75"/>
      <c r="S664" s="75"/>
      <c r="T664" s="75"/>
      <c r="U664" s="89"/>
      <c r="V664" s="84"/>
      <c r="W664" s="84"/>
      <c r="X664" s="84"/>
      <c r="Y664" s="84"/>
      <c r="Z664" s="84"/>
    </row>
    <row r="665" spans="1:26" ht="13">
      <c r="A665" s="83"/>
      <c r="B665" s="83"/>
      <c r="C665" s="83"/>
      <c r="D665" s="84"/>
      <c r="E665" s="84"/>
      <c r="F665" s="84"/>
      <c r="G665" s="83"/>
      <c r="H665" s="84"/>
      <c r="I665" s="84"/>
      <c r="J665" s="84"/>
      <c r="K665" s="84"/>
      <c r="L665" s="84"/>
      <c r="M665" s="84"/>
      <c r="N665" s="84"/>
      <c r="O665" s="84"/>
      <c r="P665" s="85"/>
      <c r="Q665" s="75"/>
      <c r="R665" s="75"/>
      <c r="S665" s="75"/>
      <c r="T665" s="75"/>
      <c r="U665" s="89"/>
      <c r="V665" s="84"/>
      <c r="W665" s="84"/>
      <c r="X665" s="84"/>
      <c r="Y665" s="84"/>
      <c r="Z665" s="84"/>
    </row>
    <row r="666" spans="1:26" ht="13">
      <c r="A666" s="83"/>
      <c r="B666" s="83"/>
      <c r="C666" s="83"/>
      <c r="D666" s="84"/>
      <c r="E666" s="84"/>
      <c r="F666" s="84"/>
      <c r="G666" s="83"/>
      <c r="H666" s="84"/>
      <c r="I666" s="84"/>
      <c r="J666" s="84"/>
      <c r="K666" s="84"/>
      <c r="L666" s="84"/>
      <c r="M666" s="84"/>
      <c r="N666" s="84"/>
      <c r="O666" s="84"/>
      <c r="P666" s="85"/>
      <c r="Q666" s="75"/>
      <c r="R666" s="75"/>
      <c r="S666" s="75"/>
      <c r="T666" s="75"/>
      <c r="U666" s="89"/>
      <c r="V666" s="84"/>
      <c r="W666" s="84"/>
      <c r="X666" s="84"/>
      <c r="Y666" s="84"/>
      <c r="Z666" s="84"/>
    </row>
    <row r="667" spans="1:26" ht="13">
      <c r="A667" s="83"/>
      <c r="B667" s="83"/>
      <c r="C667" s="83"/>
      <c r="D667" s="84"/>
      <c r="E667" s="84"/>
      <c r="F667" s="84"/>
      <c r="G667" s="83"/>
      <c r="H667" s="84"/>
      <c r="I667" s="84"/>
      <c r="J667" s="84"/>
      <c r="K667" s="84"/>
      <c r="L667" s="84"/>
      <c r="M667" s="84"/>
      <c r="N667" s="84"/>
      <c r="O667" s="84"/>
      <c r="P667" s="85"/>
      <c r="Q667" s="75"/>
      <c r="R667" s="75"/>
      <c r="S667" s="75"/>
      <c r="T667" s="75"/>
      <c r="U667" s="89"/>
      <c r="V667" s="84"/>
      <c r="W667" s="84"/>
      <c r="X667" s="84"/>
      <c r="Y667" s="84"/>
      <c r="Z667" s="84"/>
    </row>
    <row r="668" spans="1:26" ht="13">
      <c r="A668" s="83"/>
      <c r="B668" s="83"/>
      <c r="C668" s="83"/>
      <c r="D668" s="84"/>
      <c r="E668" s="84"/>
      <c r="F668" s="84"/>
      <c r="G668" s="83"/>
      <c r="H668" s="84"/>
      <c r="I668" s="84"/>
      <c r="J668" s="84"/>
      <c r="K668" s="84"/>
      <c r="L668" s="84"/>
      <c r="M668" s="84"/>
      <c r="N668" s="84"/>
      <c r="O668" s="84"/>
      <c r="P668" s="85"/>
      <c r="Q668" s="75"/>
      <c r="R668" s="75"/>
      <c r="S668" s="75"/>
      <c r="T668" s="75"/>
      <c r="U668" s="89"/>
      <c r="V668" s="84"/>
      <c r="W668" s="84"/>
      <c r="X668" s="84"/>
      <c r="Y668" s="84"/>
      <c r="Z668" s="84"/>
    </row>
    <row r="669" spans="1:26" ht="13">
      <c r="A669" s="83"/>
      <c r="B669" s="83"/>
      <c r="C669" s="83"/>
      <c r="D669" s="84"/>
      <c r="E669" s="84"/>
      <c r="F669" s="84"/>
      <c r="G669" s="83"/>
      <c r="H669" s="84"/>
      <c r="I669" s="84"/>
      <c r="J669" s="84"/>
      <c r="K669" s="84"/>
      <c r="L669" s="84"/>
      <c r="M669" s="84"/>
      <c r="N669" s="84"/>
      <c r="O669" s="84"/>
      <c r="P669" s="85"/>
      <c r="Q669" s="75"/>
      <c r="R669" s="75"/>
      <c r="S669" s="75"/>
      <c r="T669" s="75"/>
      <c r="U669" s="89"/>
      <c r="V669" s="84"/>
      <c r="W669" s="84"/>
      <c r="X669" s="84"/>
      <c r="Y669" s="84"/>
      <c r="Z669" s="84"/>
    </row>
    <row r="670" spans="1:26" ht="13">
      <c r="A670" s="83"/>
      <c r="B670" s="83"/>
      <c r="C670" s="83"/>
      <c r="D670" s="84"/>
      <c r="E670" s="84"/>
      <c r="F670" s="84"/>
      <c r="G670" s="83"/>
      <c r="H670" s="84"/>
      <c r="I670" s="84"/>
      <c r="J670" s="84"/>
      <c r="K670" s="84"/>
      <c r="L670" s="84"/>
      <c r="M670" s="84"/>
      <c r="N670" s="84"/>
      <c r="O670" s="84"/>
      <c r="P670" s="85"/>
      <c r="Q670" s="75"/>
      <c r="R670" s="75"/>
      <c r="S670" s="75"/>
      <c r="T670" s="75"/>
      <c r="U670" s="89"/>
      <c r="V670" s="84"/>
      <c r="W670" s="84"/>
      <c r="X670" s="84"/>
      <c r="Y670" s="84"/>
      <c r="Z670" s="84"/>
    </row>
    <row r="671" spans="1:26" ht="13">
      <c r="A671" s="83"/>
      <c r="B671" s="83"/>
      <c r="C671" s="83"/>
      <c r="D671" s="84"/>
      <c r="E671" s="84"/>
      <c r="F671" s="84"/>
      <c r="G671" s="83"/>
      <c r="H671" s="84"/>
      <c r="I671" s="84"/>
      <c r="J671" s="84"/>
      <c r="K671" s="84"/>
      <c r="L671" s="84"/>
      <c r="M671" s="84"/>
      <c r="N671" s="84"/>
      <c r="O671" s="84"/>
      <c r="P671" s="85"/>
      <c r="Q671" s="75"/>
      <c r="R671" s="75"/>
      <c r="S671" s="75"/>
      <c r="T671" s="75"/>
      <c r="U671" s="89"/>
      <c r="V671" s="84"/>
      <c r="W671" s="84"/>
      <c r="X671" s="84"/>
      <c r="Y671" s="84"/>
      <c r="Z671" s="84"/>
    </row>
    <row r="672" spans="1:26" ht="13">
      <c r="A672" s="83"/>
      <c r="B672" s="83"/>
      <c r="C672" s="83"/>
      <c r="D672" s="84"/>
      <c r="E672" s="84"/>
      <c r="F672" s="84"/>
      <c r="G672" s="83"/>
      <c r="H672" s="84"/>
      <c r="I672" s="84"/>
      <c r="J672" s="84"/>
      <c r="K672" s="84"/>
      <c r="L672" s="84"/>
      <c r="M672" s="84"/>
      <c r="N672" s="84"/>
      <c r="O672" s="84"/>
      <c r="P672" s="85"/>
      <c r="Q672" s="75"/>
      <c r="R672" s="75"/>
      <c r="S672" s="75"/>
      <c r="T672" s="75"/>
      <c r="U672" s="89"/>
      <c r="V672" s="84"/>
      <c r="W672" s="84"/>
      <c r="X672" s="84"/>
      <c r="Y672" s="84"/>
      <c r="Z672" s="84"/>
    </row>
    <row r="673" spans="1:26" ht="13">
      <c r="A673" s="83"/>
      <c r="B673" s="83"/>
      <c r="C673" s="83"/>
      <c r="D673" s="84"/>
      <c r="E673" s="84"/>
      <c r="F673" s="84"/>
      <c r="G673" s="83"/>
      <c r="H673" s="84"/>
      <c r="I673" s="84"/>
      <c r="J673" s="84"/>
      <c r="K673" s="84"/>
      <c r="L673" s="84"/>
      <c r="M673" s="84"/>
      <c r="N673" s="84"/>
      <c r="O673" s="84"/>
      <c r="P673" s="85"/>
      <c r="Q673" s="75"/>
      <c r="R673" s="75"/>
      <c r="S673" s="75"/>
      <c r="T673" s="75"/>
      <c r="U673" s="89"/>
      <c r="V673" s="84"/>
      <c r="W673" s="84"/>
      <c r="X673" s="84"/>
      <c r="Y673" s="84"/>
      <c r="Z673" s="84"/>
    </row>
    <row r="674" spans="1:26" ht="13">
      <c r="A674" s="83"/>
      <c r="B674" s="83"/>
      <c r="C674" s="83"/>
      <c r="D674" s="84"/>
      <c r="E674" s="84"/>
      <c r="F674" s="84"/>
      <c r="G674" s="83"/>
      <c r="H674" s="84"/>
      <c r="I674" s="84"/>
      <c r="J674" s="84"/>
      <c r="K674" s="84"/>
      <c r="L674" s="84"/>
      <c r="M674" s="84"/>
      <c r="N674" s="84"/>
      <c r="O674" s="84"/>
      <c r="P674" s="85"/>
      <c r="Q674" s="75"/>
      <c r="R674" s="75"/>
      <c r="S674" s="75"/>
      <c r="T674" s="75"/>
      <c r="U674" s="89"/>
      <c r="V674" s="84"/>
      <c r="W674" s="84"/>
      <c r="X674" s="84"/>
      <c r="Y674" s="84"/>
      <c r="Z674" s="84"/>
    </row>
    <row r="675" spans="1:26" ht="13">
      <c r="A675" s="83"/>
      <c r="B675" s="83"/>
      <c r="C675" s="83"/>
      <c r="D675" s="84"/>
      <c r="E675" s="84"/>
      <c r="F675" s="84"/>
      <c r="G675" s="83"/>
      <c r="H675" s="84"/>
      <c r="I675" s="84"/>
      <c r="J675" s="84"/>
      <c r="K675" s="84"/>
      <c r="L675" s="84"/>
      <c r="M675" s="84"/>
      <c r="N675" s="84"/>
      <c r="O675" s="84"/>
      <c r="P675" s="85"/>
      <c r="Q675" s="75"/>
      <c r="R675" s="75"/>
      <c r="S675" s="75"/>
      <c r="T675" s="75"/>
      <c r="U675" s="89"/>
      <c r="V675" s="84"/>
      <c r="W675" s="84"/>
      <c r="X675" s="84"/>
      <c r="Y675" s="84"/>
      <c r="Z675" s="84"/>
    </row>
    <row r="676" spans="1:26" ht="13">
      <c r="A676" s="83"/>
      <c r="B676" s="83"/>
      <c r="C676" s="83"/>
      <c r="D676" s="84"/>
      <c r="E676" s="84"/>
      <c r="F676" s="84"/>
      <c r="G676" s="83"/>
      <c r="H676" s="84"/>
      <c r="I676" s="84"/>
      <c r="J676" s="84"/>
      <c r="K676" s="84"/>
      <c r="L676" s="84"/>
      <c r="M676" s="84"/>
      <c r="N676" s="84"/>
      <c r="O676" s="84"/>
      <c r="P676" s="85"/>
      <c r="Q676" s="75"/>
      <c r="R676" s="75"/>
      <c r="S676" s="75"/>
      <c r="T676" s="75"/>
      <c r="U676" s="89"/>
      <c r="V676" s="84"/>
      <c r="W676" s="84"/>
      <c r="X676" s="84"/>
      <c r="Y676" s="84"/>
      <c r="Z676" s="84"/>
    </row>
    <row r="677" spans="1:26" ht="13">
      <c r="A677" s="83"/>
      <c r="B677" s="83"/>
      <c r="C677" s="83"/>
      <c r="D677" s="84"/>
      <c r="E677" s="84"/>
      <c r="F677" s="84"/>
      <c r="G677" s="83"/>
      <c r="H677" s="84"/>
      <c r="I677" s="84"/>
      <c r="J677" s="84"/>
      <c r="K677" s="84"/>
      <c r="L677" s="84"/>
      <c r="M677" s="84"/>
      <c r="N677" s="84"/>
      <c r="O677" s="84"/>
      <c r="P677" s="85"/>
      <c r="Q677" s="75"/>
      <c r="R677" s="75"/>
      <c r="S677" s="75"/>
      <c r="T677" s="75"/>
      <c r="U677" s="89"/>
      <c r="V677" s="84"/>
      <c r="W677" s="84"/>
      <c r="X677" s="84"/>
      <c r="Y677" s="84"/>
      <c r="Z677" s="84"/>
    </row>
    <row r="678" spans="1:26" ht="13">
      <c r="A678" s="83"/>
      <c r="B678" s="83"/>
      <c r="C678" s="83"/>
      <c r="D678" s="84"/>
      <c r="E678" s="84"/>
      <c r="F678" s="84"/>
      <c r="G678" s="83"/>
      <c r="H678" s="84"/>
      <c r="I678" s="84"/>
      <c r="J678" s="84"/>
      <c r="K678" s="84"/>
      <c r="L678" s="84"/>
      <c r="M678" s="84"/>
      <c r="N678" s="84"/>
      <c r="O678" s="84"/>
      <c r="P678" s="85"/>
      <c r="Q678" s="75"/>
      <c r="R678" s="75"/>
      <c r="S678" s="75"/>
      <c r="T678" s="75"/>
      <c r="U678" s="89"/>
      <c r="V678" s="84"/>
      <c r="W678" s="84"/>
      <c r="X678" s="84"/>
      <c r="Y678" s="84"/>
      <c r="Z678" s="84"/>
    </row>
    <row r="679" spans="1:26" ht="13">
      <c r="A679" s="83"/>
      <c r="B679" s="83"/>
      <c r="C679" s="83"/>
      <c r="D679" s="84"/>
      <c r="E679" s="84"/>
      <c r="F679" s="84"/>
      <c r="G679" s="83"/>
      <c r="H679" s="84"/>
      <c r="I679" s="84"/>
      <c r="J679" s="84"/>
      <c r="K679" s="84"/>
      <c r="L679" s="84"/>
      <c r="M679" s="84"/>
      <c r="N679" s="84"/>
      <c r="O679" s="84"/>
      <c r="P679" s="85"/>
      <c r="Q679" s="75"/>
      <c r="R679" s="75"/>
      <c r="S679" s="75"/>
      <c r="T679" s="75"/>
      <c r="U679" s="89"/>
      <c r="V679" s="84"/>
      <c r="W679" s="84"/>
      <c r="X679" s="84"/>
      <c r="Y679" s="84"/>
      <c r="Z679" s="84"/>
    </row>
    <row r="680" spans="1:26" ht="13">
      <c r="A680" s="83"/>
      <c r="B680" s="83"/>
      <c r="C680" s="83"/>
      <c r="D680" s="84"/>
      <c r="E680" s="84"/>
      <c r="F680" s="84"/>
      <c r="G680" s="83"/>
      <c r="H680" s="84"/>
      <c r="I680" s="84"/>
      <c r="J680" s="84"/>
      <c r="K680" s="84"/>
      <c r="L680" s="84"/>
      <c r="M680" s="84"/>
      <c r="N680" s="84"/>
      <c r="O680" s="84"/>
      <c r="P680" s="85"/>
      <c r="Q680" s="75"/>
      <c r="R680" s="75"/>
      <c r="S680" s="75"/>
      <c r="T680" s="75"/>
      <c r="U680" s="89"/>
      <c r="V680" s="84"/>
      <c r="W680" s="84"/>
      <c r="X680" s="84"/>
      <c r="Y680" s="84"/>
      <c r="Z680" s="84"/>
    </row>
    <row r="681" spans="1:26" ht="13">
      <c r="A681" s="83"/>
      <c r="B681" s="83"/>
      <c r="C681" s="83"/>
      <c r="D681" s="84"/>
      <c r="E681" s="84"/>
      <c r="F681" s="84"/>
      <c r="G681" s="83"/>
      <c r="H681" s="84"/>
      <c r="I681" s="84"/>
      <c r="J681" s="84"/>
      <c r="K681" s="84"/>
      <c r="L681" s="84"/>
      <c r="M681" s="84"/>
      <c r="N681" s="84"/>
      <c r="O681" s="84"/>
      <c r="P681" s="85"/>
      <c r="Q681" s="75"/>
      <c r="R681" s="75"/>
      <c r="S681" s="75"/>
      <c r="T681" s="75"/>
      <c r="U681" s="89"/>
      <c r="V681" s="84"/>
      <c r="W681" s="84"/>
      <c r="X681" s="84"/>
      <c r="Y681" s="84"/>
      <c r="Z681" s="84"/>
    </row>
    <row r="682" spans="1:26" ht="13">
      <c r="A682" s="83"/>
      <c r="B682" s="83"/>
      <c r="C682" s="83"/>
      <c r="D682" s="84"/>
      <c r="E682" s="84"/>
      <c r="F682" s="84"/>
      <c r="G682" s="83"/>
      <c r="H682" s="84"/>
      <c r="I682" s="84"/>
      <c r="J682" s="84"/>
      <c r="K682" s="84"/>
      <c r="L682" s="84"/>
      <c r="M682" s="84"/>
      <c r="N682" s="84"/>
      <c r="O682" s="84"/>
      <c r="P682" s="85"/>
      <c r="Q682" s="75"/>
      <c r="R682" s="75"/>
      <c r="S682" s="75"/>
      <c r="T682" s="75"/>
      <c r="U682" s="89"/>
      <c r="V682" s="84"/>
      <c r="W682" s="84"/>
      <c r="X682" s="84"/>
      <c r="Y682" s="84"/>
      <c r="Z682" s="84"/>
    </row>
    <row r="683" spans="1:26" ht="13">
      <c r="A683" s="83"/>
      <c r="B683" s="83"/>
      <c r="C683" s="83"/>
      <c r="D683" s="84"/>
      <c r="E683" s="84"/>
      <c r="F683" s="84"/>
      <c r="G683" s="83"/>
      <c r="H683" s="84"/>
      <c r="I683" s="84"/>
      <c r="J683" s="84"/>
      <c r="K683" s="84"/>
      <c r="L683" s="84"/>
      <c r="M683" s="84"/>
      <c r="N683" s="84"/>
      <c r="O683" s="84"/>
      <c r="P683" s="85"/>
      <c r="Q683" s="75"/>
      <c r="R683" s="75"/>
      <c r="S683" s="75"/>
      <c r="T683" s="75"/>
      <c r="U683" s="89"/>
      <c r="V683" s="84"/>
      <c r="W683" s="84"/>
      <c r="X683" s="84"/>
      <c r="Y683" s="84"/>
      <c r="Z683" s="84"/>
    </row>
    <row r="684" spans="1:26" ht="13">
      <c r="A684" s="83"/>
      <c r="B684" s="83"/>
      <c r="C684" s="83"/>
      <c r="D684" s="84"/>
      <c r="E684" s="84"/>
      <c r="F684" s="84"/>
      <c r="G684" s="83"/>
      <c r="H684" s="84"/>
      <c r="I684" s="84"/>
      <c r="J684" s="84"/>
      <c r="K684" s="84"/>
      <c r="L684" s="84"/>
      <c r="M684" s="84"/>
      <c r="N684" s="84"/>
      <c r="O684" s="84"/>
      <c r="P684" s="85"/>
      <c r="Q684" s="75"/>
      <c r="R684" s="75"/>
      <c r="S684" s="75"/>
      <c r="T684" s="75"/>
      <c r="U684" s="89"/>
      <c r="V684" s="84"/>
      <c r="W684" s="84"/>
      <c r="X684" s="84"/>
      <c r="Y684" s="84"/>
      <c r="Z684" s="84"/>
    </row>
    <row r="685" spans="1:26" ht="13">
      <c r="A685" s="83"/>
      <c r="B685" s="83"/>
      <c r="C685" s="83"/>
      <c r="D685" s="84"/>
      <c r="E685" s="84"/>
      <c r="F685" s="84"/>
      <c r="G685" s="83"/>
      <c r="H685" s="84"/>
      <c r="I685" s="84"/>
      <c r="J685" s="84"/>
      <c r="K685" s="84"/>
      <c r="L685" s="84"/>
      <c r="M685" s="84"/>
      <c r="N685" s="84"/>
      <c r="O685" s="84"/>
      <c r="P685" s="85"/>
      <c r="Q685" s="75"/>
      <c r="R685" s="75"/>
      <c r="S685" s="75"/>
      <c r="T685" s="75"/>
      <c r="U685" s="89"/>
      <c r="V685" s="84"/>
      <c r="W685" s="84"/>
      <c r="X685" s="84"/>
      <c r="Y685" s="84"/>
      <c r="Z685" s="84"/>
    </row>
    <row r="686" spans="1:26" ht="13">
      <c r="A686" s="83"/>
      <c r="B686" s="83"/>
      <c r="C686" s="83"/>
      <c r="D686" s="84"/>
      <c r="E686" s="84"/>
      <c r="F686" s="84"/>
      <c r="G686" s="83"/>
      <c r="H686" s="84"/>
      <c r="I686" s="84"/>
      <c r="J686" s="84"/>
      <c r="K686" s="84"/>
      <c r="L686" s="84"/>
      <c r="M686" s="84"/>
      <c r="N686" s="84"/>
      <c r="O686" s="84"/>
      <c r="P686" s="85"/>
      <c r="Q686" s="75"/>
      <c r="R686" s="75"/>
      <c r="S686" s="75"/>
      <c r="T686" s="75"/>
      <c r="U686" s="89"/>
      <c r="V686" s="84"/>
      <c r="W686" s="84"/>
      <c r="X686" s="84"/>
      <c r="Y686" s="84"/>
      <c r="Z686" s="84"/>
    </row>
    <row r="687" spans="1:26" ht="13">
      <c r="A687" s="83"/>
      <c r="B687" s="83"/>
      <c r="C687" s="83"/>
      <c r="D687" s="84"/>
      <c r="E687" s="84"/>
      <c r="F687" s="84"/>
      <c r="G687" s="83"/>
      <c r="H687" s="84"/>
      <c r="I687" s="84"/>
      <c r="J687" s="84"/>
      <c r="K687" s="84"/>
      <c r="L687" s="84"/>
      <c r="M687" s="84"/>
      <c r="N687" s="84"/>
      <c r="O687" s="84"/>
      <c r="P687" s="85"/>
      <c r="Q687" s="75"/>
      <c r="R687" s="75"/>
      <c r="S687" s="75"/>
      <c r="T687" s="75"/>
      <c r="U687" s="89"/>
      <c r="V687" s="84"/>
      <c r="W687" s="84"/>
      <c r="X687" s="84"/>
      <c r="Y687" s="84"/>
      <c r="Z687" s="84"/>
    </row>
    <row r="688" spans="1:26" ht="13">
      <c r="A688" s="83"/>
      <c r="B688" s="83"/>
      <c r="C688" s="83"/>
      <c r="D688" s="84"/>
      <c r="E688" s="84"/>
      <c r="F688" s="84"/>
      <c r="G688" s="83"/>
      <c r="H688" s="84"/>
      <c r="I688" s="84"/>
      <c r="J688" s="84"/>
      <c r="K688" s="84"/>
      <c r="L688" s="84"/>
      <c r="M688" s="84"/>
      <c r="N688" s="84"/>
      <c r="O688" s="84"/>
      <c r="P688" s="85"/>
      <c r="Q688" s="75"/>
      <c r="R688" s="75"/>
      <c r="S688" s="75"/>
      <c r="T688" s="75"/>
      <c r="U688" s="89"/>
      <c r="V688" s="84"/>
      <c r="W688" s="84"/>
      <c r="X688" s="84"/>
      <c r="Y688" s="84"/>
      <c r="Z688" s="84"/>
    </row>
    <row r="689" spans="1:26" ht="13">
      <c r="A689" s="83"/>
      <c r="B689" s="83"/>
      <c r="C689" s="83"/>
      <c r="D689" s="84"/>
      <c r="E689" s="84"/>
      <c r="F689" s="84"/>
      <c r="G689" s="83"/>
      <c r="H689" s="84"/>
      <c r="I689" s="84"/>
      <c r="J689" s="84"/>
      <c r="K689" s="84"/>
      <c r="L689" s="84"/>
      <c r="M689" s="84"/>
      <c r="N689" s="84"/>
      <c r="O689" s="84"/>
      <c r="P689" s="85"/>
      <c r="Q689" s="75"/>
      <c r="R689" s="75"/>
      <c r="S689" s="75"/>
      <c r="T689" s="75"/>
      <c r="U689" s="89"/>
      <c r="V689" s="84"/>
      <c r="W689" s="84"/>
      <c r="X689" s="84"/>
      <c r="Y689" s="84"/>
      <c r="Z689" s="84"/>
    </row>
    <row r="690" spans="1:26" ht="13">
      <c r="A690" s="83"/>
      <c r="B690" s="83"/>
      <c r="C690" s="83"/>
      <c r="D690" s="84"/>
      <c r="E690" s="84"/>
      <c r="F690" s="84"/>
      <c r="G690" s="83"/>
      <c r="H690" s="84"/>
      <c r="I690" s="84"/>
      <c r="J690" s="84"/>
      <c r="K690" s="84"/>
      <c r="L690" s="84"/>
      <c r="M690" s="84"/>
      <c r="N690" s="84"/>
      <c r="O690" s="84"/>
      <c r="P690" s="85"/>
      <c r="Q690" s="75"/>
      <c r="R690" s="75"/>
      <c r="S690" s="75"/>
      <c r="T690" s="75"/>
      <c r="U690" s="89"/>
      <c r="V690" s="84"/>
      <c r="W690" s="84"/>
      <c r="X690" s="84"/>
      <c r="Y690" s="84"/>
      <c r="Z690" s="84"/>
    </row>
    <row r="691" spans="1:26" ht="13">
      <c r="A691" s="83"/>
      <c r="B691" s="83"/>
      <c r="C691" s="83"/>
      <c r="D691" s="84"/>
      <c r="E691" s="84"/>
      <c r="F691" s="84"/>
      <c r="G691" s="83"/>
      <c r="H691" s="84"/>
      <c r="I691" s="84"/>
      <c r="J691" s="84"/>
      <c r="K691" s="84"/>
      <c r="L691" s="84"/>
      <c r="M691" s="84"/>
      <c r="N691" s="84"/>
      <c r="O691" s="84"/>
      <c r="P691" s="85"/>
      <c r="Q691" s="75"/>
      <c r="R691" s="75"/>
      <c r="S691" s="75"/>
      <c r="T691" s="75"/>
      <c r="U691" s="89"/>
      <c r="V691" s="84"/>
      <c r="W691" s="84"/>
      <c r="X691" s="84"/>
      <c r="Y691" s="84"/>
      <c r="Z691" s="84"/>
    </row>
    <row r="692" spans="1:26" ht="13">
      <c r="A692" s="83"/>
      <c r="B692" s="83"/>
      <c r="C692" s="83"/>
      <c r="D692" s="84"/>
      <c r="E692" s="84"/>
      <c r="F692" s="84"/>
      <c r="G692" s="83"/>
      <c r="H692" s="84"/>
      <c r="I692" s="84"/>
      <c r="J692" s="84"/>
      <c r="K692" s="84"/>
      <c r="L692" s="84"/>
      <c r="M692" s="84"/>
      <c r="N692" s="84"/>
      <c r="O692" s="84"/>
      <c r="P692" s="85"/>
      <c r="Q692" s="75"/>
      <c r="R692" s="75"/>
      <c r="S692" s="75"/>
      <c r="T692" s="75"/>
      <c r="U692" s="89"/>
      <c r="V692" s="84"/>
      <c r="W692" s="84"/>
      <c r="X692" s="84"/>
      <c r="Y692" s="84"/>
      <c r="Z692" s="84"/>
    </row>
    <row r="693" spans="1:26" ht="13">
      <c r="A693" s="83"/>
      <c r="B693" s="83"/>
      <c r="C693" s="83"/>
      <c r="D693" s="84"/>
      <c r="E693" s="84"/>
      <c r="F693" s="84"/>
      <c r="G693" s="83"/>
      <c r="H693" s="84"/>
      <c r="I693" s="84"/>
      <c r="J693" s="84"/>
      <c r="K693" s="84"/>
      <c r="L693" s="84"/>
      <c r="M693" s="84"/>
      <c r="N693" s="84"/>
      <c r="O693" s="84"/>
      <c r="P693" s="85"/>
      <c r="Q693" s="75"/>
      <c r="R693" s="75"/>
      <c r="S693" s="75"/>
      <c r="T693" s="75"/>
      <c r="U693" s="89"/>
      <c r="V693" s="84"/>
      <c r="W693" s="84"/>
      <c r="X693" s="84"/>
      <c r="Y693" s="84"/>
      <c r="Z693" s="84"/>
    </row>
    <row r="694" spans="1:26" ht="13">
      <c r="A694" s="83"/>
      <c r="B694" s="83"/>
      <c r="C694" s="83"/>
      <c r="D694" s="84"/>
      <c r="E694" s="84"/>
      <c r="F694" s="84"/>
      <c r="G694" s="83"/>
      <c r="H694" s="84"/>
      <c r="I694" s="84"/>
      <c r="J694" s="84"/>
      <c r="K694" s="84"/>
      <c r="L694" s="84"/>
      <c r="M694" s="84"/>
      <c r="N694" s="84"/>
      <c r="O694" s="84"/>
      <c r="P694" s="85"/>
      <c r="Q694" s="75"/>
      <c r="R694" s="75"/>
      <c r="S694" s="75"/>
      <c r="T694" s="75"/>
      <c r="U694" s="89"/>
      <c r="V694" s="84"/>
      <c r="W694" s="84"/>
      <c r="X694" s="84"/>
      <c r="Y694" s="84"/>
      <c r="Z694" s="84"/>
    </row>
    <row r="695" spans="1:26" ht="13">
      <c r="A695" s="83"/>
      <c r="B695" s="83"/>
      <c r="C695" s="83"/>
      <c r="D695" s="84"/>
      <c r="E695" s="84"/>
      <c r="F695" s="84"/>
      <c r="G695" s="83"/>
      <c r="H695" s="84"/>
      <c r="I695" s="84"/>
      <c r="J695" s="84"/>
      <c r="K695" s="84"/>
      <c r="L695" s="84"/>
      <c r="M695" s="84"/>
      <c r="N695" s="84"/>
      <c r="O695" s="84"/>
      <c r="P695" s="85"/>
      <c r="Q695" s="75"/>
      <c r="R695" s="75"/>
      <c r="S695" s="75"/>
      <c r="T695" s="75"/>
      <c r="U695" s="89"/>
      <c r="V695" s="84"/>
      <c r="W695" s="84"/>
      <c r="X695" s="84"/>
      <c r="Y695" s="84"/>
      <c r="Z695" s="84"/>
    </row>
    <row r="696" spans="1:26" ht="13">
      <c r="A696" s="83"/>
      <c r="B696" s="83"/>
      <c r="C696" s="83"/>
      <c r="D696" s="84"/>
      <c r="E696" s="84"/>
      <c r="F696" s="84"/>
      <c r="G696" s="83"/>
      <c r="H696" s="84"/>
      <c r="I696" s="84"/>
      <c r="J696" s="84"/>
      <c r="K696" s="84"/>
      <c r="L696" s="84"/>
      <c r="M696" s="84"/>
      <c r="N696" s="84"/>
      <c r="O696" s="84"/>
      <c r="P696" s="85"/>
      <c r="Q696" s="75"/>
      <c r="R696" s="75"/>
      <c r="S696" s="75"/>
      <c r="T696" s="75"/>
      <c r="U696" s="89"/>
      <c r="V696" s="84"/>
      <c r="W696" s="84"/>
      <c r="X696" s="84"/>
      <c r="Y696" s="84"/>
      <c r="Z696" s="84"/>
    </row>
    <row r="697" spans="1:26" ht="13">
      <c r="A697" s="83"/>
      <c r="B697" s="83"/>
      <c r="C697" s="83"/>
      <c r="D697" s="84"/>
      <c r="E697" s="84"/>
      <c r="F697" s="84"/>
      <c r="G697" s="83"/>
      <c r="H697" s="84"/>
      <c r="I697" s="84"/>
      <c r="J697" s="84"/>
      <c r="K697" s="84"/>
      <c r="L697" s="84"/>
      <c r="M697" s="84"/>
      <c r="N697" s="84"/>
      <c r="O697" s="84"/>
      <c r="P697" s="85"/>
      <c r="Q697" s="75"/>
      <c r="R697" s="75"/>
      <c r="S697" s="75"/>
      <c r="T697" s="75"/>
      <c r="U697" s="89"/>
      <c r="V697" s="84"/>
      <c r="W697" s="84"/>
      <c r="X697" s="84"/>
      <c r="Y697" s="84"/>
      <c r="Z697" s="84"/>
    </row>
    <row r="698" spans="1:26" ht="13">
      <c r="A698" s="83"/>
      <c r="B698" s="83"/>
      <c r="C698" s="83"/>
      <c r="D698" s="84"/>
      <c r="E698" s="84"/>
      <c r="F698" s="84"/>
      <c r="G698" s="83"/>
      <c r="H698" s="84"/>
      <c r="I698" s="84"/>
      <c r="J698" s="84"/>
      <c r="K698" s="84"/>
      <c r="L698" s="84"/>
      <c r="M698" s="84"/>
      <c r="N698" s="84"/>
      <c r="O698" s="84"/>
      <c r="P698" s="85"/>
      <c r="Q698" s="75"/>
      <c r="R698" s="75"/>
      <c r="S698" s="75"/>
      <c r="T698" s="75"/>
      <c r="U698" s="89"/>
      <c r="V698" s="84"/>
      <c r="W698" s="84"/>
      <c r="X698" s="84"/>
      <c r="Y698" s="84"/>
      <c r="Z698" s="84"/>
    </row>
    <row r="699" spans="1:26" ht="13">
      <c r="A699" s="83"/>
      <c r="B699" s="83"/>
      <c r="C699" s="83"/>
      <c r="D699" s="84"/>
      <c r="E699" s="84"/>
      <c r="F699" s="84"/>
      <c r="G699" s="83"/>
      <c r="H699" s="84"/>
      <c r="I699" s="84"/>
      <c r="J699" s="84"/>
      <c r="K699" s="84"/>
      <c r="L699" s="84"/>
      <c r="M699" s="84"/>
      <c r="N699" s="84"/>
      <c r="O699" s="84"/>
      <c r="P699" s="85"/>
      <c r="Q699" s="75"/>
      <c r="R699" s="75"/>
      <c r="S699" s="75"/>
      <c r="T699" s="75"/>
      <c r="U699" s="89"/>
      <c r="V699" s="84"/>
      <c r="W699" s="84"/>
      <c r="X699" s="84"/>
      <c r="Y699" s="84"/>
      <c r="Z699" s="84"/>
    </row>
    <row r="700" spans="1:26" ht="13">
      <c r="A700" s="83"/>
      <c r="B700" s="83"/>
      <c r="C700" s="83"/>
      <c r="D700" s="84"/>
      <c r="E700" s="84"/>
      <c r="F700" s="84"/>
      <c r="G700" s="83"/>
      <c r="H700" s="84"/>
      <c r="I700" s="84"/>
      <c r="J700" s="84"/>
      <c r="K700" s="84"/>
      <c r="L700" s="84"/>
      <c r="M700" s="84"/>
      <c r="N700" s="84"/>
      <c r="O700" s="84"/>
      <c r="P700" s="85"/>
      <c r="Q700" s="75"/>
      <c r="R700" s="75"/>
      <c r="S700" s="75"/>
      <c r="T700" s="75"/>
      <c r="U700" s="89"/>
      <c r="V700" s="84"/>
      <c r="W700" s="84"/>
      <c r="X700" s="84"/>
      <c r="Y700" s="84"/>
      <c r="Z700" s="84"/>
    </row>
    <row r="701" spans="1:26" ht="13">
      <c r="A701" s="83"/>
      <c r="B701" s="83"/>
      <c r="C701" s="83"/>
      <c r="D701" s="84"/>
      <c r="E701" s="84"/>
      <c r="F701" s="84"/>
      <c r="G701" s="83"/>
      <c r="H701" s="84"/>
      <c r="I701" s="84"/>
      <c r="J701" s="84"/>
      <c r="K701" s="84"/>
      <c r="L701" s="84"/>
      <c r="M701" s="84"/>
      <c r="N701" s="84"/>
      <c r="O701" s="84"/>
      <c r="P701" s="85"/>
      <c r="Q701" s="75"/>
      <c r="R701" s="75"/>
      <c r="S701" s="75"/>
      <c r="T701" s="75"/>
      <c r="U701" s="89"/>
      <c r="V701" s="84"/>
      <c r="W701" s="84"/>
      <c r="X701" s="84"/>
      <c r="Y701" s="84"/>
      <c r="Z701" s="84"/>
    </row>
    <row r="702" spans="1:26" ht="13">
      <c r="A702" s="83"/>
      <c r="B702" s="83"/>
      <c r="C702" s="83"/>
      <c r="D702" s="84"/>
      <c r="E702" s="84"/>
      <c r="F702" s="84"/>
      <c r="G702" s="83"/>
      <c r="H702" s="84"/>
      <c r="I702" s="84"/>
      <c r="J702" s="84"/>
      <c r="K702" s="84"/>
      <c r="L702" s="84"/>
      <c r="M702" s="84"/>
      <c r="N702" s="84"/>
      <c r="O702" s="84"/>
      <c r="P702" s="85"/>
      <c r="Q702" s="75"/>
      <c r="R702" s="75"/>
      <c r="S702" s="75"/>
      <c r="T702" s="75"/>
      <c r="U702" s="89"/>
      <c r="V702" s="84"/>
      <c r="W702" s="84"/>
      <c r="X702" s="84"/>
      <c r="Y702" s="84"/>
      <c r="Z702" s="84"/>
    </row>
    <row r="703" spans="1:26" ht="13">
      <c r="A703" s="83"/>
      <c r="B703" s="83"/>
      <c r="C703" s="83"/>
      <c r="D703" s="84"/>
      <c r="E703" s="84"/>
      <c r="F703" s="84"/>
      <c r="G703" s="83"/>
      <c r="H703" s="84"/>
      <c r="I703" s="84"/>
      <c r="J703" s="84"/>
      <c r="K703" s="84"/>
      <c r="L703" s="84"/>
      <c r="M703" s="84"/>
      <c r="N703" s="84"/>
      <c r="O703" s="84"/>
      <c r="P703" s="85"/>
      <c r="Q703" s="75"/>
      <c r="R703" s="75"/>
      <c r="S703" s="75"/>
      <c r="T703" s="75"/>
      <c r="U703" s="89"/>
      <c r="V703" s="84"/>
      <c r="W703" s="84"/>
      <c r="X703" s="84"/>
      <c r="Y703" s="84"/>
      <c r="Z703" s="84"/>
    </row>
    <row r="704" spans="1:26" ht="13">
      <c r="A704" s="83"/>
      <c r="B704" s="83"/>
      <c r="C704" s="83"/>
      <c r="D704" s="84"/>
      <c r="E704" s="84"/>
      <c r="F704" s="84"/>
      <c r="G704" s="83"/>
      <c r="H704" s="84"/>
      <c r="I704" s="84"/>
      <c r="J704" s="84"/>
      <c r="K704" s="84"/>
      <c r="L704" s="84"/>
      <c r="M704" s="84"/>
      <c r="N704" s="84"/>
      <c r="O704" s="84"/>
      <c r="P704" s="85"/>
      <c r="Q704" s="75"/>
      <c r="R704" s="75"/>
      <c r="S704" s="75"/>
      <c r="T704" s="75"/>
      <c r="U704" s="89"/>
      <c r="V704" s="84"/>
      <c r="W704" s="84"/>
      <c r="X704" s="84"/>
      <c r="Y704" s="84"/>
      <c r="Z704" s="84"/>
    </row>
    <row r="705" spans="1:26" ht="13">
      <c r="A705" s="83"/>
      <c r="B705" s="83"/>
      <c r="C705" s="83"/>
      <c r="D705" s="84"/>
      <c r="E705" s="84"/>
      <c r="F705" s="84"/>
      <c r="G705" s="83"/>
      <c r="H705" s="84"/>
      <c r="I705" s="84"/>
      <c r="J705" s="84"/>
      <c r="K705" s="84"/>
      <c r="L705" s="84"/>
      <c r="M705" s="84"/>
      <c r="N705" s="84"/>
      <c r="O705" s="84"/>
      <c r="P705" s="85"/>
      <c r="Q705" s="75"/>
      <c r="R705" s="75"/>
      <c r="S705" s="75"/>
      <c r="T705" s="75"/>
      <c r="U705" s="89"/>
      <c r="V705" s="84"/>
      <c r="W705" s="84"/>
      <c r="X705" s="84"/>
      <c r="Y705" s="84"/>
      <c r="Z705" s="84"/>
    </row>
    <row r="706" spans="1:26" ht="13">
      <c r="A706" s="83"/>
      <c r="B706" s="83"/>
      <c r="C706" s="83"/>
      <c r="D706" s="84"/>
      <c r="E706" s="84"/>
      <c r="F706" s="84"/>
      <c r="G706" s="83"/>
      <c r="H706" s="84"/>
      <c r="I706" s="84"/>
      <c r="J706" s="84"/>
      <c r="K706" s="84"/>
      <c r="L706" s="84"/>
      <c r="M706" s="84"/>
      <c r="N706" s="84"/>
      <c r="O706" s="84"/>
      <c r="P706" s="85"/>
      <c r="Q706" s="75"/>
      <c r="R706" s="75"/>
      <c r="S706" s="75"/>
      <c r="T706" s="75"/>
      <c r="U706" s="89"/>
      <c r="V706" s="84"/>
      <c r="W706" s="84"/>
      <c r="X706" s="84"/>
      <c r="Y706" s="84"/>
      <c r="Z706" s="84"/>
    </row>
    <row r="707" spans="1:26" ht="13">
      <c r="A707" s="83"/>
      <c r="B707" s="83"/>
      <c r="C707" s="83"/>
      <c r="D707" s="84"/>
      <c r="E707" s="84"/>
      <c r="F707" s="84"/>
      <c r="G707" s="83"/>
      <c r="H707" s="84"/>
      <c r="I707" s="84"/>
      <c r="J707" s="84"/>
      <c r="K707" s="84"/>
      <c r="L707" s="84"/>
      <c r="M707" s="84"/>
      <c r="N707" s="84"/>
      <c r="O707" s="84"/>
      <c r="P707" s="85"/>
      <c r="Q707" s="75"/>
      <c r="R707" s="75"/>
      <c r="S707" s="75"/>
      <c r="T707" s="75"/>
      <c r="U707" s="89"/>
      <c r="V707" s="84"/>
      <c r="W707" s="84"/>
      <c r="X707" s="84"/>
      <c r="Y707" s="84"/>
      <c r="Z707" s="84"/>
    </row>
    <row r="708" spans="1:26" ht="13">
      <c r="A708" s="83"/>
      <c r="B708" s="83"/>
      <c r="C708" s="83"/>
      <c r="D708" s="84"/>
      <c r="E708" s="84"/>
      <c r="F708" s="84"/>
      <c r="G708" s="83"/>
      <c r="H708" s="84"/>
      <c r="I708" s="84"/>
      <c r="J708" s="84"/>
      <c r="K708" s="84"/>
      <c r="L708" s="84"/>
      <c r="M708" s="84"/>
      <c r="N708" s="84"/>
      <c r="O708" s="84"/>
      <c r="P708" s="85"/>
      <c r="Q708" s="75"/>
      <c r="R708" s="75"/>
      <c r="S708" s="75"/>
      <c r="T708" s="75"/>
      <c r="U708" s="89"/>
      <c r="V708" s="84"/>
      <c r="W708" s="84"/>
      <c r="X708" s="84"/>
      <c r="Y708" s="84"/>
      <c r="Z708" s="84"/>
    </row>
    <row r="709" spans="1:26" ht="13">
      <c r="A709" s="83"/>
      <c r="B709" s="83"/>
      <c r="C709" s="83"/>
      <c r="D709" s="84"/>
      <c r="E709" s="84"/>
      <c r="F709" s="84"/>
      <c r="G709" s="83"/>
      <c r="H709" s="84"/>
      <c r="I709" s="84"/>
      <c r="J709" s="84"/>
      <c r="K709" s="84"/>
      <c r="L709" s="84"/>
      <c r="M709" s="84"/>
      <c r="N709" s="84"/>
      <c r="O709" s="84"/>
      <c r="P709" s="85"/>
      <c r="Q709" s="75"/>
      <c r="R709" s="75"/>
      <c r="S709" s="75"/>
      <c r="T709" s="75"/>
      <c r="U709" s="89"/>
      <c r="V709" s="84"/>
      <c r="W709" s="84"/>
      <c r="X709" s="84"/>
      <c r="Y709" s="84"/>
      <c r="Z709" s="84"/>
    </row>
    <row r="710" spans="1:26" ht="13">
      <c r="A710" s="83"/>
      <c r="B710" s="83"/>
      <c r="C710" s="83"/>
      <c r="D710" s="84"/>
      <c r="E710" s="84"/>
      <c r="F710" s="84"/>
      <c r="G710" s="83"/>
      <c r="H710" s="84"/>
      <c r="I710" s="84"/>
      <c r="J710" s="84"/>
      <c r="K710" s="84"/>
      <c r="L710" s="84"/>
      <c r="M710" s="84"/>
      <c r="N710" s="84"/>
      <c r="O710" s="84"/>
      <c r="P710" s="85"/>
      <c r="Q710" s="75"/>
      <c r="R710" s="75"/>
      <c r="S710" s="75"/>
      <c r="T710" s="75"/>
      <c r="U710" s="89"/>
      <c r="V710" s="84"/>
      <c r="W710" s="84"/>
      <c r="X710" s="84"/>
      <c r="Y710" s="84"/>
      <c r="Z710" s="84"/>
    </row>
    <row r="711" spans="1:26" ht="13">
      <c r="A711" s="83"/>
      <c r="B711" s="83"/>
      <c r="C711" s="83"/>
      <c r="D711" s="84"/>
      <c r="E711" s="84"/>
      <c r="F711" s="84"/>
      <c r="G711" s="83"/>
      <c r="H711" s="84"/>
      <c r="I711" s="84"/>
      <c r="J711" s="84"/>
      <c r="K711" s="84"/>
      <c r="L711" s="84"/>
      <c r="M711" s="84"/>
      <c r="N711" s="84"/>
      <c r="O711" s="84"/>
      <c r="P711" s="85"/>
      <c r="Q711" s="75"/>
      <c r="R711" s="75"/>
      <c r="S711" s="75"/>
      <c r="T711" s="75"/>
      <c r="U711" s="89"/>
      <c r="V711" s="84"/>
      <c r="W711" s="84"/>
      <c r="X711" s="84"/>
      <c r="Y711" s="84"/>
      <c r="Z711" s="84"/>
    </row>
    <row r="712" spans="1:26" ht="13">
      <c r="A712" s="83"/>
      <c r="B712" s="83"/>
      <c r="C712" s="83"/>
      <c r="D712" s="84"/>
      <c r="E712" s="84"/>
      <c r="F712" s="84"/>
      <c r="G712" s="83"/>
      <c r="H712" s="84"/>
      <c r="I712" s="84"/>
      <c r="J712" s="84"/>
      <c r="K712" s="84"/>
      <c r="L712" s="84"/>
      <c r="M712" s="84"/>
      <c r="N712" s="84"/>
      <c r="O712" s="84"/>
      <c r="P712" s="85"/>
      <c r="Q712" s="75"/>
      <c r="R712" s="75"/>
      <c r="S712" s="75"/>
      <c r="T712" s="75"/>
      <c r="U712" s="89"/>
      <c r="V712" s="84"/>
      <c r="W712" s="84"/>
      <c r="X712" s="84"/>
      <c r="Y712" s="84"/>
      <c r="Z712" s="84"/>
    </row>
    <row r="713" spans="1:26" ht="13">
      <c r="A713" s="83"/>
      <c r="B713" s="83"/>
      <c r="C713" s="83"/>
      <c r="D713" s="84"/>
      <c r="E713" s="84"/>
      <c r="F713" s="84"/>
      <c r="G713" s="83"/>
      <c r="H713" s="84"/>
      <c r="I713" s="84"/>
      <c r="J713" s="84"/>
      <c r="K713" s="84"/>
      <c r="L713" s="84"/>
      <c r="M713" s="84"/>
      <c r="N713" s="84"/>
      <c r="O713" s="84"/>
      <c r="P713" s="85"/>
      <c r="Q713" s="75"/>
      <c r="R713" s="75"/>
      <c r="S713" s="75"/>
      <c r="T713" s="75"/>
      <c r="U713" s="89"/>
      <c r="V713" s="84"/>
      <c r="W713" s="84"/>
      <c r="X713" s="84"/>
      <c r="Y713" s="84"/>
      <c r="Z713" s="84"/>
    </row>
    <row r="714" spans="1:26" ht="13">
      <c r="A714" s="83"/>
      <c r="B714" s="83"/>
      <c r="C714" s="83"/>
      <c r="D714" s="84"/>
      <c r="E714" s="84"/>
      <c r="F714" s="84"/>
      <c r="G714" s="83"/>
      <c r="H714" s="84"/>
      <c r="I714" s="84"/>
      <c r="J714" s="84"/>
      <c r="K714" s="84"/>
      <c r="L714" s="84"/>
      <c r="M714" s="84"/>
      <c r="N714" s="84"/>
      <c r="O714" s="84"/>
      <c r="P714" s="85"/>
      <c r="Q714" s="75"/>
      <c r="R714" s="75"/>
      <c r="S714" s="75"/>
      <c r="T714" s="75"/>
      <c r="U714" s="89"/>
      <c r="V714" s="84"/>
      <c r="W714" s="84"/>
      <c r="X714" s="84"/>
      <c r="Y714" s="84"/>
      <c r="Z714" s="84"/>
    </row>
    <row r="715" spans="1:26" ht="13">
      <c r="A715" s="83"/>
      <c r="B715" s="83"/>
      <c r="C715" s="83"/>
      <c r="D715" s="84"/>
      <c r="E715" s="84"/>
      <c r="F715" s="84"/>
      <c r="G715" s="83"/>
      <c r="H715" s="84"/>
      <c r="I715" s="84"/>
      <c r="J715" s="84"/>
      <c r="K715" s="84"/>
      <c r="L715" s="84"/>
      <c r="M715" s="84"/>
      <c r="N715" s="84"/>
      <c r="O715" s="84"/>
      <c r="P715" s="85"/>
      <c r="Q715" s="75"/>
      <c r="R715" s="75"/>
      <c r="S715" s="75"/>
      <c r="T715" s="75"/>
      <c r="U715" s="89"/>
      <c r="V715" s="84"/>
      <c r="W715" s="84"/>
      <c r="X715" s="84"/>
      <c r="Y715" s="84"/>
      <c r="Z715" s="84"/>
    </row>
    <row r="716" spans="1:26" ht="13">
      <c r="A716" s="83"/>
      <c r="B716" s="83"/>
      <c r="C716" s="83"/>
      <c r="D716" s="84"/>
      <c r="E716" s="84"/>
      <c r="F716" s="84"/>
      <c r="G716" s="83"/>
      <c r="H716" s="84"/>
      <c r="I716" s="84"/>
      <c r="J716" s="84"/>
      <c r="K716" s="84"/>
      <c r="L716" s="84"/>
      <c r="M716" s="84"/>
      <c r="N716" s="84"/>
      <c r="O716" s="84"/>
      <c r="P716" s="85"/>
      <c r="Q716" s="75"/>
      <c r="R716" s="75"/>
      <c r="S716" s="75"/>
      <c r="T716" s="75"/>
      <c r="U716" s="89"/>
      <c r="V716" s="84"/>
      <c r="W716" s="84"/>
      <c r="X716" s="84"/>
      <c r="Y716" s="84"/>
      <c r="Z716" s="84"/>
    </row>
    <row r="717" spans="1:26" ht="13">
      <c r="A717" s="83"/>
      <c r="B717" s="83"/>
      <c r="C717" s="83"/>
      <c r="D717" s="84"/>
      <c r="E717" s="84"/>
      <c r="F717" s="84"/>
      <c r="G717" s="83"/>
      <c r="H717" s="84"/>
      <c r="I717" s="84"/>
      <c r="J717" s="84"/>
      <c r="K717" s="84"/>
      <c r="L717" s="84"/>
      <c r="M717" s="84"/>
      <c r="N717" s="84"/>
      <c r="O717" s="84"/>
      <c r="P717" s="85"/>
      <c r="Q717" s="75"/>
      <c r="R717" s="75"/>
      <c r="S717" s="75"/>
      <c r="T717" s="75"/>
      <c r="U717" s="89"/>
      <c r="V717" s="84"/>
      <c r="W717" s="84"/>
      <c r="X717" s="84"/>
      <c r="Y717" s="84"/>
      <c r="Z717" s="84"/>
    </row>
    <row r="718" spans="1:26" ht="13">
      <c r="A718" s="83"/>
      <c r="B718" s="83"/>
      <c r="C718" s="83"/>
      <c r="D718" s="84"/>
      <c r="E718" s="84"/>
      <c r="F718" s="84"/>
      <c r="G718" s="83"/>
      <c r="H718" s="84"/>
      <c r="I718" s="84"/>
      <c r="J718" s="84"/>
      <c r="K718" s="84"/>
      <c r="L718" s="84"/>
      <c r="M718" s="84"/>
      <c r="N718" s="84"/>
      <c r="O718" s="84"/>
      <c r="P718" s="85"/>
      <c r="Q718" s="75"/>
      <c r="R718" s="75"/>
      <c r="S718" s="75"/>
      <c r="T718" s="75"/>
      <c r="U718" s="89"/>
      <c r="V718" s="84"/>
      <c r="W718" s="84"/>
      <c r="X718" s="84"/>
      <c r="Y718" s="84"/>
      <c r="Z718" s="84"/>
    </row>
    <row r="719" spans="1:26" ht="13">
      <c r="A719" s="83"/>
      <c r="B719" s="83"/>
      <c r="C719" s="83"/>
      <c r="D719" s="84"/>
      <c r="E719" s="84"/>
      <c r="F719" s="84"/>
      <c r="G719" s="83"/>
      <c r="H719" s="84"/>
      <c r="I719" s="84"/>
      <c r="J719" s="84"/>
      <c r="K719" s="84"/>
      <c r="L719" s="84"/>
      <c r="M719" s="84"/>
      <c r="N719" s="84"/>
      <c r="O719" s="84"/>
      <c r="P719" s="85"/>
      <c r="Q719" s="75"/>
      <c r="R719" s="75"/>
      <c r="S719" s="75"/>
      <c r="T719" s="75"/>
      <c r="U719" s="89"/>
      <c r="V719" s="84"/>
      <c r="W719" s="84"/>
      <c r="X719" s="84"/>
      <c r="Y719" s="84"/>
      <c r="Z719" s="84"/>
    </row>
    <row r="720" spans="1:26" ht="13">
      <c r="A720" s="83"/>
      <c r="B720" s="83"/>
      <c r="C720" s="83"/>
      <c r="D720" s="84"/>
      <c r="E720" s="84"/>
      <c r="F720" s="84"/>
      <c r="G720" s="83"/>
      <c r="H720" s="84"/>
      <c r="I720" s="84"/>
      <c r="J720" s="84"/>
      <c r="K720" s="84"/>
      <c r="L720" s="84"/>
      <c r="M720" s="84"/>
      <c r="N720" s="84"/>
      <c r="O720" s="84"/>
      <c r="P720" s="85"/>
      <c r="Q720" s="75"/>
      <c r="R720" s="75"/>
      <c r="S720" s="75"/>
      <c r="T720" s="75"/>
      <c r="U720" s="89"/>
      <c r="V720" s="84"/>
      <c r="W720" s="84"/>
      <c r="X720" s="84"/>
      <c r="Y720" s="84"/>
      <c r="Z720" s="84"/>
    </row>
    <row r="721" spans="1:26" ht="13">
      <c r="A721" s="83"/>
      <c r="B721" s="83"/>
      <c r="C721" s="83"/>
      <c r="D721" s="84"/>
      <c r="E721" s="84"/>
      <c r="F721" s="84"/>
      <c r="G721" s="83"/>
      <c r="H721" s="84"/>
      <c r="I721" s="84"/>
      <c r="J721" s="84"/>
      <c r="K721" s="84"/>
      <c r="L721" s="84"/>
      <c r="M721" s="84"/>
      <c r="N721" s="84"/>
      <c r="O721" s="84"/>
      <c r="P721" s="85"/>
      <c r="Q721" s="75"/>
      <c r="R721" s="75"/>
      <c r="S721" s="75"/>
      <c r="T721" s="75"/>
      <c r="U721" s="89"/>
      <c r="V721" s="84"/>
      <c r="W721" s="84"/>
      <c r="X721" s="84"/>
      <c r="Y721" s="84"/>
      <c r="Z721" s="84"/>
    </row>
    <row r="722" spans="1:26" ht="13">
      <c r="A722" s="83"/>
      <c r="B722" s="83"/>
      <c r="C722" s="83"/>
      <c r="D722" s="84"/>
      <c r="E722" s="84"/>
      <c r="F722" s="84"/>
      <c r="G722" s="83"/>
      <c r="H722" s="84"/>
      <c r="I722" s="84"/>
      <c r="J722" s="84"/>
      <c r="K722" s="84"/>
      <c r="L722" s="84"/>
      <c r="M722" s="84"/>
      <c r="N722" s="84"/>
      <c r="O722" s="84"/>
      <c r="P722" s="85"/>
      <c r="Q722" s="75"/>
      <c r="R722" s="75"/>
      <c r="S722" s="75"/>
      <c r="T722" s="75"/>
      <c r="U722" s="89"/>
      <c r="V722" s="84"/>
      <c r="W722" s="84"/>
      <c r="X722" s="84"/>
      <c r="Y722" s="84"/>
      <c r="Z722" s="84"/>
    </row>
    <row r="723" spans="1:26" ht="13">
      <c r="A723" s="83"/>
      <c r="B723" s="83"/>
      <c r="C723" s="83"/>
      <c r="D723" s="84"/>
      <c r="E723" s="84"/>
      <c r="F723" s="84"/>
      <c r="G723" s="83"/>
      <c r="H723" s="84"/>
      <c r="I723" s="84"/>
      <c r="J723" s="84"/>
      <c r="K723" s="84"/>
      <c r="L723" s="84"/>
      <c r="M723" s="84"/>
      <c r="N723" s="84"/>
      <c r="O723" s="84"/>
      <c r="P723" s="85"/>
      <c r="Q723" s="75"/>
      <c r="R723" s="75"/>
      <c r="S723" s="75"/>
      <c r="T723" s="75"/>
      <c r="U723" s="89"/>
      <c r="V723" s="84"/>
      <c r="W723" s="84"/>
      <c r="X723" s="84"/>
      <c r="Y723" s="84"/>
      <c r="Z723" s="84"/>
    </row>
    <row r="724" spans="1:26" ht="13">
      <c r="A724" s="83"/>
      <c r="B724" s="83"/>
      <c r="C724" s="83"/>
      <c r="D724" s="84"/>
      <c r="E724" s="84"/>
      <c r="F724" s="84"/>
      <c r="G724" s="83"/>
      <c r="H724" s="84"/>
      <c r="I724" s="84"/>
      <c r="J724" s="84"/>
      <c r="K724" s="84"/>
      <c r="L724" s="84"/>
      <c r="M724" s="84"/>
      <c r="N724" s="84"/>
      <c r="O724" s="84"/>
      <c r="P724" s="85"/>
      <c r="Q724" s="75"/>
      <c r="R724" s="75"/>
      <c r="S724" s="75"/>
      <c r="T724" s="75"/>
      <c r="U724" s="89"/>
      <c r="V724" s="84"/>
      <c r="W724" s="84"/>
      <c r="X724" s="84"/>
      <c r="Y724" s="84"/>
      <c r="Z724" s="84"/>
    </row>
    <row r="725" spans="1:26" ht="13">
      <c r="A725" s="83"/>
      <c r="B725" s="83"/>
      <c r="C725" s="83"/>
      <c r="D725" s="84"/>
      <c r="E725" s="84"/>
      <c r="F725" s="84"/>
      <c r="G725" s="83"/>
      <c r="H725" s="84"/>
      <c r="I725" s="84"/>
      <c r="J725" s="84"/>
      <c r="K725" s="84"/>
      <c r="L725" s="84"/>
      <c r="M725" s="84"/>
      <c r="N725" s="84"/>
      <c r="O725" s="84"/>
      <c r="P725" s="85"/>
      <c r="Q725" s="75"/>
      <c r="R725" s="75"/>
      <c r="S725" s="75"/>
      <c r="T725" s="75"/>
      <c r="U725" s="89"/>
      <c r="V725" s="84"/>
      <c r="W725" s="84"/>
      <c r="X725" s="84"/>
      <c r="Y725" s="84"/>
      <c r="Z725" s="84"/>
    </row>
    <row r="726" spans="1:26" ht="13">
      <c r="A726" s="83"/>
      <c r="B726" s="83"/>
      <c r="C726" s="83"/>
      <c r="D726" s="84"/>
      <c r="E726" s="84"/>
      <c r="F726" s="84"/>
      <c r="G726" s="83"/>
      <c r="H726" s="84"/>
      <c r="I726" s="84"/>
      <c r="J726" s="84"/>
      <c r="K726" s="84"/>
      <c r="L726" s="84"/>
      <c r="M726" s="84"/>
      <c r="N726" s="84"/>
      <c r="O726" s="84"/>
      <c r="P726" s="85"/>
      <c r="Q726" s="75"/>
      <c r="R726" s="75"/>
      <c r="S726" s="75"/>
      <c r="T726" s="75"/>
      <c r="U726" s="89"/>
      <c r="V726" s="84"/>
      <c r="W726" s="84"/>
      <c r="X726" s="84"/>
      <c r="Y726" s="84"/>
      <c r="Z726" s="84"/>
    </row>
    <row r="727" spans="1:26" ht="13">
      <c r="A727" s="83"/>
      <c r="B727" s="83"/>
      <c r="C727" s="83"/>
      <c r="D727" s="84"/>
      <c r="E727" s="84"/>
      <c r="F727" s="84"/>
      <c r="G727" s="83"/>
      <c r="H727" s="84"/>
      <c r="I727" s="84"/>
      <c r="J727" s="84"/>
      <c r="K727" s="84"/>
      <c r="L727" s="84"/>
      <c r="M727" s="84"/>
      <c r="N727" s="84"/>
      <c r="O727" s="84"/>
      <c r="P727" s="85"/>
      <c r="Q727" s="75"/>
      <c r="R727" s="75"/>
      <c r="S727" s="75"/>
      <c r="T727" s="75"/>
      <c r="U727" s="89"/>
      <c r="V727" s="84"/>
      <c r="W727" s="84"/>
      <c r="X727" s="84"/>
      <c r="Y727" s="84"/>
      <c r="Z727" s="84"/>
    </row>
    <row r="728" spans="1:26" ht="13">
      <c r="A728" s="83"/>
      <c r="B728" s="83"/>
      <c r="C728" s="83"/>
      <c r="D728" s="84"/>
      <c r="E728" s="84"/>
      <c r="F728" s="84"/>
      <c r="G728" s="83"/>
      <c r="H728" s="84"/>
      <c r="I728" s="84"/>
      <c r="J728" s="84"/>
      <c r="K728" s="84"/>
      <c r="L728" s="84"/>
      <c r="M728" s="84"/>
      <c r="N728" s="84"/>
      <c r="O728" s="84"/>
      <c r="P728" s="85"/>
      <c r="Q728" s="75"/>
      <c r="R728" s="75"/>
      <c r="S728" s="75"/>
      <c r="T728" s="75"/>
      <c r="U728" s="89"/>
      <c r="V728" s="84"/>
      <c r="W728" s="84"/>
      <c r="X728" s="84"/>
      <c r="Y728" s="84"/>
      <c r="Z728" s="84"/>
    </row>
    <row r="729" spans="1:26" ht="13">
      <c r="A729" s="83"/>
      <c r="B729" s="83"/>
      <c r="C729" s="83"/>
      <c r="D729" s="84"/>
      <c r="E729" s="84"/>
      <c r="F729" s="84"/>
      <c r="G729" s="83"/>
      <c r="H729" s="84"/>
      <c r="I729" s="84"/>
      <c r="J729" s="84"/>
      <c r="K729" s="84"/>
      <c r="L729" s="84"/>
      <c r="M729" s="84"/>
      <c r="N729" s="84"/>
      <c r="O729" s="84"/>
      <c r="P729" s="85"/>
      <c r="Q729" s="75"/>
      <c r="R729" s="75"/>
      <c r="S729" s="75"/>
      <c r="T729" s="75"/>
      <c r="U729" s="89"/>
      <c r="V729" s="84"/>
      <c r="W729" s="84"/>
      <c r="X729" s="84"/>
      <c r="Y729" s="84"/>
      <c r="Z729" s="84"/>
    </row>
    <row r="730" spans="1:26" ht="13">
      <c r="A730" s="83"/>
      <c r="B730" s="83"/>
      <c r="C730" s="83"/>
      <c r="D730" s="84"/>
      <c r="E730" s="84"/>
      <c r="F730" s="84"/>
      <c r="G730" s="83"/>
      <c r="H730" s="84"/>
      <c r="I730" s="84"/>
      <c r="J730" s="84"/>
      <c r="K730" s="84"/>
      <c r="L730" s="84"/>
      <c r="M730" s="84"/>
      <c r="N730" s="84"/>
      <c r="O730" s="84"/>
      <c r="P730" s="85"/>
      <c r="Q730" s="75"/>
      <c r="R730" s="75"/>
      <c r="S730" s="75"/>
      <c r="T730" s="75"/>
      <c r="U730" s="89"/>
      <c r="V730" s="84"/>
      <c r="W730" s="84"/>
      <c r="X730" s="84"/>
      <c r="Y730" s="84"/>
      <c r="Z730" s="84"/>
    </row>
    <row r="731" spans="1:26" ht="13">
      <c r="A731" s="83"/>
      <c r="B731" s="83"/>
      <c r="C731" s="83"/>
      <c r="D731" s="84"/>
      <c r="E731" s="84"/>
      <c r="F731" s="84"/>
      <c r="G731" s="83"/>
      <c r="H731" s="84"/>
      <c r="I731" s="84"/>
      <c r="J731" s="84"/>
      <c r="K731" s="84"/>
      <c r="L731" s="84"/>
      <c r="M731" s="84"/>
      <c r="N731" s="84"/>
      <c r="O731" s="84"/>
      <c r="P731" s="85"/>
      <c r="Q731" s="75"/>
      <c r="R731" s="75"/>
      <c r="S731" s="75"/>
      <c r="T731" s="75"/>
      <c r="U731" s="89"/>
      <c r="V731" s="84"/>
      <c r="W731" s="84"/>
      <c r="X731" s="84"/>
      <c r="Y731" s="84"/>
      <c r="Z731" s="84"/>
    </row>
    <row r="732" spans="1:26" ht="13">
      <c r="A732" s="83"/>
      <c r="B732" s="83"/>
      <c r="C732" s="83"/>
      <c r="D732" s="84"/>
      <c r="E732" s="84"/>
      <c r="F732" s="84"/>
      <c r="G732" s="83"/>
      <c r="H732" s="84"/>
      <c r="I732" s="84"/>
      <c r="J732" s="84"/>
      <c r="K732" s="84"/>
      <c r="L732" s="84"/>
      <c r="M732" s="84"/>
      <c r="N732" s="84"/>
      <c r="O732" s="84"/>
      <c r="P732" s="85"/>
      <c r="Q732" s="75"/>
      <c r="R732" s="75"/>
      <c r="S732" s="75"/>
      <c r="T732" s="75"/>
      <c r="U732" s="89"/>
      <c r="V732" s="84"/>
      <c r="W732" s="84"/>
      <c r="X732" s="84"/>
      <c r="Y732" s="84"/>
      <c r="Z732" s="84"/>
    </row>
    <row r="733" spans="1:26" ht="13">
      <c r="A733" s="83"/>
      <c r="B733" s="83"/>
      <c r="C733" s="83"/>
      <c r="D733" s="84"/>
      <c r="E733" s="84"/>
      <c r="F733" s="84"/>
      <c r="G733" s="83"/>
      <c r="H733" s="84"/>
      <c r="I733" s="84"/>
      <c r="J733" s="84"/>
      <c r="K733" s="84"/>
      <c r="L733" s="84"/>
      <c r="M733" s="84"/>
      <c r="N733" s="84"/>
      <c r="O733" s="84"/>
      <c r="P733" s="85"/>
      <c r="Q733" s="75"/>
      <c r="R733" s="75"/>
      <c r="S733" s="75"/>
      <c r="T733" s="75"/>
      <c r="U733" s="89"/>
      <c r="V733" s="84"/>
      <c r="W733" s="84"/>
      <c r="X733" s="84"/>
      <c r="Y733" s="84"/>
      <c r="Z733" s="84"/>
    </row>
    <row r="734" spans="1:26" ht="13">
      <c r="A734" s="83"/>
      <c r="B734" s="83"/>
      <c r="C734" s="83"/>
      <c r="D734" s="84"/>
      <c r="E734" s="84"/>
      <c r="F734" s="84"/>
      <c r="G734" s="83"/>
      <c r="H734" s="84"/>
      <c r="I734" s="84"/>
      <c r="J734" s="84"/>
      <c r="K734" s="84"/>
      <c r="L734" s="84"/>
      <c r="M734" s="84"/>
      <c r="N734" s="84"/>
      <c r="O734" s="84"/>
      <c r="P734" s="85"/>
      <c r="Q734" s="75"/>
      <c r="R734" s="75"/>
      <c r="S734" s="75"/>
      <c r="T734" s="75"/>
      <c r="U734" s="89"/>
      <c r="V734" s="84"/>
      <c r="W734" s="84"/>
      <c r="X734" s="84"/>
      <c r="Y734" s="84"/>
      <c r="Z734" s="84"/>
    </row>
    <row r="735" spans="1:26" ht="13">
      <c r="A735" s="83"/>
      <c r="B735" s="83"/>
      <c r="C735" s="83"/>
      <c r="D735" s="84"/>
      <c r="E735" s="84"/>
      <c r="F735" s="84"/>
      <c r="G735" s="83"/>
      <c r="H735" s="84"/>
      <c r="I735" s="84"/>
      <c r="J735" s="84"/>
      <c r="K735" s="84"/>
      <c r="L735" s="84"/>
      <c r="M735" s="84"/>
      <c r="N735" s="84"/>
      <c r="O735" s="84"/>
      <c r="P735" s="85"/>
      <c r="Q735" s="75"/>
      <c r="R735" s="75"/>
      <c r="S735" s="75"/>
      <c r="T735" s="75"/>
      <c r="U735" s="89"/>
      <c r="V735" s="84"/>
      <c r="W735" s="84"/>
      <c r="X735" s="84"/>
      <c r="Y735" s="84"/>
      <c r="Z735" s="84"/>
    </row>
    <row r="736" spans="1:26" ht="13">
      <c r="A736" s="83"/>
      <c r="B736" s="83"/>
      <c r="C736" s="83"/>
      <c r="D736" s="84"/>
      <c r="E736" s="84"/>
      <c r="F736" s="84"/>
      <c r="G736" s="83"/>
      <c r="H736" s="84"/>
      <c r="I736" s="84"/>
      <c r="J736" s="84"/>
      <c r="K736" s="84"/>
      <c r="L736" s="84"/>
      <c r="M736" s="84"/>
      <c r="N736" s="84"/>
      <c r="O736" s="84"/>
      <c r="P736" s="85"/>
      <c r="Q736" s="75"/>
      <c r="R736" s="75"/>
      <c r="S736" s="75"/>
      <c r="T736" s="75"/>
      <c r="U736" s="89"/>
      <c r="V736" s="84"/>
      <c r="W736" s="84"/>
      <c r="X736" s="84"/>
      <c r="Y736" s="84"/>
      <c r="Z736" s="84"/>
    </row>
    <row r="737" spans="1:26" ht="13">
      <c r="A737" s="83"/>
      <c r="B737" s="83"/>
      <c r="C737" s="83"/>
      <c r="D737" s="84"/>
      <c r="E737" s="84"/>
      <c r="F737" s="84"/>
      <c r="G737" s="83"/>
      <c r="H737" s="84"/>
      <c r="I737" s="84"/>
      <c r="J737" s="84"/>
      <c r="K737" s="84"/>
      <c r="L737" s="84"/>
      <c r="M737" s="84"/>
      <c r="N737" s="84"/>
      <c r="O737" s="84"/>
      <c r="P737" s="85"/>
      <c r="Q737" s="75"/>
      <c r="R737" s="75"/>
      <c r="S737" s="75"/>
      <c r="T737" s="75"/>
      <c r="U737" s="89"/>
      <c r="V737" s="84"/>
      <c r="W737" s="84"/>
      <c r="X737" s="84"/>
      <c r="Y737" s="84"/>
      <c r="Z737" s="84"/>
    </row>
    <row r="738" spans="1:26" ht="13">
      <c r="A738" s="83"/>
      <c r="B738" s="83"/>
      <c r="C738" s="83"/>
      <c r="D738" s="84"/>
      <c r="E738" s="84"/>
      <c r="F738" s="84"/>
      <c r="G738" s="83"/>
      <c r="H738" s="84"/>
      <c r="I738" s="84"/>
      <c r="J738" s="84"/>
      <c r="K738" s="84"/>
      <c r="L738" s="84"/>
      <c r="M738" s="84"/>
      <c r="N738" s="84"/>
      <c r="O738" s="84"/>
      <c r="P738" s="85"/>
      <c r="Q738" s="75"/>
      <c r="R738" s="75"/>
      <c r="S738" s="75"/>
      <c r="T738" s="75"/>
      <c r="U738" s="89"/>
      <c r="V738" s="84"/>
      <c r="W738" s="84"/>
      <c r="X738" s="84"/>
      <c r="Y738" s="84"/>
      <c r="Z738" s="84"/>
    </row>
    <row r="739" spans="1:26" ht="13">
      <c r="A739" s="83"/>
      <c r="B739" s="83"/>
      <c r="C739" s="83"/>
      <c r="D739" s="84"/>
      <c r="E739" s="84"/>
      <c r="F739" s="84"/>
      <c r="G739" s="83"/>
      <c r="H739" s="84"/>
      <c r="I739" s="84"/>
      <c r="J739" s="84"/>
      <c r="K739" s="84"/>
      <c r="L739" s="84"/>
      <c r="M739" s="84"/>
      <c r="N739" s="84"/>
      <c r="O739" s="84"/>
      <c r="P739" s="85"/>
      <c r="Q739" s="75"/>
      <c r="R739" s="75"/>
      <c r="S739" s="75"/>
      <c r="T739" s="75"/>
      <c r="U739" s="89"/>
      <c r="V739" s="84"/>
      <c r="W739" s="84"/>
      <c r="X739" s="84"/>
      <c r="Y739" s="84"/>
      <c r="Z739" s="84"/>
    </row>
    <row r="740" spans="1:26" ht="13">
      <c r="A740" s="83"/>
      <c r="B740" s="83"/>
      <c r="C740" s="83"/>
      <c r="D740" s="84"/>
      <c r="E740" s="84"/>
      <c r="F740" s="84"/>
      <c r="G740" s="83"/>
      <c r="H740" s="84"/>
      <c r="I740" s="84"/>
      <c r="J740" s="84"/>
      <c r="K740" s="84"/>
      <c r="L740" s="84"/>
      <c r="M740" s="84"/>
      <c r="N740" s="84"/>
      <c r="O740" s="84"/>
      <c r="P740" s="85"/>
      <c r="Q740" s="75"/>
      <c r="R740" s="75"/>
      <c r="S740" s="75"/>
      <c r="T740" s="75"/>
      <c r="U740" s="89"/>
      <c r="V740" s="84"/>
      <c r="W740" s="84"/>
      <c r="X740" s="84"/>
      <c r="Y740" s="84"/>
      <c r="Z740" s="84"/>
    </row>
    <row r="741" spans="1:26" ht="13">
      <c r="A741" s="83"/>
      <c r="B741" s="83"/>
      <c r="C741" s="83"/>
      <c r="D741" s="84"/>
      <c r="E741" s="84"/>
      <c r="F741" s="84"/>
      <c r="G741" s="83"/>
      <c r="H741" s="84"/>
      <c r="I741" s="84"/>
      <c r="J741" s="84"/>
      <c r="K741" s="84"/>
      <c r="L741" s="84"/>
      <c r="M741" s="84"/>
      <c r="N741" s="84"/>
      <c r="O741" s="84"/>
      <c r="P741" s="85"/>
      <c r="Q741" s="75"/>
      <c r="R741" s="75"/>
      <c r="S741" s="75"/>
      <c r="T741" s="75"/>
      <c r="U741" s="89"/>
      <c r="V741" s="84"/>
      <c r="W741" s="84"/>
      <c r="X741" s="84"/>
      <c r="Y741" s="84"/>
      <c r="Z741" s="84"/>
    </row>
    <row r="742" spans="1:26" ht="13">
      <c r="A742" s="83"/>
      <c r="B742" s="83"/>
      <c r="C742" s="83"/>
      <c r="D742" s="84"/>
      <c r="E742" s="84"/>
      <c r="F742" s="84"/>
      <c r="G742" s="83"/>
      <c r="H742" s="84"/>
      <c r="I742" s="84"/>
      <c r="J742" s="84"/>
      <c r="K742" s="84"/>
      <c r="L742" s="84"/>
      <c r="M742" s="84"/>
      <c r="N742" s="84"/>
      <c r="O742" s="84"/>
      <c r="P742" s="85"/>
      <c r="Q742" s="75"/>
      <c r="R742" s="75"/>
      <c r="S742" s="75"/>
      <c r="T742" s="75"/>
      <c r="U742" s="89"/>
      <c r="V742" s="84"/>
      <c r="W742" s="84"/>
      <c r="X742" s="84"/>
      <c r="Y742" s="84"/>
      <c r="Z742" s="84"/>
    </row>
    <row r="743" spans="1:26" ht="13">
      <c r="A743" s="83"/>
      <c r="B743" s="83"/>
      <c r="C743" s="83"/>
      <c r="D743" s="84"/>
      <c r="E743" s="84"/>
      <c r="F743" s="84"/>
      <c r="G743" s="83"/>
      <c r="H743" s="84"/>
      <c r="I743" s="84"/>
      <c r="J743" s="84"/>
      <c r="K743" s="84"/>
      <c r="L743" s="84"/>
      <c r="M743" s="84"/>
      <c r="N743" s="84"/>
      <c r="O743" s="84"/>
      <c r="P743" s="85"/>
      <c r="Q743" s="75"/>
      <c r="R743" s="75"/>
      <c r="S743" s="75"/>
      <c r="T743" s="75"/>
      <c r="U743" s="89"/>
      <c r="V743" s="84"/>
      <c r="W743" s="84"/>
      <c r="X743" s="84"/>
      <c r="Y743" s="84"/>
      <c r="Z743" s="84"/>
    </row>
    <row r="744" spans="1:26" ht="13">
      <c r="A744" s="83"/>
      <c r="B744" s="83"/>
      <c r="C744" s="83"/>
      <c r="D744" s="84"/>
      <c r="E744" s="84"/>
      <c r="F744" s="84"/>
      <c r="G744" s="83"/>
      <c r="H744" s="84"/>
      <c r="I744" s="84"/>
      <c r="J744" s="84"/>
      <c r="K744" s="84"/>
      <c r="L744" s="84"/>
      <c r="M744" s="84"/>
      <c r="N744" s="84"/>
      <c r="O744" s="84"/>
      <c r="P744" s="85"/>
      <c r="Q744" s="75"/>
      <c r="R744" s="75"/>
      <c r="S744" s="75"/>
      <c r="T744" s="75"/>
      <c r="U744" s="89"/>
      <c r="V744" s="84"/>
      <c r="W744" s="84"/>
      <c r="X744" s="84"/>
      <c r="Y744" s="84"/>
      <c r="Z744" s="84"/>
    </row>
    <row r="745" spans="1:26" ht="13">
      <c r="A745" s="83"/>
      <c r="B745" s="83"/>
      <c r="C745" s="83"/>
      <c r="D745" s="84"/>
      <c r="E745" s="84"/>
      <c r="F745" s="84"/>
      <c r="G745" s="83"/>
      <c r="H745" s="84"/>
      <c r="I745" s="84"/>
      <c r="J745" s="84"/>
      <c r="K745" s="84"/>
      <c r="L745" s="84"/>
      <c r="M745" s="84"/>
      <c r="N745" s="84"/>
      <c r="O745" s="84"/>
      <c r="P745" s="85"/>
      <c r="Q745" s="75"/>
      <c r="R745" s="75"/>
      <c r="S745" s="75"/>
      <c r="T745" s="75"/>
      <c r="U745" s="89"/>
      <c r="V745" s="84"/>
      <c r="W745" s="84"/>
      <c r="X745" s="84"/>
      <c r="Y745" s="84"/>
      <c r="Z745" s="84"/>
    </row>
    <row r="746" spans="1:26" ht="13">
      <c r="A746" s="83"/>
      <c r="B746" s="83"/>
      <c r="C746" s="83"/>
      <c r="D746" s="84"/>
      <c r="E746" s="84"/>
      <c r="F746" s="84"/>
      <c r="G746" s="83"/>
      <c r="H746" s="84"/>
      <c r="I746" s="84"/>
      <c r="J746" s="84"/>
      <c r="K746" s="84"/>
      <c r="L746" s="84"/>
      <c r="M746" s="84"/>
      <c r="N746" s="84"/>
      <c r="O746" s="84"/>
      <c r="P746" s="85"/>
      <c r="Q746" s="75"/>
      <c r="R746" s="75"/>
      <c r="S746" s="75"/>
      <c r="T746" s="75"/>
      <c r="U746" s="89"/>
      <c r="V746" s="84"/>
      <c r="W746" s="84"/>
      <c r="X746" s="84"/>
      <c r="Y746" s="84"/>
      <c r="Z746" s="84"/>
    </row>
    <row r="747" spans="1:26" ht="13">
      <c r="A747" s="83"/>
      <c r="B747" s="83"/>
      <c r="C747" s="83"/>
      <c r="D747" s="84"/>
      <c r="E747" s="84"/>
      <c r="F747" s="84"/>
      <c r="G747" s="83"/>
      <c r="H747" s="84"/>
      <c r="I747" s="84"/>
      <c r="J747" s="84"/>
      <c r="K747" s="84"/>
      <c r="L747" s="84"/>
      <c r="M747" s="84"/>
      <c r="N747" s="84"/>
      <c r="O747" s="84"/>
      <c r="P747" s="85"/>
      <c r="Q747" s="75"/>
      <c r="R747" s="75"/>
      <c r="S747" s="75"/>
      <c r="T747" s="75"/>
      <c r="U747" s="89"/>
      <c r="V747" s="84"/>
      <c r="W747" s="84"/>
      <c r="X747" s="84"/>
      <c r="Y747" s="84"/>
      <c r="Z747" s="84"/>
    </row>
    <row r="748" spans="1:26" ht="13">
      <c r="A748" s="83"/>
      <c r="B748" s="83"/>
      <c r="C748" s="83"/>
      <c r="D748" s="84"/>
      <c r="E748" s="84"/>
      <c r="F748" s="84"/>
      <c r="G748" s="83"/>
      <c r="H748" s="84"/>
      <c r="I748" s="84"/>
      <c r="J748" s="84"/>
      <c r="K748" s="84"/>
      <c r="L748" s="84"/>
      <c r="M748" s="84"/>
      <c r="N748" s="84"/>
      <c r="O748" s="84"/>
      <c r="P748" s="85"/>
      <c r="Q748" s="75"/>
      <c r="R748" s="75"/>
      <c r="S748" s="75"/>
      <c r="T748" s="75"/>
      <c r="U748" s="89"/>
      <c r="V748" s="84"/>
      <c r="W748" s="84"/>
      <c r="X748" s="84"/>
      <c r="Y748" s="84"/>
      <c r="Z748" s="84"/>
    </row>
    <row r="749" spans="1:26" ht="13">
      <c r="A749" s="83"/>
      <c r="B749" s="83"/>
      <c r="C749" s="83"/>
      <c r="D749" s="84"/>
      <c r="E749" s="84"/>
      <c r="F749" s="84"/>
      <c r="G749" s="83"/>
      <c r="H749" s="84"/>
      <c r="I749" s="84"/>
      <c r="J749" s="84"/>
      <c r="K749" s="84"/>
      <c r="L749" s="84"/>
      <c r="M749" s="84"/>
      <c r="N749" s="84"/>
      <c r="O749" s="84"/>
      <c r="P749" s="85"/>
      <c r="Q749" s="75"/>
      <c r="R749" s="75"/>
      <c r="S749" s="75"/>
      <c r="T749" s="75"/>
      <c r="U749" s="89"/>
      <c r="V749" s="84"/>
      <c r="W749" s="84"/>
      <c r="X749" s="84"/>
      <c r="Y749" s="84"/>
      <c r="Z749" s="84"/>
    </row>
    <row r="750" spans="1:26" ht="13">
      <c r="A750" s="83"/>
      <c r="B750" s="83"/>
      <c r="C750" s="83"/>
      <c r="D750" s="84"/>
      <c r="E750" s="84"/>
      <c r="F750" s="84"/>
      <c r="G750" s="83"/>
      <c r="H750" s="84"/>
      <c r="I750" s="84"/>
      <c r="J750" s="84"/>
      <c r="K750" s="84"/>
      <c r="L750" s="84"/>
      <c r="M750" s="84"/>
      <c r="N750" s="84"/>
      <c r="O750" s="84"/>
      <c r="P750" s="85"/>
      <c r="Q750" s="75"/>
      <c r="R750" s="75"/>
      <c r="S750" s="75"/>
      <c r="T750" s="75"/>
      <c r="U750" s="89"/>
      <c r="V750" s="84"/>
      <c r="W750" s="84"/>
      <c r="X750" s="84"/>
      <c r="Y750" s="84"/>
      <c r="Z750" s="84"/>
    </row>
    <row r="751" spans="1:26" ht="13">
      <c r="A751" s="83"/>
      <c r="B751" s="83"/>
      <c r="C751" s="83"/>
      <c r="D751" s="84"/>
      <c r="E751" s="84"/>
      <c r="F751" s="84"/>
      <c r="G751" s="83"/>
      <c r="H751" s="84"/>
      <c r="I751" s="84"/>
      <c r="J751" s="84"/>
      <c r="K751" s="84"/>
      <c r="L751" s="84"/>
      <c r="M751" s="84"/>
      <c r="N751" s="84"/>
      <c r="O751" s="84"/>
      <c r="P751" s="85"/>
      <c r="Q751" s="75"/>
      <c r="R751" s="75"/>
      <c r="S751" s="75"/>
      <c r="T751" s="75"/>
      <c r="U751" s="89"/>
      <c r="V751" s="84"/>
      <c r="W751" s="84"/>
      <c r="X751" s="84"/>
      <c r="Y751" s="84"/>
      <c r="Z751" s="84"/>
    </row>
    <row r="752" spans="1:26" ht="13">
      <c r="A752" s="83"/>
      <c r="B752" s="83"/>
      <c r="C752" s="83"/>
      <c r="D752" s="84"/>
      <c r="E752" s="84"/>
      <c r="F752" s="84"/>
      <c r="G752" s="83"/>
      <c r="H752" s="84"/>
      <c r="I752" s="84"/>
      <c r="J752" s="84"/>
      <c r="K752" s="84"/>
      <c r="L752" s="84"/>
      <c r="M752" s="84"/>
      <c r="N752" s="84"/>
      <c r="O752" s="84"/>
      <c r="P752" s="85"/>
      <c r="Q752" s="75"/>
      <c r="R752" s="75"/>
      <c r="S752" s="75"/>
      <c r="T752" s="75"/>
      <c r="U752" s="89"/>
      <c r="V752" s="84"/>
      <c r="W752" s="84"/>
      <c r="X752" s="84"/>
      <c r="Y752" s="84"/>
      <c r="Z752" s="84"/>
    </row>
    <row r="753" spans="1:26" ht="13">
      <c r="A753" s="83"/>
      <c r="B753" s="83"/>
      <c r="C753" s="83"/>
      <c r="D753" s="84"/>
      <c r="E753" s="84"/>
      <c r="F753" s="84"/>
      <c r="G753" s="83"/>
      <c r="H753" s="84"/>
      <c r="I753" s="84"/>
      <c r="J753" s="84"/>
      <c r="K753" s="84"/>
      <c r="L753" s="84"/>
      <c r="M753" s="84"/>
      <c r="N753" s="84"/>
      <c r="O753" s="84"/>
      <c r="P753" s="85"/>
      <c r="Q753" s="75"/>
      <c r="R753" s="75"/>
      <c r="S753" s="75"/>
      <c r="T753" s="75"/>
      <c r="U753" s="89"/>
      <c r="V753" s="84"/>
      <c r="W753" s="84"/>
      <c r="X753" s="84"/>
      <c r="Y753" s="84"/>
      <c r="Z753" s="84"/>
    </row>
    <row r="754" spans="1:26" ht="13">
      <c r="A754" s="83"/>
      <c r="B754" s="83"/>
      <c r="C754" s="83"/>
      <c r="D754" s="84"/>
      <c r="E754" s="84"/>
      <c r="F754" s="84"/>
      <c r="G754" s="83"/>
      <c r="H754" s="84"/>
      <c r="I754" s="84"/>
      <c r="J754" s="84"/>
      <c r="K754" s="84"/>
      <c r="L754" s="84"/>
      <c r="M754" s="84"/>
      <c r="N754" s="84"/>
      <c r="O754" s="84"/>
      <c r="P754" s="85"/>
      <c r="Q754" s="75"/>
      <c r="R754" s="75"/>
      <c r="S754" s="75"/>
      <c r="T754" s="75"/>
      <c r="U754" s="89"/>
      <c r="V754" s="84"/>
      <c r="W754" s="84"/>
      <c r="X754" s="84"/>
      <c r="Y754" s="84"/>
      <c r="Z754" s="84"/>
    </row>
    <row r="755" spans="1:26" ht="13">
      <c r="A755" s="83"/>
      <c r="B755" s="83"/>
      <c r="C755" s="83"/>
      <c r="D755" s="84"/>
      <c r="E755" s="84"/>
      <c r="F755" s="84"/>
      <c r="G755" s="83"/>
      <c r="H755" s="84"/>
      <c r="I755" s="84"/>
      <c r="J755" s="84"/>
      <c r="K755" s="84"/>
      <c r="L755" s="84"/>
      <c r="M755" s="84"/>
      <c r="N755" s="84"/>
      <c r="O755" s="84"/>
      <c r="P755" s="85"/>
      <c r="Q755" s="75"/>
      <c r="R755" s="75"/>
      <c r="S755" s="75"/>
      <c r="T755" s="75"/>
      <c r="U755" s="89"/>
      <c r="V755" s="84"/>
      <c r="W755" s="84"/>
      <c r="X755" s="84"/>
      <c r="Y755" s="84"/>
      <c r="Z755" s="84"/>
    </row>
    <row r="756" spans="1:26" ht="13">
      <c r="A756" s="83"/>
      <c r="B756" s="83"/>
      <c r="C756" s="83"/>
      <c r="D756" s="84"/>
      <c r="E756" s="84"/>
      <c r="F756" s="84"/>
      <c r="G756" s="83"/>
      <c r="H756" s="84"/>
      <c r="I756" s="84"/>
      <c r="J756" s="84"/>
      <c r="K756" s="84"/>
      <c r="L756" s="84"/>
      <c r="M756" s="84"/>
      <c r="N756" s="84"/>
      <c r="O756" s="84"/>
      <c r="P756" s="85"/>
      <c r="Q756" s="75"/>
      <c r="R756" s="75"/>
      <c r="S756" s="75"/>
      <c r="T756" s="75"/>
      <c r="U756" s="89"/>
      <c r="V756" s="84"/>
      <c r="W756" s="84"/>
      <c r="X756" s="84"/>
      <c r="Y756" s="84"/>
      <c r="Z756" s="84"/>
    </row>
    <row r="757" spans="1:26" ht="13">
      <c r="A757" s="83"/>
      <c r="B757" s="83"/>
      <c r="C757" s="83"/>
      <c r="D757" s="84"/>
      <c r="E757" s="84"/>
      <c r="F757" s="84"/>
      <c r="G757" s="83"/>
      <c r="H757" s="84"/>
      <c r="I757" s="84"/>
      <c r="J757" s="84"/>
      <c r="K757" s="84"/>
      <c r="L757" s="84"/>
      <c r="M757" s="84"/>
      <c r="N757" s="84"/>
      <c r="O757" s="84"/>
      <c r="P757" s="85"/>
      <c r="Q757" s="75"/>
      <c r="R757" s="75"/>
      <c r="S757" s="75"/>
      <c r="T757" s="75"/>
      <c r="U757" s="89"/>
      <c r="V757" s="84"/>
      <c r="W757" s="84"/>
      <c r="X757" s="84"/>
      <c r="Y757" s="84"/>
      <c r="Z757" s="84"/>
    </row>
    <row r="758" spans="1:26" ht="13">
      <c r="A758" s="83"/>
      <c r="B758" s="83"/>
      <c r="C758" s="83"/>
      <c r="D758" s="84"/>
      <c r="E758" s="84"/>
      <c r="F758" s="84"/>
      <c r="G758" s="83"/>
      <c r="H758" s="84"/>
      <c r="I758" s="84"/>
      <c r="J758" s="84"/>
      <c r="K758" s="84"/>
      <c r="L758" s="84"/>
      <c r="M758" s="84"/>
      <c r="N758" s="84"/>
      <c r="O758" s="84"/>
      <c r="P758" s="85"/>
      <c r="Q758" s="75"/>
      <c r="R758" s="75"/>
      <c r="S758" s="75"/>
      <c r="T758" s="75"/>
      <c r="U758" s="89"/>
      <c r="V758" s="84"/>
      <c r="W758" s="84"/>
      <c r="X758" s="84"/>
      <c r="Y758" s="84"/>
      <c r="Z758" s="84"/>
    </row>
    <row r="759" spans="1:26" ht="13">
      <c r="A759" s="83"/>
      <c r="B759" s="83"/>
      <c r="C759" s="83"/>
      <c r="D759" s="84"/>
      <c r="E759" s="84"/>
      <c r="F759" s="84"/>
      <c r="G759" s="83"/>
      <c r="H759" s="84"/>
      <c r="I759" s="84"/>
      <c r="J759" s="84"/>
      <c r="K759" s="84"/>
      <c r="L759" s="84"/>
      <c r="M759" s="84"/>
      <c r="N759" s="84"/>
      <c r="O759" s="84"/>
      <c r="P759" s="85"/>
      <c r="Q759" s="75"/>
      <c r="R759" s="75"/>
      <c r="S759" s="75"/>
      <c r="T759" s="75"/>
      <c r="U759" s="89"/>
      <c r="V759" s="84"/>
      <c r="W759" s="84"/>
      <c r="X759" s="84"/>
      <c r="Y759" s="84"/>
      <c r="Z759" s="84"/>
    </row>
    <row r="760" spans="1:26" ht="13">
      <c r="A760" s="83"/>
      <c r="B760" s="83"/>
      <c r="C760" s="83"/>
      <c r="D760" s="84"/>
      <c r="E760" s="84"/>
      <c r="F760" s="84"/>
      <c r="G760" s="83"/>
      <c r="H760" s="84"/>
      <c r="I760" s="84"/>
      <c r="J760" s="84"/>
      <c r="K760" s="84"/>
      <c r="L760" s="84"/>
      <c r="M760" s="84"/>
      <c r="N760" s="84"/>
      <c r="O760" s="84"/>
      <c r="P760" s="85"/>
      <c r="Q760" s="75"/>
      <c r="R760" s="75"/>
      <c r="S760" s="75"/>
      <c r="T760" s="75"/>
      <c r="U760" s="89"/>
      <c r="V760" s="84"/>
      <c r="W760" s="84"/>
      <c r="X760" s="84"/>
      <c r="Y760" s="84"/>
      <c r="Z760" s="84"/>
    </row>
    <row r="761" spans="1:26" ht="13">
      <c r="A761" s="83"/>
      <c r="B761" s="83"/>
      <c r="C761" s="83"/>
      <c r="D761" s="84"/>
      <c r="E761" s="84"/>
      <c r="F761" s="84"/>
      <c r="G761" s="83"/>
      <c r="H761" s="84"/>
      <c r="I761" s="84"/>
      <c r="J761" s="84"/>
      <c r="K761" s="84"/>
      <c r="L761" s="84"/>
      <c r="M761" s="84"/>
      <c r="N761" s="84"/>
      <c r="O761" s="84"/>
      <c r="P761" s="85"/>
      <c r="Q761" s="75"/>
      <c r="R761" s="75"/>
      <c r="S761" s="75"/>
      <c r="T761" s="75"/>
      <c r="U761" s="89"/>
      <c r="V761" s="84"/>
      <c r="W761" s="84"/>
      <c r="X761" s="84"/>
      <c r="Y761" s="84"/>
      <c r="Z761" s="84"/>
    </row>
    <row r="762" spans="1:26" ht="13">
      <c r="A762" s="83"/>
      <c r="B762" s="83"/>
      <c r="C762" s="83"/>
      <c r="D762" s="84"/>
      <c r="E762" s="84"/>
      <c r="F762" s="84"/>
      <c r="G762" s="83"/>
      <c r="H762" s="84"/>
      <c r="I762" s="84"/>
      <c r="J762" s="84"/>
      <c r="K762" s="84"/>
      <c r="L762" s="84"/>
      <c r="M762" s="84"/>
      <c r="N762" s="84"/>
      <c r="O762" s="84"/>
      <c r="P762" s="85"/>
      <c r="Q762" s="75"/>
      <c r="R762" s="75"/>
      <c r="S762" s="75"/>
      <c r="T762" s="75"/>
      <c r="U762" s="89"/>
      <c r="V762" s="84"/>
      <c r="W762" s="84"/>
      <c r="X762" s="84"/>
      <c r="Y762" s="84"/>
      <c r="Z762" s="84"/>
    </row>
    <row r="763" spans="1:26" ht="13">
      <c r="A763" s="83"/>
      <c r="B763" s="83"/>
      <c r="C763" s="83"/>
      <c r="D763" s="84"/>
      <c r="E763" s="84"/>
      <c r="F763" s="84"/>
      <c r="G763" s="83"/>
      <c r="H763" s="84"/>
      <c r="I763" s="84"/>
      <c r="J763" s="84"/>
      <c r="K763" s="84"/>
      <c r="L763" s="84"/>
      <c r="M763" s="84"/>
      <c r="N763" s="84"/>
      <c r="O763" s="84"/>
      <c r="P763" s="85"/>
      <c r="Q763" s="75"/>
      <c r="R763" s="75"/>
      <c r="S763" s="75"/>
      <c r="T763" s="75"/>
      <c r="U763" s="89"/>
      <c r="V763" s="84"/>
      <c r="W763" s="84"/>
      <c r="X763" s="84"/>
      <c r="Y763" s="84"/>
      <c r="Z763" s="84"/>
    </row>
    <row r="764" spans="1:26" ht="13">
      <c r="A764" s="83"/>
      <c r="B764" s="83"/>
      <c r="C764" s="83"/>
      <c r="D764" s="84"/>
      <c r="E764" s="84"/>
      <c r="F764" s="84"/>
      <c r="G764" s="83"/>
      <c r="H764" s="84"/>
      <c r="I764" s="84"/>
      <c r="J764" s="84"/>
      <c r="K764" s="84"/>
      <c r="L764" s="84"/>
      <c r="M764" s="84"/>
      <c r="N764" s="84"/>
      <c r="O764" s="84"/>
      <c r="P764" s="85"/>
      <c r="Q764" s="75"/>
      <c r="R764" s="75"/>
      <c r="S764" s="75"/>
      <c r="T764" s="75"/>
      <c r="U764" s="89"/>
      <c r="V764" s="84"/>
      <c r="W764" s="84"/>
      <c r="X764" s="84"/>
      <c r="Y764" s="84"/>
      <c r="Z764" s="84"/>
    </row>
    <row r="765" spans="1:26" ht="13">
      <c r="A765" s="83"/>
      <c r="B765" s="83"/>
      <c r="C765" s="83"/>
      <c r="D765" s="84"/>
      <c r="E765" s="84"/>
      <c r="F765" s="84"/>
      <c r="G765" s="83"/>
      <c r="H765" s="84"/>
      <c r="I765" s="84"/>
      <c r="J765" s="84"/>
      <c r="K765" s="84"/>
      <c r="L765" s="84"/>
      <c r="M765" s="84"/>
      <c r="N765" s="84"/>
      <c r="O765" s="84"/>
      <c r="P765" s="85"/>
      <c r="Q765" s="75"/>
      <c r="R765" s="75"/>
      <c r="S765" s="75"/>
      <c r="T765" s="75"/>
      <c r="U765" s="89"/>
      <c r="V765" s="84"/>
      <c r="W765" s="84"/>
      <c r="X765" s="84"/>
      <c r="Y765" s="84"/>
      <c r="Z765" s="84"/>
    </row>
    <row r="766" spans="1:26" ht="13">
      <c r="A766" s="83"/>
      <c r="B766" s="83"/>
      <c r="C766" s="83"/>
      <c r="D766" s="84"/>
      <c r="E766" s="84"/>
      <c r="F766" s="84"/>
      <c r="G766" s="83"/>
      <c r="H766" s="84"/>
      <c r="I766" s="84"/>
      <c r="J766" s="84"/>
      <c r="K766" s="84"/>
      <c r="L766" s="84"/>
      <c r="M766" s="84"/>
      <c r="N766" s="84"/>
      <c r="O766" s="84"/>
      <c r="P766" s="85"/>
      <c r="Q766" s="75"/>
      <c r="R766" s="75"/>
      <c r="S766" s="75"/>
      <c r="T766" s="75"/>
      <c r="U766" s="89"/>
      <c r="V766" s="84"/>
      <c r="W766" s="84"/>
      <c r="X766" s="84"/>
      <c r="Y766" s="84"/>
      <c r="Z766" s="84"/>
    </row>
    <row r="767" spans="1:26" ht="13">
      <c r="A767" s="83"/>
      <c r="B767" s="83"/>
      <c r="C767" s="83"/>
      <c r="D767" s="84"/>
      <c r="E767" s="84"/>
      <c r="F767" s="84"/>
      <c r="G767" s="83"/>
      <c r="H767" s="84"/>
      <c r="I767" s="84"/>
      <c r="J767" s="84"/>
      <c r="K767" s="84"/>
      <c r="L767" s="84"/>
      <c r="M767" s="84"/>
      <c r="N767" s="84"/>
      <c r="O767" s="84"/>
      <c r="P767" s="85"/>
      <c r="Q767" s="75"/>
      <c r="R767" s="75"/>
      <c r="S767" s="75"/>
      <c r="T767" s="75"/>
      <c r="U767" s="89"/>
      <c r="V767" s="84"/>
      <c r="W767" s="84"/>
      <c r="X767" s="84"/>
      <c r="Y767" s="84"/>
      <c r="Z767" s="84"/>
    </row>
    <row r="768" spans="1:26" ht="13">
      <c r="A768" s="83"/>
      <c r="B768" s="83"/>
      <c r="C768" s="83"/>
      <c r="D768" s="84"/>
      <c r="E768" s="84"/>
      <c r="F768" s="84"/>
      <c r="G768" s="83"/>
      <c r="H768" s="84"/>
      <c r="I768" s="84"/>
      <c r="J768" s="84"/>
      <c r="K768" s="84"/>
      <c r="L768" s="84"/>
      <c r="M768" s="84"/>
      <c r="N768" s="84"/>
      <c r="O768" s="84"/>
      <c r="P768" s="85"/>
      <c r="Q768" s="75"/>
      <c r="R768" s="75"/>
      <c r="S768" s="75"/>
      <c r="T768" s="75"/>
      <c r="U768" s="89"/>
      <c r="V768" s="84"/>
      <c r="W768" s="84"/>
      <c r="X768" s="84"/>
      <c r="Y768" s="84"/>
      <c r="Z768" s="84"/>
    </row>
    <row r="769" spans="1:26" ht="13">
      <c r="A769" s="83"/>
      <c r="B769" s="83"/>
      <c r="C769" s="83"/>
      <c r="D769" s="84"/>
      <c r="E769" s="84"/>
      <c r="F769" s="84"/>
      <c r="G769" s="83"/>
      <c r="H769" s="84"/>
      <c r="I769" s="84"/>
      <c r="J769" s="84"/>
      <c r="K769" s="84"/>
      <c r="L769" s="84"/>
      <c r="M769" s="84"/>
      <c r="N769" s="84"/>
      <c r="O769" s="84"/>
      <c r="P769" s="85"/>
      <c r="Q769" s="75"/>
      <c r="R769" s="75"/>
      <c r="S769" s="75"/>
      <c r="T769" s="75"/>
      <c r="U769" s="89"/>
      <c r="V769" s="84"/>
      <c r="W769" s="84"/>
      <c r="X769" s="84"/>
      <c r="Y769" s="84"/>
      <c r="Z769" s="84"/>
    </row>
    <row r="770" spans="1:26" ht="13">
      <c r="A770" s="83"/>
      <c r="B770" s="83"/>
      <c r="C770" s="83"/>
      <c r="D770" s="84"/>
      <c r="E770" s="84"/>
      <c r="F770" s="84"/>
      <c r="G770" s="83"/>
      <c r="H770" s="84"/>
      <c r="I770" s="84"/>
      <c r="J770" s="84"/>
      <c r="K770" s="84"/>
      <c r="L770" s="84"/>
      <c r="M770" s="84"/>
      <c r="N770" s="84"/>
      <c r="O770" s="84"/>
      <c r="P770" s="85"/>
      <c r="Q770" s="75"/>
      <c r="R770" s="75"/>
      <c r="S770" s="75"/>
      <c r="T770" s="75"/>
      <c r="U770" s="89"/>
      <c r="V770" s="84"/>
      <c r="W770" s="84"/>
      <c r="X770" s="84"/>
      <c r="Y770" s="84"/>
      <c r="Z770" s="84"/>
    </row>
    <row r="771" spans="1:26" ht="13">
      <c r="A771" s="83"/>
      <c r="B771" s="83"/>
      <c r="C771" s="83"/>
      <c r="D771" s="84"/>
      <c r="E771" s="84"/>
      <c r="F771" s="84"/>
      <c r="G771" s="83"/>
      <c r="H771" s="84"/>
      <c r="I771" s="84"/>
      <c r="J771" s="84"/>
      <c r="K771" s="84"/>
      <c r="L771" s="84"/>
      <c r="M771" s="84"/>
      <c r="N771" s="84"/>
      <c r="O771" s="84"/>
      <c r="P771" s="85"/>
      <c r="Q771" s="75"/>
      <c r="R771" s="75"/>
      <c r="S771" s="75"/>
      <c r="T771" s="75"/>
      <c r="U771" s="89"/>
      <c r="V771" s="84"/>
      <c r="W771" s="84"/>
      <c r="X771" s="84"/>
      <c r="Y771" s="84"/>
      <c r="Z771" s="84"/>
    </row>
    <row r="772" spans="1:26" ht="13">
      <c r="A772" s="83"/>
      <c r="B772" s="83"/>
      <c r="C772" s="83"/>
      <c r="D772" s="84"/>
      <c r="E772" s="84"/>
      <c r="F772" s="84"/>
      <c r="G772" s="83"/>
      <c r="H772" s="84"/>
      <c r="I772" s="84"/>
      <c r="J772" s="84"/>
      <c r="K772" s="84"/>
      <c r="L772" s="84"/>
      <c r="M772" s="84"/>
      <c r="N772" s="84"/>
      <c r="O772" s="84"/>
      <c r="P772" s="85"/>
      <c r="Q772" s="75"/>
      <c r="R772" s="75"/>
      <c r="S772" s="75"/>
      <c r="T772" s="75"/>
      <c r="U772" s="89"/>
      <c r="V772" s="84"/>
      <c r="W772" s="84"/>
      <c r="X772" s="84"/>
      <c r="Y772" s="84"/>
      <c r="Z772" s="84"/>
    </row>
    <row r="773" spans="1:26" ht="13">
      <c r="A773" s="83"/>
      <c r="B773" s="83"/>
      <c r="C773" s="83"/>
      <c r="D773" s="84"/>
      <c r="E773" s="84"/>
      <c r="F773" s="84"/>
      <c r="G773" s="83"/>
      <c r="H773" s="84"/>
      <c r="I773" s="84"/>
      <c r="J773" s="84"/>
      <c r="K773" s="84"/>
      <c r="L773" s="84"/>
      <c r="M773" s="84"/>
      <c r="N773" s="84"/>
      <c r="O773" s="84"/>
      <c r="P773" s="85"/>
      <c r="Q773" s="75"/>
      <c r="R773" s="75"/>
      <c r="S773" s="75"/>
      <c r="T773" s="75"/>
      <c r="U773" s="89"/>
      <c r="V773" s="84"/>
      <c r="W773" s="84"/>
      <c r="X773" s="84"/>
      <c r="Y773" s="84"/>
      <c r="Z773" s="84"/>
    </row>
    <row r="774" spans="1:26" ht="13">
      <c r="A774" s="83"/>
      <c r="B774" s="83"/>
      <c r="C774" s="83"/>
      <c r="D774" s="84"/>
      <c r="E774" s="84"/>
      <c r="F774" s="84"/>
      <c r="G774" s="83"/>
      <c r="H774" s="84"/>
      <c r="I774" s="84"/>
      <c r="J774" s="84"/>
      <c r="K774" s="84"/>
      <c r="L774" s="84"/>
      <c r="M774" s="84"/>
      <c r="N774" s="84"/>
      <c r="O774" s="84"/>
      <c r="P774" s="85"/>
      <c r="Q774" s="75"/>
      <c r="R774" s="75"/>
      <c r="S774" s="75"/>
      <c r="T774" s="75"/>
      <c r="U774" s="89"/>
      <c r="V774" s="84"/>
      <c r="W774" s="84"/>
      <c r="X774" s="84"/>
      <c r="Y774" s="84"/>
      <c r="Z774" s="84"/>
    </row>
    <row r="775" spans="1:26" ht="13">
      <c r="A775" s="83"/>
      <c r="B775" s="83"/>
      <c r="C775" s="83"/>
      <c r="D775" s="84"/>
      <c r="E775" s="84"/>
      <c r="F775" s="84"/>
      <c r="G775" s="83"/>
      <c r="H775" s="84"/>
      <c r="I775" s="84"/>
      <c r="J775" s="84"/>
      <c r="K775" s="84"/>
      <c r="L775" s="84"/>
      <c r="M775" s="84"/>
      <c r="N775" s="84"/>
      <c r="O775" s="84"/>
      <c r="P775" s="85"/>
      <c r="Q775" s="75"/>
      <c r="R775" s="75"/>
      <c r="S775" s="75"/>
      <c r="T775" s="75"/>
      <c r="U775" s="89"/>
      <c r="V775" s="84"/>
      <c r="W775" s="84"/>
      <c r="X775" s="84"/>
      <c r="Y775" s="84"/>
      <c r="Z775" s="84"/>
    </row>
    <row r="776" spans="1:26" ht="13">
      <c r="A776" s="83"/>
      <c r="B776" s="83"/>
      <c r="C776" s="83"/>
      <c r="D776" s="84"/>
      <c r="E776" s="84"/>
      <c r="F776" s="84"/>
      <c r="G776" s="83"/>
      <c r="H776" s="84"/>
      <c r="I776" s="84"/>
      <c r="J776" s="84"/>
      <c r="K776" s="84"/>
      <c r="L776" s="84"/>
      <c r="M776" s="84"/>
      <c r="N776" s="84"/>
      <c r="O776" s="84"/>
      <c r="P776" s="85"/>
      <c r="Q776" s="75"/>
      <c r="R776" s="75"/>
      <c r="S776" s="75"/>
      <c r="T776" s="75"/>
      <c r="U776" s="89"/>
      <c r="V776" s="84"/>
      <c r="W776" s="84"/>
      <c r="X776" s="84"/>
      <c r="Y776" s="84"/>
      <c r="Z776" s="84"/>
    </row>
    <row r="777" spans="1:26" ht="13">
      <c r="A777" s="83"/>
      <c r="B777" s="83"/>
      <c r="C777" s="83"/>
      <c r="D777" s="84"/>
      <c r="E777" s="84"/>
      <c r="F777" s="84"/>
      <c r="G777" s="83"/>
      <c r="H777" s="84"/>
      <c r="I777" s="84"/>
      <c r="J777" s="84"/>
      <c r="K777" s="84"/>
      <c r="L777" s="84"/>
      <c r="M777" s="84"/>
      <c r="N777" s="84"/>
      <c r="O777" s="84"/>
      <c r="P777" s="85"/>
      <c r="Q777" s="75"/>
      <c r="R777" s="75"/>
      <c r="S777" s="75"/>
      <c r="T777" s="75"/>
      <c r="U777" s="89"/>
      <c r="V777" s="84"/>
      <c r="W777" s="84"/>
      <c r="X777" s="84"/>
      <c r="Y777" s="84"/>
      <c r="Z777" s="84"/>
    </row>
    <row r="778" spans="1:26" ht="13">
      <c r="A778" s="83"/>
      <c r="B778" s="83"/>
      <c r="C778" s="83"/>
      <c r="D778" s="84"/>
      <c r="E778" s="84"/>
      <c r="F778" s="84"/>
      <c r="G778" s="83"/>
      <c r="H778" s="84"/>
      <c r="I778" s="84"/>
      <c r="J778" s="84"/>
      <c r="K778" s="84"/>
      <c r="L778" s="84"/>
      <c r="M778" s="84"/>
      <c r="N778" s="84"/>
      <c r="O778" s="84"/>
      <c r="P778" s="85"/>
      <c r="Q778" s="75"/>
      <c r="R778" s="75"/>
      <c r="S778" s="75"/>
      <c r="T778" s="75"/>
      <c r="U778" s="89"/>
      <c r="V778" s="84"/>
      <c r="W778" s="84"/>
      <c r="X778" s="84"/>
      <c r="Y778" s="84"/>
      <c r="Z778" s="84"/>
    </row>
    <row r="779" spans="1:26" ht="13">
      <c r="A779" s="83"/>
      <c r="B779" s="83"/>
      <c r="C779" s="83"/>
      <c r="D779" s="84"/>
      <c r="E779" s="84"/>
      <c r="F779" s="84"/>
      <c r="G779" s="83"/>
      <c r="H779" s="84"/>
      <c r="I779" s="84"/>
      <c r="J779" s="84"/>
      <c r="K779" s="84"/>
      <c r="L779" s="84"/>
      <c r="M779" s="84"/>
      <c r="N779" s="84"/>
      <c r="O779" s="84"/>
      <c r="P779" s="85"/>
      <c r="Q779" s="75"/>
      <c r="R779" s="75"/>
      <c r="S779" s="75"/>
      <c r="T779" s="75"/>
      <c r="U779" s="89"/>
      <c r="V779" s="84"/>
      <c r="W779" s="84"/>
      <c r="X779" s="84"/>
      <c r="Y779" s="84"/>
      <c r="Z779" s="84"/>
    </row>
    <row r="780" spans="1:26" ht="13">
      <c r="A780" s="83"/>
      <c r="B780" s="83"/>
      <c r="C780" s="83"/>
      <c r="D780" s="84"/>
      <c r="E780" s="84"/>
      <c r="F780" s="84"/>
      <c r="G780" s="83"/>
      <c r="H780" s="84"/>
      <c r="I780" s="84"/>
      <c r="J780" s="84"/>
      <c r="K780" s="84"/>
      <c r="L780" s="84"/>
      <c r="M780" s="84"/>
      <c r="N780" s="84"/>
      <c r="O780" s="84"/>
      <c r="P780" s="85"/>
      <c r="Q780" s="75"/>
      <c r="R780" s="75"/>
      <c r="S780" s="75"/>
      <c r="T780" s="75"/>
      <c r="U780" s="89"/>
      <c r="V780" s="84"/>
      <c r="W780" s="84"/>
      <c r="X780" s="84"/>
      <c r="Y780" s="84"/>
      <c r="Z780" s="84"/>
    </row>
    <row r="781" spans="1:26" ht="13">
      <c r="A781" s="83"/>
      <c r="B781" s="83"/>
      <c r="C781" s="83"/>
      <c r="D781" s="84"/>
      <c r="E781" s="84"/>
      <c r="F781" s="84"/>
      <c r="G781" s="83"/>
      <c r="H781" s="84"/>
      <c r="I781" s="84"/>
      <c r="J781" s="84"/>
      <c r="K781" s="84"/>
      <c r="L781" s="84"/>
      <c r="M781" s="84"/>
      <c r="N781" s="84"/>
      <c r="O781" s="84"/>
      <c r="P781" s="85"/>
      <c r="Q781" s="75"/>
      <c r="R781" s="75"/>
      <c r="S781" s="75"/>
      <c r="T781" s="75"/>
      <c r="U781" s="89"/>
      <c r="V781" s="84"/>
      <c r="W781" s="84"/>
      <c r="X781" s="84"/>
      <c r="Y781" s="84"/>
      <c r="Z781" s="84"/>
    </row>
    <row r="782" spans="1:26" ht="13">
      <c r="A782" s="83"/>
      <c r="B782" s="83"/>
      <c r="C782" s="83"/>
      <c r="D782" s="84"/>
      <c r="E782" s="84"/>
      <c r="F782" s="84"/>
      <c r="G782" s="83"/>
      <c r="H782" s="84"/>
      <c r="I782" s="84"/>
      <c r="J782" s="84"/>
      <c r="K782" s="84"/>
      <c r="L782" s="84"/>
      <c r="M782" s="84"/>
      <c r="N782" s="84"/>
      <c r="O782" s="84"/>
      <c r="P782" s="85"/>
      <c r="Q782" s="75"/>
      <c r="R782" s="75"/>
      <c r="S782" s="75"/>
      <c r="T782" s="75"/>
      <c r="U782" s="89"/>
      <c r="V782" s="84"/>
      <c r="W782" s="84"/>
      <c r="X782" s="84"/>
      <c r="Y782" s="84"/>
      <c r="Z782" s="84"/>
    </row>
    <row r="783" spans="1:26" ht="13">
      <c r="A783" s="83"/>
      <c r="B783" s="83"/>
      <c r="C783" s="83"/>
      <c r="D783" s="84"/>
      <c r="E783" s="84"/>
      <c r="F783" s="84"/>
      <c r="G783" s="83"/>
      <c r="H783" s="84"/>
      <c r="I783" s="84"/>
      <c r="J783" s="84"/>
      <c r="K783" s="84"/>
      <c r="L783" s="84"/>
      <c r="M783" s="84"/>
      <c r="N783" s="84"/>
      <c r="O783" s="84"/>
      <c r="P783" s="85"/>
      <c r="Q783" s="75"/>
      <c r="R783" s="75"/>
      <c r="S783" s="75"/>
      <c r="T783" s="75"/>
      <c r="U783" s="89"/>
      <c r="V783" s="84"/>
      <c r="W783" s="84"/>
      <c r="X783" s="84"/>
      <c r="Y783" s="84"/>
      <c r="Z783" s="84"/>
    </row>
    <row r="784" spans="1:26" ht="13">
      <c r="A784" s="83"/>
      <c r="B784" s="83"/>
      <c r="C784" s="83"/>
      <c r="D784" s="84"/>
      <c r="E784" s="84"/>
      <c r="F784" s="84"/>
      <c r="G784" s="83"/>
      <c r="H784" s="84"/>
      <c r="I784" s="84"/>
      <c r="J784" s="84"/>
      <c r="K784" s="84"/>
      <c r="L784" s="84"/>
      <c r="M784" s="84"/>
      <c r="N784" s="84"/>
      <c r="O784" s="84"/>
      <c r="P784" s="85"/>
      <c r="Q784" s="75"/>
      <c r="R784" s="75"/>
      <c r="S784" s="75"/>
      <c r="T784" s="75"/>
      <c r="U784" s="89"/>
      <c r="V784" s="84"/>
      <c r="W784" s="84"/>
      <c r="X784" s="84"/>
      <c r="Y784" s="84"/>
      <c r="Z784" s="84"/>
    </row>
    <row r="785" spans="1:26" ht="13">
      <c r="A785" s="83"/>
      <c r="B785" s="83"/>
      <c r="C785" s="83"/>
      <c r="D785" s="84"/>
      <c r="E785" s="84"/>
      <c r="F785" s="84"/>
      <c r="G785" s="83"/>
      <c r="H785" s="84"/>
      <c r="I785" s="84"/>
      <c r="J785" s="84"/>
      <c r="K785" s="84"/>
      <c r="L785" s="84"/>
      <c r="M785" s="84"/>
      <c r="N785" s="84"/>
      <c r="O785" s="84"/>
      <c r="P785" s="85"/>
      <c r="Q785" s="75"/>
      <c r="R785" s="75"/>
      <c r="S785" s="75"/>
      <c r="T785" s="75"/>
      <c r="U785" s="89"/>
      <c r="V785" s="84"/>
      <c r="W785" s="84"/>
      <c r="X785" s="84"/>
      <c r="Y785" s="84"/>
      <c r="Z785" s="84"/>
    </row>
    <row r="786" spans="1:26" ht="13">
      <c r="A786" s="83"/>
      <c r="B786" s="83"/>
      <c r="C786" s="83"/>
      <c r="D786" s="84"/>
      <c r="E786" s="84"/>
      <c r="F786" s="84"/>
      <c r="G786" s="83"/>
      <c r="H786" s="84"/>
      <c r="I786" s="84"/>
      <c r="J786" s="84"/>
      <c r="K786" s="84"/>
      <c r="L786" s="84"/>
      <c r="M786" s="84"/>
      <c r="N786" s="84"/>
      <c r="O786" s="84"/>
      <c r="P786" s="85"/>
      <c r="Q786" s="75"/>
      <c r="R786" s="75"/>
      <c r="S786" s="75"/>
      <c r="T786" s="75"/>
      <c r="U786" s="89"/>
      <c r="V786" s="84"/>
      <c r="W786" s="84"/>
      <c r="X786" s="84"/>
      <c r="Y786" s="84"/>
      <c r="Z786" s="84"/>
    </row>
    <row r="787" spans="1:26" ht="13">
      <c r="A787" s="83"/>
      <c r="B787" s="83"/>
      <c r="C787" s="83"/>
      <c r="D787" s="84"/>
      <c r="E787" s="84"/>
      <c r="F787" s="84"/>
      <c r="G787" s="83"/>
      <c r="H787" s="84"/>
      <c r="I787" s="84"/>
      <c r="J787" s="84"/>
      <c r="K787" s="84"/>
      <c r="L787" s="84"/>
      <c r="M787" s="84"/>
      <c r="N787" s="84"/>
      <c r="O787" s="84"/>
      <c r="P787" s="85"/>
      <c r="Q787" s="75"/>
      <c r="R787" s="75"/>
      <c r="S787" s="75"/>
      <c r="T787" s="75"/>
      <c r="U787" s="89"/>
      <c r="V787" s="84"/>
      <c r="W787" s="84"/>
      <c r="X787" s="84"/>
      <c r="Y787" s="84"/>
      <c r="Z787" s="84"/>
    </row>
    <row r="788" spans="1:26" ht="13">
      <c r="A788" s="83"/>
      <c r="B788" s="83"/>
      <c r="C788" s="83"/>
      <c r="D788" s="84"/>
      <c r="E788" s="84"/>
      <c r="F788" s="84"/>
      <c r="G788" s="83"/>
      <c r="H788" s="84"/>
      <c r="I788" s="84"/>
      <c r="J788" s="84"/>
      <c r="K788" s="84"/>
      <c r="L788" s="84"/>
      <c r="M788" s="84"/>
      <c r="N788" s="84"/>
      <c r="O788" s="84"/>
      <c r="P788" s="85"/>
      <c r="Q788" s="75"/>
      <c r="R788" s="75"/>
      <c r="S788" s="75"/>
      <c r="T788" s="75"/>
      <c r="U788" s="89"/>
      <c r="V788" s="84"/>
      <c r="W788" s="84"/>
      <c r="X788" s="84"/>
      <c r="Y788" s="84"/>
      <c r="Z788" s="84"/>
    </row>
    <row r="789" spans="1:26" ht="13">
      <c r="A789" s="83"/>
      <c r="B789" s="83"/>
      <c r="C789" s="83"/>
      <c r="D789" s="84"/>
      <c r="E789" s="84"/>
      <c r="F789" s="84"/>
      <c r="G789" s="83"/>
      <c r="H789" s="84"/>
      <c r="I789" s="84"/>
      <c r="J789" s="84"/>
      <c r="K789" s="84"/>
      <c r="L789" s="84"/>
      <c r="M789" s="84"/>
      <c r="N789" s="84"/>
      <c r="O789" s="84"/>
      <c r="P789" s="85"/>
      <c r="Q789" s="75"/>
      <c r="R789" s="75"/>
      <c r="S789" s="75"/>
      <c r="T789" s="75"/>
      <c r="U789" s="89"/>
      <c r="V789" s="84"/>
      <c r="W789" s="84"/>
      <c r="X789" s="84"/>
      <c r="Y789" s="84"/>
      <c r="Z789" s="84"/>
    </row>
    <row r="790" spans="1:26" ht="13">
      <c r="A790" s="83"/>
      <c r="B790" s="83"/>
      <c r="C790" s="83"/>
      <c r="D790" s="84"/>
      <c r="E790" s="84"/>
      <c r="F790" s="84"/>
      <c r="G790" s="83"/>
      <c r="H790" s="84"/>
      <c r="I790" s="84"/>
      <c r="J790" s="84"/>
      <c r="K790" s="84"/>
      <c r="L790" s="84"/>
      <c r="M790" s="84"/>
      <c r="N790" s="84"/>
      <c r="O790" s="84"/>
      <c r="P790" s="85"/>
      <c r="Q790" s="75"/>
      <c r="R790" s="75"/>
      <c r="S790" s="75"/>
      <c r="T790" s="75"/>
      <c r="U790" s="89"/>
      <c r="V790" s="84"/>
      <c r="W790" s="84"/>
      <c r="X790" s="84"/>
      <c r="Y790" s="84"/>
      <c r="Z790" s="84"/>
    </row>
    <row r="791" spans="1:26" ht="13">
      <c r="A791" s="83"/>
      <c r="B791" s="83"/>
      <c r="C791" s="83"/>
      <c r="D791" s="84"/>
      <c r="E791" s="84"/>
      <c r="F791" s="84"/>
      <c r="G791" s="83"/>
      <c r="H791" s="84"/>
      <c r="I791" s="84"/>
      <c r="J791" s="84"/>
      <c r="K791" s="84"/>
      <c r="L791" s="84"/>
      <c r="M791" s="84"/>
      <c r="N791" s="84"/>
      <c r="O791" s="84"/>
      <c r="P791" s="85"/>
      <c r="Q791" s="75"/>
      <c r="R791" s="75"/>
      <c r="S791" s="75"/>
      <c r="T791" s="75"/>
      <c r="U791" s="89"/>
      <c r="V791" s="84"/>
      <c r="W791" s="84"/>
      <c r="X791" s="84"/>
      <c r="Y791" s="84"/>
      <c r="Z791" s="84"/>
    </row>
    <row r="792" spans="1:26" ht="13">
      <c r="A792" s="83"/>
      <c r="B792" s="83"/>
      <c r="C792" s="83"/>
      <c r="D792" s="84"/>
      <c r="E792" s="84"/>
      <c r="F792" s="84"/>
      <c r="G792" s="83"/>
      <c r="H792" s="84"/>
      <c r="I792" s="84"/>
      <c r="J792" s="84"/>
      <c r="K792" s="84"/>
      <c r="L792" s="84"/>
      <c r="M792" s="84"/>
      <c r="N792" s="84"/>
      <c r="O792" s="84"/>
      <c r="P792" s="85"/>
      <c r="Q792" s="75"/>
      <c r="R792" s="75"/>
      <c r="S792" s="75"/>
      <c r="T792" s="75"/>
      <c r="U792" s="89"/>
      <c r="V792" s="84"/>
      <c r="W792" s="84"/>
      <c r="X792" s="84"/>
      <c r="Y792" s="84"/>
      <c r="Z792" s="84"/>
    </row>
    <row r="793" spans="1:26" ht="13">
      <c r="A793" s="83"/>
      <c r="B793" s="83"/>
      <c r="C793" s="83"/>
      <c r="D793" s="84"/>
      <c r="E793" s="84"/>
      <c r="F793" s="84"/>
      <c r="G793" s="83"/>
      <c r="H793" s="84"/>
      <c r="I793" s="84"/>
      <c r="J793" s="84"/>
      <c r="K793" s="84"/>
      <c r="L793" s="84"/>
      <c r="M793" s="84"/>
      <c r="N793" s="84"/>
      <c r="O793" s="84"/>
      <c r="P793" s="85"/>
      <c r="Q793" s="75"/>
      <c r="R793" s="75"/>
      <c r="S793" s="75"/>
      <c r="T793" s="75"/>
      <c r="U793" s="89"/>
      <c r="V793" s="84"/>
      <c r="W793" s="84"/>
      <c r="X793" s="84"/>
      <c r="Y793" s="84"/>
      <c r="Z793" s="84"/>
    </row>
    <row r="794" spans="1:26" ht="13">
      <c r="A794" s="83"/>
      <c r="B794" s="83"/>
      <c r="C794" s="83"/>
      <c r="D794" s="84"/>
      <c r="E794" s="84"/>
      <c r="F794" s="84"/>
      <c r="G794" s="83"/>
      <c r="H794" s="84"/>
      <c r="I794" s="84"/>
      <c r="J794" s="84"/>
      <c r="K794" s="84"/>
      <c r="L794" s="84"/>
      <c r="M794" s="84"/>
      <c r="N794" s="84"/>
      <c r="O794" s="84"/>
      <c r="P794" s="85"/>
      <c r="Q794" s="75"/>
      <c r="R794" s="75"/>
      <c r="S794" s="75"/>
      <c r="T794" s="75"/>
      <c r="U794" s="89"/>
      <c r="V794" s="84"/>
      <c r="W794" s="84"/>
      <c r="X794" s="84"/>
      <c r="Y794" s="84"/>
      <c r="Z794" s="84"/>
    </row>
    <row r="795" spans="1:26" ht="13">
      <c r="A795" s="83"/>
      <c r="B795" s="83"/>
      <c r="C795" s="83"/>
      <c r="D795" s="84"/>
      <c r="E795" s="84"/>
      <c r="F795" s="84"/>
      <c r="G795" s="83"/>
      <c r="H795" s="84"/>
      <c r="I795" s="84"/>
      <c r="J795" s="84"/>
      <c r="K795" s="84"/>
      <c r="L795" s="84"/>
      <c r="M795" s="84"/>
      <c r="N795" s="84"/>
      <c r="O795" s="84"/>
      <c r="P795" s="85"/>
      <c r="Q795" s="75"/>
      <c r="R795" s="75"/>
      <c r="S795" s="75"/>
      <c r="T795" s="75"/>
      <c r="U795" s="89"/>
      <c r="V795" s="84"/>
      <c r="W795" s="84"/>
      <c r="X795" s="84"/>
      <c r="Y795" s="84"/>
      <c r="Z795" s="84"/>
    </row>
    <row r="796" spans="1:26" ht="13">
      <c r="A796" s="83"/>
      <c r="B796" s="83"/>
      <c r="C796" s="83"/>
      <c r="D796" s="84"/>
      <c r="E796" s="84"/>
      <c r="F796" s="84"/>
      <c r="G796" s="83"/>
      <c r="H796" s="84"/>
      <c r="I796" s="84"/>
      <c r="J796" s="84"/>
      <c r="K796" s="84"/>
      <c r="L796" s="84"/>
      <c r="M796" s="84"/>
      <c r="N796" s="84"/>
      <c r="O796" s="84"/>
      <c r="P796" s="85"/>
      <c r="Q796" s="75"/>
      <c r="R796" s="75"/>
      <c r="S796" s="75"/>
      <c r="T796" s="75"/>
      <c r="U796" s="89"/>
      <c r="V796" s="84"/>
      <c r="W796" s="84"/>
      <c r="X796" s="84"/>
      <c r="Y796" s="84"/>
      <c r="Z796" s="84"/>
    </row>
    <row r="797" spans="1:26" ht="13">
      <c r="A797" s="83"/>
      <c r="B797" s="83"/>
      <c r="C797" s="83"/>
      <c r="D797" s="84"/>
      <c r="E797" s="84"/>
      <c r="F797" s="84"/>
      <c r="G797" s="83"/>
      <c r="H797" s="84"/>
      <c r="I797" s="84"/>
      <c r="J797" s="84"/>
      <c r="K797" s="84"/>
      <c r="L797" s="84"/>
      <c r="M797" s="84"/>
      <c r="N797" s="84"/>
      <c r="O797" s="84"/>
      <c r="P797" s="85"/>
      <c r="Q797" s="75"/>
      <c r="R797" s="75"/>
      <c r="S797" s="75"/>
      <c r="T797" s="75"/>
      <c r="U797" s="89"/>
      <c r="V797" s="84"/>
      <c r="W797" s="84"/>
      <c r="X797" s="84"/>
      <c r="Y797" s="84"/>
      <c r="Z797" s="84"/>
    </row>
    <row r="798" spans="1:26" ht="13">
      <c r="A798" s="83"/>
      <c r="B798" s="83"/>
      <c r="C798" s="83"/>
      <c r="D798" s="84"/>
      <c r="E798" s="84"/>
      <c r="F798" s="84"/>
      <c r="G798" s="83"/>
      <c r="H798" s="84"/>
      <c r="I798" s="84"/>
      <c r="J798" s="84"/>
      <c r="K798" s="84"/>
      <c r="L798" s="84"/>
      <c r="M798" s="84"/>
      <c r="N798" s="84"/>
      <c r="O798" s="84"/>
      <c r="P798" s="85"/>
      <c r="Q798" s="75"/>
      <c r="R798" s="75"/>
      <c r="S798" s="75"/>
      <c r="T798" s="75"/>
      <c r="U798" s="89"/>
      <c r="V798" s="84"/>
      <c r="W798" s="84"/>
      <c r="X798" s="84"/>
      <c r="Y798" s="84"/>
      <c r="Z798" s="84"/>
    </row>
    <row r="799" spans="1:26" ht="13">
      <c r="A799" s="83"/>
      <c r="B799" s="83"/>
      <c r="C799" s="83"/>
      <c r="D799" s="84"/>
      <c r="E799" s="84"/>
      <c r="F799" s="84"/>
      <c r="G799" s="83"/>
      <c r="H799" s="84"/>
      <c r="I799" s="84"/>
      <c r="J799" s="84"/>
      <c r="K799" s="84"/>
      <c r="L799" s="84"/>
      <c r="M799" s="84"/>
      <c r="N799" s="84"/>
      <c r="O799" s="84"/>
      <c r="P799" s="85"/>
      <c r="Q799" s="75"/>
      <c r="R799" s="75"/>
      <c r="S799" s="75"/>
      <c r="T799" s="75"/>
      <c r="U799" s="89"/>
      <c r="V799" s="84"/>
      <c r="W799" s="84"/>
      <c r="X799" s="84"/>
      <c r="Y799" s="84"/>
      <c r="Z799" s="84"/>
    </row>
    <row r="800" spans="1:26" ht="13">
      <c r="A800" s="83"/>
      <c r="B800" s="83"/>
      <c r="C800" s="83"/>
      <c r="D800" s="84"/>
      <c r="E800" s="84"/>
      <c r="F800" s="84"/>
      <c r="G800" s="83"/>
      <c r="H800" s="84"/>
      <c r="I800" s="84"/>
      <c r="J800" s="84"/>
      <c r="K800" s="84"/>
      <c r="L800" s="84"/>
      <c r="M800" s="84"/>
      <c r="N800" s="84"/>
      <c r="O800" s="84"/>
      <c r="P800" s="85"/>
      <c r="Q800" s="75"/>
      <c r="R800" s="75"/>
      <c r="S800" s="75"/>
      <c r="T800" s="75"/>
      <c r="U800" s="89"/>
      <c r="V800" s="84"/>
      <c r="W800" s="84"/>
      <c r="X800" s="84"/>
      <c r="Y800" s="84"/>
      <c r="Z800" s="84"/>
    </row>
    <row r="801" spans="1:26" ht="13">
      <c r="A801" s="83"/>
      <c r="B801" s="83"/>
      <c r="C801" s="83"/>
      <c r="D801" s="84"/>
      <c r="E801" s="84"/>
      <c r="F801" s="84"/>
      <c r="G801" s="83"/>
      <c r="H801" s="84"/>
      <c r="I801" s="84"/>
      <c r="J801" s="84"/>
      <c r="K801" s="84"/>
      <c r="L801" s="84"/>
      <c r="M801" s="84"/>
      <c r="N801" s="84"/>
      <c r="O801" s="84"/>
      <c r="P801" s="85"/>
      <c r="Q801" s="75"/>
      <c r="R801" s="75"/>
      <c r="S801" s="75"/>
      <c r="T801" s="75"/>
      <c r="U801" s="89"/>
      <c r="V801" s="84"/>
      <c r="W801" s="84"/>
      <c r="X801" s="84"/>
      <c r="Y801" s="84"/>
      <c r="Z801" s="84"/>
    </row>
    <row r="802" spans="1:26" ht="13">
      <c r="A802" s="83"/>
      <c r="B802" s="83"/>
      <c r="C802" s="83"/>
      <c r="D802" s="84"/>
      <c r="E802" s="84"/>
      <c r="F802" s="84"/>
      <c r="G802" s="83"/>
      <c r="H802" s="84"/>
      <c r="I802" s="84"/>
      <c r="J802" s="84"/>
      <c r="K802" s="84"/>
      <c r="L802" s="84"/>
      <c r="M802" s="84"/>
      <c r="N802" s="84"/>
      <c r="O802" s="84"/>
      <c r="P802" s="85"/>
      <c r="Q802" s="75"/>
      <c r="R802" s="75"/>
      <c r="S802" s="75"/>
      <c r="T802" s="75"/>
      <c r="U802" s="89"/>
      <c r="V802" s="84"/>
      <c r="W802" s="84"/>
      <c r="X802" s="84"/>
      <c r="Y802" s="84"/>
      <c r="Z802" s="84"/>
    </row>
    <row r="803" spans="1:26" ht="13">
      <c r="A803" s="83"/>
      <c r="B803" s="83"/>
      <c r="C803" s="83"/>
      <c r="D803" s="84"/>
      <c r="E803" s="84"/>
      <c r="F803" s="84"/>
      <c r="G803" s="83"/>
      <c r="H803" s="84"/>
      <c r="I803" s="84"/>
      <c r="J803" s="84"/>
      <c r="K803" s="84"/>
      <c r="L803" s="84"/>
      <c r="M803" s="84"/>
      <c r="N803" s="84"/>
      <c r="O803" s="84"/>
      <c r="P803" s="85"/>
      <c r="Q803" s="75"/>
      <c r="R803" s="75"/>
      <c r="S803" s="75"/>
      <c r="T803" s="75"/>
      <c r="U803" s="89"/>
      <c r="V803" s="84"/>
      <c r="W803" s="84"/>
      <c r="X803" s="84"/>
      <c r="Y803" s="84"/>
      <c r="Z803" s="84"/>
    </row>
    <row r="804" spans="1:26" ht="13">
      <c r="A804" s="83"/>
      <c r="B804" s="83"/>
      <c r="C804" s="83"/>
      <c r="D804" s="84"/>
      <c r="E804" s="84"/>
      <c r="F804" s="84"/>
      <c r="G804" s="83"/>
      <c r="H804" s="84"/>
      <c r="I804" s="84"/>
      <c r="J804" s="84"/>
      <c r="K804" s="84"/>
      <c r="L804" s="84"/>
      <c r="M804" s="84"/>
      <c r="N804" s="84"/>
      <c r="O804" s="84"/>
      <c r="P804" s="85"/>
      <c r="Q804" s="75"/>
      <c r="R804" s="75"/>
      <c r="S804" s="75"/>
      <c r="T804" s="75"/>
      <c r="U804" s="89"/>
      <c r="V804" s="84"/>
      <c r="W804" s="84"/>
      <c r="X804" s="84"/>
      <c r="Y804" s="84"/>
      <c r="Z804" s="84"/>
    </row>
    <row r="805" spans="1:26" ht="13">
      <c r="A805" s="83"/>
      <c r="B805" s="83"/>
      <c r="C805" s="83"/>
      <c r="D805" s="84"/>
      <c r="E805" s="84"/>
      <c r="F805" s="84"/>
      <c r="G805" s="83"/>
      <c r="H805" s="84"/>
      <c r="I805" s="84"/>
      <c r="J805" s="84"/>
      <c r="K805" s="84"/>
      <c r="L805" s="84"/>
      <c r="M805" s="84"/>
      <c r="N805" s="84"/>
      <c r="O805" s="84"/>
      <c r="P805" s="85"/>
      <c r="Q805" s="75"/>
      <c r="R805" s="75"/>
      <c r="S805" s="75"/>
      <c r="T805" s="75"/>
      <c r="U805" s="89"/>
      <c r="V805" s="84"/>
      <c r="W805" s="84"/>
      <c r="X805" s="84"/>
      <c r="Y805" s="84"/>
      <c r="Z805" s="84"/>
    </row>
    <row r="806" spans="1:26" ht="13">
      <c r="A806" s="83"/>
      <c r="B806" s="83"/>
      <c r="C806" s="83"/>
      <c r="D806" s="84"/>
      <c r="E806" s="84"/>
      <c r="F806" s="84"/>
      <c r="G806" s="83"/>
      <c r="H806" s="84"/>
      <c r="I806" s="84"/>
      <c r="J806" s="84"/>
      <c r="K806" s="84"/>
      <c r="L806" s="84"/>
      <c r="M806" s="84"/>
      <c r="N806" s="84"/>
      <c r="O806" s="84"/>
      <c r="P806" s="85"/>
      <c r="Q806" s="75"/>
      <c r="R806" s="75"/>
      <c r="S806" s="75"/>
      <c r="T806" s="75"/>
      <c r="U806" s="89"/>
      <c r="V806" s="84"/>
      <c r="W806" s="84"/>
      <c r="X806" s="84"/>
      <c r="Y806" s="84"/>
      <c r="Z806" s="84"/>
    </row>
    <row r="807" spans="1:26" ht="13">
      <c r="A807" s="83"/>
      <c r="B807" s="83"/>
      <c r="C807" s="83"/>
      <c r="D807" s="84"/>
      <c r="E807" s="84"/>
      <c r="F807" s="84"/>
      <c r="G807" s="83"/>
      <c r="H807" s="84"/>
      <c r="I807" s="84"/>
      <c r="J807" s="84"/>
      <c r="K807" s="84"/>
      <c r="L807" s="84"/>
      <c r="M807" s="84"/>
      <c r="N807" s="84"/>
      <c r="O807" s="84"/>
      <c r="P807" s="85"/>
      <c r="Q807" s="75"/>
      <c r="R807" s="75"/>
      <c r="S807" s="75"/>
      <c r="T807" s="75"/>
      <c r="U807" s="89"/>
      <c r="V807" s="84"/>
      <c r="W807" s="84"/>
      <c r="X807" s="84"/>
      <c r="Y807" s="84"/>
      <c r="Z807" s="84"/>
    </row>
    <row r="808" spans="1:26" ht="13">
      <c r="A808" s="83"/>
      <c r="B808" s="83"/>
      <c r="C808" s="83"/>
      <c r="D808" s="84"/>
      <c r="E808" s="84"/>
      <c r="F808" s="84"/>
      <c r="G808" s="83"/>
      <c r="H808" s="84"/>
      <c r="I808" s="84"/>
      <c r="J808" s="84"/>
      <c r="K808" s="84"/>
      <c r="L808" s="84"/>
      <c r="M808" s="84"/>
      <c r="N808" s="84"/>
      <c r="O808" s="84"/>
      <c r="P808" s="85"/>
      <c r="Q808" s="75"/>
      <c r="R808" s="75"/>
      <c r="S808" s="75"/>
      <c r="T808" s="75"/>
      <c r="U808" s="89"/>
      <c r="V808" s="84"/>
      <c r="W808" s="84"/>
      <c r="X808" s="84"/>
      <c r="Y808" s="84"/>
      <c r="Z808" s="84"/>
    </row>
    <row r="809" spans="1:26" ht="13">
      <c r="A809" s="83"/>
      <c r="B809" s="83"/>
      <c r="C809" s="83"/>
      <c r="D809" s="84"/>
      <c r="E809" s="84"/>
      <c r="F809" s="84"/>
      <c r="G809" s="83"/>
      <c r="H809" s="84"/>
      <c r="I809" s="84"/>
      <c r="J809" s="84"/>
      <c r="K809" s="84"/>
      <c r="L809" s="84"/>
      <c r="M809" s="84"/>
      <c r="N809" s="84"/>
      <c r="O809" s="84"/>
      <c r="P809" s="85"/>
      <c r="Q809" s="75"/>
      <c r="R809" s="75"/>
      <c r="S809" s="75"/>
      <c r="T809" s="75"/>
      <c r="U809" s="89"/>
      <c r="V809" s="84"/>
      <c r="W809" s="84"/>
      <c r="X809" s="84"/>
      <c r="Y809" s="84"/>
      <c r="Z809" s="84"/>
    </row>
    <row r="810" spans="1:26" ht="13">
      <c r="A810" s="83"/>
      <c r="B810" s="83"/>
      <c r="C810" s="83"/>
      <c r="D810" s="84"/>
      <c r="E810" s="84"/>
      <c r="F810" s="84"/>
      <c r="G810" s="83"/>
      <c r="H810" s="84"/>
      <c r="I810" s="84"/>
      <c r="J810" s="84"/>
      <c r="K810" s="84"/>
      <c r="L810" s="84"/>
      <c r="M810" s="84"/>
      <c r="N810" s="84"/>
      <c r="O810" s="84"/>
      <c r="P810" s="85"/>
      <c r="Q810" s="75"/>
      <c r="R810" s="75"/>
      <c r="S810" s="75"/>
      <c r="T810" s="75"/>
      <c r="U810" s="89"/>
      <c r="V810" s="84"/>
      <c r="W810" s="84"/>
      <c r="X810" s="84"/>
      <c r="Y810" s="84"/>
      <c r="Z810" s="84"/>
    </row>
    <row r="811" spans="1:26" ht="13">
      <c r="A811" s="83"/>
      <c r="B811" s="83"/>
      <c r="C811" s="83"/>
      <c r="D811" s="84"/>
      <c r="E811" s="84"/>
      <c r="F811" s="84"/>
      <c r="G811" s="83"/>
      <c r="H811" s="84"/>
      <c r="I811" s="84"/>
      <c r="J811" s="84"/>
      <c r="K811" s="84"/>
      <c r="L811" s="84"/>
      <c r="M811" s="84"/>
      <c r="N811" s="84"/>
      <c r="O811" s="84"/>
      <c r="P811" s="85"/>
      <c r="Q811" s="75"/>
      <c r="R811" s="75"/>
      <c r="S811" s="75"/>
      <c r="T811" s="75"/>
      <c r="U811" s="89"/>
      <c r="V811" s="84"/>
      <c r="W811" s="84"/>
      <c r="X811" s="84"/>
      <c r="Y811" s="84"/>
      <c r="Z811" s="84"/>
    </row>
    <row r="812" spans="1:26" ht="13">
      <c r="A812" s="83"/>
      <c r="B812" s="83"/>
      <c r="C812" s="83"/>
      <c r="D812" s="84"/>
      <c r="E812" s="84"/>
      <c r="F812" s="84"/>
      <c r="G812" s="83"/>
      <c r="H812" s="84"/>
      <c r="I812" s="84"/>
      <c r="J812" s="84"/>
      <c r="K812" s="84"/>
      <c r="L812" s="84"/>
      <c r="M812" s="84"/>
      <c r="N812" s="84"/>
      <c r="O812" s="84"/>
      <c r="P812" s="85"/>
      <c r="Q812" s="75"/>
      <c r="R812" s="75"/>
      <c r="S812" s="75"/>
      <c r="T812" s="75"/>
      <c r="U812" s="89"/>
      <c r="V812" s="84"/>
      <c r="W812" s="84"/>
      <c r="X812" s="84"/>
      <c r="Y812" s="84"/>
      <c r="Z812" s="84"/>
    </row>
    <row r="813" spans="1:26" ht="13">
      <c r="A813" s="83"/>
      <c r="B813" s="83"/>
      <c r="C813" s="83"/>
      <c r="D813" s="84"/>
      <c r="E813" s="84"/>
      <c r="F813" s="84"/>
      <c r="G813" s="83"/>
      <c r="H813" s="84"/>
      <c r="I813" s="84"/>
      <c r="J813" s="84"/>
      <c r="K813" s="84"/>
      <c r="L813" s="84"/>
      <c r="M813" s="84"/>
      <c r="N813" s="84"/>
      <c r="O813" s="84"/>
      <c r="P813" s="85"/>
      <c r="Q813" s="75"/>
      <c r="R813" s="75"/>
      <c r="S813" s="75"/>
      <c r="T813" s="75"/>
      <c r="U813" s="89"/>
      <c r="V813" s="84"/>
      <c r="W813" s="84"/>
      <c r="X813" s="84"/>
      <c r="Y813" s="84"/>
      <c r="Z813" s="84"/>
    </row>
    <row r="814" spans="1:26" ht="13">
      <c r="A814" s="83"/>
      <c r="B814" s="83"/>
      <c r="C814" s="83"/>
      <c r="D814" s="84"/>
      <c r="E814" s="84"/>
      <c r="F814" s="84"/>
      <c r="G814" s="83"/>
      <c r="H814" s="84"/>
      <c r="I814" s="84"/>
      <c r="J814" s="84"/>
      <c r="K814" s="84"/>
      <c r="L814" s="84"/>
      <c r="M814" s="84"/>
      <c r="N814" s="84"/>
      <c r="O814" s="84"/>
      <c r="P814" s="85"/>
      <c r="Q814" s="75"/>
      <c r="R814" s="75"/>
      <c r="S814" s="75"/>
      <c r="T814" s="75"/>
      <c r="U814" s="89"/>
      <c r="V814" s="84"/>
      <c r="W814" s="84"/>
      <c r="X814" s="84"/>
      <c r="Y814" s="84"/>
      <c r="Z814" s="84"/>
    </row>
    <row r="815" spans="1:26" ht="13">
      <c r="A815" s="83"/>
      <c r="B815" s="83"/>
      <c r="C815" s="83"/>
      <c r="D815" s="84"/>
      <c r="E815" s="84"/>
      <c r="F815" s="84"/>
      <c r="G815" s="83"/>
      <c r="H815" s="84"/>
      <c r="I815" s="84"/>
      <c r="J815" s="84"/>
      <c r="K815" s="84"/>
      <c r="L815" s="84"/>
      <c r="M815" s="84"/>
      <c r="N815" s="84"/>
      <c r="O815" s="84"/>
      <c r="P815" s="85"/>
      <c r="Q815" s="75"/>
      <c r="R815" s="75"/>
      <c r="S815" s="75"/>
      <c r="T815" s="75"/>
      <c r="U815" s="89"/>
      <c r="V815" s="84"/>
      <c r="W815" s="84"/>
      <c r="X815" s="84"/>
      <c r="Y815" s="84"/>
      <c r="Z815" s="84"/>
    </row>
    <row r="816" spans="1:26" ht="13">
      <c r="A816" s="83"/>
      <c r="B816" s="83"/>
      <c r="C816" s="83"/>
      <c r="D816" s="84"/>
      <c r="E816" s="84"/>
      <c r="F816" s="84"/>
      <c r="G816" s="83"/>
      <c r="H816" s="84"/>
      <c r="I816" s="84"/>
      <c r="J816" s="84"/>
      <c r="K816" s="84"/>
      <c r="L816" s="84"/>
      <c r="M816" s="84"/>
      <c r="N816" s="84"/>
      <c r="O816" s="84"/>
      <c r="P816" s="85"/>
      <c r="Q816" s="75"/>
      <c r="R816" s="75"/>
      <c r="S816" s="75"/>
      <c r="T816" s="75"/>
      <c r="U816" s="89"/>
      <c r="V816" s="84"/>
      <c r="W816" s="84"/>
      <c r="X816" s="84"/>
      <c r="Y816" s="84"/>
      <c r="Z816" s="84"/>
    </row>
    <row r="817" spans="1:26" ht="13">
      <c r="A817" s="83"/>
      <c r="B817" s="83"/>
      <c r="C817" s="83"/>
      <c r="D817" s="84"/>
      <c r="E817" s="84"/>
      <c r="F817" s="84"/>
      <c r="G817" s="83"/>
      <c r="H817" s="84"/>
      <c r="I817" s="84"/>
      <c r="J817" s="84"/>
      <c r="K817" s="84"/>
      <c r="L817" s="84"/>
      <c r="M817" s="84"/>
      <c r="N817" s="84"/>
      <c r="O817" s="84"/>
      <c r="P817" s="85"/>
      <c r="Q817" s="75"/>
      <c r="R817" s="75"/>
      <c r="S817" s="75"/>
      <c r="T817" s="75"/>
      <c r="U817" s="89"/>
      <c r="V817" s="84"/>
      <c r="W817" s="84"/>
      <c r="X817" s="84"/>
      <c r="Y817" s="84"/>
      <c r="Z817" s="84"/>
    </row>
    <row r="818" spans="1:26" ht="13">
      <c r="A818" s="83"/>
      <c r="B818" s="83"/>
      <c r="C818" s="83"/>
      <c r="D818" s="84"/>
      <c r="E818" s="84"/>
      <c r="F818" s="84"/>
      <c r="G818" s="83"/>
      <c r="H818" s="84"/>
      <c r="I818" s="84"/>
      <c r="J818" s="84"/>
      <c r="K818" s="84"/>
      <c r="L818" s="84"/>
      <c r="M818" s="84"/>
      <c r="N818" s="84"/>
      <c r="O818" s="84"/>
      <c r="P818" s="85"/>
      <c r="Q818" s="75"/>
      <c r="R818" s="75"/>
      <c r="S818" s="75"/>
      <c r="T818" s="75"/>
      <c r="U818" s="89"/>
      <c r="V818" s="84"/>
      <c r="W818" s="84"/>
      <c r="X818" s="84"/>
      <c r="Y818" s="84"/>
      <c r="Z818" s="84"/>
    </row>
    <row r="819" spans="1:26" ht="13">
      <c r="A819" s="83"/>
      <c r="B819" s="83"/>
      <c r="C819" s="83"/>
      <c r="D819" s="84"/>
      <c r="E819" s="84"/>
      <c r="F819" s="84"/>
      <c r="G819" s="83"/>
      <c r="H819" s="84"/>
      <c r="I819" s="84"/>
      <c r="J819" s="84"/>
      <c r="K819" s="84"/>
      <c r="L819" s="84"/>
      <c r="M819" s="84"/>
      <c r="N819" s="84"/>
      <c r="O819" s="84"/>
      <c r="P819" s="85"/>
      <c r="Q819" s="75"/>
      <c r="R819" s="75"/>
      <c r="S819" s="75"/>
      <c r="T819" s="75"/>
      <c r="U819" s="89"/>
      <c r="V819" s="84"/>
      <c r="W819" s="84"/>
      <c r="X819" s="84"/>
      <c r="Y819" s="84"/>
      <c r="Z819" s="84"/>
    </row>
    <row r="820" spans="1:26" ht="13">
      <c r="A820" s="83"/>
      <c r="B820" s="83"/>
      <c r="C820" s="83"/>
      <c r="D820" s="84"/>
      <c r="E820" s="84"/>
      <c r="F820" s="84"/>
      <c r="G820" s="83"/>
      <c r="H820" s="84"/>
      <c r="I820" s="84"/>
      <c r="J820" s="84"/>
      <c r="K820" s="84"/>
      <c r="L820" s="84"/>
      <c r="M820" s="84"/>
      <c r="N820" s="84"/>
      <c r="O820" s="84"/>
      <c r="P820" s="85"/>
      <c r="Q820" s="75"/>
      <c r="R820" s="75"/>
      <c r="S820" s="75"/>
      <c r="T820" s="75"/>
      <c r="U820" s="89"/>
      <c r="V820" s="84"/>
      <c r="W820" s="84"/>
      <c r="X820" s="84"/>
      <c r="Y820" s="84"/>
      <c r="Z820" s="84"/>
    </row>
    <row r="821" spans="1:26" ht="13">
      <c r="A821" s="83"/>
      <c r="B821" s="83"/>
      <c r="C821" s="83"/>
      <c r="D821" s="84"/>
      <c r="E821" s="84"/>
      <c r="F821" s="84"/>
      <c r="G821" s="83"/>
      <c r="H821" s="84"/>
      <c r="I821" s="84"/>
      <c r="J821" s="84"/>
      <c r="K821" s="84"/>
      <c r="L821" s="84"/>
      <c r="M821" s="84"/>
      <c r="N821" s="84"/>
      <c r="O821" s="84"/>
      <c r="P821" s="85"/>
      <c r="Q821" s="75"/>
      <c r="R821" s="75"/>
      <c r="S821" s="75"/>
      <c r="T821" s="75"/>
      <c r="U821" s="89"/>
      <c r="V821" s="84"/>
      <c r="W821" s="84"/>
      <c r="X821" s="84"/>
      <c r="Y821" s="84"/>
      <c r="Z821" s="84"/>
    </row>
    <row r="822" spans="1:26" ht="13">
      <c r="A822" s="83"/>
      <c r="B822" s="83"/>
      <c r="C822" s="83"/>
      <c r="D822" s="84"/>
      <c r="E822" s="84"/>
      <c r="F822" s="84"/>
      <c r="G822" s="83"/>
      <c r="H822" s="84"/>
      <c r="I822" s="84"/>
      <c r="J822" s="84"/>
      <c r="K822" s="84"/>
      <c r="L822" s="84"/>
      <c r="M822" s="84"/>
      <c r="N822" s="84"/>
      <c r="O822" s="84"/>
      <c r="P822" s="85"/>
      <c r="Q822" s="75"/>
      <c r="R822" s="75"/>
      <c r="S822" s="75"/>
      <c r="T822" s="75"/>
      <c r="U822" s="89"/>
      <c r="V822" s="84"/>
      <c r="W822" s="84"/>
      <c r="X822" s="84"/>
      <c r="Y822" s="84"/>
      <c r="Z822" s="84"/>
    </row>
    <row r="823" spans="1:26" ht="13">
      <c r="A823" s="83"/>
      <c r="B823" s="83"/>
      <c r="C823" s="83"/>
      <c r="D823" s="84"/>
      <c r="E823" s="84"/>
      <c r="F823" s="84"/>
      <c r="G823" s="83"/>
      <c r="H823" s="84"/>
      <c r="I823" s="84"/>
      <c r="J823" s="84"/>
      <c r="K823" s="84"/>
      <c r="L823" s="84"/>
      <c r="M823" s="84"/>
      <c r="N823" s="84"/>
      <c r="O823" s="84"/>
      <c r="P823" s="85"/>
      <c r="Q823" s="75"/>
      <c r="R823" s="75"/>
      <c r="S823" s="75"/>
      <c r="T823" s="75"/>
      <c r="U823" s="89"/>
      <c r="V823" s="84"/>
      <c r="W823" s="84"/>
      <c r="X823" s="84"/>
      <c r="Y823" s="84"/>
      <c r="Z823" s="84"/>
    </row>
    <row r="824" spans="1:26" ht="13">
      <c r="A824" s="83"/>
      <c r="B824" s="83"/>
      <c r="C824" s="83"/>
      <c r="D824" s="84"/>
      <c r="E824" s="84"/>
      <c r="F824" s="84"/>
      <c r="G824" s="83"/>
      <c r="H824" s="84"/>
      <c r="I824" s="84"/>
      <c r="J824" s="84"/>
      <c r="K824" s="84"/>
      <c r="L824" s="84"/>
      <c r="M824" s="84"/>
      <c r="N824" s="84"/>
      <c r="O824" s="84"/>
      <c r="P824" s="85"/>
      <c r="Q824" s="75"/>
      <c r="R824" s="75"/>
      <c r="S824" s="75"/>
      <c r="T824" s="75"/>
      <c r="U824" s="89"/>
      <c r="V824" s="84"/>
      <c r="W824" s="84"/>
      <c r="X824" s="84"/>
      <c r="Y824" s="84"/>
      <c r="Z824" s="84"/>
    </row>
    <row r="825" spans="1:26" ht="13">
      <c r="A825" s="83"/>
      <c r="B825" s="83"/>
      <c r="C825" s="83"/>
      <c r="D825" s="84"/>
      <c r="E825" s="84"/>
      <c r="F825" s="84"/>
      <c r="G825" s="83"/>
      <c r="H825" s="84"/>
      <c r="I825" s="84"/>
      <c r="J825" s="84"/>
      <c r="K825" s="84"/>
      <c r="L825" s="84"/>
      <c r="M825" s="84"/>
      <c r="N825" s="84"/>
      <c r="O825" s="84"/>
      <c r="P825" s="85"/>
      <c r="Q825" s="75"/>
      <c r="R825" s="75"/>
      <c r="S825" s="75"/>
      <c r="T825" s="75"/>
      <c r="U825" s="89"/>
      <c r="V825" s="84"/>
      <c r="W825" s="84"/>
      <c r="X825" s="84"/>
      <c r="Y825" s="84"/>
      <c r="Z825" s="84"/>
    </row>
    <row r="826" spans="1:26" ht="13">
      <c r="A826" s="83"/>
      <c r="B826" s="83"/>
      <c r="C826" s="83"/>
      <c r="D826" s="84"/>
      <c r="E826" s="84"/>
      <c r="F826" s="84"/>
      <c r="G826" s="83"/>
      <c r="H826" s="84"/>
      <c r="I826" s="84"/>
      <c r="J826" s="84"/>
      <c r="K826" s="84"/>
      <c r="L826" s="84"/>
      <c r="M826" s="84"/>
      <c r="N826" s="84"/>
      <c r="O826" s="84"/>
      <c r="P826" s="85"/>
      <c r="Q826" s="75"/>
      <c r="R826" s="75"/>
      <c r="S826" s="75"/>
      <c r="T826" s="75"/>
      <c r="U826" s="89"/>
      <c r="V826" s="84"/>
      <c r="W826" s="84"/>
      <c r="X826" s="84"/>
      <c r="Y826" s="84"/>
      <c r="Z826" s="84"/>
    </row>
    <row r="827" spans="1:26" ht="13">
      <c r="A827" s="83"/>
      <c r="B827" s="83"/>
      <c r="C827" s="83"/>
      <c r="D827" s="84"/>
      <c r="E827" s="84"/>
      <c r="F827" s="84"/>
      <c r="G827" s="83"/>
      <c r="H827" s="84"/>
      <c r="I827" s="84"/>
      <c r="J827" s="84"/>
      <c r="K827" s="84"/>
      <c r="L827" s="84"/>
      <c r="M827" s="84"/>
      <c r="N827" s="84"/>
      <c r="O827" s="84"/>
      <c r="P827" s="85"/>
      <c r="Q827" s="75"/>
      <c r="R827" s="75"/>
      <c r="S827" s="75"/>
      <c r="T827" s="75"/>
      <c r="U827" s="89"/>
      <c r="V827" s="84"/>
      <c r="W827" s="84"/>
      <c r="X827" s="84"/>
      <c r="Y827" s="84"/>
      <c r="Z827" s="84"/>
    </row>
    <row r="828" spans="1:26" ht="13">
      <c r="A828" s="83"/>
      <c r="B828" s="83"/>
      <c r="C828" s="83"/>
      <c r="D828" s="84"/>
      <c r="E828" s="84"/>
      <c r="F828" s="84"/>
      <c r="G828" s="83"/>
      <c r="H828" s="84"/>
      <c r="I828" s="84"/>
      <c r="J828" s="84"/>
      <c r="K828" s="84"/>
      <c r="L828" s="84"/>
      <c r="M828" s="84"/>
      <c r="N828" s="84"/>
      <c r="O828" s="84"/>
      <c r="P828" s="85"/>
      <c r="Q828" s="75"/>
      <c r="R828" s="75"/>
      <c r="S828" s="75"/>
      <c r="T828" s="75"/>
      <c r="U828" s="89"/>
      <c r="V828" s="84"/>
      <c r="W828" s="84"/>
      <c r="X828" s="84"/>
      <c r="Y828" s="84"/>
      <c r="Z828" s="84"/>
    </row>
    <row r="829" spans="1:26" ht="13">
      <c r="A829" s="83"/>
      <c r="B829" s="83"/>
      <c r="C829" s="83"/>
      <c r="D829" s="84"/>
      <c r="E829" s="84"/>
      <c r="F829" s="84"/>
      <c r="G829" s="83"/>
      <c r="H829" s="84"/>
      <c r="I829" s="84"/>
      <c r="J829" s="84"/>
      <c r="K829" s="84"/>
      <c r="L829" s="84"/>
      <c r="M829" s="84"/>
      <c r="N829" s="84"/>
      <c r="O829" s="84"/>
      <c r="P829" s="85"/>
      <c r="Q829" s="75"/>
      <c r="R829" s="75"/>
      <c r="S829" s="75"/>
      <c r="T829" s="75"/>
      <c r="U829" s="89"/>
      <c r="V829" s="84"/>
      <c r="W829" s="84"/>
      <c r="X829" s="84"/>
      <c r="Y829" s="84"/>
      <c r="Z829" s="84"/>
    </row>
    <row r="830" spans="1:26" ht="13">
      <c r="A830" s="83"/>
      <c r="B830" s="83"/>
      <c r="C830" s="83"/>
      <c r="D830" s="84"/>
      <c r="E830" s="84"/>
      <c r="F830" s="84"/>
      <c r="G830" s="83"/>
      <c r="H830" s="84"/>
      <c r="I830" s="84"/>
      <c r="J830" s="84"/>
      <c r="K830" s="84"/>
      <c r="L830" s="84"/>
      <c r="M830" s="84"/>
      <c r="N830" s="84"/>
      <c r="O830" s="84"/>
      <c r="P830" s="85"/>
      <c r="Q830" s="75"/>
      <c r="R830" s="75"/>
      <c r="S830" s="75"/>
      <c r="T830" s="75"/>
      <c r="U830" s="89"/>
      <c r="V830" s="84"/>
      <c r="W830" s="84"/>
      <c r="X830" s="84"/>
      <c r="Y830" s="84"/>
      <c r="Z830" s="84"/>
    </row>
    <row r="831" spans="1:26" ht="13">
      <c r="A831" s="83"/>
      <c r="B831" s="83"/>
      <c r="C831" s="83"/>
      <c r="D831" s="84"/>
      <c r="E831" s="84"/>
      <c r="F831" s="84"/>
      <c r="G831" s="83"/>
      <c r="H831" s="84"/>
      <c r="I831" s="84"/>
      <c r="J831" s="84"/>
      <c r="K831" s="84"/>
      <c r="L831" s="84"/>
      <c r="M831" s="84"/>
      <c r="N831" s="84"/>
      <c r="O831" s="84"/>
      <c r="P831" s="85"/>
      <c r="Q831" s="75"/>
      <c r="R831" s="75"/>
      <c r="S831" s="75"/>
      <c r="T831" s="75"/>
      <c r="U831" s="89"/>
      <c r="V831" s="84"/>
      <c r="W831" s="84"/>
      <c r="X831" s="84"/>
      <c r="Y831" s="84"/>
      <c r="Z831" s="84"/>
    </row>
    <row r="832" spans="1:26" ht="13">
      <c r="A832" s="83"/>
      <c r="B832" s="83"/>
      <c r="C832" s="83"/>
      <c r="D832" s="84"/>
      <c r="E832" s="84"/>
      <c r="F832" s="84"/>
      <c r="G832" s="83"/>
      <c r="H832" s="84"/>
      <c r="I832" s="84"/>
      <c r="J832" s="84"/>
      <c r="K832" s="84"/>
      <c r="L832" s="84"/>
      <c r="M832" s="84"/>
      <c r="N832" s="84"/>
      <c r="O832" s="84"/>
      <c r="P832" s="85"/>
      <c r="Q832" s="75"/>
      <c r="R832" s="75"/>
      <c r="S832" s="75"/>
      <c r="T832" s="75"/>
      <c r="U832" s="89"/>
      <c r="V832" s="84"/>
      <c r="W832" s="84"/>
      <c r="X832" s="84"/>
      <c r="Y832" s="84"/>
      <c r="Z832" s="84"/>
    </row>
    <row r="833" spans="1:26" ht="13">
      <c r="A833" s="83"/>
      <c r="B833" s="83"/>
      <c r="C833" s="83"/>
      <c r="D833" s="84"/>
      <c r="E833" s="84"/>
      <c r="F833" s="84"/>
      <c r="G833" s="83"/>
      <c r="H833" s="84"/>
      <c r="I833" s="84"/>
      <c r="J833" s="84"/>
      <c r="K833" s="84"/>
      <c r="L833" s="84"/>
      <c r="M833" s="84"/>
      <c r="N833" s="84"/>
      <c r="O833" s="84"/>
      <c r="P833" s="85"/>
      <c r="Q833" s="75"/>
      <c r="R833" s="75"/>
      <c r="S833" s="75"/>
      <c r="T833" s="75"/>
      <c r="U833" s="89"/>
      <c r="V833" s="84"/>
      <c r="W833" s="84"/>
      <c r="X833" s="84"/>
      <c r="Y833" s="84"/>
      <c r="Z833" s="84"/>
    </row>
    <row r="834" spans="1:26" ht="13">
      <c r="A834" s="83"/>
      <c r="B834" s="83"/>
      <c r="C834" s="83"/>
      <c r="D834" s="84"/>
      <c r="E834" s="84"/>
      <c r="F834" s="84"/>
      <c r="G834" s="83"/>
      <c r="H834" s="84"/>
      <c r="I834" s="84"/>
      <c r="J834" s="84"/>
      <c r="K834" s="84"/>
      <c r="L834" s="84"/>
      <c r="M834" s="84"/>
      <c r="N834" s="84"/>
      <c r="O834" s="84"/>
      <c r="P834" s="85"/>
      <c r="Q834" s="75"/>
      <c r="R834" s="75"/>
      <c r="S834" s="75"/>
      <c r="T834" s="75"/>
      <c r="U834" s="89"/>
      <c r="V834" s="84"/>
      <c r="W834" s="84"/>
      <c r="X834" s="84"/>
      <c r="Y834" s="84"/>
      <c r="Z834" s="84"/>
    </row>
    <row r="835" spans="1:26" ht="13">
      <c r="A835" s="83"/>
      <c r="B835" s="83"/>
      <c r="C835" s="83"/>
      <c r="D835" s="84"/>
      <c r="E835" s="84"/>
      <c r="F835" s="84"/>
      <c r="G835" s="83"/>
      <c r="H835" s="84"/>
      <c r="I835" s="84"/>
      <c r="J835" s="84"/>
      <c r="K835" s="84"/>
      <c r="L835" s="84"/>
      <c r="M835" s="84"/>
      <c r="N835" s="84"/>
      <c r="O835" s="84"/>
      <c r="P835" s="85"/>
      <c r="Q835" s="75"/>
      <c r="R835" s="75"/>
      <c r="S835" s="75"/>
      <c r="T835" s="75"/>
      <c r="U835" s="89"/>
      <c r="V835" s="84"/>
      <c r="W835" s="84"/>
      <c r="X835" s="84"/>
      <c r="Y835" s="84"/>
      <c r="Z835" s="84"/>
    </row>
    <row r="836" spans="1:26" ht="13">
      <c r="A836" s="83"/>
      <c r="B836" s="83"/>
      <c r="C836" s="83"/>
      <c r="D836" s="84"/>
      <c r="E836" s="84"/>
      <c r="F836" s="84"/>
      <c r="G836" s="83"/>
      <c r="H836" s="84"/>
      <c r="I836" s="84"/>
      <c r="J836" s="84"/>
      <c r="K836" s="84"/>
      <c r="L836" s="84"/>
      <c r="M836" s="84"/>
      <c r="N836" s="84"/>
      <c r="O836" s="84"/>
      <c r="P836" s="85"/>
      <c r="Q836" s="75"/>
      <c r="R836" s="75"/>
      <c r="S836" s="75"/>
      <c r="T836" s="75"/>
      <c r="U836" s="89"/>
      <c r="V836" s="84"/>
      <c r="W836" s="84"/>
      <c r="X836" s="84"/>
      <c r="Y836" s="84"/>
      <c r="Z836" s="84"/>
    </row>
    <row r="837" spans="1:26" ht="13">
      <c r="A837" s="83"/>
      <c r="B837" s="83"/>
      <c r="C837" s="83"/>
      <c r="D837" s="84"/>
      <c r="E837" s="84"/>
      <c r="F837" s="84"/>
      <c r="G837" s="83"/>
      <c r="H837" s="84"/>
      <c r="I837" s="84"/>
      <c r="J837" s="84"/>
      <c r="K837" s="84"/>
      <c r="L837" s="84"/>
      <c r="M837" s="84"/>
      <c r="N837" s="84"/>
      <c r="O837" s="84"/>
      <c r="P837" s="85"/>
      <c r="Q837" s="75"/>
      <c r="R837" s="75"/>
      <c r="S837" s="75"/>
      <c r="T837" s="75"/>
      <c r="U837" s="89"/>
      <c r="V837" s="84"/>
      <c r="W837" s="84"/>
      <c r="X837" s="84"/>
      <c r="Y837" s="84"/>
      <c r="Z837" s="84"/>
    </row>
    <row r="838" spans="1:26" ht="13">
      <c r="A838" s="83"/>
      <c r="B838" s="83"/>
      <c r="C838" s="83"/>
      <c r="D838" s="84"/>
      <c r="E838" s="84"/>
      <c r="F838" s="84"/>
      <c r="G838" s="83"/>
      <c r="H838" s="84"/>
      <c r="I838" s="84"/>
      <c r="J838" s="84"/>
      <c r="K838" s="84"/>
      <c r="L838" s="84"/>
      <c r="M838" s="84"/>
      <c r="N838" s="84"/>
      <c r="O838" s="84"/>
      <c r="P838" s="85"/>
      <c r="Q838" s="75"/>
      <c r="R838" s="75"/>
      <c r="S838" s="75"/>
      <c r="T838" s="75"/>
      <c r="U838" s="89"/>
      <c r="V838" s="84"/>
      <c r="W838" s="84"/>
      <c r="X838" s="84"/>
      <c r="Y838" s="84"/>
      <c r="Z838" s="84"/>
    </row>
    <row r="839" spans="1:26" ht="13">
      <c r="A839" s="83"/>
      <c r="B839" s="83"/>
      <c r="C839" s="83"/>
      <c r="D839" s="84"/>
      <c r="E839" s="84"/>
      <c r="F839" s="84"/>
      <c r="G839" s="83"/>
      <c r="H839" s="84"/>
      <c r="I839" s="84"/>
      <c r="J839" s="84"/>
      <c r="K839" s="84"/>
      <c r="L839" s="84"/>
      <c r="M839" s="84"/>
      <c r="N839" s="84"/>
      <c r="O839" s="84"/>
      <c r="P839" s="85"/>
      <c r="Q839" s="75"/>
      <c r="R839" s="75"/>
      <c r="S839" s="75"/>
      <c r="T839" s="75"/>
      <c r="U839" s="89"/>
      <c r="V839" s="84"/>
      <c r="W839" s="84"/>
      <c r="X839" s="84"/>
      <c r="Y839" s="84"/>
      <c r="Z839" s="84"/>
    </row>
    <row r="840" spans="1:26" ht="13">
      <c r="A840" s="83"/>
      <c r="B840" s="83"/>
      <c r="C840" s="83"/>
      <c r="D840" s="84"/>
      <c r="E840" s="84"/>
      <c r="F840" s="84"/>
      <c r="G840" s="83"/>
      <c r="H840" s="84"/>
      <c r="I840" s="84"/>
      <c r="J840" s="84"/>
      <c r="K840" s="84"/>
      <c r="L840" s="84"/>
      <c r="M840" s="84"/>
      <c r="N840" s="84"/>
      <c r="O840" s="84"/>
      <c r="P840" s="85"/>
      <c r="Q840" s="75"/>
      <c r="R840" s="75"/>
      <c r="S840" s="75"/>
      <c r="T840" s="75"/>
      <c r="U840" s="89"/>
      <c r="V840" s="84"/>
      <c r="W840" s="84"/>
      <c r="X840" s="84"/>
      <c r="Y840" s="84"/>
      <c r="Z840" s="84"/>
    </row>
    <row r="841" spans="1:26" ht="13">
      <c r="A841" s="83"/>
      <c r="B841" s="83"/>
      <c r="C841" s="83"/>
      <c r="D841" s="84"/>
      <c r="E841" s="84"/>
      <c r="F841" s="84"/>
      <c r="G841" s="83"/>
      <c r="H841" s="84"/>
      <c r="I841" s="84"/>
      <c r="J841" s="84"/>
      <c r="K841" s="84"/>
      <c r="L841" s="84"/>
      <c r="M841" s="84"/>
      <c r="N841" s="84"/>
      <c r="O841" s="84"/>
      <c r="P841" s="85"/>
      <c r="Q841" s="75"/>
      <c r="R841" s="75"/>
      <c r="S841" s="75"/>
      <c r="T841" s="75"/>
      <c r="U841" s="89"/>
      <c r="V841" s="84"/>
      <c r="W841" s="84"/>
      <c r="X841" s="84"/>
      <c r="Y841" s="84"/>
      <c r="Z841" s="84"/>
    </row>
    <row r="842" spans="1:26" ht="13">
      <c r="A842" s="83"/>
      <c r="B842" s="83"/>
      <c r="C842" s="83"/>
      <c r="D842" s="84"/>
      <c r="E842" s="84"/>
      <c r="F842" s="84"/>
      <c r="G842" s="83"/>
      <c r="H842" s="84"/>
      <c r="I842" s="84"/>
      <c r="J842" s="84"/>
      <c r="K842" s="84"/>
      <c r="L842" s="84"/>
      <c r="M842" s="84"/>
      <c r="N842" s="84"/>
      <c r="O842" s="84"/>
      <c r="P842" s="85"/>
      <c r="Q842" s="75"/>
      <c r="R842" s="75"/>
      <c r="S842" s="75"/>
      <c r="T842" s="75"/>
      <c r="U842" s="89"/>
      <c r="V842" s="84"/>
      <c r="W842" s="84"/>
      <c r="X842" s="84"/>
      <c r="Y842" s="84"/>
      <c r="Z842" s="84"/>
    </row>
    <row r="843" spans="1:26" ht="13">
      <c r="A843" s="83"/>
      <c r="B843" s="83"/>
      <c r="C843" s="83"/>
      <c r="D843" s="84"/>
      <c r="E843" s="84"/>
      <c r="F843" s="84"/>
      <c r="G843" s="83"/>
      <c r="H843" s="84"/>
      <c r="I843" s="84"/>
      <c r="J843" s="84"/>
      <c r="K843" s="84"/>
      <c r="L843" s="84"/>
      <c r="M843" s="84"/>
      <c r="N843" s="84"/>
      <c r="O843" s="84"/>
      <c r="P843" s="85"/>
      <c r="Q843" s="75"/>
      <c r="R843" s="75"/>
      <c r="S843" s="75"/>
      <c r="T843" s="75"/>
      <c r="U843" s="89"/>
      <c r="V843" s="84"/>
      <c r="W843" s="84"/>
      <c r="X843" s="84"/>
      <c r="Y843" s="84"/>
      <c r="Z843" s="84"/>
    </row>
    <row r="844" spans="1:26" ht="13">
      <c r="A844" s="83"/>
      <c r="B844" s="83"/>
      <c r="C844" s="83"/>
      <c r="D844" s="84"/>
      <c r="E844" s="84"/>
      <c r="F844" s="84"/>
      <c r="G844" s="83"/>
      <c r="H844" s="84"/>
      <c r="I844" s="84"/>
      <c r="J844" s="84"/>
      <c r="K844" s="84"/>
      <c r="L844" s="84"/>
      <c r="M844" s="84"/>
      <c r="N844" s="84"/>
      <c r="O844" s="84"/>
      <c r="P844" s="85"/>
      <c r="Q844" s="75"/>
      <c r="R844" s="75"/>
      <c r="S844" s="75"/>
      <c r="T844" s="75"/>
      <c r="U844" s="89"/>
      <c r="V844" s="84"/>
      <c r="W844" s="84"/>
      <c r="X844" s="84"/>
      <c r="Y844" s="84"/>
      <c r="Z844" s="84"/>
    </row>
    <row r="845" spans="1:26" ht="13">
      <c r="A845" s="83"/>
      <c r="B845" s="83"/>
      <c r="C845" s="83"/>
      <c r="D845" s="84"/>
      <c r="E845" s="84"/>
      <c r="F845" s="84"/>
      <c r="G845" s="83"/>
      <c r="H845" s="84"/>
      <c r="I845" s="84"/>
      <c r="J845" s="84"/>
      <c r="K845" s="84"/>
      <c r="L845" s="84"/>
      <c r="M845" s="84"/>
      <c r="N845" s="84"/>
      <c r="O845" s="84"/>
      <c r="P845" s="85"/>
      <c r="Q845" s="75"/>
      <c r="R845" s="75"/>
      <c r="S845" s="75"/>
      <c r="T845" s="75"/>
      <c r="U845" s="89"/>
      <c r="V845" s="84"/>
      <c r="W845" s="84"/>
      <c r="X845" s="84"/>
      <c r="Y845" s="84"/>
      <c r="Z845" s="84"/>
    </row>
    <row r="846" spans="1:26" ht="13">
      <c r="A846" s="83"/>
      <c r="B846" s="83"/>
      <c r="C846" s="83"/>
      <c r="D846" s="84"/>
      <c r="E846" s="84"/>
      <c r="F846" s="84"/>
      <c r="G846" s="83"/>
      <c r="H846" s="84"/>
      <c r="I846" s="84"/>
      <c r="J846" s="84"/>
      <c r="K846" s="84"/>
      <c r="L846" s="84"/>
      <c r="M846" s="84"/>
      <c r="N846" s="84"/>
      <c r="O846" s="84"/>
      <c r="P846" s="85"/>
      <c r="Q846" s="75"/>
      <c r="R846" s="75"/>
      <c r="S846" s="75"/>
      <c r="T846" s="75"/>
      <c r="U846" s="89"/>
      <c r="V846" s="84"/>
      <c r="W846" s="84"/>
      <c r="X846" s="84"/>
      <c r="Y846" s="84"/>
      <c r="Z846" s="84"/>
    </row>
    <row r="847" spans="1:26" ht="13">
      <c r="A847" s="83"/>
      <c r="B847" s="83"/>
      <c r="C847" s="83"/>
      <c r="D847" s="84"/>
      <c r="E847" s="84"/>
      <c r="F847" s="84"/>
      <c r="G847" s="83"/>
      <c r="H847" s="84"/>
      <c r="I847" s="84"/>
      <c r="J847" s="84"/>
      <c r="K847" s="84"/>
      <c r="L847" s="84"/>
      <c r="M847" s="84"/>
      <c r="N847" s="84"/>
      <c r="O847" s="84"/>
      <c r="P847" s="85"/>
      <c r="Q847" s="75"/>
      <c r="R847" s="75"/>
      <c r="S847" s="75"/>
      <c r="T847" s="75"/>
      <c r="U847" s="89"/>
      <c r="V847" s="84"/>
      <c r="W847" s="84"/>
      <c r="X847" s="84"/>
      <c r="Y847" s="84"/>
      <c r="Z847" s="84"/>
    </row>
    <row r="848" spans="1:26" ht="13">
      <c r="A848" s="83"/>
      <c r="B848" s="83"/>
      <c r="C848" s="83"/>
      <c r="D848" s="84"/>
      <c r="E848" s="84"/>
      <c r="F848" s="84"/>
      <c r="G848" s="83"/>
      <c r="H848" s="84"/>
      <c r="I848" s="84"/>
      <c r="J848" s="84"/>
      <c r="K848" s="84"/>
      <c r="L848" s="84"/>
      <c r="M848" s="84"/>
      <c r="N848" s="84"/>
      <c r="O848" s="84"/>
      <c r="P848" s="85"/>
      <c r="Q848" s="75"/>
      <c r="R848" s="75"/>
      <c r="S848" s="75"/>
      <c r="T848" s="75"/>
      <c r="U848" s="89"/>
      <c r="V848" s="84"/>
      <c r="W848" s="84"/>
      <c r="X848" s="84"/>
      <c r="Y848" s="84"/>
      <c r="Z848" s="84"/>
    </row>
    <row r="849" spans="1:26" ht="13">
      <c r="A849" s="83"/>
      <c r="B849" s="83"/>
      <c r="C849" s="83"/>
      <c r="D849" s="84"/>
      <c r="E849" s="84"/>
      <c r="F849" s="84"/>
      <c r="G849" s="83"/>
      <c r="H849" s="84"/>
      <c r="I849" s="84"/>
      <c r="J849" s="84"/>
      <c r="K849" s="84"/>
      <c r="L849" s="84"/>
      <c r="M849" s="84"/>
      <c r="N849" s="84"/>
      <c r="O849" s="84"/>
      <c r="P849" s="85"/>
      <c r="Q849" s="75"/>
      <c r="R849" s="75"/>
      <c r="S849" s="75"/>
      <c r="T849" s="75"/>
      <c r="U849" s="89"/>
      <c r="V849" s="84"/>
      <c r="W849" s="84"/>
      <c r="X849" s="84"/>
      <c r="Y849" s="84"/>
      <c r="Z849" s="84"/>
    </row>
    <row r="850" spans="1:26" ht="13">
      <c r="A850" s="83"/>
      <c r="B850" s="83"/>
      <c r="C850" s="83"/>
      <c r="D850" s="84"/>
      <c r="E850" s="84"/>
      <c r="F850" s="84"/>
      <c r="G850" s="83"/>
      <c r="H850" s="84"/>
      <c r="I850" s="84"/>
      <c r="J850" s="84"/>
      <c r="K850" s="84"/>
      <c r="L850" s="84"/>
      <c r="M850" s="84"/>
      <c r="N850" s="84"/>
      <c r="O850" s="84"/>
      <c r="P850" s="85"/>
      <c r="Q850" s="75"/>
      <c r="R850" s="75"/>
      <c r="S850" s="75"/>
      <c r="T850" s="75"/>
      <c r="U850" s="89"/>
      <c r="V850" s="84"/>
      <c r="W850" s="84"/>
      <c r="X850" s="84"/>
      <c r="Y850" s="84"/>
      <c r="Z850" s="84"/>
    </row>
    <row r="851" spans="1:26" ht="13">
      <c r="A851" s="83"/>
      <c r="B851" s="83"/>
      <c r="C851" s="83"/>
      <c r="D851" s="84"/>
      <c r="E851" s="84"/>
      <c r="F851" s="84"/>
      <c r="G851" s="83"/>
      <c r="H851" s="84"/>
      <c r="I851" s="84"/>
      <c r="J851" s="84"/>
      <c r="K851" s="84"/>
      <c r="L851" s="84"/>
      <c r="M851" s="84"/>
      <c r="N851" s="84"/>
      <c r="O851" s="84"/>
      <c r="P851" s="85"/>
      <c r="Q851" s="75"/>
      <c r="R851" s="75"/>
      <c r="S851" s="75"/>
      <c r="T851" s="75"/>
      <c r="U851" s="89"/>
      <c r="V851" s="84"/>
      <c r="W851" s="84"/>
      <c r="X851" s="84"/>
      <c r="Y851" s="84"/>
      <c r="Z851" s="84"/>
    </row>
    <row r="852" spans="1:26" ht="13">
      <c r="A852" s="83"/>
      <c r="B852" s="83"/>
      <c r="C852" s="83"/>
      <c r="D852" s="84"/>
      <c r="E852" s="84"/>
      <c r="F852" s="84"/>
      <c r="G852" s="83"/>
      <c r="H852" s="84"/>
      <c r="I852" s="84"/>
      <c r="J852" s="84"/>
      <c r="K852" s="84"/>
      <c r="L852" s="84"/>
      <c r="M852" s="84"/>
      <c r="N852" s="84"/>
      <c r="O852" s="84"/>
      <c r="P852" s="85"/>
      <c r="Q852" s="75"/>
      <c r="R852" s="75"/>
      <c r="S852" s="75"/>
      <c r="T852" s="75"/>
      <c r="U852" s="89"/>
      <c r="V852" s="84"/>
      <c r="W852" s="84"/>
      <c r="X852" s="84"/>
      <c r="Y852" s="84"/>
      <c r="Z852" s="84"/>
    </row>
    <row r="853" spans="1:26" ht="13">
      <c r="A853" s="83"/>
      <c r="B853" s="83"/>
      <c r="C853" s="83"/>
      <c r="D853" s="84"/>
      <c r="E853" s="84"/>
      <c r="F853" s="84"/>
      <c r="G853" s="83"/>
      <c r="H853" s="84"/>
      <c r="I853" s="84"/>
      <c r="J853" s="84"/>
      <c r="K853" s="84"/>
      <c r="L853" s="84"/>
      <c r="M853" s="84"/>
      <c r="N853" s="84"/>
      <c r="O853" s="84"/>
      <c r="P853" s="85"/>
      <c r="Q853" s="75"/>
      <c r="R853" s="75"/>
      <c r="S853" s="75"/>
      <c r="T853" s="75"/>
      <c r="U853" s="89"/>
      <c r="V853" s="84"/>
      <c r="W853" s="84"/>
      <c r="X853" s="84"/>
      <c r="Y853" s="84"/>
      <c r="Z853" s="84"/>
    </row>
    <row r="854" spans="1:26" ht="13">
      <c r="A854" s="83"/>
      <c r="B854" s="83"/>
      <c r="C854" s="83"/>
      <c r="D854" s="84"/>
      <c r="E854" s="84"/>
      <c r="F854" s="84"/>
      <c r="G854" s="83"/>
      <c r="H854" s="84"/>
      <c r="I854" s="84"/>
      <c r="J854" s="84"/>
      <c r="K854" s="84"/>
      <c r="L854" s="84"/>
      <c r="M854" s="84"/>
      <c r="N854" s="84"/>
      <c r="O854" s="84"/>
      <c r="P854" s="85"/>
      <c r="Q854" s="75"/>
      <c r="R854" s="75"/>
      <c r="S854" s="75"/>
      <c r="T854" s="75"/>
      <c r="U854" s="89"/>
      <c r="V854" s="84"/>
      <c r="W854" s="84"/>
      <c r="X854" s="84"/>
      <c r="Y854" s="84"/>
      <c r="Z854" s="84"/>
    </row>
    <row r="855" spans="1:26" ht="13">
      <c r="A855" s="83"/>
      <c r="B855" s="83"/>
      <c r="C855" s="83"/>
      <c r="D855" s="84"/>
      <c r="E855" s="84"/>
      <c r="F855" s="84"/>
      <c r="G855" s="83"/>
      <c r="H855" s="84"/>
      <c r="I855" s="84"/>
      <c r="J855" s="84"/>
      <c r="K855" s="84"/>
      <c r="L855" s="84"/>
      <c r="M855" s="84"/>
      <c r="N855" s="84"/>
      <c r="O855" s="84"/>
      <c r="P855" s="85"/>
      <c r="Q855" s="75"/>
      <c r="R855" s="75"/>
      <c r="S855" s="75"/>
      <c r="T855" s="75"/>
      <c r="U855" s="89"/>
      <c r="V855" s="84"/>
      <c r="W855" s="84"/>
      <c r="X855" s="84"/>
      <c r="Y855" s="84"/>
      <c r="Z855" s="84"/>
    </row>
    <row r="856" spans="1:26" ht="13">
      <c r="A856" s="83"/>
      <c r="B856" s="83"/>
      <c r="C856" s="83"/>
      <c r="D856" s="84"/>
      <c r="E856" s="84"/>
      <c r="F856" s="84"/>
      <c r="G856" s="83"/>
      <c r="H856" s="84"/>
      <c r="I856" s="84"/>
      <c r="J856" s="84"/>
      <c r="K856" s="84"/>
      <c r="L856" s="84"/>
      <c r="M856" s="84"/>
      <c r="N856" s="84"/>
      <c r="O856" s="84"/>
      <c r="P856" s="85"/>
      <c r="Q856" s="75"/>
      <c r="R856" s="75"/>
      <c r="S856" s="75"/>
      <c r="T856" s="75"/>
      <c r="U856" s="89"/>
      <c r="V856" s="84"/>
      <c r="W856" s="84"/>
      <c r="X856" s="84"/>
      <c r="Y856" s="84"/>
      <c r="Z856" s="84"/>
    </row>
    <row r="857" spans="1:26" ht="13">
      <c r="A857" s="83"/>
      <c r="B857" s="83"/>
      <c r="C857" s="83"/>
      <c r="D857" s="84"/>
      <c r="E857" s="84"/>
      <c r="F857" s="84"/>
      <c r="G857" s="83"/>
      <c r="H857" s="84"/>
      <c r="I857" s="84"/>
      <c r="J857" s="84"/>
      <c r="K857" s="84"/>
      <c r="L857" s="84"/>
      <c r="M857" s="84"/>
      <c r="N857" s="84"/>
      <c r="O857" s="84"/>
      <c r="P857" s="85"/>
      <c r="Q857" s="75"/>
      <c r="R857" s="75"/>
      <c r="S857" s="75"/>
      <c r="T857" s="75"/>
      <c r="U857" s="89"/>
      <c r="V857" s="84"/>
      <c r="W857" s="84"/>
      <c r="X857" s="84"/>
      <c r="Y857" s="84"/>
      <c r="Z857" s="84"/>
    </row>
    <row r="858" spans="1:26" ht="13">
      <c r="A858" s="83"/>
      <c r="B858" s="83"/>
      <c r="C858" s="83"/>
      <c r="D858" s="84"/>
      <c r="E858" s="84"/>
      <c r="F858" s="84"/>
      <c r="G858" s="83"/>
      <c r="H858" s="84"/>
      <c r="I858" s="84"/>
      <c r="J858" s="84"/>
      <c r="K858" s="84"/>
      <c r="L858" s="84"/>
      <c r="M858" s="84"/>
      <c r="N858" s="84"/>
      <c r="O858" s="84"/>
      <c r="P858" s="85"/>
      <c r="Q858" s="75"/>
      <c r="R858" s="75"/>
      <c r="S858" s="75"/>
      <c r="T858" s="75"/>
      <c r="U858" s="89"/>
      <c r="V858" s="84"/>
      <c r="W858" s="84"/>
      <c r="X858" s="84"/>
      <c r="Y858" s="84"/>
      <c r="Z858" s="84"/>
    </row>
    <row r="859" spans="1:26" ht="13">
      <c r="A859" s="83"/>
      <c r="B859" s="83"/>
      <c r="C859" s="83"/>
      <c r="D859" s="84"/>
      <c r="E859" s="84"/>
      <c r="F859" s="84"/>
      <c r="G859" s="83"/>
      <c r="H859" s="84"/>
      <c r="I859" s="84"/>
      <c r="J859" s="84"/>
      <c r="K859" s="84"/>
      <c r="L859" s="84"/>
      <c r="M859" s="84"/>
      <c r="N859" s="84"/>
      <c r="O859" s="84"/>
      <c r="P859" s="85"/>
      <c r="Q859" s="75"/>
      <c r="R859" s="75"/>
      <c r="S859" s="75"/>
      <c r="T859" s="75"/>
      <c r="U859" s="89"/>
      <c r="V859" s="84"/>
      <c r="W859" s="84"/>
      <c r="X859" s="84"/>
      <c r="Y859" s="84"/>
      <c r="Z859" s="84"/>
    </row>
    <row r="860" spans="1:26" ht="13">
      <c r="A860" s="83"/>
      <c r="B860" s="83"/>
      <c r="C860" s="83"/>
      <c r="D860" s="84"/>
      <c r="E860" s="84"/>
      <c r="F860" s="84"/>
      <c r="G860" s="83"/>
      <c r="H860" s="84"/>
      <c r="I860" s="84"/>
      <c r="J860" s="84"/>
      <c r="K860" s="84"/>
      <c r="L860" s="84"/>
      <c r="M860" s="84"/>
      <c r="N860" s="84"/>
      <c r="O860" s="84"/>
      <c r="P860" s="85"/>
      <c r="Q860" s="75"/>
      <c r="R860" s="75"/>
      <c r="S860" s="75"/>
      <c r="T860" s="75"/>
      <c r="U860" s="89"/>
      <c r="V860" s="84"/>
      <c r="W860" s="84"/>
      <c r="X860" s="84"/>
      <c r="Y860" s="84"/>
      <c r="Z860" s="84"/>
    </row>
    <row r="861" spans="1:26" ht="13">
      <c r="A861" s="83"/>
      <c r="B861" s="83"/>
      <c r="C861" s="83"/>
      <c r="D861" s="84"/>
      <c r="E861" s="84"/>
      <c r="F861" s="84"/>
      <c r="G861" s="83"/>
      <c r="H861" s="84"/>
      <c r="I861" s="84"/>
      <c r="J861" s="84"/>
      <c r="K861" s="84"/>
      <c r="L861" s="84"/>
      <c r="M861" s="84"/>
      <c r="N861" s="84"/>
      <c r="O861" s="84"/>
      <c r="P861" s="85"/>
      <c r="Q861" s="75"/>
      <c r="R861" s="75"/>
      <c r="S861" s="75"/>
      <c r="T861" s="75"/>
      <c r="U861" s="89"/>
      <c r="V861" s="84"/>
      <c r="W861" s="84"/>
      <c r="X861" s="84"/>
      <c r="Y861" s="84"/>
      <c r="Z861" s="84"/>
    </row>
    <row r="862" spans="1:26" ht="13">
      <c r="A862" s="83"/>
      <c r="B862" s="83"/>
      <c r="C862" s="83"/>
      <c r="D862" s="84"/>
      <c r="E862" s="84"/>
      <c r="F862" s="84"/>
      <c r="G862" s="83"/>
      <c r="H862" s="84"/>
      <c r="I862" s="84"/>
      <c r="J862" s="84"/>
      <c r="K862" s="84"/>
      <c r="L862" s="84"/>
      <c r="M862" s="84"/>
      <c r="N862" s="84"/>
      <c r="O862" s="84"/>
      <c r="P862" s="85"/>
      <c r="Q862" s="75"/>
      <c r="R862" s="75"/>
      <c r="S862" s="75"/>
      <c r="T862" s="75"/>
      <c r="U862" s="89"/>
      <c r="V862" s="84"/>
      <c r="W862" s="84"/>
      <c r="X862" s="84"/>
      <c r="Y862" s="84"/>
      <c r="Z862" s="84"/>
    </row>
    <row r="863" spans="1:26" ht="13">
      <c r="A863" s="83"/>
      <c r="B863" s="83"/>
      <c r="C863" s="83"/>
      <c r="D863" s="84"/>
      <c r="E863" s="84"/>
      <c r="F863" s="84"/>
      <c r="G863" s="83"/>
      <c r="H863" s="84"/>
      <c r="I863" s="84"/>
      <c r="J863" s="84"/>
      <c r="K863" s="84"/>
      <c r="L863" s="84"/>
      <c r="M863" s="84"/>
      <c r="N863" s="84"/>
      <c r="O863" s="84"/>
      <c r="P863" s="85"/>
      <c r="Q863" s="75"/>
      <c r="R863" s="75"/>
      <c r="S863" s="75"/>
      <c r="T863" s="75"/>
      <c r="U863" s="89"/>
      <c r="V863" s="84"/>
      <c r="W863" s="84"/>
      <c r="X863" s="84"/>
      <c r="Y863" s="84"/>
      <c r="Z863" s="84"/>
    </row>
    <row r="864" spans="1:26" ht="13">
      <c r="A864" s="83"/>
      <c r="B864" s="83"/>
      <c r="C864" s="83"/>
      <c r="D864" s="84"/>
      <c r="E864" s="84"/>
      <c r="F864" s="84"/>
      <c r="G864" s="83"/>
      <c r="H864" s="84"/>
      <c r="I864" s="84"/>
      <c r="J864" s="84"/>
      <c r="K864" s="84"/>
      <c r="L864" s="84"/>
      <c r="M864" s="84"/>
      <c r="N864" s="84"/>
      <c r="O864" s="84"/>
      <c r="P864" s="85"/>
      <c r="Q864" s="75"/>
      <c r="R864" s="75"/>
      <c r="S864" s="75"/>
      <c r="T864" s="75"/>
      <c r="U864" s="89"/>
      <c r="V864" s="84"/>
      <c r="W864" s="84"/>
      <c r="X864" s="84"/>
      <c r="Y864" s="84"/>
      <c r="Z864" s="84"/>
    </row>
    <row r="865" spans="1:26" ht="13">
      <c r="A865" s="83"/>
      <c r="B865" s="83"/>
      <c r="C865" s="83"/>
      <c r="D865" s="84"/>
      <c r="E865" s="84"/>
      <c r="F865" s="84"/>
      <c r="G865" s="83"/>
      <c r="H865" s="84"/>
      <c r="I865" s="84"/>
      <c r="J865" s="84"/>
      <c r="K865" s="84"/>
      <c r="L865" s="84"/>
      <c r="M865" s="84"/>
      <c r="N865" s="84"/>
      <c r="O865" s="84"/>
      <c r="P865" s="85"/>
      <c r="Q865" s="75"/>
      <c r="R865" s="75"/>
      <c r="S865" s="75"/>
      <c r="T865" s="75"/>
      <c r="U865" s="89"/>
      <c r="V865" s="84"/>
      <c r="W865" s="84"/>
      <c r="X865" s="84"/>
      <c r="Y865" s="84"/>
      <c r="Z865" s="84"/>
    </row>
    <row r="866" spans="1:26" ht="13">
      <c r="A866" s="83"/>
      <c r="B866" s="83"/>
      <c r="C866" s="83"/>
      <c r="D866" s="84"/>
      <c r="E866" s="84"/>
      <c r="F866" s="84"/>
      <c r="G866" s="83"/>
      <c r="H866" s="84"/>
      <c r="I866" s="84"/>
      <c r="J866" s="84"/>
      <c r="K866" s="84"/>
      <c r="L866" s="84"/>
      <c r="M866" s="84"/>
      <c r="N866" s="84"/>
      <c r="O866" s="84"/>
      <c r="P866" s="85"/>
      <c r="Q866" s="75"/>
      <c r="R866" s="75"/>
      <c r="S866" s="75"/>
      <c r="T866" s="75"/>
      <c r="U866" s="89"/>
      <c r="V866" s="84"/>
      <c r="W866" s="84"/>
      <c r="X866" s="84"/>
      <c r="Y866" s="84"/>
      <c r="Z866" s="84"/>
    </row>
    <row r="867" spans="1:26" ht="13">
      <c r="A867" s="83"/>
      <c r="B867" s="83"/>
      <c r="C867" s="83"/>
      <c r="D867" s="84"/>
      <c r="E867" s="84"/>
      <c r="F867" s="84"/>
      <c r="G867" s="83"/>
      <c r="H867" s="84"/>
      <c r="I867" s="84"/>
      <c r="J867" s="84"/>
      <c r="K867" s="84"/>
      <c r="L867" s="84"/>
      <c r="M867" s="84"/>
      <c r="N867" s="84"/>
      <c r="O867" s="84"/>
      <c r="P867" s="85"/>
      <c r="Q867" s="75"/>
      <c r="R867" s="75"/>
      <c r="S867" s="75"/>
      <c r="T867" s="75"/>
      <c r="U867" s="89"/>
      <c r="V867" s="84"/>
      <c r="W867" s="84"/>
      <c r="X867" s="84"/>
      <c r="Y867" s="84"/>
      <c r="Z867" s="84"/>
    </row>
    <row r="868" spans="1:26" ht="13">
      <c r="A868" s="83"/>
      <c r="B868" s="83"/>
      <c r="C868" s="83"/>
      <c r="D868" s="84"/>
      <c r="E868" s="84"/>
      <c r="F868" s="84"/>
      <c r="G868" s="83"/>
      <c r="H868" s="84"/>
      <c r="I868" s="84"/>
      <c r="J868" s="84"/>
      <c r="K868" s="84"/>
      <c r="L868" s="84"/>
      <c r="M868" s="84"/>
      <c r="N868" s="84"/>
      <c r="O868" s="84"/>
      <c r="P868" s="85"/>
      <c r="Q868" s="75"/>
      <c r="R868" s="75"/>
      <c r="S868" s="75"/>
      <c r="T868" s="75"/>
      <c r="U868" s="89"/>
      <c r="V868" s="84"/>
      <c r="W868" s="84"/>
      <c r="X868" s="84"/>
      <c r="Y868" s="84"/>
      <c r="Z868" s="84"/>
    </row>
    <row r="869" spans="1:26" ht="13">
      <c r="A869" s="83"/>
      <c r="B869" s="83"/>
      <c r="C869" s="83"/>
      <c r="D869" s="84"/>
      <c r="E869" s="84"/>
      <c r="F869" s="84"/>
      <c r="G869" s="83"/>
      <c r="H869" s="84"/>
      <c r="I869" s="84"/>
      <c r="J869" s="84"/>
      <c r="K869" s="84"/>
      <c r="L869" s="84"/>
      <c r="M869" s="84"/>
      <c r="N869" s="84"/>
      <c r="O869" s="84"/>
      <c r="P869" s="85"/>
      <c r="Q869" s="75"/>
      <c r="R869" s="75"/>
      <c r="S869" s="75"/>
      <c r="T869" s="75"/>
      <c r="U869" s="89"/>
      <c r="V869" s="84"/>
      <c r="W869" s="84"/>
      <c r="X869" s="84"/>
      <c r="Y869" s="84"/>
      <c r="Z869" s="84"/>
    </row>
    <row r="870" spans="1:26" ht="13">
      <c r="A870" s="83"/>
      <c r="B870" s="83"/>
      <c r="C870" s="83"/>
      <c r="D870" s="84"/>
      <c r="E870" s="84"/>
      <c r="F870" s="84"/>
      <c r="G870" s="83"/>
      <c r="H870" s="84"/>
      <c r="I870" s="84"/>
      <c r="J870" s="84"/>
      <c r="K870" s="84"/>
      <c r="L870" s="84"/>
      <c r="M870" s="84"/>
      <c r="N870" s="84"/>
      <c r="O870" s="84"/>
      <c r="P870" s="85"/>
      <c r="Q870" s="75"/>
      <c r="R870" s="75"/>
      <c r="S870" s="75"/>
      <c r="T870" s="75"/>
      <c r="U870" s="89"/>
      <c r="V870" s="84"/>
      <c r="W870" s="84"/>
      <c r="X870" s="84"/>
      <c r="Y870" s="84"/>
      <c r="Z870" s="84"/>
    </row>
    <row r="871" spans="1:26" ht="13">
      <c r="A871" s="83"/>
      <c r="B871" s="83"/>
      <c r="C871" s="83"/>
      <c r="D871" s="84"/>
      <c r="E871" s="84"/>
      <c r="F871" s="84"/>
      <c r="G871" s="83"/>
      <c r="H871" s="84"/>
      <c r="I871" s="84"/>
      <c r="J871" s="84"/>
      <c r="K871" s="84"/>
      <c r="L871" s="84"/>
      <c r="M871" s="84"/>
      <c r="N871" s="84"/>
      <c r="O871" s="84"/>
      <c r="P871" s="85"/>
      <c r="Q871" s="75"/>
      <c r="R871" s="75"/>
      <c r="S871" s="75"/>
      <c r="T871" s="75"/>
      <c r="U871" s="89"/>
      <c r="V871" s="84"/>
      <c r="W871" s="84"/>
      <c r="X871" s="84"/>
      <c r="Y871" s="84"/>
      <c r="Z871" s="84"/>
    </row>
    <row r="872" spans="1:26" ht="13">
      <c r="A872" s="83"/>
      <c r="B872" s="83"/>
      <c r="C872" s="83"/>
      <c r="D872" s="84"/>
      <c r="E872" s="84"/>
      <c r="F872" s="84"/>
      <c r="G872" s="83"/>
      <c r="H872" s="84"/>
      <c r="I872" s="84"/>
      <c r="J872" s="84"/>
      <c r="K872" s="84"/>
      <c r="L872" s="84"/>
      <c r="M872" s="84"/>
      <c r="N872" s="84"/>
      <c r="O872" s="84"/>
      <c r="P872" s="85"/>
      <c r="Q872" s="75"/>
      <c r="R872" s="75"/>
      <c r="S872" s="75"/>
      <c r="T872" s="75"/>
      <c r="U872" s="89"/>
      <c r="V872" s="84"/>
      <c r="W872" s="84"/>
      <c r="X872" s="84"/>
      <c r="Y872" s="84"/>
      <c r="Z872" s="84"/>
    </row>
    <row r="873" spans="1:26" ht="13">
      <c r="A873" s="83"/>
      <c r="B873" s="83"/>
      <c r="C873" s="83"/>
      <c r="D873" s="84"/>
      <c r="E873" s="84"/>
      <c r="F873" s="84"/>
      <c r="G873" s="83"/>
      <c r="H873" s="84"/>
      <c r="I873" s="84"/>
      <c r="J873" s="84"/>
      <c r="K873" s="84"/>
      <c r="L873" s="84"/>
      <c r="M873" s="84"/>
      <c r="N873" s="84"/>
      <c r="O873" s="84"/>
      <c r="P873" s="85"/>
      <c r="Q873" s="75"/>
      <c r="R873" s="75"/>
      <c r="S873" s="75"/>
      <c r="T873" s="75"/>
      <c r="U873" s="89"/>
      <c r="V873" s="84"/>
      <c r="W873" s="84"/>
      <c r="X873" s="84"/>
      <c r="Y873" s="84"/>
      <c r="Z873" s="84"/>
    </row>
    <row r="874" spans="1:26" ht="13">
      <c r="A874" s="83"/>
      <c r="B874" s="83"/>
      <c r="C874" s="83"/>
      <c r="D874" s="84"/>
      <c r="E874" s="84"/>
      <c r="F874" s="84"/>
      <c r="G874" s="83"/>
      <c r="H874" s="84"/>
      <c r="I874" s="84"/>
      <c r="J874" s="84"/>
      <c r="K874" s="84"/>
      <c r="L874" s="84"/>
      <c r="M874" s="84"/>
      <c r="N874" s="84"/>
      <c r="O874" s="84"/>
      <c r="P874" s="85"/>
      <c r="Q874" s="75"/>
      <c r="R874" s="75"/>
      <c r="S874" s="75"/>
      <c r="T874" s="75"/>
      <c r="U874" s="89"/>
      <c r="V874" s="84"/>
      <c r="W874" s="84"/>
      <c r="X874" s="84"/>
      <c r="Y874" s="84"/>
      <c r="Z874" s="84"/>
    </row>
    <row r="875" spans="1:26" ht="13">
      <c r="A875" s="83"/>
      <c r="B875" s="83"/>
      <c r="C875" s="83"/>
      <c r="D875" s="84"/>
      <c r="E875" s="84"/>
      <c r="F875" s="84"/>
      <c r="G875" s="83"/>
      <c r="H875" s="84"/>
      <c r="I875" s="84"/>
      <c r="J875" s="84"/>
      <c r="K875" s="84"/>
      <c r="L875" s="84"/>
      <c r="M875" s="84"/>
      <c r="N875" s="84"/>
      <c r="O875" s="84"/>
      <c r="P875" s="85"/>
      <c r="Q875" s="75"/>
      <c r="R875" s="75"/>
      <c r="S875" s="75"/>
      <c r="T875" s="75"/>
      <c r="U875" s="89"/>
      <c r="V875" s="84"/>
      <c r="W875" s="84"/>
      <c r="X875" s="84"/>
      <c r="Y875" s="84"/>
      <c r="Z875" s="84"/>
    </row>
    <row r="876" spans="1:26" ht="13">
      <c r="A876" s="83"/>
      <c r="B876" s="83"/>
      <c r="C876" s="83"/>
      <c r="D876" s="84"/>
      <c r="E876" s="84"/>
      <c r="F876" s="84"/>
      <c r="G876" s="83"/>
      <c r="H876" s="84"/>
      <c r="I876" s="84"/>
      <c r="J876" s="84"/>
      <c r="K876" s="84"/>
      <c r="L876" s="84"/>
      <c r="M876" s="84"/>
      <c r="N876" s="84"/>
      <c r="O876" s="84"/>
      <c r="P876" s="85"/>
      <c r="Q876" s="75"/>
      <c r="R876" s="75"/>
      <c r="S876" s="75"/>
      <c r="T876" s="75"/>
      <c r="U876" s="89"/>
      <c r="V876" s="84"/>
      <c r="W876" s="84"/>
      <c r="X876" s="84"/>
      <c r="Y876" s="84"/>
      <c r="Z876" s="84"/>
    </row>
    <row r="877" spans="1:26" ht="13">
      <c r="A877" s="83"/>
      <c r="B877" s="83"/>
      <c r="C877" s="83"/>
      <c r="D877" s="84"/>
      <c r="E877" s="84"/>
      <c r="F877" s="84"/>
      <c r="G877" s="83"/>
      <c r="H877" s="84"/>
      <c r="I877" s="84"/>
      <c r="J877" s="84"/>
      <c r="K877" s="84"/>
      <c r="L877" s="84"/>
      <c r="M877" s="84"/>
      <c r="N877" s="84"/>
      <c r="O877" s="84"/>
      <c r="P877" s="85"/>
      <c r="Q877" s="75"/>
      <c r="R877" s="75"/>
      <c r="S877" s="75"/>
      <c r="T877" s="75"/>
      <c r="U877" s="89"/>
      <c r="V877" s="84"/>
      <c r="W877" s="84"/>
      <c r="X877" s="84"/>
      <c r="Y877" s="84"/>
      <c r="Z877" s="84"/>
    </row>
    <row r="878" spans="1:26" ht="13">
      <c r="A878" s="83"/>
      <c r="B878" s="83"/>
      <c r="C878" s="83"/>
      <c r="D878" s="84"/>
      <c r="E878" s="84"/>
      <c r="F878" s="84"/>
      <c r="G878" s="83"/>
      <c r="H878" s="84"/>
      <c r="I878" s="84"/>
      <c r="J878" s="84"/>
      <c r="K878" s="84"/>
      <c r="L878" s="84"/>
      <c r="M878" s="84"/>
      <c r="N878" s="84"/>
      <c r="O878" s="84"/>
      <c r="P878" s="85"/>
      <c r="Q878" s="75"/>
      <c r="R878" s="75"/>
      <c r="S878" s="75"/>
      <c r="T878" s="75"/>
      <c r="U878" s="89"/>
      <c r="V878" s="84"/>
      <c r="W878" s="84"/>
      <c r="X878" s="84"/>
      <c r="Y878" s="84"/>
      <c r="Z878" s="84"/>
    </row>
    <row r="879" spans="1:26" ht="13">
      <c r="A879" s="83"/>
      <c r="B879" s="83"/>
      <c r="C879" s="83"/>
      <c r="D879" s="84"/>
      <c r="E879" s="84"/>
      <c r="F879" s="84"/>
      <c r="G879" s="83"/>
      <c r="H879" s="84"/>
      <c r="I879" s="84"/>
      <c r="J879" s="84"/>
      <c r="K879" s="84"/>
      <c r="L879" s="84"/>
      <c r="M879" s="84"/>
      <c r="N879" s="84"/>
      <c r="O879" s="84"/>
      <c r="P879" s="85"/>
      <c r="Q879" s="75"/>
      <c r="R879" s="75"/>
      <c r="S879" s="75"/>
      <c r="T879" s="75"/>
      <c r="U879" s="89"/>
      <c r="V879" s="84"/>
      <c r="W879" s="84"/>
      <c r="X879" s="84"/>
      <c r="Y879" s="84"/>
      <c r="Z879" s="84"/>
    </row>
    <row r="880" spans="1:26" ht="13">
      <c r="A880" s="83"/>
      <c r="B880" s="83"/>
      <c r="C880" s="83"/>
      <c r="D880" s="84"/>
      <c r="E880" s="84"/>
      <c r="F880" s="84"/>
      <c r="G880" s="83"/>
      <c r="H880" s="84"/>
      <c r="I880" s="84"/>
      <c r="J880" s="84"/>
      <c r="K880" s="84"/>
      <c r="L880" s="84"/>
      <c r="M880" s="84"/>
      <c r="N880" s="84"/>
      <c r="O880" s="84"/>
      <c r="P880" s="85"/>
      <c r="Q880" s="75"/>
      <c r="R880" s="75"/>
      <c r="S880" s="75"/>
      <c r="T880" s="75"/>
      <c r="U880" s="89"/>
      <c r="V880" s="84"/>
      <c r="W880" s="84"/>
      <c r="X880" s="84"/>
      <c r="Y880" s="84"/>
      <c r="Z880" s="84"/>
    </row>
    <row r="881" spans="1:26" ht="13">
      <c r="A881" s="83"/>
      <c r="B881" s="83"/>
      <c r="C881" s="83"/>
      <c r="D881" s="84"/>
      <c r="E881" s="84"/>
      <c r="F881" s="84"/>
      <c r="G881" s="83"/>
      <c r="H881" s="84"/>
      <c r="I881" s="84"/>
      <c r="J881" s="84"/>
      <c r="K881" s="84"/>
      <c r="L881" s="84"/>
      <c r="M881" s="84"/>
      <c r="N881" s="84"/>
      <c r="O881" s="84"/>
      <c r="P881" s="85"/>
      <c r="Q881" s="75"/>
      <c r="R881" s="75"/>
      <c r="S881" s="75"/>
      <c r="T881" s="75"/>
      <c r="U881" s="89"/>
      <c r="V881" s="84"/>
      <c r="W881" s="84"/>
      <c r="X881" s="84"/>
      <c r="Y881" s="84"/>
      <c r="Z881" s="84"/>
    </row>
    <row r="882" spans="1:26" ht="13">
      <c r="A882" s="83"/>
      <c r="B882" s="83"/>
      <c r="C882" s="83"/>
      <c r="D882" s="84"/>
      <c r="E882" s="84"/>
      <c r="F882" s="84"/>
      <c r="G882" s="83"/>
      <c r="H882" s="84"/>
      <c r="I882" s="84"/>
      <c r="J882" s="84"/>
      <c r="K882" s="84"/>
      <c r="L882" s="84"/>
      <c r="M882" s="84"/>
      <c r="N882" s="84"/>
      <c r="O882" s="84"/>
      <c r="P882" s="85"/>
      <c r="Q882" s="75"/>
      <c r="R882" s="75"/>
      <c r="S882" s="75"/>
      <c r="T882" s="75"/>
      <c r="U882" s="89"/>
      <c r="V882" s="84"/>
      <c r="W882" s="84"/>
      <c r="X882" s="84"/>
      <c r="Y882" s="84"/>
      <c r="Z882" s="84"/>
    </row>
    <row r="883" spans="1:26" ht="13">
      <c r="A883" s="83"/>
      <c r="B883" s="83"/>
      <c r="C883" s="83"/>
      <c r="D883" s="84"/>
      <c r="E883" s="84"/>
      <c r="F883" s="84"/>
      <c r="G883" s="83"/>
      <c r="H883" s="84"/>
      <c r="I883" s="84"/>
      <c r="J883" s="84"/>
      <c r="K883" s="84"/>
      <c r="L883" s="84"/>
      <c r="M883" s="84"/>
      <c r="N883" s="84"/>
      <c r="O883" s="84"/>
      <c r="P883" s="85"/>
      <c r="Q883" s="75"/>
      <c r="R883" s="75"/>
      <c r="S883" s="75"/>
      <c r="T883" s="75"/>
      <c r="U883" s="89"/>
      <c r="V883" s="84"/>
      <c r="W883" s="84"/>
      <c r="X883" s="84"/>
      <c r="Y883" s="84"/>
      <c r="Z883" s="84"/>
    </row>
    <row r="884" spans="1:26" ht="13">
      <c r="A884" s="83"/>
      <c r="B884" s="83"/>
      <c r="C884" s="83"/>
      <c r="D884" s="84"/>
      <c r="E884" s="84"/>
      <c r="F884" s="84"/>
      <c r="G884" s="83"/>
      <c r="H884" s="84"/>
      <c r="I884" s="84"/>
      <c r="J884" s="84"/>
      <c r="K884" s="84"/>
      <c r="L884" s="84"/>
      <c r="M884" s="84"/>
      <c r="N884" s="84"/>
      <c r="O884" s="84"/>
      <c r="P884" s="85"/>
      <c r="Q884" s="75"/>
      <c r="R884" s="75"/>
      <c r="S884" s="75"/>
      <c r="T884" s="75"/>
      <c r="U884" s="89"/>
      <c r="V884" s="84"/>
      <c r="W884" s="84"/>
      <c r="X884" s="84"/>
      <c r="Y884" s="84"/>
      <c r="Z884" s="84"/>
    </row>
    <row r="885" spans="1:26" ht="13">
      <c r="A885" s="83"/>
      <c r="B885" s="83"/>
      <c r="C885" s="83"/>
      <c r="D885" s="84"/>
      <c r="E885" s="84"/>
      <c r="F885" s="84"/>
      <c r="G885" s="83"/>
      <c r="H885" s="84"/>
      <c r="I885" s="84"/>
      <c r="J885" s="84"/>
      <c r="K885" s="84"/>
      <c r="L885" s="84"/>
      <c r="M885" s="84"/>
      <c r="N885" s="84"/>
      <c r="O885" s="84"/>
      <c r="P885" s="85"/>
      <c r="Q885" s="75"/>
      <c r="R885" s="75"/>
      <c r="S885" s="75"/>
      <c r="T885" s="75"/>
      <c r="U885" s="89"/>
      <c r="V885" s="84"/>
      <c r="W885" s="84"/>
      <c r="X885" s="84"/>
      <c r="Y885" s="84"/>
      <c r="Z885" s="84"/>
    </row>
    <row r="886" spans="1:26" ht="13">
      <c r="A886" s="83"/>
      <c r="B886" s="83"/>
      <c r="C886" s="83"/>
      <c r="D886" s="84"/>
      <c r="E886" s="84"/>
      <c r="F886" s="84"/>
      <c r="G886" s="83"/>
      <c r="H886" s="84"/>
      <c r="I886" s="84"/>
      <c r="J886" s="84"/>
      <c r="K886" s="84"/>
      <c r="L886" s="84"/>
      <c r="M886" s="84"/>
      <c r="N886" s="84"/>
      <c r="O886" s="84"/>
      <c r="P886" s="85"/>
      <c r="Q886" s="75"/>
      <c r="R886" s="75"/>
      <c r="S886" s="75"/>
      <c r="T886" s="75"/>
      <c r="U886" s="89"/>
      <c r="V886" s="84"/>
      <c r="W886" s="84"/>
      <c r="X886" s="84"/>
      <c r="Y886" s="84"/>
      <c r="Z886" s="84"/>
    </row>
    <row r="887" spans="1:26" ht="13">
      <c r="A887" s="83"/>
      <c r="B887" s="83"/>
      <c r="C887" s="83"/>
      <c r="D887" s="84"/>
      <c r="E887" s="84"/>
      <c r="F887" s="84"/>
      <c r="G887" s="83"/>
      <c r="H887" s="84"/>
      <c r="I887" s="84"/>
      <c r="J887" s="84"/>
      <c r="K887" s="84"/>
      <c r="L887" s="84"/>
      <c r="M887" s="84"/>
      <c r="N887" s="84"/>
      <c r="O887" s="84"/>
      <c r="P887" s="85"/>
      <c r="Q887" s="75"/>
      <c r="R887" s="75"/>
      <c r="S887" s="75"/>
      <c r="T887" s="75"/>
      <c r="U887" s="89"/>
      <c r="V887" s="84"/>
      <c r="W887" s="84"/>
      <c r="X887" s="84"/>
      <c r="Y887" s="84"/>
      <c r="Z887" s="84"/>
    </row>
    <row r="888" spans="1:26" ht="13">
      <c r="A888" s="83"/>
      <c r="B888" s="83"/>
      <c r="C888" s="83"/>
      <c r="D888" s="84"/>
      <c r="E888" s="84"/>
      <c r="F888" s="84"/>
      <c r="G888" s="83"/>
      <c r="H888" s="84"/>
      <c r="I888" s="84"/>
      <c r="J888" s="84"/>
      <c r="K888" s="84"/>
      <c r="L888" s="84"/>
      <c r="M888" s="84"/>
      <c r="N888" s="84"/>
      <c r="O888" s="84"/>
      <c r="P888" s="85"/>
      <c r="Q888" s="75"/>
      <c r="R888" s="75"/>
      <c r="S888" s="75"/>
      <c r="T888" s="75"/>
      <c r="U888" s="89"/>
      <c r="V888" s="84"/>
      <c r="W888" s="84"/>
      <c r="X888" s="84"/>
      <c r="Y888" s="84"/>
      <c r="Z888" s="84"/>
    </row>
    <row r="889" spans="1:26" ht="13">
      <c r="A889" s="83"/>
      <c r="B889" s="83"/>
      <c r="C889" s="83"/>
      <c r="D889" s="84"/>
      <c r="E889" s="84"/>
      <c r="F889" s="84"/>
      <c r="G889" s="83"/>
      <c r="H889" s="84"/>
      <c r="I889" s="84"/>
      <c r="J889" s="84"/>
      <c r="K889" s="84"/>
      <c r="L889" s="84"/>
      <c r="M889" s="84"/>
      <c r="N889" s="84"/>
      <c r="O889" s="84"/>
      <c r="P889" s="85"/>
      <c r="Q889" s="75"/>
      <c r="R889" s="75"/>
      <c r="S889" s="75"/>
      <c r="T889" s="75"/>
      <c r="U889" s="89"/>
      <c r="V889" s="84"/>
      <c r="W889" s="84"/>
      <c r="X889" s="84"/>
      <c r="Y889" s="84"/>
      <c r="Z889" s="84"/>
    </row>
    <row r="890" spans="1:26" ht="13">
      <c r="A890" s="83"/>
      <c r="B890" s="83"/>
      <c r="C890" s="83"/>
      <c r="D890" s="84"/>
      <c r="E890" s="84"/>
      <c r="F890" s="84"/>
      <c r="G890" s="83"/>
      <c r="H890" s="84"/>
      <c r="I890" s="84"/>
      <c r="J890" s="84"/>
      <c r="K890" s="84"/>
      <c r="L890" s="84"/>
      <c r="M890" s="84"/>
      <c r="N890" s="84"/>
      <c r="O890" s="84"/>
      <c r="P890" s="85"/>
      <c r="Q890" s="75"/>
      <c r="R890" s="75"/>
      <c r="S890" s="75"/>
      <c r="T890" s="75"/>
      <c r="U890" s="89"/>
      <c r="V890" s="84"/>
      <c r="W890" s="84"/>
      <c r="X890" s="84"/>
      <c r="Y890" s="84"/>
      <c r="Z890" s="84"/>
    </row>
    <row r="891" spans="1:26" ht="13">
      <c r="A891" s="83"/>
      <c r="B891" s="83"/>
      <c r="C891" s="83"/>
      <c r="D891" s="84"/>
      <c r="E891" s="84"/>
      <c r="F891" s="84"/>
      <c r="G891" s="83"/>
      <c r="H891" s="84"/>
      <c r="I891" s="84"/>
      <c r="J891" s="84"/>
      <c r="K891" s="84"/>
      <c r="L891" s="84"/>
      <c r="M891" s="84"/>
      <c r="N891" s="84"/>
      <c r="O891" s="84"/>
      <c r="P891" s="85"/>
      <c r="Q891" s="75"/>
      <c r="R891" s="75"/>
      <c r="S891" s="75"/>
      <c r="T891" s="75"/>
      <c r="U891" s="89"/>
      <c r="V891" s="84"/>
      <c r="W891" s="84"/>
      <c r="X891" s="84"/>
      <c r="Y891" s="84"/>
      <c r="Z891" s="84"/>
    </row>
    <row r="892" spans="1:26" ht="13">
      <c r="A892" s="83"/>
      <c r="B892" s="83"/>
      <c r="C892" s="83"/>
      <c r="D892" s="84"/>
      <c r="E892" s="84"/>
      <c r="F892" s="84"/>
      <c r="G892" s="83"/>
      <c r="H892" s="84"/>
      <c r="I892" s="84"/>
      <c r="J892" s="84"/>
      <c r="K892" s="84"/>
      <c r="L892" s="84"/>
      <c r="M892" s="84"/>
      <c r="N892" s="84"/>
      <c r="O892" s="84"/>
      <c r="P892" s="85"/>
      <c r="Q892" s="75"/>
      <c r="R892" s="75"/>
      <c r="S892" s="75"/>
      <c r="T892" s="75"/>
      <c r="U892" s="89"/>
      <c r="V892" s="84"/>
      <c r="W892" s="84"/>
      <c r="X892" s="84"/>
      <c r="Y892" s="84"/>
      <c r="Z892" s="84"/>
    </row>
    <row r="893" spans="1:26" ht="13">
      <c r="A893" s="83"/>
      <c r="B893" s="83"/>
      <c r="C893" s="83"/>
      <c r="D893" s="84"/>
      <c r="E893" s="84"/>
      <c r="F893" s="84"/>
      <c r="G893" s="83"/>
      <c r="H893" s="84"/>
      <c r="I893" s="84"/>
      <c r="J893" s="84"/>
      <c r="K893" s="84"/>
      <c r="L893" s="84"/>
      <c r="M893" s="84"/>
      <c r="N893" s="84"/>
      <c r="O893" s="84"/>
      <c r="P893" s="85"/>
      <c r="Q893" s="75"/>
      <c r="R893" s="75"/>
      <c r="S893" s="75"/>
      <c r="T893" s="75"/>
      <c r="U893" s="89"/>
      <c r="V893" s="84"/>
      <c r="W893" s="84"/>
      <c r="X893" s="84"/>
      <c r="Y893" s="84"/>
      <c r="Z893" s="84"/>
    </row>
    <row r="894" spans="1:26" ht="13">
      <c r="A894" s="83"/>
      <c r="B894" s="83"/>
      <c r="C894" s="83"/>
      <c r="D894" s="84"/>
      <c r="E894" s="84"/>
      <c r="F894" s="84"/>
      <c r="G894" s="83"/>
      <c r="H894" s="84"/>
      <c r="I894" s="84"/>
      <c r="J894" s="84"/>
      <c r="K894" s="84"/>
      <c r="L894" s="84"/>
      <c r="M894" s="84"/>
      <c r="N894" s="84"/>
      <c r="O894" s="84"/>
      <c r="P894" s="85"/>
      <c r="Q894" s="75"/>
      <c r="R894" s="75"/>
      <c r="S894" s="75"/>
      <c r="T894" s="75"/>
      <c r="U894" s="89"/>
      <c r="V894" s="84"/>
      <c r="W894" s="84"/>
      <c r="X894" s="84"/>
      <c r="Y894" s="84"/>
      <c r="Z894" s="84"/>
    </row>
    <row r="895" spans="1:26" ht="13">
      <c r="A895" s="83"/>
      <c r="B895" s="83"/>
      <c r="C895" s="83"/>
      <c r="D895" s="84"/>
      <c r="E895" s="84"/>
      <c r="F895" s="84"/>
      <c r="G895" s="83"/>
      <c r="H895" s="84"/>
      <c r="I895" s="84"/>
      <c r="J895" s="84"/>
      <c r="K895" s="84"/>
      <c r="L895" s="84"/>
      <c r="M895" s="84"/>
      <c r="N895" s="84"/>
      <c r="O895" s="84"/>
      <c r="P895" s="85"/>
      <c r="Q895" s="75"/>
      <c r="R895" s="75"/>
      <c r="S895" s="75"/>
      <c r="T895" s="75"/>
      <c r="U895" s="89"/>
      <c r="V895" s="84"/>
      <c r="W895" s="84"/>
      <c r="X895" s="84"/>
      <c r="Y895" s="84"/>
      <c r="Z895" s="84"/>
    </row>
    <row r="896" spans="1:26" ht="13">
      <c r="A896" s="83"/>
      <c r="B896" s="83"/>
      <c r="C896" s="83"/>
      <c r="D896" s="84"/>
      <c r="E896" s="84"/>
      <c r="F896" s="84"/>
      <c r="G896" s="83"/>
      <c r="H896" s="84"/>
      <c r="I896" s="84"/>
      <c r="J896" s="84"/>
      <c r="K896" s="84"/>
      <c r="L896" s="84"/>
      <c r="M896" s="84"/>
      <c r="N896" s="84"/>
      <c r="O896" s="84"/>
      <c r="P896" s="85"/>
      <c r="Q896" s="75"/>
      <c r="R896" s="75"/>
      <c r="S896" s="75"/>
      <c r="T896" s="75"/>
      <c r="U896" s="89"/>
      <c r="V896" s="84"/>
      <c r="W896" s="84"/>
      <c r="X896" s="84"/>
      <c r="Y896" s="84"/>
      <c r="Z896" s="84"/>
    </row>
    <row r="897" spans="1:26" ht="13">
      <c r="A897" s="83"/>
      <c r="B897" s="83"/>
      <c r="C897" s="83"/>
      <c r="D897" s="84"/>
      <c r="E897" s="84"/>
      <c r="F897" s="84"/>
      <c r="G897" s="83"/>
      <c r="H897" s="84"/>
      <c r="I897" s="84"/>
      <c r="J897" s="84"/>
      <c r="K897" s="84"/>
      <c r="L897" s="84"/>
      <c r="M897" s="84"/>
      <c r="N897" s="84"/>
      <c r="O897" s="84"/>
      <c r="P897" s="85"/>
      <c r="Q897" s="75"/>
      <c r="R897" s="75"/>
      <c r="S897" s="75"/>
      <c r="T897" s="75"/>
      <c r="U897" s="89"/>
      <c r="V897" s="84"/>
      <c r="W897" s="84"/>
      <c r="X897" s="84"/>
      <c r="Y897" s="84"/>
      <c r="Z897" s="84"/>
    </row>
    <row r="898" spans="1:26" ht="13">
      <c r="A898" s="83"/>
      <c r="B898" s="83"/>
      <c r="C898" s="83"/>
      <c r="D898" s="84"/>
      <c r="E898" s="84"/>
      <c r="F898" s="84"/>
      <c r="G898" s="83"/>
      <c r="H898" s="84"/>
      <c r="I898" s="84"/>
      <c r="J898" s="84"/>
      <c r="K898" s="84"/>
      <c r="L898" s="84"/>
      <c r="M898" s="84"/>
      <c r="N898" s="84"/>
      <c r="O898" s="84"/>
      <c r="P898" s="85"/>
      <c r="Q898" s="75"/>
      <c r="R898" s="75"/>
      <c r="S898" s="75"/>
      <c r="T898" s="75"/>
      <c r="U898" s="89"/>
      <c r="V898" s="84"/>
      <c r="W898" s="84"/>
      <c r="X898" s="84"/>
      <c r="Y898" s="84"/>
      <c r="Z898" s="84"/>
    </row>
    <row r="899" spans="1:26" ht="13">
      <c r="A899" s="83"/>
      <c r="B899" s="83"/>
      <c r="C899" s="83"/>
      <c r="D899" s="84"/>
      <c r="E899" s="84"/>
      <c r="F899" s="84"/>
      <c r="G899" s="83"/>
      <c r="H899" s="84"/>
      <c r="I899" s="84"/>
      <c r="J899" s="84"/>
      <c r="K899" s="84"/>
      <c r="L899" s="84"/>
      <c r="M899" s="84"/>
      <c r="N899" s="84"/>
      <c r="O899" s="84"/>
      <c r="P899" s="85"/>
      <c r="Q899" s="75"/>
      <c r="R899" s="75"/>
      <c r="S899" s="75"/>
      <c r="T899" s="75"/>
      <c r="U899" s="89"/>
      <c r="V899" s="84"/>
      <c r="W899" s="84"/>
      <c r="X899" s="84"/>
      <c r="Y899" s="84"/>
      <c r="Z899" s="84"/>
    </row>
    <row r="900" spans="1:26" ht="13">
      <c r="A900" s="83"/>
      <c r="B900" s="83"/>
      <c r="C900" s="83"/>
      <c r="D900" s="84"/>
      <c r="E900" s="84"/>
      <c r="F900" s="84"/>
      <c r="G900" s="83"/>
      <c r="H900" s="84"/>
      <c r="I900" s="84"/>
      <c r="J900" s="84"/>
      <c r="K900" s="84"/>
      <c r="L900" s="84"/>
      <c r="M900" s="84"/>
      <c r="N900" s="84"/>
      <c r="O900" s="84"/>
      <c r="P900" s="85"/>
      <c r="Q900" s="75"/>
      <c r="R900" s="75"/>
      <c r="S900" s="75"/>
      <c r="T900" s="75"/>
      <c r="U900" s="89"/>
      <c r="V900" s="84"/>
      <c r="W900" s="84"/>
      <c r="X900" s="84"/>
      <c r="Y900" s="84"/>
      <c r="Z900" s="84"/>
    </row>
    <row r="901" spans="1:26" ht="13">
      <c r="A901" s="83"/>
      <c r="B901" s="83"/>
      <c r="C901" s="83"/>
      <c r="D901" s="84"/>
      <c r="E901" s="84"/>
      <c r="F901" s="84"/>
      <c r="G901" s="83"/>
      <c r="H901" s="84"/>
      <c r="I901" s="84"/>
      <c r="J901" s="84"/>
      <c r="K901" s="84"/>
      <c r="L901" s="84"/>
      <c r="M901" s="84"/>
      <c r="N901" s="84"/>
      <c r="O901" s="84"/>
      <c r="P901" s="85"/>
      <c r="Q901" s="75"/>
      <c r="R901" s="75"/>
      <c r="S901" s="75"/>
      <c r="T901" s="75"/>
      <c r="U901" s="89"/>
      <c r="V901" s="84"/>
      <c r="W901" s="84"/>
      <c r="X901" s="84"/>
      <c r="Y901" s="84"/>
      <c r="Z901" s="84"/>
    </row>
    <row r="902" spans="1:26" ht="13">
      <c r="A902" s="83"/>
      <c r="B902" s="83"/>
      <c r="C902" s="83"/>
      <c r="D902" s="84"/>
      <c r="E902" s="84"/>
      <c r="F902" s="84"/>
      <c r="G902" s="83"/>
      <c r="H902" s="84"/>
      <c r="I902" s="84"/>
      <c r="J902" s="84"/>
      <c r="K902" s="84"/>
      <c r="L902" s="84"/>
      <c r="M902" s="84"/>
      <c r="N902" s="84"/>
      <c r="O902" s="84"/>
      <c r="P902" s="85"/>
      <c r="Q902" s="75"/>
      <c r="R902" s="75"/>
      <c r="S902" s="75"/>
      <c r="T902" s="75"/>
      <c r="U902" s="89"/>
      <c r="V902" s="84"/>
      <c r="W902" s="84"/>
      <c r="X902" s="84"/>
      <c r="Y902" s="84"/>
      <c r="Z902" s="84"/>
    </row>
    <row r="903" spans="1:26" ht="13">
      <c r="A903" s="83"/>
      <c r="B903" s="83"/>
      <c r="C903" s="83"/>
      <c r="D903" s="84"/>
      <c r="E903" s="84"/>
      <c r="F903" s="84"/>
      <c r="G903" s="83"/>
      <c r="H903" s="84"/>
      <c r="I903" s="84"/>
      <c r="J903" s="84"/>
      <c r="K903" s="84"/>
      <c r="L903" s="84"/>
      <c r="M903" s="84"/>
      <c r="N903" s="84"/>
      <c r="O903" s="84"/>
      <c r="P903" s="85"/>
      <c r="Q903" s="75"/>
      <c r="R903" s="75"/>
      <c r="S903" s="75"/>
      <c r="T903" s="75"/>
      <c r="U903" s="89"/>
      <c r="V903" s="84"/>
      <c r="W903" s="84"/>
      <c r="X903" s="84"/>
      <c r="Y903" s="84"/>
      <c r="Z903" s="84"/>
    </row>
    <row r="904" spans="1:26" ht="13">
      <c r="A904" s="83"/>
      <c r="B904" s="83"/>
      <c r="C904" s="83"/>
      <c r="D904" s="84"/>
      <c r="E904" s="84"/>
      <c r="F904" s="84"/>
      <c r="G904" s="83"/>
      <c r="H904" s="84"/>
      <c r="I904" s="84"/>
      <c r="J904" s="84"/>
      <c r="K904" s="84"/>
      <c r="L904" s="84"/>
      <c r="M904" s="84"/>
      <c r="N904" s="84"/>
      <c r="O904" s="84"/>
      <c r="P904" s="85"/>
      <c r="Q904" s="75"/>
      <c r="R904" s="75"/>
      <c r="S904" s="75"/>
      <c r="T904" s="75"/>
      <c r="U904" s="89"/>
      <c r="V904" s="84"/>
      <c r="W904" s="84"/>
      <c r="X904" s="84"/>
      <c r="Y904" s="84"/>
      <c r="Z904" s="84"/>
    </row>
    <row r="905" spans="1:26" ht="13">
      <c r="A905" s="83"/>
      <c r="B905" s="83"/>
      <c r="C905" s="83"/>
      <c r="D905" s="84"/>
      <c r="E905" s="84"/>
      <c r="F905" s="84"/>
      <c r="G905" s="83"/>
      <c r="H905" s="84"/>
      <c r="I905" s="84"/>
      <c r="J905" s="84"/>
      <c r="K905" s="84"/>
      <c r="L905" s="84"/>
      <c r="M905" s="84"/>
      <c r="N905" s="84"/>
      <c r="O905" s="84"/>
      <c r="P905" s="85"/>
      <c r="Q905" s="75"/>
      <c r="R905" s="75"/>
      <c r="S905" s="75"/>
      <c r="T905" s="75"/>
      <c r="U905" s="89"/>
      <c r="V905" s="84"/>
      <c r="W905" s="84"/>
      <c r="X905" s="84"/>
      <c r="Y905" s="84"/>
      <c r="Z905" s="84"/>
    </row>
    <row r="906" spans="1:26" ht="13">
      <c r="A906" s="83"/>
      <c r="B906" s="83"/>
      <c r="C906" s="83"/>
      <c r="D906" s="84"/>
      <c r="E906" s="84"/>
      <c r="F906" s="84"/>
      <c r="G906" s="83"/>
      <c r="H906" s="84"/>
      <c r="I906" s="84"/>
      <c r="J906" s="84"/>
      <c r="K906" s="84"/>
      <c r="L906" s="84"/>
      <c r="M906" s="84"/>
      <c r="N906" s="84"/>
      <c r="O906" s="84"/>
      <c r="P906" s="85"/>
      <c r="Q906" s="75"/>
      <c r="R906" s="75"/>
      <c r="S906" s="75"/>
      <c r="T906" s="75"/>
      <c r="U906" s="89"/>
      <c r="V906" s="84"/>
      <c r="W906" s="84"/>
      <c r="X906" s="84"/>
      <c r="Y906" s="84"/>
      <c r="Z906" s="84"/>
    </row>
    <row r="907" spans="1:26" ht="13">
      <c r="A907" s="83"/>
      <c r="B907" s="83"/>
      <c r="C907" s="83"/>
      <c r="D907" s="84"/>
      <c r="E907" s="84"/>
      <c r="F907" s="84"/>
      <c r="G907" s="83"/>
      <c r="H907" s="84"/>
      <c r="I907" s="84"/>
      <c r="J907" s="84"/>
      <c r="K907" s="84"/>
      <c r="L907" s="84"/>
      <c r="M907" s="84"/>
      <c r="N907" s="84"/>
      <c r="O907" s="84"/>
      <c r="P907" s="85"/>
      <c r="Q907" s="75"/>
      <c r="R907" s="75"/>
      <c r="S907" s="75"/>
      <c r="T907" s="75"/>
      <c r="U907" s="89"/>
      <c r="V907" s="84"/>
      <c r="W907" s="84"/>
      <c r="X907" s="84"/>
      <c r="Y907" s="84"/>
      <c r="Z907" s="84"/>
    </row>
    <row r="908" spans="1:26" ht="13">
      <c r="A908" s="83"/>
      <c r="B908" s="83"/>
      <c r="C908" s="83"/>
      <c r="D908" s="84"/>
      <c r="E908" s="84"/>
      <c r="F908" s="84"/>
      <c r="G908" s="83"/>
      <c r="H908" s="84"/>
      <c r="I908" s="84"/>
      <c r="J908" s="84"/>
      <c r="K908" s="84"/>
      <c r="L908" s="84"/>
      <c r="M908" s="84"/>
      <c r="N908" s="84"/>
      <c r="O908" s="84"/>
      <c r="P908" s="85"/>
      <c r="Q908" s="75"/>
      <c r="R908" s="75"/>
      <c r="S908" s="75"/>
      <c r="T908" s="75"/>
      <c r="U908" s="89"/>
      <c r="V908" s="84"/>
      <c r="W908" s="84"/>
      <c r="X908" s="84"/>
      <c r="Y908" s="84"/>
      <c r="Z908" s="84"/>
    </row>
    <row r="909" spans="1:26" ht="13">
      <c r="A909" s="83"/>
      <c r="B909" s="83"/>
      <c r="C909" s="83"/>
      <c r="D909" s="84"/>
      <c r="E909" s="84"/>
      <c r="F909" s="84"/>
      <c r="G909" s="83"/>
      <c r="H909" s="84"/>
      <c r="I909" s="84"/>
      <c r="J909" s="84"/>
      <c r="K909" s="84"/>
      <c r="L909" s="84"/>
      <c r="M909" s="84"/>
      <c r="N909" s="84"/>
      <c r="O909" s="84"/>
      <c r="P909" s="85"/>
      <c r="Q909" s="75"/>
      <c r="R909" s="75"/>
      <c r="S909" s="75"/>
      <c r="T909" s="75"/>
      <c r="U909" s="89"/>
      <c r="V909" s="84"/>
      <c r="W909" s="84"/>
      <c r="X909" s="84"/>
      <c r="Y909" s="84"/>
      <c r="Z909" s="84"/>
    </row>
    <row r="910" spans="1:26" ht="13">
      <c r="A910" s="83"/>
      <c r="B910" s="83"/>
      <c r="C910" s="83"/>
      <c r="D910" s="84"/>
      <c r="E910" s="84"/>
      <c r="F910" s="84"/>
      <c r="G910" s="83"/>
      <c r="H910" s="84"/>
      <c r="I910" s="84"/>
      <c r="J910" s="84"/>
      <c r="K910" s="84"/>
      <c r="L910" s="84"/>
      <c r="M910" s="84"/>
      <c r="N910" s="84"/>
      <c r="O910" s="84"/>
      <c r="P910" s="85"/>
      <c r="Q910" s="75"/>
      <c r="R910" s="75"/>
      <c r="S910" s="75"/>
      <c r="T910" s="75"/>
      <c r="U910" s="89"/>
      <c r="V910" s="84"/>
      <c r="W910" s="84"/>
      <c r="X910" s="84"/>
      <c r="Y910" s="84"/>
      <c r="Z910" s="84"/>
    </row>
    <row r="911" spans="1:26" ht="13">
      <c r="A911" s="83"/>
      <c r="B911" s="83"/>
      <c r="C911" s="83"/>
      <c r="D911" s="84"/>
      <c r="E911" s="84"/>
      <c r="F911" s="84"/>
      <c r="G911" s="83"/>
      <c r="H911" s="84"/>
      <c r="I911" s="84"/>
      <c r="J911" s="84"/>
      <c r="K911" s="84"/>
      <c r="L911" s="84"/>
      <c r="M911" s="84"/>
      <c r="N911" s="84"/>
      <c r="O911" s="84"/>
      <c r="P911" s="85"/>
      <c r="Q911" s="75"/>
      <c r="R911" s="75"/>
      <c r="S911" s="75"/>
      <c r="T911" s="75"/>
      <c r="U911" s="89"/>
      <c r="V911" s="84"/>
      <c r="W911" s="84"/>
      <c r="X911" s="84"/>
      <c r="Y911" s="84"/>
      <c r="Z911" s="84"/>
    </row>
    <row r="912" spans="1:26" ht="13">
      <c r="A912" s="83"/>
      <c r="B912" s="83"/>
      <c r="C912" s="83"/>
      <c r="D912" s="84"/>
      <c r="E912" s="84"/>
      <c r="F912" s="84"/>
      <c r="G912" s="83"/>
      <c r="H912" s="84"/>
      <c r="I912" s="84"/>
      <c r="J912" s="84"/>
      <c r="K912" s="84"/>
      <c r="L912" s="84"/>
      <c r="M912" s="84"/>
      <c r="N912" s="84"/>
      <c r="O912" s="84"/>
      <c r="P912" s="85"/>
      <c r="Q912" s="75"/>
      <c r="R912" s="75"/>
      <c r="S912" s="75"/>
      <c r="T912" s="75"/>
      <c r="U912" s="89"/>
      <c r="V912" s="84"/>
      <c r="W912" s="84"/>
      <c r="X912" s="84"/>
      <c r="Y912" s="84"/>
      <c r="Z912" s="84"/>
    </row>
    <row r="913" spans="1:26" ht="13">
      <c r="A913" s="83"/>
      <c r="B913" s="83"/>
      <c r="C913" s="83"/>
      <c r="D913" s="84"/>
      <c r="E913" s="84"/>
      <c r="F913" s="84"/>
      <c r="G913" s="83"/>
      <c r="H913" s="84"/>
      <c r="I913" s="84"/>
      <c r="J913" s="84"/>
      <c r="K913" s="84"/>
      <c r="L913" s="84"/>
      <c r="M913" s="84"/>
      <c r="N913" s="84"/>
      <c r="O913" s="84"/>
      <c r="P913" s="85"/>
      <c r="Q913" s="75"/>
      <c r="R913" s="75"/>
      <c r="S913" s="75"/>
      <c r="T913" s="75"/>
      <c r="U913" s="89"/>
      <c r="V913" s="84"/>
      <c r="W913" s="84"/>
      <c r="X913" s="84"/>
      <c r="Y913" s="84"/>
      <c r="Z913" s="84"/>
    </row>
    <row r="914" spans="1:26" ht="13">
      <c r="A914" s="83"/>
      <c r="B914" s="83"/>
      <c r="C914" s="83"/>
      <c r="D914" s="84"/>
      <c r="E914" s="84"/>
      <c r="F914" s="84"/>
      <c r="G914" s="83"/>
      <c r="H914" s="84"/>
      <c r="I914" s="84"/>
      <c r="J914" s="84"/>
      <c r="K914" s="84"/>
      <c r="L914" s="84"/>
      <c r="M914" s="84"/>
      <c r="N914" s="84"/>
      <c r="O914" s="84"/>
      <c r="P914" s="85"/>
      <c r="Q914" s="75"/>
      <c r="R914" s="75"/>
      <c r="S914" s="75"/>
      <c r="T914" s="75"/>
      <c r="U914" s="89"/>
      <c r="V914" s="84"/>
      <c r="W914" s="84"/>
      <c r="X914" s="84"/>
      <c r="Y914" s="84"/>
      <c r="Z914" s="84"/>
    </row>
    <row r="915" spans="1:26" ht="13">
      <c r="A915" s="83"/>
      <c r="B915" s="83"/>
      <c r="C915" s="83"/>
      <c r="D915" s="84"/>
      <c r="E915" s="84"/>
      <c r="F915" s="84"/>
      <c r="G915" s="83"/>
      <c r="H915" s="84"/>
      <c r="I915" s="84"/>
      <c r="J915" s="84"/>
      <c r="K915" s="84"/>
      <c r="L915" s="84"/>
      <c r="M915" s="84"/>
      <c r="N915" s="84"/>
      <c r="O915" s="84"/>
      <c r="P915" s="85"/>
      <c r="Q915" s="75"/>
      <c r="R915" s="75"/>
      <c r="S915" s="75"/>
      <c r="T915" s="75"/>
      <c r="U915" s="89"/>
      <c r="V915" s="84"/>
      <c r="W915" s="84"/>
      <c r="X915" s="84"/>
      <c r="Y915" s="84"/>
      <c r="Z915" s="84"/>
    </row>
    <row r="916" spans="1:26" ht="13">
      <c r="A916" s="83"/>
      <c r="B916" s="83"/>
      <c r="C916" s="83"/>
      <c r="D916" s="84"/>
      <c r="E916" s="84"/>
      <c r="F916" s="84"/>
      <c r="G916" s="83"/>
      <c r="H916" s="84"/>
      <c r="I916" s="84"/>
      <c r="J916" s="84"/>
      <c r="K916" s="84"/>
      <c r="L916" s="84"/>
      <c r="M916" s="84"/>
      <c r="N916" s="84"/>
      <c r="O916" s="84"/>
      <c r="P916" s="85"/>
      <c r="Q916" s="75"/>
      <c r="R916" s="75"/>
      <c r="S916" s="75"/>
      <c r="T916" s="75"/>
      <c r="U916" s="89"/>
      <c r="V916" s="84"/>
      <c r="W916" s="84"/>
      <c r="X916" s="84"/>
      <c r="Y916" s="84"/>
      <c r="Z916" s="84"/>
    </row>
    <row r="917" spans="1:26" ht="13">
      <c r="A917" s="83"/>
      <c r="B917" s="83"/>
      <c r="C917" s="83"/>
      <c r="D917" s="84"/>
      <c r="E917" s="84"/>
      <c r="F917" s="84"/>
      <c r="G917" s="83"/>
      <c r="H917" s="84"/>
      <c r="I917" s="84"/>
      <c r="J917" s="84"/>
      <c r="K917" s="84"/>
      <c r="L917" s="84"/>
      <c r="M917" s="84"/>
      <c r="N917" s="84"/>
      <c r="O917" s="84"/>
      <c r="P917" s="85"/>
      <c r="Q917" s="75"/>
      <c r="R917" s="75"/>
      <c r="S917" s="75"/>
      <c r="T917" s="75"/>
      <c r="U917" s="89"/>
      <c r="V917" s="84"/>
      <c r="W917" s="84"/>
      <c r="X917" s="84"/>
      <c r="Y917" s="84"/>
      <c r="Z917" s="84"/>
    </row>
    <row r="918" spans="1:26" ht="13">
      <c r="A918" s="83"/>
      <c r="B918" s="83"/>
      <c r="C918" s="83"/>
      <c r="D918" s="84"/>
      <c r="E918" s="84"/>
      <c r="F918" s="84"/>
      <c r="G918" s="83"/>
      <c r="H918" s="84"/>
      <c r="I918" s="84"/>
      <c r="J918" s="84"/>
      <c r="K918" s="84"/>
      <c r="L918" s="84"/>
      <c r="M918" s="84"/>
      <c r="N918" s="84"/>
      <c r="O918" s="84"/>
      <c r="P918" s="85"/>
      <c r="Q918" s="75"/>
      <c r="R918" s="75"/>
      <c r="S918" s="75"/>
      <c r="T918" s="75"/>
      <c r="U918" s="89"/>
      <c r="V918" s="84"/>
      <c r="W918" s="84"/>
      <c r="X918" s="84"/>
      <c r="Y918" s="84"/>
      <c r="Z918" s="84"/>
    </row>
    <row r="919" spans="1:26" ht="13">
      <c r="A919" s="83"/>
      <c r="B919" s="83"/>
      <c r="C919" s="83"/>
      <c r="D919" s="84"/>
      <c r="E919" s="84"/>
      <c r="F919" s="84"/>
      <c r="G919" s="83"/>
      <c r="H919" s="84"/>
      <c r="I919" s="84"/>
      <c r="J919" s="84"/>
      <c r="K919" s="84"/>
      <c r="L919" s="84"/>
      <c r="M919" s="84"/>
      <c r="N919" s="84"/>
      <c r="O919" s="84"/>
      <c r="P919" s="85"/>
      <c r="Q919" s="75"/>
      <c r="R919" s="75"/>
      <c r="S919" s="75"/>
      <c r="T919" s="75"/>
      <c r="U919" s="89"/>
      <c r="V919" s="84"/>
      <c r="W919" s="84"/>
      <c r="X919" s="84"/>
      <c r="Y919" s="84"/>
      <c r="Z919" s="84"/>
    </row>
    <row r="920" spans="1:26" ht="13">
      <c r="A920" s="83"/>
      <c r="B920" s="83"/>
      <c r="C920" s="83"/>
      <c r="D920" s="84"/>
      <c r="E920" s="84"/>
      <c r="F920" s="84"/>
      <c r="G920" s="83"/>
      <c r="H920" s="84"/>
      <c r="I920" s="84"/>
      <c r="J920" s="84"/>
      <c r="K920" s="84"/>
      <c r="L920" s="84"/>
      <c r="M920" s="84"/>
      <c r="N920" s="84"/>
      <c r="O920" s="84"/>
      <c r="P920" s="85"/>
      <c r="Q920" s="75"/>
      <c r="R920" s="75"/>
      <c r="S920" s="75"/>
      <c r="T920" s="75"/>
      <c r="U920" s="89"/>
      <c r="V920" s="84"/>
      <c r="W920" s="84"/>
      <c r="X920" s="84"/>
      <c r="Y920" s="84"/>
      <c r="Z920" s="84"/>
    </row>
    <row r="921" spans="1:26" ht="13">
      <c r="A921" s="83"/>
      <c r="B921" s="83"/>
      <c r="C921" s="83"/>
      <c r="D921" s="84"/>
      <c r="E921" s="84"/>
      <c r="F921" s="84"/>
      <c r="G921" s="83"/>
      <c r="H921" s="84"/>
      <c r="I921" s="84"/>
      <c r="J921" s="84"/>
      <c r="K921" s="84"/>
      <c r="L921" s="84"/>
      <c r="M921" s="84"/>
      <c r="N921" s="84"/>
      <c r="O921" s="84"/>
      <c r="P921" s="85"/>
      <c r="Q921" s="75"/>
      <c r="R921" s="75"/>
      <c r="S921" s="75"/>
      <c r="T921" s="75"/>
      <c r="U921" s="89"/>
      <c r="V921" s="84"/>
      <c r="W921" s="84"/>
      <c r="X921" s="84"/>
      <c r="Y921" s="84"/>
      <c r="Z921" s="84"/>
    </row>
    <row r="922" spans="1:26" ht="13">
      <c r="A922" s="83"/>
      <c r="B922" s="83"/>
      <c r="C922" s="83"/>
      <c r="D922" s="84"/>
      <c r="E922" s="84"/>
      <c r="F922" s="84"/>
      <c r="G922" s="83"/>
      <c r="H922" s="84"/>
      <c r="I922" s="84"/>
      <c r="J922" s="84"/>
      <c r="K922" s="84"/>
      <c r="L922" s="84"/>
      <c r="M922" s="84"/>
      <c r="N922" s="84"/>
      <c r="O922" s="84"/>
      <c r="P922" s="85"/>
      <c r="Q922" s="75"/>
      <c r="R922" s="75"/>
      <c r="S922" s="75"/>
      <c r="T922" s="75"/>
      <c r="U922" s="89"/>
      <c r="V922" s="84"/>
      <c r="W922" s="84"/>
      <c r="X922" s="84"/>
      <c r="Y922" s="84"/>
      <c r="Z922" s="84"/>
    </row>
    <row r="923" spans="1:26" ht="13">
      <c r="A923" s="83"/>
      <c r="B923" s="83"/>
      <c r="C923" s="83"/>
      <c r="D923" s="84"/>
      <c r="E923" s="84"/>
      <c r="F923" s="84"/>
      <c r="G923" s="83"/>
      <c r="H923" s="84"/>
      <c r="I923" s="84"/>
      <c r="J923" s="84"/>
      <c r="K923" s="84"/>
      <c r="L923" s="84"/>
      <c r="M923" s="84"/>
      <c r="N923" s="84"/>
      <c r="O923" s="84"/>
      <c r="P923" s="85"/>
      <c r="Q923" s="75"/>
      <c r="R923" s="75"/>
      <c r="S923" s="75"/>
      <c r="T923" s="75"/>
      <c r="U923" s="89"/>
      <c r="V923" s="84"/>
      <c r="W923" s="84"/>
      <c r="X923" s="84"/>
      <c r="Y923" s="84"/>
      <c r="Z923" s="84"/>
    </row>
    <row r="924" spans="1:26" ht="13">
      <c r="A924" s="83"/>
      <c r="B924" s="83"/>
      <c r="C924" s="83"/>
      <c r="D924" s="84"/>
      <c r="E924" s="84"/>
      <c r="F924" s="84"/>
      <c r="G924" s="83"/>
      <c r="H924" s="84"/>
      <c r="I924" s="84"/>
      <c r="J924" s="84"/>
      <c r="K924" s="84"/>
      <c r="L924" s="84"/>
      <c r="M924" s="84"/>
      <c r="N924" s="84"/>
      <c r="O924" s="84"/>
      <c r="P924" s="85"/>
      <c r="Q924" s="75"/>
      <c r="R924" s="75"/>
      <c r="S924" s="75"/>
      <c r="T924" s="75"/>
      <c r="U924" s="89"/>
      <c r="V924" s="84"/>
      <c r="W924" s="84"/>
      <c r="X924" s="84"/>
      <c r="Y924" s="84"/>
      <c r="Z924" s="84"/>
    </row>
    <row r="925" spans="1:26" ht="13">
      <c r="A925" s="83"/>
      <c r="B925" s="83"/>
      <c r="C925" s="83"/>
      <c r="D925" s="84"/>
      <c r="E925" s="84"/>
      <c r="F925" s="84"/>
      <c r="G925" s="83"/>
      <c r="H925" s="84"/>
      <c r="I925" s="84"/>
      <c r="J925" s="84"/>
      <c r="K925" s="84"/>
      <c r="L925" s="84"/>
      <c r="M925" s="84"/>
      <c r="N925" s="84"/>
      <c r="O925" s="84"/>
      <c r="P925" s="85"/>
      <c r="Q925" s="75"/>
      <c r="R925" s="75"/>
      <c r="S925" s="75"/>
      <c r="T925" s="75"/>
      <c r="U925" s="89"/>
      <c r="V925" s="84"/>
      <c r="W925" s="84"/>
      <c r="X925" s="84"/>
      <c r="Y925" s="84"/>
      <c r="Z925" s="84"/>
    </row>
    <row r="926" spans="1:26" ht="13">
      <c r="A926" s="83"/>
      <c r="B926" s="83"/>
      <c r="C926" s="83"/>
      <c r="D926" s="84"/>
      <c r="E926" s="84"/>
      <c r="F926" s="84"/>
      <c r="G926" s="83"/>
      <c r="H926" s="84"/>
      <c r="I926" s="84"/>
      <c r="J926" s="84"/>
      <c r="K926" s="84"/>
      <c r="L926" s="84"/>
      <c r="M926" s="84"/>
      <c r="N926" s="84"/>
      <c r="O926" s="84"/>
      <c r="P926" s="85"/>
      <c r="Q926" s="75"/>
      <c r="R926" s="75"/>
      <c r="S926" s="75"/>
      <c r="T926" s="75"/>
      <c r="U926" s="89"/>
      <c r="V926" s="84"/>
      <c r="W926" s="84"/>
      <c r="X926" s="84"/>
      <c r="Y926" s="84"/>
      <c r="Z926" s="84"/>
    </row>
    <row r="927" spans="1:26" ht="13">
      <c r="A927" s="83"/>
      <c r="B927" s="83"/>
      <c r="C927" s="83"/>
      <c r="D927" s="84"/>
      <c r="E927" s="84"/>
      <c r="F927" s="84"/>
      <c r="G927" s="83"/>
      <c r="H927" s="84"/>
      <c r="I927" s="84"/>
      <c r="J927" s="84"/>
      <c r="K927" s="84"/>
      <c r="L927" s="84"/>
      <c r="M927" s="84"/>
      <c r="N927" s="84"/>
      <c r="O927" s="84"/>
      <c r="P927" s="85"/>
      <c r="Q927" s="75"/>
      <c r="R927" s="75"/>
      <c r="S927" s="75"/>
      <c r="T927" s="75"/>
      <c r="U927" s="89"/>
      <c r="V927" s="84"/>
      <c r="W927" s="84"/>
      <c r="X927" s="84"/>
      <c r="Y927" s="84"/>
      <c r="Z927" s="84"/>
    </row>
    <row r="928" spans="1:26" ht="13">
      <c r="A928" s="83"/>
      <c r="B928" s="83"/>
      <c r="C928" s="83"/>
      <c r="D928" s="84"/>
      <c r="E928" s="84"/>
      <c r="F928" s="84"/>
      <c r="G928" s="83"/>
      <c r="H928" s="84"/>
      <c r="I928" s="84"/>
      <c r="J928" s="84"/>
      <c r="K928" s="84"/>
      <c r="L928" s="84"/>
      <c r="M928" s="84"/>
      <c r="N928" s="84"/>
      <c r="O928" s="84"/>
      <c r="P928" s="85"/>
      <c r="Q928" s="75"/>
      <c r="R928" s="75"/>
      <c r="S928" s="75"/>
      <c r="T928" s="75"/>
      <c r="U928" s="89"/>
      <c r="V928" s="84"/>
      <c r="W928" s="84"/>
      <c r="X928" s="84"/>
      <c r="Y928" s="84"/>
      <c r="Z928" s="84"/>
    </row>
    <row r="929" spans="1:26" ht="13">
      <c r="A929" s="83"/>
      <c r="B929" s="83"/>
      <c r="C929" s="83"/>
      <c r="D929" s="84"/>
      <c r="E929" s="84"/>
      <c r="F929" s="84"/>
      <c r="G929" s="83"/>
      <c r="H929" s="84"/>
      <c r="I929" s="84"/>
      <c r="J929" s="84"/>
      <c r="K929" s="84"/>
      <c r="L929" s="84"/>
      <c r="M929" s="84"/>
      <c r="N929" s="84"/>
      <c r="O929" s="84"/>
      <c r="P929" s="85"/>
      <c r="Q929" s="75"/>
      <c r="R929" s="75"/>
      <c r="S929" s="75"/>
      <c r="T929" s="75"/>
      <c r="U929" s="89"/>
      <c r="V929" s="84"/>
      <c r="W929" s="84"/>
      <c r="X929" s="84"/>
      <c r="Y929" s="84"/>
      <c r="Z929" s="84"/>
    </row>
    <row r="930" spans="1:26" ht="13">
      <c r="A930" s="83"/>
      <c r="B930" s="83"/>
      <c r="C930" s="83"/>
      <c r="D930" s="84"/>
      <c r="E930" s="84"/>
      <c r="F930" s="84"/>
      <c r="G930" s="83"/>
      <c r="H930" s="84"/>
      <c r="I930" s="84"/>
      <c r="J930" s="84"/>
      <c r="K930" s="84"/>
      <c r="L930" s="84"/>
      <c r="M930" s="84"/>
      <c r="N930" s="84"/>
      <c r="O930" s="84"/>
      <c r="P930" s="85"/>
      <c r="Q930" s="75"/>
      <c r="R930" s="75"/>
      <c r="S930" s="75"/>
      <c r="T930" s="75"/>
      <c r="U930" s="89"/>
      <c r="V930" s="84"/>
      <c r="W930" s="84"/>
      <c r="X930" s="84"/>
      <c r="Y930" s="84"/>
      <c r="Z930" s="84"/>
    </row>
    <row r="931" spans="1:26" ht="13">
      <c r="A931" s="83"/>
      <c r="B931" s="83"/>
      <c r="C931" s="83"/>
      <c r="D931" s="84"/>
      <c r="E931" s="84"/>
      <c r="F931" s="84"/>
      <c r="G931" s="83"/>
      <c r="H931" s="84"/>
      <c r="I931" s="84"/>
      <c r="J931" s="84"/>
      <c r="K931" s="84"/>
      <c r="L931" s="84"/>
      <c r="M931" s="84"/>
      <c r="N931" s="84"/>
      <c r="O931" s="84"/>
      <c r="P931" s="85"/>
      <c r="Q931" s="75"/>
      <c r="R931" s="75"/>
      <c r="S931" s="75"/>
      <c r="T931" s="75"/>
      <c r="U931" s="89"/>
      <c r="V931" s="84"/>
      <c r="W931" s="84"/>
      <c r="X931" s="84"/>
      <c r="Y931" s="84"/>
      <c r="Z931" s="84"/>
    </row>
    <row r="932" spans="1:26" ht="13">
      <c r="A932" s="83"/>
      <c r="B932" s="83"/>
      <c r="C932" s="83"/>
      <c r="D932" s="84"/>
      <c r="E932" s="84"/>
      <c r="F932" s="84"/>
      <c r="G932" s="83"/>
      <c r="H932" s="84"/>
      <c r="I932" s="84"/>
      <c r="J932" s="84"/>
      <c r="K932" s="84"/>
      <c r="L932" s="84"/>
      <c r="M932" s="84"/>
      <c r="N932" s="84"/>
      <c r="O932" s="84"/>
      <c r="P932" s="85"/>
      <c r="Q932" s="75"/>
      <c r="R932" s="75"/>
      <c r="S932" s="75"/>
      <c r="T932" s="75"/>
      <c r="U932" s="89"/>
      <c r="V932" s="84"/>
      <c r="W932" s="84"/>
      <c r="X932" s="84"/>
      <c r="Y932" s="84"/>
      <c r="Z932" s="84"/>
    </row>
    <row r="933" spans="1:26" ht="13">
      <c r="A933" s="83"/>
      <c r="B933" s="83"/>
      <c r="C933" s="83"/>
      <c r="D933" s="84"/>
      <c r="E933" s="84"/>
      <c r="F933" s="84"/>
      <c r="G933" s="83"/>
      <c r="H933" s="84"/>
      <c r="I933" s="84"/>
      <c r="J933" s="84"/>
      <c r="K933" s="84"/>
      <c r="L933" s="84"/>
      <c r="M933" s="84"/>
      <c r="N933" s="84"/>
      <c r="O933" s="84"/>
      <c r="P933" s="85"/>
      <c r="Q933" s="75"/>
      <c r="R933" s="75"/>
      <c r="S933" s="75"/>
      <c r="T933" s="75"/>
      <c r="U933" s="89"/>
      <c r="V933" s="84"/>
      <c r="W933" s="84"/>
      <c r="X933" s="84"/>
      <c r="Y933" s="84"/>
      <c r="Z933" s="84"/>
    </row>
    <row r="934" spans="1:26" ht="13">
      <c r="A934" s="83"/>
      <c r="B934" s="83"/>
      <c r="C934" s="83"/>
      <c r="D934" s="84"/>
      <c r="E934" s="84"/>
      <c r="F934" s="84"/>
      <c r="G934" s="83"/>
      <c r="H934" s="84"/>
      <c r="I934" s="84"/>
      <c r="J934" s="84"/>
      <c r="K934" s="84"/>
      <c r="L934" s="84"/>
      <c r="M934" s="84"/>
      <c r="N934" s="84"/>
      <c r="O934" s="84"/>
      <c r="P934" s="85"/>
      <c r="Q934" s="75"/>
      <c r="R934" s="75"/>
      <c r="S934" s="75"/>
      <c r="T934" s="75"/>
      <c r="U934" s="89"/>
      <c r="V934" s="84"/>
      <c r="W934" s="84"/>
      <c r="X934" s="84"/>
      <c r="Y934" s="84"/>
      <c r="Z934" s="84"/>
    </row>
    <row r="935" spans="1:26" ht="13">
      <c r="A935" s="83"/>
      <c r="B935" s="83"/>
      <c r="C935" s="83"/>
      <c r="D935" s="84"/>
      <c r="E935" s="84"/>
      <c r="F935" s="84"/>
      <c r="G935" s="83"/>
      <c r="H935" s="84"/>
      <c r="I935" s="84"/>
      <c r="J935" s="84"/>
      <c r="K935" s="84"/>
      <c r="L935" s="84"/>
      <c r="M935" s="84"/>
      <c r="N935" s="84"/>
      <c r="O935" s="84"/>
      <c r="P935" s="85"/>
      <c r="Q935" s="75"/>
      <c r="R935" s="75"/>
      <c r="S935" s="75"/>
      <c r="T935" s="75"/>
      <c r="U935" s="89"/>
      <c r="V935" s="84"/>
      <c r="W935" s="84"/>
      <c r="X935" s="84"/>
      <c r="Y935" s="84"/>
      <c r="Z935" s="84"/>
    </row>
    <row r="936" spans="1:26" ht="13">
      <c r="A936" s="83"/>
      <c r="B936" s="83"/>
      <c r="C936" s="83"/>
      <c r="D936" s="84"/>
      <c r="E936" s="84"/>
      <c r="F936" s="84"/>
      <c r="G936" s="83"/>
      <c r="H936" s="84"/>
      <c r="I936" s="84"/>
      <c r="J936" s="84"/>
      <c r="K936" s="84"/>
      <c r="L936" s="84"/>
      <c r="M936" s="84"/>
      <c r="N936" s="84"/>
      <c r="O936" s="84"/>
      <c r="P936" s="85"/>
      <c r="Q936" s="75"/>
      <c r="R936" s="75"/>
      <c r="S936" s="75"/>
      <c r="T936" s="75"/>
      <c r="U936" s="89"/>
      <c r="V936" s="84"/>
      <c r="W936" s="84"/>
      <c r="X936" s="84"/>
      <c r="Y936" s="84"/>
      <c r="Z936" s="84"/>
    </row>
    <row r="937" spans="1:26" ht="13">
      <c r="A937" s="83"/>
      <c r="B937" s="83"/>
      <c r="C937" s="83"/>
      <c r="D937" s="84"/>
      <c r="E937" s="84"/>
      <c r="F937" s="84"/>
      <c r="G937" s="83"/>
      <c r="H937" s="84"/>
      <c r="I937" s="84"/>
      <c r="J937" s="84"/>
      <c r="K937" s="84"/>
      <c r="L937" s="84"/>
      <c r="M937" s="84"/>
      <c r="N937" s="84"/>
      <c r="O937" s="84"/>
      <c r="P937" s="85"/>
      <c r="Q937" s="75"/>
      <c r="R937" s="75"/>
      <c r="S937" s="75"/>
      <c r="T937" s="75"/>
      <c r="U937" s="89"/>
      <c r="V937" s="84"/>
      <c r="W937" s="84"/>
      <c r="X937" s="84"/>
      <c r="Y937" s="84"/>
      <c r="Z937" s="84"/>
    </row>
    <row r="938" spans="1:26" ht="13">
      <c r="A938" s="83"/>
      <c r="B938" s="83"/>
      <c r="C938" s="83"/>
      <c r="D938" s="84"/>
      <c r="E938" s="84"/>
      <c r="F938" s="84"/>
      <c r="G938" s="83"/>
      <c r="H938" s="84"/>
      <c r="I938" s="84"/>
      <c r="J938" s="84"/>
      <c r="K938" s="84"/>
      <c r="L938" s="84"/>
      <c r="M938" s="84"/>
      <c r="N938" s="84"/>
      <c r="O938" s="84"/>
      <c r="P938" s="85"/>
      <c r="Q938" s="75"/>
      <c r="R938" s="75"/>
      <c r="S938" s="75"/>
      <c r="T938" s="75"/>
      <c r="U938" s="89"/>
      <c r="V938" s="84"/>
      <c r="W938" s="84"/>
      <c r="X938" s="84"/>
      <c r="Y938" s="84"/>
      <c r="Z938" s="84"/>
    </row>
    <row r="939" spans="1:26" ht="13">
      <c r="A939" s="83"/>
      <c r="B939" s="83"/>
      <c r="C939" s="83"/>
      <c r="D939" s="84"/>
      <c r="E939" s="84"/>
      <c r="F939" s="84"/>
      <c r="G939" s="83"/>
      <c r="H939" s="84"/>
      <c r="I939" s="84"/>
      <c r="J939" s="84"/>
      <c r="K939" s="84"/>
      <c r="L939" s="84"/>
      <c r="M939" s="84"/>
      <c r="N939" s="84"/>
      <c r="O939" s="84"/>
      <c r="P939" s="85"/>
      <c r="Q939" s="75"/>
      <c r="R939" s="75"/>
      <c r="S939" s="75"/>
      <c r="T939" s="75"/>
      <c r="U939" s="89"/>
      <c r="V939" s="84"/>
      <c r="W939" s="84"/>
      <c r="X939" s="84"/>
      <c r="Y939" s="84"/>
      <c r="Z939" s="84"/>
    </row>
    <row r="940" spans="1:26" ht="13">
      <c r="A940" s="83"/>
      <c r="B940" s="83"/>
      <c r="C940" s="83"/>
      <c r="D940" s="84"/>
      <c r="E940" s="84"/>
      <c r="F940" s="84"/>
      <c r="G940" s="83"/>
      <c r="H940" s="84"/>
      <c r="I940" s="84"/>
      <c r="J940" s="84"/>
      <c r="K940" s="84"/>
      <c r="L940" s="84"/>
      <c r="M940" s="84"/>
      <c r="N940" s="84"/>
      <c r="O940" s="84"/>
      <c r="P940" s="85"/>
      <c r="Q940" s="75"/>
      <c r="R940" s="75"/>
      <c r="S940" s="75"/>
      <c r="T940" s="75"/>
      <c r="U940" s="89"/>
      <c r="V940" s="84"/>
      <c r="W940" s="84"/>
      <c r="X940" s="84"/>
      <c r="Y940" s="84"/>
      <c r="Z940" s="84"/>
    </row>
    <row r="941" spans="1:26" ht="13">
      <c r="A941" s="83"/>
      <c r="B941" s="83"/>
      <c r="C941" s="83"/>
      <c r="D941" s="84"/>
      <c r="E941" s="84"/>
      <c r="F941" s="84"/>
      <c r="G941" s="83"/>
      <c r="H941" s="84"/>
      <c r="I941" s="84"/>
      <c r="J941" s="84"/>
      <c r="K941" s="84"/>
      <c r="L941" s="84"/>
      <c r="M941" s="84"/>
      <c r="N941" s="84"/>
      <c r="O941" s="84"/>
      <c r="P941" s="85"/>
      <c r="Q941" s="75"/>
      <c r="R941" s="75"/>
      <c r="S941" s="75"/>
      <c r="T941" s="75"/>
      <c r="U941" s="89"/>
      <c r="V941" s="84"/>
      <c r="W941" s="84"/>
      <c r="X941" s="84"/>
      <c r="Y941" s="84"/>
      <c r="Z941" s="84"/>
    </row>
    <row r="942" spans="1:26" ht="13">
      <c r="A942" s="83"/>
      <c r="B942" s="83"/>
      <c r="C942" s="83"/>
      <c r="D942" s="84"/>
      <c r="E942" s="84"/>
      <c r="F942" s="84"/>
      <c r="G942" s="83"/>
      <c r="H942" s="84"/>
      <c r="I942" s="84"/>
      <c r="J942" s="84"/>
      <c r="K942" s="84"/>
      <c r="L942" s="84"/>
      <c r="M942" s="84"/>
      <c r="N942" s="84"/>
      <c r="O942" s="84"/>
      <c r="P942" s="85"/>
      <c r="Q942" s="75"/>
      <c r="R942" s="75"/>
      <c r="S942" s="75"/>
      <c r="T942" s="75"/>
      <c r="U942" s="89"/>
      <c r="V942" s="84"/>
      <c r="W942" s="84"/>
      <c r="X942" s="84"/>
      <c r="Y942" s="84"/>
      <c r="Z942" s="84"/>
    </row>
    <row r="943" spans="1:26" ht="13">
      <c r="A943" s="83"/>
      <c r="B943" s="83"/>
      <c r="C943" s="83"/>
      <c r="D943" s="84"/>
      <c r="E943" s="84"/>
      <c r="F943" s="84"/>
      <c r="G943" s="83"/>
      <c r="H943" s="84"/>
      <c r="I943" s="84"/>
      <c r="J943" s="84"/>
      <c r="K943" s="84"/>
      <c r="L943" s="84"/>
      <c r="M943" s="84"/>
      <c r="N943" s="84"/>
      <c r="O943" s="84"/>
      <c r="P943" s="85"/>
      <c r="Q943" s="75"/>
      <c r="R943" s="75"/>
      <c r="S943" s="75"/>
      <c r="T943" s="75"/>
      <c r="U943" s="89"/>
      <c r="V943" s="84"/>
      <c r="W943" s="84"/>
      <c r="X943" s="84"/>
      <c r="Y943" s="84"/>
      <c r="Z943" s="84"/>
    </row>
    <row r="944" spans="1:26" ht="13">
      <c r="A944" s="83"/>
      <c r="B944" s="83"/>
      <c r="C944" s="83"/>
      <c r="D944" s="84"/>
      <c r="E944" s="84"/>
      <c r="F944" s="84"/>
      <c r="G944" s="83"/>
      <c r="H944" s="84"/>
      <c r="I944" s="84"/>
      <c r="J944" s="84"/>
      <c r="K944" s="84"/>
      <c r="L944" s="84"/>
      <c r="M944" s="84"/>
      <c r="N944" s="84"/>
      <c r="O944" s="84"/>
      <c r="P944" s="85"/>
      <c r="Q944" s="75"/>
      <c r="R944" s="75"/>
      <c r="S944" s="75"/>
      <c r="T944" s="75"/>
      <c r="U944" s="89"/>
      <c r="V944" s="84"/>
      <c r="W944" s="84"/>
      <c r="X944" s="84"/>
      <c r="Y944" s="84"/>
      <c r="Z944" s="84"/>
    </row>
    <row r="945" spans="1:26" ht="13">
      <c r="A945" s="83"/>
      <c r="B945" s="83"/>
      <c r="C945" s="83"/>
      <c r="D945" s="84"/>
      <c r="E945" s="84"/>
      <c r="F945" s="84"/>
      <c r="G945" s="83"/>
      <c r="H945" s="84"/>
      <c r="I945" s="84"/>
      <c r="J945" s="84"/>
      <c r="K945" s="84"/>
      <c r="L945" s="84"/>
      <c r="M945" s="84"/>
      <c r="N945" s="84"/>
      <c r="O945" s="84"/>
      <c r="P945" s="85"/>
      <c r="Q945" s="75"/>
      <c r="R945" s="75"/>
      <c r="S945" s="75"/>
      <c r="T945" s="75"/>
      <c r="U945" s="89"/>
      <c r="V945" s="84"/>
      <c r="W945" s="84"/>
      <c r="X945" s="84"/>
      <c r="Y945" s="84"/>
      <c r="Z945" s="84"/>
    </row>
    <row r="946" spans="1:26" ht="13">
      <c r="A946" s="83"/>
      <c r="B946" s="83"/>
      <c r="C946" s="83"/>
      <c r="D946" s="84"/>
      <c r="E946" s="84"/>
      <c r="F946" s="84"/>
      <c r="G946" s="83"/>
      <c r="H946" s="84"/>
      <c r="I946" s="84"/>
      <c r="J946" s="84"/>
      <c r="K946" s="84"/>
      <c r="L946" s="84"/>
      <c r="M946" s="84"/>
      <c r="N946" s="84"/>
      <c r="O946" s="84"/>
      <c r="P946" s="85"/>
      <c r="Q946" s="75"/>
      <c r="R946" s="75"/>
      <c r="S946" s="75"/>
      <c r="T946" s="75"/>
      <c r="U946" s="89"/>
      <c r="V946" s="84"/>
      <c r="W946" s="84"/>
      <c r="X946" s="84"/>
      <c r="Y946" s="84"/>
      <c r="Z946" s="84"/>
    </row>
    <row r="947" spans="1:26" ht="13">
      <c r="A947" s="83"/>
      <c r="B947" s="83"/>
      <c r="C947" s="83"/>
      <c r="D947" s="84"/>
      <c r="E947" s="84"/>
      <c r="F947" s="84"/>
      <c r="G947" s="83"/>
      <c r="H947" s="84"/>
      <c r="I947" s="84"/>
      <c r="J947" s="84"/>
      <c r="K947" s="84"/>
      <c r="L947" s="84"/>
      <c r="M947" s="84"/>
      <c r="N947" s="84"/>
      <c r="O947" s="84"/>
      <c r="P947" s="85"/>
      <c r="Q947" s="75"/>
      <c r="R947" s="75"/>
      <c r="S947" s="75"/>
      <c r="T947" s="75"/>
      <c r="U947" s="89"/>
      <c r="V947" s="84"/>
      <c r="W947" s="84"/>
      <c r="X947" s="84"/>
      <c r="Y947" s="84"/>
      <c r="Z947" s="84"/>
    </row>
    <row r="948" spans="1:26" ht="13">
      <c r="A948" s="83"/>
      <c r="B948" s="83"/>
      <c r="C948" s="83"/>
      <c r="D948" s="84"/>
      <c r="E948" s="84"/>
      <c r="F948" s="84"/>
      <c r="G948" s="83"/>
      <c r="H948" s="84"/>
      <c r="I948" s="84"/>
      <c r="J948" s="84"/>
      <c r="K948" s="84"/>
      <c r="L948" s="84"/>
      <c r="M948" s="84"/>
      <c r="N948" s="84"/>
      <c r="O948" s="84"/>
      <c r="P948" s="85"/>
      <c r="Q948" s="75"/>
      <c r="R948" s="75"/>
      <c r="S948" s="75"/>
      <c r="T948" s="75"/>
      <c r="U948" s="89"/>
      <c r="V948" s="84"/>
      <c r="W948" s="84"/>
      <c r="X948" s="84"/>
      <c r="Y948" s="84"/>
      <c r="Z948" s="84"/>
    </row>
    <row r="949" spans="1:26" ht="13">
      <c r="A949" s="83"/>
      <c r="B949" s="83"/>
      <c r="C949" s="83"/>
      <c r="D949" s="84"/>
      <c r="E949" s="84"/>
      <c r="F949" s="84"/>
      <c r="G949" s="83"/>
      <c r="H949" s="84"/>
      <c r="I949" s="84"/>
      <c r="J949" s="84"/>
      <c r="K949" s="84"/>
      <c r="L949" s="84"/>
      <c r="M949" s="84"/>
      <c r="N949" s="84"/>
      <c r="O949" s="84"/>
      <c r="P949" s="85"/>
      <c r="Q949" s="75"/>
      <c r="R949" s="75"/>
      <c r="S949" s="75"/>
      <c r="T949" s="75"/>
      <c r="U949" s="89"/>
      <c r="V949" s="84"/>
      <c r="W949" s="84"/>
      <c r="X949" s="84"/>
      <c r="Y949" s="84"/>
      <c r="Z949" s="84"/>
    </row>
    <row r="950" spans="1:26" ht="13">
      <c r="A950" s="83"/>
      <c r="B950" s="83"/>
      <c r="C950" s="83"/>
      <c r="D950" s="84"/>
      <c r="E950" s="84"/>
      <c r="F950" s="84"/>
      <c r="G950" s="83"/>
      <c r="H950" s="84"/>
      <c r="I950" s="84"/>
      <c r="J950" s="84"/>
      <c r="K950" s="84"/>
      <c r="L950" s="84"/>
      <c r="M950" s="84"/>
      <c r="N950" s="84"/>
      <c r="O950" s="84"/>
      <c r="P950" s="85"/>
      <c r="Q950" s="75"/>
      <c r="R950" s="75"/>
      <c r="S950" s="75"/>
      <c r="T950" s="75"/>
      <c r="U950" s="89"/>
      <c r="V950" s="84"/>
      <c r="W950" s="84"/>
      <c r="X950" s="84"/>
      <c r="Y950" s="84"/>
      <c r="Z950" s="84"/>
    </row>
    <row r="951" spans="1:26" ht="13">
      <c r="A951" s="83"/>
      <c r="B951" s="83"/>
      <c r="C951" s="83"/>
      <c r="D951" s="84"/>
      <c r="E951" s="84"/>
      <c r="F951" s="84"/>
      <c r="G951" s="83"/>
      <c r="H951" s="84"/>
      <c r="I951" s="84"/>
      <c r="J951" s="84"/>
      <c r="K951" s="84"/>
      <c r="L951" s="84"/>
      <c r="M951" s="84"/>
      <c r="N951" s="84"/>
      <c r="O951" s="84"/>
      <c r="P951" s="85"/>
      <c r="Q951" s="75"/>
      <c r="R951" s="75"/>
      <c r="S951" s="75"/>
      <c r="T951" s="75"/>
      <c r="U951" s="89"/>
      <c r="V951" s="84"/>
      <c r="W951" s="84"/>
      <c r="X951" s="84"/>
      <c r="Y951" s="84"/>
      <c r="Z951" s="84"/>
    </row>
    <row r="952" spans="1:26" ht="13">
      <c r="A952" s="83"/>
      <c r="B952" s="83"/>
      <c r="C952" s="83"/>
      <c r="D952" s="84"/>
      <c r="E952" s="84"/>
      <c r="F952" s="84"/>
      <c r="G952" s="83"/>
      <c r="H952" s="84"/>
      <c r="I952" s="84"/>
      <c r="J952" s="84"/>
      <c r="K952" s="84"/>
      <c r="L952" s="84"/>
      <c r="M952" s="84"/>
      <c r="N952" s="84"/>
      <c r="O952" s="84"/>
      <c r="P952" s="85"/>
      <c r="Q952" s="75"/>
      <c r="R952" s="75"/>
      <c r="S952" s="75"/>
      <c r="T952" s="75"/>
      <c r="U952" s="89"/>
      <c r="V952" s="84"/>
      <c r="W952" s="84"/>
      <c r="X952" s="84"/>
      <c r="Y952" s="84"/>
      <c r="Z952" s="84"/>
    </row>
    <row r="953" spans="1:26" ht="13">
      <c r="A953" s="83"/>
      <c r="B953" s="83"/>
      <c r="C953" s="83"/>
      <c r="D953" s="84"/>
      <c r="E953" s="84"/>
      <c r="F953" s="84"/>
      <c r="G953" s="83"/>
      <c r="H953" s="84"/>
      <c r="I953" s="84"/>
      <c r="J953" s="84"/>
      <c r="K953" s="84"/>
      <c r="L953" s="84"/>
      <c r="M953" s="84"/>
      <c r="N953" s="84"/>
      <c r="O953" s="84"/>
      <c r="P953" s="85"/>
      <c r="Q953" s="75"/>
      <c r="R953" s="75"/>
      <c r="S953" s="75"/>
      <c r="T953" s="75"/>
      <c r="U953" s="89"/>
      <c r="V953" s="84"/>
      <c r="W953" s="84"/>
      <c r="X953" s="84"/>
      <c r="Y953" s="84"/>
      <c r="Z953" s="84"/>
    </row>
    <row r="954" spans="1:26" ht="13">
      <c r="A954" s="83"/>
      <c r="B954" s="83"/>
      <c r="C954" s="83"/>
      <c r="D954" s="84"/>
      <c r="E954" s="84"/>
      <c r="F954" s="84"/>
      <c r="G954" s="83"/>
      <c r="H954" s="84"/>
      <c r="I954" s="84"/>
      <c r="J954" s="84"/>
      <c r="K954" s="84"/>
      <c r="L954" s="84"/>
      <c r="M954" s="84"/>
      <c r="N954" s="84"/>
      <c r="O954" s="84"/>
      <c r="P954" s="85"/>
      <c r="Q954" s="75"/>
      <c r="R954" s="75"/>
      <c r="S954" s="75"/>
      <c r="T954" s="75"/>
      <c r="U954" s="89"/>
      <c r="V954" s="84"/>
      <c r="W954" s="84"/>
      <c r="X954" s="84"/>
      <c r="Y954" s="84"/>
      <c r="Z954" s="84"/>
    </row>
    <row r="955" spans="1:26" ht="13">
      <c r="A955" s="83"/>
      <c r="B955" s="83"/>
      <c r="C955" s="83"/>
      <c r="D955" s="84"/>
      <c r="E955" s="84"/>
      <c r="F955" s="84"/>
      <c r="G955" s="83"/>
      <c r="H955" s="84"/>
      <c r="I955" s="84"/>
      <c r="J955" s="84"/>
      <c r="K955" s="84"/>
      <c r="L955" s="84"/>
      <c r="M955" s="84"/>
      <c r="N955" s="84"/>
      <c r="O955" s="84"/>
      <c r="P955" s="85"/>
      <c r="Q955" s="75"/>
      <c r="R955" s="75"/>
      <c r="S955" s="75"/>
      <c r="T955" s="75"/>
      <c r="U955" s="89"/>
      <c r="V955" s="84"/>
      <c r="W955" s="84"/>
      <c r="X955" s="84"/>
      <c r="Y955" s="84"/>
      <c r="Z955" s="84"/>
    </row>
    <row r="956" spans="1:26" ht="13">
      <c r="A956" s="83"/>
      <c r="B956" s="83"/>
      <c r="C956" s="83"/>
      <c r="D956" s="84"/>
      <c r="E956" s="84"/>
      <c r="F956" s="84"/>
      <c r="G956" s="83"/>
      <c r="H956" s="84"/>
      <c r="I956" s="84"/>
      <c r="J956" s="84"/>
      <c r="K956" s="84"/>
      <c r="L956" s="84"/>
      <c r="M956" s="84"/>
      <c r="N956" s="84"/>
      <c r="O956" s="84"/>
      <c r="P956" s="85"/>
      <c r="Q956" s="75"/>
      <c r="R956" s="75"/>
      <c r="S956" s="75"/>
      <c r="T956" s="75"/>
      <c r="U956" s="89"/>
      <c r="V956" s="84"/>
      <c r="W956" s="84"/>
      <c r="X956" s="84"/>
      <c r="Y956" s="84"/>
      <c r="Z956" s="84"/>
    </row>
    <row r="957" spans="1:26" ht="13">
      <c r="A957" s="83"/>
      <c r="B957" s="83"/>
      <c r="C957" s="83"/>
      <c r="D957" s="84"/>
      <c r="E957" s="84"/>
      <c r="F957" s="84"/>
      <c r="G957" s="83"/>
      <c r="H957" s="84"/>
      <c r="I957" s="84"/>
      <c r="J957" s="84"/>
      <c r="K957" s="84"/>
      <c r="L957" s="84"/>
      <c r="M957" s="84"/>
      <c r="N957" s="84"/>
      <c r="O957" s="84"/>
      <c r="P957" s="85"/>
      <c r="Q957" s="75"/>
      <c r="R957" s="75"/>
      <c r="S957" s="75"/>
      <c r="T957" s="75"/>
      <c r="U957" s="89"/>
      <c r="V957" s="84"/>
      <c r="W957" s="84"/>
      <c r="X957" s="84"/>
      <c r="Y957" s="84"/>
      <c r="Z957" s="84"/>
    </row>
    <row r="958" spans="1:26" ht="13">
      <c r="A958" s="83"/>
      <c r="B958" s="83"/>
      <c r="C958" s="83"/>
      <c r="D958" s="84"/>
      <c r="E958" s="84"/>
      <c r="F958" s="84"/>
      <c r="G958" s="83"/>
      <c r="H958" s="84"/>
      <c r="I958" s="84"/>
      <c r="J958" s="84"/>
      <c r="K958" s="84"/>
      <c r="L958" s="84"/>
      <c r="M958" s="84"/>
      <c r="N958" s="84"/>
      <c r="O958" s="84"/>
      <c r="P958" s="85"/>
      <c r="Q958" s="75"/>
      <c r="R958" s="75"/>
      <c r="S958" s="75"/>
      <c r="T958" s="75"/>
      <c r="U958" s="89"/>
      <c r="V958" s="84"/>
      <c r="W958" s="84"/>
      <c r="X958" s="84"/>
      <c r="Y958" s="84"/>
      <c r="Z958" s="84"/>
    </row>
    <row r="959" spans="1:26" ht="13">
      <c r="A959" s="83"/>
      <c r="B959" s="83"/>
      <c r="C959" s="83"/>
      <c r="D959" s="84"/>
      <c r="E959" s="84"/>
      <c r="F959" s="84"/>
      <c r="G959" s="83"/>
      <c r="H959" s="84"/>
      <c r="I959" s="84"/>
      <c r="J959" s="84"/>
      <c r="K959" s="84"/>
      <c r="L959" s="84"/>
      <c r="M959" s="84"/>
      <c r="N959" s="84"/>
      <c r="O959" s="84"/>
      <c r="P959" s="85"/>
      <c r="Q959" s="75"/>
      <c r="R959" s="75"/>
      <c r="S959" s="75"/>
      <c r="T959" s="75"/>
      <c r="U959" s="89"/>
      <c r="V959" s="84"/>
      <c r="W959" s="84"/>
      <c r="X959" s="84"/>
      <c r="Y959" s="84"/>
      <c r="Z959" s="84"/>
    </row>
    <row r="960" spans="1:26" ht="13">
      <c r="A960" s="83"/>
      <c r="B960" s="83"/>
      <c r="C960" s="83"/>
      <c r="D960" s="84"/>
      <c r="E960" s="84"/>
      <c r="F960" s="84"/>
      <c r="G960" s="83"/>
      <c r="H960" s="84"/>
      <c r="I960" s="84"/>
      <c r="J960" s="84"/>
      <c r="K960" s="84"/>
      <c r="L960" s="84"/>
      <c r="M960" s="84"/>
      <c r="N960" s="84"/>
      <c r="O960" s="84"/>
      <c r="P960" s="85"/>
      <c r="Q960" s="75"/>
      <c r="R960" s="75"/>
      <c r="S960" s="75"/>
      <c r="T960" s="75"/>
      <c r="U960" s="89"/>
      <c r="V960" s="84"/>
      <c r="W960" s="84"/>
      <c r="X960" s="84"/>
      <c r="Y960" s="84"/>
      <c r="Z960" s="84"/>
    </row>
    <row r="961" spans="1:26" ht="13">
      <c r="A961" s="83"/>
      <c r="B961" s="83"/>
      <c r="C961" s="83"/>
      <c r="D961" s="84"/>
      <c r="E961" s="84"/>
      <c r="F961" s="84"/>
      <c r="G961" s="83"/>
      <c r="H961" s="84"/>
      <c r="I961" s="84"/>
      <c r="J961" s="84"/>
      <c r="K961" s="84"/>
      <c r="L961" s="84"/>
      <c r="M961" s="84"/>
      <c r="N961" s="84"/>
      <c r="O961" s="84"/>
      <c r="P961" s="85"/>
      <c r="Q961" s="75"/>
      <c r="R961" s="75"/>
      <c r="S961" s="75"/>
      <c r="T961" s="75"/>
      <c r="U961" s="89"/>
      <c r="V961" s="84"/>
      <c r="W961" s="84"/>
      <c r="X961" s="84"/>
      <c r="Y961" s="84"/>
      <c r="Z961" s="84"/>
    </row>
    <row r="962" spans="1:26" ht="13">
      <c r="A962" s="83"/>
      <c r="B962" s="83"/>
      <c r="C962" s="83"/>
      <c r="D962" s="84"/>
      <c r="E962" s="84"/>
      <c r="F962" s="84"/>
      <c r="G962" s="83"/>
      <c r="H962" s="84"/>
      <c r="I962" s="84"/>
      <c r="J962" s="84"/>
      <c r="K962" s="84"/>
      <c r="L962" s="84"/>
      <c r="M962" s="84"/>
      <c r="N962" s="84"/>
      <c r="O962" s="84"/>
      <c r="P962" s="85"/>
      <c r="Q962" s="75"/>
      <c r="R962" s="75"/>
      <c r="S962" s="75"/>
      <c r="T962" s="75"/>
      <c r="U962" s="89"/>
      <c r="V962" s="84"/>
      <c r="W962" s="84"/>
      <c r="X962" s="84"/>
      <c r="Y962" s="84"/>
      <c r="Z962" s="84"/>
    </row>
    <row r="963" spans="1:26" ht="13">
      <c r="A963" s="83"/>
      <c r="B963" s="83"/>
      <c r="C963" s="83"/>
      <c r="D963" s="84"/>
      <c r="E963" s="84"/>
      <c r="F963" s="84"/>
      <c r="G963" s="83"/>
      <c r="H963" s="84"/>
      <c r="I963" s="84"/>
      <c r="J963" s="84"/>
      <c r="K963" s="84"/>
      <c r="L963" s="84"/>
      <c r="M963" s="84"/>
      <c r="N963" s="84"/>
      <c r="O963" s="84"/>
      <c r="P963" s="85"/>
      <c r="Q963" s="75"/>
      <c r="R963" s="75"/>
      <c r="S963" s="75"/>
      <c r="T963" s="75"/>
      <c r="U963" s="89"/>
      <c r="V963" s="84"/>
      <c r="W963" s="84"/>
      <c r="X963" s="84"/>
      <c r="Y963" s="84"/>
      <c r="Z963" s="84"/>
    </row>
    <row r="964" spans="1:26" ht="13">
      <c r="A964" s="83"/>
      <c r="B964" s="83"/>
      <c r="C964" s="83"/>
      <c r="D964" s="84"/>
      <c r="E964" s="84"/>
      <c r="F964" s="84"/>
      <c r="G964" s="83"/>
      <c r="H964" s="84"/>
      <c r="I964" s="84"/>
      <c r="J964" s="84"/>
      <c r="K964" s="84"/>
      <c r="L964" s="84"/>
      <c r="M964" s="84"/>
      <c r="N964" s="84"/>
      <c r="O964" s="84"/>
      <c r="P964" s="85"/>
      <c r="Q964" s="75"/>
      <c r="R964" s="75"/>
      <c r="S964" s="75"/>
      <c r="T964" s="75"/>
      <c r="U964" s="89"/>
      <c r="V964" s="84"/>
      <c r="W964" s="84"/>
      <c r="X964" s="84"/>
      <c r="Y964" s="84"/>
      <c r="Z964" s="84"/>
    </row>
    <row r="965" spans="1:26" ht="13">
      <c r="A965" s="83"/>
      <c r="B965" s="83"/>
      <c r="C965" s="83"/>
      <c r="D965" s="84"/>
      <c r="E965" s="84"/>
      <c r="F965" s="84"/>
      <c r="G965" s="83"/>
      <c r="H965" s="84"/>
      <c r="I965" s="84"/>
      <c r="J965" s="84"/>
      <c r="K965" s="84"/>
      <c r="L965" s="84"/>
      <c r="M965" s="84"/>
      <c r="N965" s="84"/>
      <c r="O965" s="84"/>
      <c r="P965" s="85"/>
      <c r="Q965" s="75"/>
      <c r="R965" s="75"/>
      <c r="S965" s="75"/>
      <c r="T965" s="75"/>
      <c r="U965" s="89"/>
      <c r="V965" s="84"/>
      <c r="W965" s="84"/>
      <c r="X965" s="84"/>
      <c r="Y965" s="84"/>
      <c r="Z965" s="84"/>
    </row>
    <row r="966" spans="1:26" ht="13">
      <c r="A966" s="83"/>
      <c r="B966" s="83"/>
      <c r="C966" s="83"/>
      <c r="D966" s="84"/>
      <c r="E966" s="84"/>
      <c r="F966" s="84"/>
      <c r="G966" s="83"/>
      <c r="H966" s="84"/>
      <c r="I966" s="84"/>
      <c r="J966" s="84"/>
      <c r="K966" s="84"/>
      <c r="L966" s="84"/>
      <c r="M966" s="84"/>
      <c r="N966" s="84"/>
      <c r="O966" s="84"/>
      <c r="P966" s="85"/>
      <c r="Q966" s="75"/>
      <c r="R966" s="75"/>
      <c r="S966" s="75"/>
      <c r="T966" s="75"/>
      <c r="U966" s="89"/>
      <c r="V966" s="84"/>
      <c r="W966" s="84"/>
      <c r="X966" s="84"/>
      <c r="Y966" s="84"/>
      <c r="Z966" s="84"/>
    </row>
    <row r="967" spans="1:26" ht="13">
      <c r="A967" s="83"/>
      <c r="B967" s="83"/>
      <c r="C967" s="83"/>
      <c r="D967" s="84"/>
      <c r="E967" s="84"/>
      <c r="F967" s="84"/>
      <c r="G967" s="83"/>
      <c r="H967" s="84"/>
      <c r="I967" s="84"/>
      <c r="J967" s="84"/>
      <c r="K967" s="84"/>
      <c r="L967" s="84"/>
      <c r="M967" s="84"/>
      <c r="N967" s="84"/>
      <c r="O967" s="84"/>
      <c r="P967" s="85"/>
      <c r="Q967" s="75"/>
      <c r="R967" s="75"/>
      <c r="S967" s="75"/>
      <c r="T967" s="75"/>
      <c r="U967" s="89"/>
      <c r="V967" s="84"/>
      <c r="W967" s="84"/>
      <c r="X967" s="84"/>
      <c r="Y967" s="84"/>
      <c r="Z967" s="84"/>
    </row>
    <row r="968" spans="1:26" ht="13">
      <c r="A968" s="83"/>
      <c r="B968" s="83"/>
      <c r="C968" s="83"/>
      <c r="D968" s="84"/>
      <c r="E968" s="84"/>
      <c r="F968" s="84"/>
      <c r="G968" s="83"/>
      <c r="H968" s="84"/>
      <c r="I968" s="84"/>
      <c r="J968" s="84"/>
      <c r="K968" s="84"/>
      <c r="L968" s="84"/>
      <c r="M968" s="84"/>
      <c r="N968" s="84"/>
      <c r="O968" s="84"/>
      <c r="P968" s="85"/>
      <c r="Q968" s="75"/>
      <c r="R968" s="75"/>
      <c r="S968" s="75"/>
      <c r="T968" s="75"/>
      <c r="U968" s="89"/>
      <c r="V968" s="84"/>
      <c r="W968" s="84"/>
      <c r="X968" s="84"/>
      <c r="Y968" s="84"/>
      <c r="Z968" s="84"/>
    </row>
    <row r="969" spans="1:26" ht="13">
      <c r="A969" s="83"/>
      <c r="B969" s="83"/>
      <c r="C969" s="83"/>
      <c r="D969" s="84"/>
      <c r="E969" s="84"/>
      <c r="F969" s="84"/>
      <c r="G969" s="83"/>
      <c r="H969" s="84"/>
      <c r="I969" s="84"/>
      <c r="J969" s="84"/>
      <c r="K969" s="84"/>
      <c r="L969" s="84"/>
      <c r="M969" s="84"/>
      <c r="N969" s="84"/>
      <c r="O969" s="84"/>
      <c r="P969" s="85"/>
      <c r="Q969" s="75"/>
      <c r="R969" s="75"/>
      <c r="S969" s="75"/>
      <c r="T969" s="75"/>
      <c r="U969" s="89"/>
      <c r="V969" s="84"/>
      <c r="W969" s="84"/>
      <c r="X969" s="84"/>
      <c r="Y969" s="84"/>
      <c r="Z969" s="84"/>
    </row>
    <row r="970" spans="1:26" ht="13">
      <c r="A970" s="83"/>
      <c r="B970" s="83"/>
      <c r="C970" s="83"/>
      <c r="D970" s="84"/>
      <c r="E970" s="84"/>
      <c r="F970" s="84"/>
      <c r="G970" s="83"/>
      <c r="H970" s="84"/>
      <c r="I970" s="84"/>
      <c r="J970" s="84"/>
      <c r="K970" s="84"/>
      <c r="L970" s="84"/>
      <c r="M970" s="84"/>
      <c r="N970" s="84"/>
      <c r="O970" s="84"/>
      <c r="P970" s="85"/>
      <c r="Q970" s="75"/>
      <c r="R970" s="75"/>
      <c r="S970" s="75"/>
      <c r="T970" s="75"/>
      <c r="U970" s="89"/>
      <c r="V970" s="84"/>
      <c r="W970" s="84"/>
      <c r="X970" s="84"/>
      <c r="Y970" s="84"/>
      <c r="Z970" s="84"/>
    </row>
    <row r="971" spans="1:26" ht="13">
      <c r="A971" s="83"/>
      <c r="B971" s="83"/>
      <c r="C971" s="83"/>
      <c r="D971" s="84"/>
      <c r="E971" s="84"/>
      <c r="F971" s="84"/>
      <c r="G971" s="83"/>
      <c r="H971" s="84"/>
      <c r="I971" s="84"/>
      <c r="J971" s="84"/>
      <c r="K971" s="84"/>
      <c r="L971" s="84"/>
      <c r="M971" s="84"/>
      <c r="N971" s="84"/>
      <c r="O971" s="84"/>
      <c r="P971" s="85"/>
      <c r="Q971" s="75"/>
      <c r="R971" s="75"/>
      <c r="S971" s="75"/>
      <c r="T971" s="75"/>
      <c r="U971" s="89"/>
      <c r="V971" s="84"/>
      <c r="W971" s="84"/>
      <c r="X971" s="84"/>
      <c r="Y971" s="84"/>
      <c r="Z971" s="84"/>
    </row>
    <row r="972" spans="1:26" ht="13">
      <c r="A972" s="83"/>
      <c r="B972" s="83"/>
      <c r="C972" s="83"/>
      <c r="D972" s="84"/>
      <c r="E972" s="84"/>
      <c r="F972" s="84"/>
      <c r="G972" s="83"/>
      <c r="H972" s="84"/>
      <c r="I972" s="84"/>
      <c r="J972" s="84"/>
      <c r="K972" s="84"/>
      <c r="L972" s="84"/>
      <c r="M972" s="84"/>
      <c r="N972" s="84"/>
      <c r="O972" s="84"/>
      <c r="P972" s="85"/>
      <c r="Q972" s="75"/>
      <c r="R972" s="75"/>
      <c r="S972" s="75"/>
      <c r="T972" s="75"/>
      <c r="U972" s="89"/>
      <c r="V972" s="84"/>
      <c r="W972" s="84"/>
      <c r="X972" s="84"/>
      <c r="Y972" s="84"/>
      <c r="Z972" s="84"/>
    </row>
    <row r="973" spans="1:26" ht="13">
      <c r="A973" s="83"/>
      <c r="B973" s="83"/>
      <c r="C973" s="83"/>
      <c r="D973" s="84"/>
      <c r="E973" s="84"/>
      <c r="F973" s="84"/>
      <c r="G973" s="83"/>
      <c r="H973" s="84"/>
      <c r="I973" s="84"/>
      <c r="J973" s="84"/>
      <c r="K973" s="84"/>
      <c r="L973" s="84"/>
      <c r="M973" s="84"/>
      <c r="N973" s="84"/>
      <c r="O973" s="84"/>
      <c r="P973" s="85"/>
      <c r="Q973" s="75"/>
      <c r="R973" s="75"/>
      <c r="S973" s="75"/>
      <c r="T973" s="75"/>
      <c r="U973" s="89"/>
      <c r="V973" s="84"/>
      <c r="W973" s="84"/>
      <c r="X973" s="84"/>
      <c r="Y973" s="84"/>
      <c r="Z973" s="84"/>
    </row>
    <row r="974" spans="1:26" ht="13">
      <c r="A974" s="83"/>
      <c r="B974" s="83"/>
      <c r="C974" s="83"/>
      <c r="D974" s="84"/>
      <c r="E974" s="84"/>
      <c r="F974" s="84"/>
      <c r="G974" s="83"/>
      <c r="H974" s="84"/>
      <c r="I974" s="84"/>
      <c r="J974" s="84"/>
      <c r="K974" s="84"/>
      <c r="L974" s="84"/>
      <c r="M974" s="84"/>
      <c r="N974" s="84"/>
      <c r="O974" s="84"/>
      <c r="P974" s="85"/>
      <c r="Q974" s="75"/>
      <c r="R974" s="75"/>
      <c r="S974" s="75"/>
      <c r="T974" s="75"/>
      <c r="U974" s="89"/>
      <c r="V974" s="84"/>
      <c r="W974" s="84"/>
      <c r="X974" s="84"/>
      <c r="Y974" s="84"/>
      <c r="Z974" s="84"/>
    </row>
    <row r="975" spans="1:26" ht="13">
      <c r="A975" s="83"/>
      <c r="B975" s="83"/>
      <c r="C975" s="83"/>
      <c r="D975" s="84"/>
      <c r="E975" s="84"/>
      <c r="F975" s="84"/>
      <c r="G975" s="83"/>
      <c r="H975" s="84"/>
      <c r="I975" s="84"/>
      <c r="J975" s="84"/>
      <c r="K975" s="84"/>
      <c r="L975" s="84"/>
      <c r="M975" s="84"/>
      <c r="N975" s="84"/>
      <c r="O975" s="84"/>
      <c r="P975" s="85"/>
      <c r="Q975" s="75"/>
      <c r="R975" s="75"/>
      <c r="S975" s="75"/>
      <c r="T975" s="75"/>
      <c r="U975" s="89"/>
      <c r="V975" s="84"/>
      <c r="W975" s="84"/>
      <c r="X975" s="84"/>
      <c r="Y975" s="84"/>
      <c r="Z975" s="84"/>
    </row>
    <row r="976" spans="1:26" ht="13">
      <c r="A976" s="83"/>
      <c r="B976" s="83"/>
      <c r="C976" s="83"/>
      <c r="D976" s="84"/>
      <c r="E976" s="84"/>
      <c r="F976" s="84"/>
      <c r="G976" s="83"/>
      <c r="H976" s="84"/>
      <c r="I976" s="84"/>
      <c r="J976" s="84"/>
      <c r="K976" s="84"/>
      <c r="L976" s="84"/>
      <c r="M976" s="84"/>
      <c r="N976" s="84"/>
      <c r="O976" s="84"/>
      <c r="P976" s="85"/>
      <c r="Q976" s="75"/>
      <c r="R976" s="75"/>
      <c r="S976" s="75"/>
      <c r="T976" s="75"/>
      <c r="U976" s="89"/>
      <c r="V976" s="84"/>
      <c r="W976" s="84"/>
      <c r="X976" s="84"/>
      <c r="Y976" s="84"/>
      <c r="Z976" s="84"/>
    </row>
    <row r="977" spans="1:26" ht="13">
      <c r="A977" s="83"/>
      <c r="B977" s="83"/>
      <c r="C977" s="83"/>
      <c r="D977" s="84"/>
      <c r="E977" s="84"/>
      <c r="F977" s="84"/>
      <c r="G977" s="83"/>
      <c r="H977" s="84"/>
      <c r="I977" s="84"/>
      <c r="J977" s="84"/>
      <c r="K977" s="84"/>
      <c r="L977" s="84"/>
      <c r="M977" s="84"/>
      <c r="N977" s="84"/>
      <c r="O977" s="84"/>
      <c r="P977" s="85"/>
      <c r="Q977" s="75"/>
      <c r="R977" s="75"/>
      <c r="S977" s="75"/>
      <c r="T977" s="75"/>
      <c r="U977" s="89"/>
      <c r="V977" s="84"/>
      <c r="W977" s="84"/>
      <c r="X977" s="84"/>
      <c r="Y977" s="84"/>
      <c r="Z977" s="84"/>
    </row>
    <row r="978" spans="1:26" ht="13">
      <c r="A978" s="83"/>
      <c r="B978" s="83"/>
      <c r="C978" s="83"/>
      <c r="D978" s="84"/>
      <c r="E978" s="84"/>
      <c r="F978" s="84"/>
      <c r="G978" s="83"/>
      <c r="H978" s="84"/>
      <c r="I978" s="84"/>
      <c r="J978" s="84"/>
      <c r="K978" s="84"/>
      <c r="L978" s="84"/>
      <c r="M978" s="84"/>
      <c r="N978" s="84"/>
      <c r="O978" s="84"/>
      <c r="P978" s="85"/>
      <c r="Q978" s="75"/>
      <c r="R978" s="75"/>
      <c r="S978" s="75"/>
      <c r="T978" s="75"/>
      <c r="U978" s="89"/>
      <c r="V978" s="84"/>
      <c r="W978" s="84"/>
      <c r="X978" s="84"/>
      <c r="Y978" s="84"/>
      <c r="Z978" s="84"/>
    </row>
    <row r="979" spans="1:26" ht="13">
      <c r="A979" s="83"/>
      <c r="B979" s="83"/>
      <c r="C979" s="83"/>
      <c r="D979" s="84"/>
      <c r="E979" s="84"/>
      <c r="F979" s="84"/>
      <c r="G979" s="83"/>
      <c r="H979" s="84"/>
      <c r="I979" s="84"/>
      <c r="J979" s="84"/>
      <c r="K979" s="84"/>
      <c r="L979" s="84"/>
      <c r="M979" s="84"/>
      <c r="N979" s="84"/>
      <c r="O979" s="84"/>
      <c r="P979" s="85"/>
      <c r="Q979" s="75"/>
      <c r="R979" s="75"/>
      <c r="S979" s="75"/>
      <c r="T979" s="75"/>
      <c r="U979" s="89"/>
      <c r="V979" s="84"/>
      <c r="W979" s="84"/>
      <c r="X979" s="84"/>
      <c r="Y979" s="84"/>
      <c r="Z979" s="84"/>
    </row>
    <row r="980" spans="1:26" ht="13">
      <c r="A980" s="83"/>
      <c r="B980" s="83"/>
      <c r="C980" s="83"/>
      <c r="D980" s="84"/>
      <c r="E980" s="84"/>
      <c r="F980" s="84"/>
      <c r="G980" s="83"/>
      <c r="H980" s="84"/>
      <c r="I980" s="84"/>
      <c r="J980" s="84"/>
      <c r="K980" s="84"/>
      <c r="L980" s="84"/>
      <c r="M980" s="84"/>
      <c r="N980" s="84"/>
      <c r="O980" s="84"/>
      <c r="P980" s="85"/>
      <c r="Q980" s="75"/>
      <c r="R980" s="75"/>
      <c r="S980" s="75"/>
      <c r="T980" s="75"/>
      <c r="U980" s="89"/>
      <c r="V980" s="84"/>
      <c r="W980" s="84"/>
      <c r="X980" s="84"/>
      <c r="Y980" s="84"/>
      <c r="Z980" s="84"/>
    </row>
    <row r="981" spans="1:26" ht="13">
      <c r="A981" s="83"/>
      <c r="B981" s="83"/>
      <c r="C981" s="83"/>
      <c r="D981" s="84"/>
      <c r="E981" s="84"/>
      <c r="F981" s="84"/>
      <c r="G981" s="83"/>
      <c r="H981" s="84"/>
      <c r="I981" s="84"/>
      <c r="J981" s="84"/>
      <c r="K981" s="84"/>
      <c r="L981" s="84"/>
      <c r="M981" s="84"/>
      <c r="N981" s="84"/>
      <c r="O981" s="84"/>
      <c r="P981" s="85"/>
      <c r="Q981" s="75"/>
      <c r="R981" s="75"/>
      <c r="S981" s="75"/>
      <c r="T981" s="75"/>
      <c r="U981" s="89"/>
      <c r="V981" s="84"/>
      <c r="W981" s="84"/>
      <c r="X981" s="84"/>
      <c r="Y981" s="84"/>
      <c r="Z981" s="84"/>
    </row>
    <row r="982" spans="1:26" ht="13">
      <c r="A982" s="83"/>
      <c r="B982" s="83"/>
      <c r="C982" s="83"/>
      <c r="D982" s="84"/>
      <c r="E982" s="84"/>
      <c r="F982" s="84"/>
      <c r="G982" s="83"/>
      <c r="H982" s="84"/>
      <c r="I982" s="84"/>
      <c r="J982" s="84"/>
      <c r="K982" s="84"/>
      <c r="L982" s="84"/>
      <c r="M982" s="84"/>
      <c r="N982" s="84"/>
      <c r="O982" s="84"/>
      <c r="P982" s="85"/>
      <c r="Q982" s="75"/>
      <c r="R982" s="75"/>
      <c r="S982" s="75"/>
      <c r="T982" s="75"/>
      <c r="U982" s="89"/>
      <c r="V982" s="84"/>
      <c r="W982" s="84"/>
      <c r="X982" s="84"/>
      <c r="Y982" s="84"/>
      <c r="Z982" s="84"/>
    </row>
    <row r="983" spans="1:26" ht="13">
      <c r="A983" s="83"/>
      <c r="B983" s="83"/>
      <c r="C983" s="83"/>
      <c r="D983" s="84"/>
      <c r="E983" s="84"/>
      <c r="F983" s="84"/>
      <c r="G983" s="83"/>
      <c r="H983" s="84"/>
      <c r="I983" s="84"/>
      <c r="J983" s="84"/>
      <c r="K983" s="84"/>
      <c r="L983" s="84"/>
      <c r="M983" s="84"/>
      <c r="N983" s="84"/>
      <c r="O983" s="84"/>
      <c r="P983" s="85"/>
      <c r="Q983" s="75"/>
      <c r="R983" s="75"/>
      <c r="S983" s="75"/>
      <c r="T983" s="75"/>
      <c r="U983" s="89"/>
      <c r="V983" s="84"/>
      <c r="W983" s="84"/>
      <c r="X983" s="84"/>
      <c r="Y983" s="84"/>
      <c r="Z983" s="84"/>
    </row>
    <row r="984" spans="1:26" ht="13">
      <c r="A984" s="83"/>
      <c r="B984" s="83"/>
      <c r="C984" s="83"/>
      <c r="D984" s="84"/>
      <c r="E984" s="84"/>
      <c r="F984" s="84"/>
      <c r="G984" s="83"/>
      <c r="H984" s="84"/>
      <c r="I984" s="84"/>
      <c r="J984" s="84"/>
      <c r="K984" s="84"/>
      <c r="L984" s="84"/>
      <c r="M984" s="84"/>
      <c r="N984" s="84"/>
      <c r="O984" s="84"/>
      <c r="P984" s="85"/>
      <c r="Q984" s="75"/>
      <c r="R984" s="75"/>
      <c r="S984" s="75"/>
      <c r="T984" s="75"/>
      <c r="U984" s="89"/>
      <c r="V984" s="84"/>
      <c r="W984" s="84"/>
      <c r="X984" s="84"/>
      <c r="Y984" s="84"/>
      <c r="Z984" s="84"/>
    </row>
    <row r="985" spans="1:26" ht="13">
      <c r="A985" s="83"/>
      <c r="B985" s="83"/>
      <c r="C985" s="83"/>
      <c r="D985" s="84"/>
      <c r="E985" s="84"/>
      <c r="F985" s="84"/>
      <c r="G985" s="83"/>
      <c r="H985" s="84"/>
      <c r="I985" s="84"/>
      <c r="J985" s="84"/>
      <c r="K985" s="84"/>
      <c r="L985" s="84"/>
      <c r="M985" s="84"/>
      <c r="N985" s="84"/>
      <c r="O985" s="84"/>
      <c r="P985" s="85"/>
      <c r="Q985" s="75"/>
      <c r="R985" s="75"/>
      <c r="S985" s="75"/>
      <c r="T985" s="75"/>
      <c r="U985" s="89"/>
      <c r="V985" s="84"/>
      <c r="W985" s="84"/>
      <c r="X985" s="84"/>
      <c r="Y985" s="84"/>
      <c r="Z985" s="84"/>
    </row>
    <row r="986" spans="1:26" ht="13">
      <c r="A986" s="83"/>
      <c r="B986" s="83"/>
      <c r="C986" s="83"/>
      <c r="D986" s="84"/>
      <c r="E986" s="84"/>
      <c r="F986" s="84"/>
      <c r="G986" s="83"/>
      <c r="H986" s="84"/>
      <c r="I986" s="84"/>
      <c r="J986" s="84"/>
      <c r="K986" s="84"/>
      <c r="L986" s="84"/>
      <c r="M986" s="84"/>
      <c r="N986" s="84"/>
      <c r="O986" s="84"/>
      <c r="P986" s="85"/>
      <c r="Q986" s="75"/>
      <c r="R986" s="75"/>
      <c r="S986" s="75"/>
      <c r="T986" s="75"/>
      <c r="U986" s="89"/>
      <c r="V986" s="84"/>
      <c r="W986" s="84"/>
      <c r="X986" s="84"/>
      <c r="Y986" s="84"/>
      <c r="Z986" s="84"/>
    </row>
    <row r="987" spans="1:26" ht="13">
      <c r="A987" s="83"/>
      <c r="B987" s="83"/>
      <c r="C987" s="83"/>
      <c r="D987" s="84"/>
      <c r="E987" s="84"/>
      <c r="F987" s="84"/>
      <c r="G987" s="83"/>
      <c r="H987" s="84"/>
      <c r="I987" s="84"/>
      <c r="J987" s="84"/>
      <c r="K987" s="84"/>
      <c r="L987" s="84"/>
      <c r="M987" s="84"/>
      <c r="N987" s="84"/>
      <c r="O987" s="84"/>
      <c r="P987" s="85"/>
      <c r="Q987" s="75"/>
      <c r="R987" s="75"/>
      <c r="S987" s="75"/>
      <c r="T987" s="75"/>
      <c r="U987" s="89"/>
      <c r="V987" s="84"/>
      <c r="W987" s="84"/>
      <c r="X987" s="84"/>
      <c r="Y987" s="84"/>
      <c r="Z987" s="84"/>
    </row>
    <row r="988" spans="1:26" ht="13">
      <c r="A988" s="83"/>
      <c r="B988" s="83"/>
      <c r="C988" s="83"/>
      <c r="D988" s="84"/>
      <c r="E988" s="84"/>
      <c r="F988" s="84"/>
      <c r="G988" s="83"/>
      <c r="H988" s="84"/>
      <c r="I988" s="84"/>
      <c r="J988" s="84"/>
      <c r="K988" s="84"/>
      <c r="L988" s="84"/>
      <c r="M988" s="84"/>
      <c r="N988" s="84"/>
      <c r="O988" s="84"/>
      <c r="P988" s="85"/>
      <c r="Q988" s="75"/>
      <c r="R988" s="75"/>
      <c r="S988" s="75"/>
      <c r="T988" s="75"/>
      <c r="U988" s="89"/>
      <c r="V988" s="84"/>
      <c r="W988" s="84"/>
      <c r="X988" s="84"/>
      <c r="Y988" s="84"/>
      <c r="Z988" s="84"/>
    </row>
    <row r="989" spans="1:26" ht="13">
      <c r="A989" s="83"/>
      <c r="B989" s="83"/>
      <c r="C989" s="83"/>
      <c r="D989" s="84"/>
      <c r="E989" s="84"/>
      <c r="F989" s="84"/>
      <c r="G989" s="83"/>
      <c r="H989" s="84"/>
      <c r="I989" s="84"/>
      <c r="J989" s="84"/>
      <c r="K989" s="84"/>
      <c r="L989" s="84"/>
      <c r="M989" s="84"/>
      <c r="N989" s="84"/>
      <c r="O989" s="84"/>
      <c r="P989" s="85"/>
      <c r="Q989" s="75"/>
      <c r="R989" s="75"/>
      <c r="S989" s="75"/>
      <c r="T989" s="75"/>
      <c r="U989" s="89"/>
      <c r="V989" s="84"/>
      <c r="W989" s="84"/>
      <c r="X989" s="84"/>
      <c r="Y989" s="84"/>
      <c r="Z989" s="84"/>
    </row>
    <row r="990" spans="1:26" ht="13">
      <c r="A990" s="83"/>
      <c r="B990" s="83"/>
      <c r="C990" s="83"/>
      <c r="D990" s="84"/>
      <c r="E990" s="84"/>
      <c r="F990" s="84"/>
      <c r="G990" s="83"/>
      <c r="H990" s="84"/>
      <c r="I990" s="84"/>
      <c r="J990" s="84"/>
      <c r="K990" s="84"/>
      <c r="L990" s="84"/>
      <c r="M990" s="84"/>
      <c r="N990" s="84"/>
      <c r="O990" s="84"/>
      <c r="P990" s="85"/>
      <c r="Q990" s="75"/>
      <c r="R990" s="75"/>
      <c r="S990" s="75"/>
      <c r="T990" s="75"/>
      <c r="U990" s="89"/>
      <c r="V990" s="84"/>
      <c r="W990" s="84"/>
      <c r="X990" s="84"/>
      <c r="Y990" s="84"/>
      <c r="Z990" s="84"/>
    </row>
    <row r="991" spans="1:26" ht="13">
      <c r="A991" s="83"/>
      <c r="B991" s="83"/>
      <c r="C991" s="83"/>
      <c r="D991" s="84"/>
      <c r="E991" s="84"/>
      <c r="F991" s="84"/>
      <c r="G991" s="83"/>
      <c r="H991" s="84"/>
      <c r="I991" s="84"/>
      <c r="J991" s="84"/>
      <c r="K991" s="84"/>
      <c r="L991" s="84"/>
      <c r="M991" s="84"/>
      <c r="N991" s="84"/>
      <c r="O991" s="84"/>
      <c r="P991" s="85"/>
      <c r="Q991" s="75"/>
      <c r="R991" s="75"/>
      <c r="S991" s="75"/>
      <c r="T991" s="75"/>
      <c r="U991" s="89"/>
      <c r="V991" s="84"/>
      <c r="W991" s="84"/>
      <c r="X991" s="84"/>
      <c r="Y991" s="84"/>
      <c r="Z991" s="84"/>
    </row>
    <row r="992" spans="1:26" ht="13">
      <c r="A992" s="83"/>
      <c r="B992" s="83"/>
      <c r="C992" s="83"/>
      <c r="D992" s="84"/>
      <c r="E992" s="84"/>
      <c r="F992" s="84"/>
      <c r="G992" s="83"/>
      <c r="H992" s="84"/>
      <c r="I992" s="84"/>
      <c r="J992" s="84"/>
      <c r="K992" s="84"/>
      <c r="L992" s="84"/>
      <c r="M992" s="84"/>
      <c r="N992" s="84"/>
      <c r="O992" s="84"/>
      <c r="P992" s="85"/>
      <c r="Q992" s="75"/>
      <c r="R992" s="75"/>
      <c r="S992" s="75"/>
      <c r="T992" s="75"/>
      <c r="U992" s="89"/>
      <c r="V992" s="84"/>
      <c r="W992" s="84"/>
      <c r="X992" s="84"/>
      <c r="Y992" s="84"/>
      <c r="Z992" s="84"/>
    </row>
    <row r="993" spans="1:26" ht="13">
      <c r="A993" s="83"/>
      <c r="B993" s="83"/>
      <c r="C993" s="83"/>
      <c r="D993" s="84"/>
      <c r="E993" s="84"/>
      <c r="F993" s="84"/>
      <c r="G993" s="83"/>
      <c r="H993" s="84"/>
      <c r="I993" s="84"/>
      <c r="J993" s="84"/>
      <c r="K993" s="84"/>
      <c r="L993" s="84"/>
      <c r="M993" s="84"/>
      <c r="N993" s="84"/>
      <c r="O993" s="84"/>
      <c r="P993" s="85"/>
      <c r="Q993" s="75"/>
      <c r="R993" s="75"/>
      <c r="S993" s="75"/>
      <c r="T993" s="75"/>
      <c r="U993" s="89"/>
      <c r="V993" s="84"/>
      <c r="W993" s="84"/>
      <c r="X993" s="84"/>
      <c r="Y993" s="84"/>
      <c r="Z993" s="84"/>
    </row>
    <row r="994" spans="1:26" ht="13">
      <c r="A994" s="83"/>
      <c r="B994" s="83"/>
      <c r="C994" s="83"/>
      <c r="D994" s="84"/>
      <c r="E994" s="84"/>
      <c r="F994" s="84"/>
      <c r="G994" s="83"/>
      <c r="H994" s="84"/>
      <c r="I994" s="84"/>
      <c r="J994" s="84"/>
      <c r="K994" s="84"/>
      <c r="L994" s="84"/>
      <c r="M994" s="84"/>
      <c r="N994" s="84"/>
      <c r="O994" s="84"/>
      <c r="P994" s="85"/>
      <c r="Q994" s="75"/>
      <c r="R994" s="75"/>
      <c r="S994" s="75"/>
      <c r="T994" s="75"/>
      <c r="U994" s="89"/>
      <c r="V994" s="84"/>
      <c r="W994" s="84"/>
      <c r="X994" s="84"/>
      <c r="Y994" s="84"/>
      <c r="Z994" s="84"/>
    </row>
    <row r="995" spans="1:26" ht="13">
      <c r="A995" s="83"/>
      <c r="B995" s="83"/>
      <c r="C995" s="83"/>
      <c r="D995" s="84"/>
      <c r="E995" s="84"/>
      <c r="F995" s="84"/>
      <c r="G995" s="83"/>
      <c r="H995" s="84"/>
      <c r="I995" s="84"/>
      <c r="J995" s="84"/>
      <c r="K995" s="84"/>
      <c r="L995" s="84"/>
      <c r="M995" s="84"/>
      <c r="N995" s="84"/>
      <c r="O995" s="84"/>
      <c r="P995" s="85"/>
      <c r="Q995" s="75"/>
      <c r="R995" s="75"/>
      <c r="S995" s="75"/>
      <c r="T995" s="75"/>
      <c r="U995" s="89"/>
      <c r="V995" s="84"/>
      <c r="W995" s="84"/>
      <c r="X995" s="84"/>
      <c r="Y995" s="84"/>
      <c r="Z995" s="84"/>
    </row>
    <row r="996" spans="1:26" ht="13">
      <c r="A996" s="83"/>
      <c r="B996" s="83"/>
      <c r="C996" s="83"/>
      <c r="D996" s="84"/>
      <c r="E996" s="84"/>
      <c r="F996" s="84"/>
      <c r="G996" s="83"/>
      <c r="H996" s="84"/>
      <c r="I996" s="84"/>
      <c r="J996" s="84"/>
      <c r="K996" s="84"/>
      <c r="L996" s="84"/>
      <c r="M996" s="84"/>
      <c r="N996" s="84"/>
      <c r="O996" s="84"/>
      <c r="P996" s="85"/>
      <c r="Q996" s="75"/>
      <c r="R996" s="75"/>
      <c r="S996" s="75"/>
      <c r="T996" s="75"/>
      <c r="U996" s="89"/>
      <c r="V996" s="84"/>
      <c r="W996" s="84"/>
      <c r="X996" s="84"/>
      <c r="Y996" s="84"/>
      <c r="Z996" s="84"/>
    </row>
    <row r="997" spans="1:26" ht="13">
      <c r="A997" s="83"/>
      <c r="B997" s="83"/>
      <c r="C997" s="83"/>
      <c r="D997" s="84"/>
      <c r="E997" s="84"/>
      <c r="F997" s="84"/>
      <c r="G997" s="83"/>
      <c r="H997" s="84"/>
      <c r="I997" s="84"/>
      <c r="J997" s="84"/>
      <c r="K997" s="84"/>
      <c r="L997" s="84"/>
      <c r="M997" s="84"/>
      <c r="N997" s="84"/>
      <c r="O997" s="84"/>
      <c r="P997" s="85"/>
      <c r="Q997" s="75"/>
      <c r="R997" s="75"/>
      <c r="S997" s="75"/>
      <c r="T997" s="75"/>
      <c r="U997" s="89"/>
      <c r="V997" s="84"/>
      <c r="W997" s="84"/>
      <c r="X997" s="84"/>
      <c r="Y997" s="84"/>
      <c r="Z997" s="84"/>
    </row>
    <row r="998" spans="1:26" ht="13">
      <c r="A998" s="83"/>
      <c r="B998" s="83"/>
      <c r="C998" s="83"/>
      <c r="D998" s="84"/>
      <c r="E998" s="84"/>
      <c r="F998" s="84"/>
      <c r="G998" s="83"/>
      <c r="H998" s="84"/>
      <c r="I998" s="84"/>
      <c r="J998" s="84"/>
      <c r="K998" s="84"/>
      <c r="L998" s="84"/>
      <c r="M998" s="84"/>
      <c r="N998" s="84"/>
      <c r="O998" s="84"/>
      <c r="P998" s="85"/>
      <c r="Q998" s="75"/>
      <c r="R998" s="75"/>
      <c r="S998" s="75"/>
      <c r="T998" s="75"/>
      <c r="U998" s="89"/>
      <c r="V998" s="84"/>
      <c r="W998" s="84"/>
      <c r="X998" s="84"/>
      <c r="Y998" s="84"/>
      <c r="Z998" s="84"/>
    </row>
    <row r="999" spans="1:26" ht="13">
      <c r="A999" s="83"/>
      <c r="B999" s="83"/>
      <c r="C999" s="83"/>
      <c r="D999" s="84"/>
      <c r="E999" s="84"/>
      <c r="F999" s="84"/>
      <c r="G999" s="83"/>
      <c r="H999" s="84"/>
      <c r="I999" s="84"/>
      <c r="J999" s="84"/>
      <c r="K999" s="84"/>
      <c r="L999" s="84"/>
      <c r="M999" s="84"/>
      <c r="N999" s="84"/>
      <c r="O999" s="84"/>
      <c r="P999" s="85"/>
      <c r="Q999" s="75"/>
      <c r="R999" s="75"/>
      <c r="S999" s="75"/>
      <c r="T999" s="75"/>
      <c r="U999" s="89"/>
      <c r="V999" s="84"/>
      <c r="W999" s="84"/>
      <c r="X999" s="84"/>
      <c r="Y999" s="84"/>
      <c r="Z999" s="84"/>
    </row>
    <row r="1000" spans="1:26" ht="13">
      <c r="A1000" s="83"/>
      <c r="B1000" s="83"/>
      <c r="C1000" s="83"/>
      <c r="D1000" s="84"/>
      <c r="E1000" s="84"/>
      <c r="F1000" s="84"/>
      <c r="G1000" s="83"/>
      <c r="H1000" s="84"/>
      <c r="I1000" s="84"/>
      <c r="J1000" s="84"/>
      <c r="K1000" s="84"/>
      <c r="L1000" s="84"/>
      <c r="M1000" s="84"/>
      <c r="N1000" s="84"/>
      <c r="O1000" s="84"/>
      <c r="P1000" s="85"/>
      <c r="Q1000" s="75"/>
      <c r="R1000" s="75"/>
      <c r="S1000" s="75"/>
      <c r="T1000" s="75"/>
      <c r="U1000" s="89"/>
      <c r="V1000" s="84"/>
      <c r="W1000" s="84"/>
      <c r="X1000" s="84"/>
      <c r="Y1000" s="84"/>
      <c r="Z1000" s="84"/>
    </row>
    <row r="1001" spans="1:26" ht="13">
      <c r="A1001" s="83"/>
      <c r="B1001" s="83"/>
      <c r="C1001" s="83"/>
      <c r="D1001" s="84"/>
      <c r="E1001" s="84"/>
      <c r="F1001" s="84"/>
      <c r="G1001" s="83"/>
      <c r="H1001" s="84"/>
      <c r="I1001" s="84"/>
      <c r="J1001" s="84"/>
      <c r="K1001" s="84"/>
      <c r="L1001" s="84"/>
      <c r="M1001" s="84"/>
      <c r="N1001" s="84"/>
      <c r="O1001" s="84"/>
      <c r="P1001" s="85"/>
      <c r="Q1001" s="75"/>
      <c r="R1001" s="75"/>
      <c r="S1001" s="75"/>
      <c r="T1001" s="75"/>
      <c r="U1001" s="89"/>
      <c r="V1001" s="84"/>
      <c r="W1001" s="84"/>
      <c r="X1001" s="84"/>
      <c r="Y1001" s="84"/>
      <c r="Z1001" s="84"/>
    </row>
    <row r="1002" spans="1:26" ht="13">
      <c r="A1002" s="83"/>
      <c r="B1002" s="83"/>
      <c r="C1002" s="83"/>
      <c r="D1002" s="84"/>
      <c r="E1002" s="84"/>
      <c r="F1002" s="84"/>
      <c r="G1002" s="83"/>
      <c r="H1002" s="84"/>
      <c r="I1002" s="84"/>
      <c r="J1002" s="84"/>
      <c r="K1002" s="84"/>
      <c r="L1002" s="84"/>
      <c r="M1002" s="84"/>
      <c r="N1002" s="84"/>
      <c r="O1002" s="84"/>
      <c r="P1002" s="85"/>
      <c r="Q1002" s="75"/>
      <c r="R1002" s="75"/>
      <c r="S1002" s="75"/>
      <c r="T1002" s="75"/>
      <c r="U1002" s="89"/>
      <c r="V1002" s="84"/>
      <c r="W1002" s="84"/>
      <c r="X1002" s="84"/>
      <c r="Y1002" s="84"/>
      <c r="Z1002" s="84"/>
    </row>
    <row r="1003" spans="1:26" ht="13">
      <c r="A1003" s="83"/>
      <c r="B1003" s="83"/>
      <c r="C1003" s="83"/>
      <c r="D1003" s="84"/>
      <c r="E1003" s="84"/>
      <c r="F1003" s="84"/>
      <c r="G1003" s="83"/>
      <c r="H1003" s="84"/>
      <c r="I1003" s="84"/>
      <c r="J1003" s="84"/>
      <c r="K1003" s="84"/>
      <c r="L1003" s="84"/>
      <c r="M1003" s="84"/>
      <c r="N1003" s="84"/>
      <c r="O1003" s="84"/>
      <c r="P1003" s="85"/>
      <c r="Q1003" s="75"/>
      <c r="R1003" s="75"/>
      <c r="S1003" s="75"/>
      <c r="T1003" s="75"/>
      <c r="U1003" s="89"/>
      <c r="V1003" s="84"/>
      <c r="W1003" s="84"/>
      <c r="X1003" s="84"/>
      <c r="Y1003" s="84"/>
      <c r="Z1003" s="84"/>
    </row>
    <row r="1004" spans="1:26" ht="13">
      <c r="A1004" s="83"/>
      <c r="B1004" s="83"/>
      <c r="C1004" s="83"/>
      <c r="D1004" s="84"/>
      <c r="E1004" s="84"/>
      <c r="F1004" s="84"/>
      <c r="G1004" s="83"/>
      <c r="H1004" s="84"/>
      <c r="I1004" s="84"/>
      <c r="J1004" s="84"/>
      <c r="K1004" s="84"/>
      <c r="L1004" s="84"/>
      <c r="M1004" s="84"/>
      <c r="N1004" s="84"/>
      <c r="O1004" s="84"/>
      <c r="P1004" s="85"/>
      <c r="Q1004" s="75"/>
      <c r="R1004" s="75"/>
      <c r="S1004" s="75"/>
      <c r="T1004" s="75"/>
      <c r="U1004" s="89"/>
      <c r="V1004" s="84"/>
      <c r="W1004" s="84"/>
      <c r="X1004" s="84"/>
      <c r="Y1004" s="84"/>
      <c r="Z1004" s="84"/>
    </row>
    <row r="1005" spans="1:26" ht="13">
      <c r="A1005" s="83"/>
      <c r="B1005" s="83"/>
      <c r="C1005" s="83"/>
      <c r="D1005" s="84"/>
      <c r="E1005" s="84"/>
      <c r="F1005" s="84"/>
      <c r="G1005" s="83"/>
      <c r="H1005" s="84"/>
      <c r="I1005" s="84"/>
      <c r="J1005" s="84"/>
      <c r="K1005" s="84"/>
      <c r="L1005" s="84"/>
      <c r="M1005" s="84"/>
      <c r="N1005" s="84"/>
      <c r="O1005" s="84"/>
      <c r="P1005" s="85"/>
      <c r="Q1005" s="75"/>
      <c r="R1005" s="75"/>
      <c r="S1005" s="75"/>
      <c r="T1005" s="75"/>
      <c r="U1005" s="89"/>
      <c r="V1005" s="84"/>
      <c r="W1005" s="84"/>
      <c r="X1005" s="84"/>
      <c r="Y1005" s="84"/>
      <c r="Z1005" s="84"/>
    </row>
    <row r="1006" spans="1:26" ht="13">
      <c r="A1006" s="83"/>
      <c r="B1006" s="83"/>
      <c r="C1006" s="83"/>
      <c r="D1006" s="84"/>
      <c r="E1006" s="84"/>
      <c r="F1006" s="84"/>
      <c r="G1006" s="83"/>
      <c r="H1006" s="84"/>
      <c r="I1006" s="84"/>
      <c r="J1006" s="84"/>
      <c r="K1006" s="84"/>
      <c r="L1006" s="84"/>
      <c r="M1006" s="84"/>
      <c r="N1006" s="84"/>
      <c r="O1006" s="84"/>
      <c r="P1006" s="85"/>
      <c r="Q1006" s="75"/>
      <c r="R1006" s="75"/>
      <c r="S1006" s="75"/>
      <c r="T1006" s="75"/>
      <c r="U1006" s="89"/>
      <c r="V1006" s="84"/>
      <c r="W1006" s="84"/>
      <c r="X1006" s="84"/>
      <c r="Y1006" s="84"/>
      <c r="Z1006" s="84"/>
    </row>
  </sheetData>
  <conditionalFormatting sqref="T1:T1006">
    <cfRule type="cellIs" dxfId="32" priority="1" operator="equal">
      <formula>"true"</formula>
    </cfRule>
  </conditionalFormatting>
  <conditionalFormatting sqref="Q1:Q1006">
    <cfRule type="cellIs" dxfId="31" priority="2" operator="equal">
      <formula>"true"</formula>
    </cfRule>
  </conditionalFormatting>
  <conditionalFormatting sqref="R1:R1006">
    <cfRule type="cellIs" dxfId="30" priority="3" operator="equal">
      <formula>"true"</formula>
    </cfRule>
  </conditionalFormatting>
  <conditionalFormatting sqref="S1:S1006">
    <cfRule type="cellIs" dxfId="29" priority="4" operator="equal">
      <formula>"true"</formula>
    </cfRule>
  </conditionalFormatting>
  <conditionalFormatting sqref="T1:T1006">
    <cfRule type="cellIs" dxfId="28" priority="5" operator="equal">
      <formula>"true"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AD3"/>
    <outlinePr summaryBelow="0" summaryRight="0"/>
  </sheetPr>
  <dimension ref="A1:AC1001"/>
  <sheetViews>
    <sheetView workbookViewId="0"/>
  </sheetViews>
  <sheetFormatPr defaultColWidth="14.453125" defaultRowHeight="15" customHeight="1"/>
  <cols>
    <col min="1" max="1" width="3.7265625" customWidth="1"/>
    <col min="2" max="2" width="10.08984375" customWidth="1"/>
    <col min="3" max="3" width="10.54296875" customWidth="1"/>
    <col min="4" max="4" width="10.81640625" customWidth="1"/>
    <col min="5" max="5" width="10.54296875" customWidth="1"/>
    <col min="6" max="6" width="10.81640625" customWidth="1"/>
    <col min="12" max="12" width="4.81640625" customWidth="1"/>
    <col min="13" max="13" width="22.54296875" customWidth="1"/>
  </cols>
  <sheetData>
    <row r="1" spans="1:29" ht="15" customHeight="1">
      <c r="A1" s="90" t="s">
        <v>95</v>
      </c>
      <c r="B1" s="91" t="s">
        <v>40</v>
      </c>
      <c r="C1" s="90" t="s">
        <v>515</v>
      </c>
      <c r="D1" s="92" t="s">
        <v>516</v>
      </c>
      <c r="E1" s="92" t="s">
        <v>517</v>
      </c>
      <c r="F1" s="92" t="s">
        <v>518</v>
      </c>
      <c r="G1" s="93" t="s">
        <v>519</v>
      </c>
      <c r="H1" s="94" t="s">
        <v>520</v>
      </c>
      <c r="I1" s="90" t="s">
        <v>521</v>
      </c>
      <c r="J1" s="90" t="s">
        <v>522</v>
      </c>
      <c r="K1" s="90" t="s">
        <v>523</v>
      </c>
      <c r="L1" s="95"/>
      <c r="M1" s="379" t="s">
        <v>524</v>
      </c>
      <c r="N1" s="372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</row>
    <row r="2" spans="1:29" ht="15" customHeight="1">
      <c r="A2" s="96">
        <v>0</v>
      </c>
      <c r="B2" s="97">
        <f>VLOOKUP(A2,N!B:D,3,FALSE)</f>
        <v>1800</v>
      </c>
      <c r="C2" s="98">
        <f ca="1">IFERROR(__xludf.DUMMYFUNCTION("IFERROR(AVERAGE(QUERY(N_all,""SELECT U WHERE B=""&amp;$A2)))"),23.5)</f>
        <v>23.5</v>
      </c>
      <c r="D2" s="98">
        <f ca="1">IFERROR(__xludf.DUMMYFUNCTION("IFERROR(STDEV(QUERY(N_all,""SELECT U WHERE B=""&amp;$A2)))"),6.40312423743284)</f>
        <v>6.4031242374328396</v>
      </c>
      <c r="E2" s="98">
        <f ca="1">IFERROR(__xludf.DUMMYFUNCTION("IFERROR(AVERAGE(QUERY(N_all,""SELECT U WHERE B=""&amp;$A2&amp;"" AND Q=FALSE AND R=FALSE"")))"),23.5)</f>
        <v>23.5</v>
      </c>
      <c r="F2" s="98">
        <f ca="1">IFERROR(__xludf.DUMMYFUNCTION("IFERROR(STDEV(QUERY(N_all,""SELECT U WHERE B=""&amp;$A2&amp;"" AND Q=FALSE AND R=FALSE"")))"),6.40312423743284)</f>
        <v>6.4031242374328396</v>
      </c>
      <c r="G2" s="99">
        <f ca="1">IFERROR(__xludf.DUMMYFUNCTION("IFERROR(AVERAGE(QUERY(N_all,""SELECT U WHERE B=""&amp;$A2&amp;"" AND Q=FALSE AND R=FALSE AND U&gt;=""&amp;N_mean-2*N_sd&amp;"" AND U&lt;=""&amp;N_mean+2*N_sd)))"),23.5)</f>
        <v>23.5</v>
      </c>
      <c r="H2" s="98">
        <f ca="1">IFERROR(__xludf.DUMMYFUNCTION("IFERROR(STDEV(QUERY(N_all,""SELECT U WHERE B=""&amp;$A2&amp;"" AND Q=FALSE AND R=FALSE AND U&gt;=""&amp;N_mean-2*N_sd&amp;"" AND U&lt;=""&amp;N_mean+2*N_sd)))"),6.40312423743284)</f>
        <v>6.4031242374328396</v>
      </c>
      <c r="I2" s="100">
        <f ca="1">IFERROR(__xludf.DUMMYFUNCTION("IFERROR(IF(ISBLANK(G2),,RANK.AVG(B2,QUERY(B$2:G$35,""SELECT B WHERE G IS NOT NULL""),TRUE)))"),1)</f>
        <v>1</v>
      </c>
      <c r="J2" s="100">
        <v>32</v>
      </c>
      <c r="K2" s="100">
        <f t="shared" ref="K2:K35" ca="1" si="0">IF(ISBLANK(G2),,(I2-J2)^2)</f>
        <v>961</v>
      </c>
      <c r="L2" s="101"/>
      <c r="M2" s="21" t="s">
        <v>525</v>
      </c>
      <c r="N2" s="102">
        <f ca="1">IFERROR(__xludf.DUMMYFUNCTION("AVERAGE(QUERY(N_all,""SELECT U""))"),15.2941176470588)</f>
        <v>15.294117647058799</v>
      </c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</row>
    <row r="3" spans="1:29" ht="15" customHeight="1">
      <c r="A3" s="96">
        <v>1</v>
      </c>
      <c r="B3" s="97">
        <f>VLOOKUP(A3,N!B:D,3,FALSE)</f>
        <v>2000</v>
      </c>
      <c r="C3" s="98">
        <f ca="1">IFERROR(__xludf.DUMMYFUNCTION("IFERROR(AVERAGE(QUERY(N_all,""SELECT U WHERE B=""&amp;$A3)))"),22.25)</f>
        <v>22.25</v>
      </c>
      <c r="D3" s="98">
        <f ca="1">IFERROR(__xludf.DUMMYFUNCTION("IFERROR(STDEV(QUERY(N_all,""SELECT U WHERE B=""&amp;$A3)))"),6.07590871118606)</f>
        <v>6.0759087111860604</v>
      </c>
      <c r="E3" s="98">
        <f ca="1">IFERROR(__xludf.DUMMYFUNCTION("IFERROR(AVERAGE(QUERY(N_all,""SELECT U WHERE B=""&amp;$A3&amp;"" AND Q=FALSE AND R=FALSE"")))"),22.25)</f>
        <v>22.25</v>
      </c>
      <c r="F3" s="98">
        <f ca="1">IFERROR(__xludf.DUMMYFUNCTION("IFERROR(STDEV(QUERY(N_all,""SELECT U WHERE B=""&amp;$A3&amp;"" AND Q=FALSE AND R=FALSE"")))"),6.07590871118606)</f>
        <v>6.0759087111860604</v>
      </c>
      <c r="G3" s="99">
        <f ca="1">IFERROR(__xludf.DUMMYFUNCTION("IFERROR(AVERAGE(QUERY(N_all,""SELECT U WHERE B=""&amp;$A3&amp;"" AND Q=FALSE AND R=FALSE AND U&gt;=""&amp;N_mean-2*N_sd&amp;"" AND U&lt;=""&amp;N_mean+2*N_sd)))"),19.3333333333333)</f>
        <v>19.3333333333333</v>
      </c>
      <c r="H3" s="98">
        <f ca="1">IFERROR(__xludf.DUMMYFUNCTION("IFERROR(STDEV(QUERY(N_all,""SELECT U WHERE B=""&amp;$A3&amp;"" AND Q=FALSE AND R=FALSE AND U&gt;=""&amp;N_mean-2*N_sd&amp;"" AND U&lt;=""&amp;N_mean+2*N_sd)))"),2.08166599946613)</f>
        <v>2.08166599946613</v>
      </c>
      <c r="I3" s="100">
        <f ca="1">IFERROR(__xludf.DUMMYFUNCTION("IFERROR(IF(ISBLANK(G3),,RANK.AVG(B3,QUERY(B$2:G$35,""SELECT B WHERE G IS NOT NULL""),TRUE)))"),2)</f>
        <v>2</v>
      </c>
      <c r="J3" s="100">
        <v>29</v>
      </c>
      <c r="K3" s="100">
        <f t="shared" ca="1" si="0"/>
        <v>729</v>
      </c>
      <c r="L3" s="101"/>
      <c r="M3" s="21" t="s">
        <v>526</v>
      </c>
      <c r="N3" s="103">
        <f ca="1">IFERROR(__xludf.DUMMYFUNCTION("STDEV(QUERY(N_all,""SELECT U""))"),7.72692996105786)</f>
        <v>7.7269299610578601</v>
      </c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</row>
    <row r="4" spans="1:29" ht="15" customHeight="1">
      <c r="A4" s="96">
        <v>2</v>
      </c>
      <c r="B4" s="97">
        <f>VLOOKUP(A4,N!B:D,3,FALSE)</f>
        <v>2200</v>
      </c>
      <c r="C4" s="98">
        <f ca="1">IFERROR(__xludf.DUMMYFUNCTION("IFERROR(AVERAGE(QUERY(N_all,""SELECT U WHERE B=""&amp;$A4)))"),7.75)</f>
        <v>7.75</v>
      </c>
      <c r="D4" s="98">
        <f ca="1">IFERROR(__xludf.DUMMYFUNCTION("IFERROR(STDEV(QUERY(N_all,""SELECT U WHERE B=""&amp;$A4)))"),6.65206734782503)</f>
        <v>6.6520673478250298</v>
      </c>
      <c r="E4" s="98">
        <f ca="1">IFERROR(__xludf.DUMMYFUNCTION("IFERROR(AVERAGE(QUERY(N_all,""SELECT U WHERE B=""&amp;$A4&amp;"" AND Q=FALSE AND R=FALSE"")))"),13.5)</f>
        <v>13.5</v>
      </c>
      <c r="F4" s="98">
        <f ca="1">IFERROR(__xludf.DUMMYFUNCTION("IFERROR(STDEV(QUERY(N_all,""SELECT U WHERE B=""&amp;$A4&amp;"" AND Q=FALSE AND R=FALSE"")))"),0.707106781186547)</f>
        <v>0.70710678118654702</v>
      </c>
      <c r="G4" s="99">
        <f ca="1">IFERROR(__xludf.DUMMYFUNCTION("IFERROR(AVERAGE(QUERY(N_all,""SELECT U WHERE B=""&amp;$A4&amp;"" AND Q=FALSE AND R=FALSE AND U&gt;=""&amp;N_mean-2*N_sd&amp;"" AND U&lt;=""&amp;N_mean+2*N_sd)))"),13.5)</f>
        <v>13.5</v>
      </c>
      <c r="H4" s="98">
        <f ca="1">IFERROR(__xludf.DUMMYFUNCTION("IFERROR(STDEV(QUERY(N_all,""SELECT U WHERE B=""&amp;$A4&amp;"" AND Q=FALSE AND R=FALSE AND U&gt;=""&amp;N_mean-2*N_sd&amp;"" AND U&lt;=""&amp;N_mean+2*N_sd)))"),0.707106781186547)</f>
        <v>0.70710678118654702</v>
      </c>
      <c r="I4" s="100">
        <f ca="1">IFERROR(__xludf.DUMMYFUNCTION("IFERROR(IF(ISBLANK(G4),,RANK.AVG(B4,QUERY(B$2:G$35,""SELECT B WHERE G IS NOT NULL""),TRUE)))"),3)</f>
        <v>3</v>
      </c>
      <c r="J4" s="100">
        <v>13</v>
      </c>
      <c r="K4" s="100">
        <f t="shared" ca="1" si="0"/>
        <v>100</v>
      </c>
      <c r="L4" s="101"/>
      <c r="M4" s="21" t="s">
        <v>527</v>
      </c>
      <c r="N4" s="102">
        <f ca="1">IFERROR(__xludf.DUMMYFUNCTION("AVERAGE(QUERY(N_all,""SELECT U WHERE Q=FALSE AND R=FALSE""))"),16.3306451612903)</f>
        <v>16.330645161290299</v>
      </c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</row>
    <row r="5" spans="1:29" ht="15" customHeight="1">
      <c r="A5" s="96">
        <v>3</v>
      </c>
      <c r="B5" s="97">
        <f>VLOOKUP(A5,N!B:D,3,FALSE)</f>
        <v>2400</v>
      </c>
      <c r="C5" s="98">
        <f ca="1">IFERROR(__xludf.DUMMYFUNCTION("IFERROR(AVERAGE(QUERY(N_all,""SELECT U WHERE B=""&amp;$A5)))"),9.5)</f>
        <v>9.5</v>
      </c>
      <c r="D5" s="98">
        <f ca="1">IFERROR(__xludf.DUMMYFUNCTION("IFERROR(STDEV(QUERY(N_all,""SELECT U WHERE B=""&amp;$A5)))"),9.8488578017961)</f>
        <v>9.8488578017961004</v>
      </c>
      <c r="E5" s="98">
        <f ca="1">IFERROR(__xludf.DUMMYFUNCTION("IFERROR(AVERAGE(QUERY(N_all,""SELECT U WHERE B=""&amp;$A5&amp;"" AND Q=FALSE AND R=FALSE"")))"),18)</f>
        <v>18</v>
      </c>
      <c r="F5" s="98">
        <f ca="1">IFERROR(__xludf.DUMMYFUNCTION("IFERROR(STDEV(QUERY(N_all,""SELECT U WHERE B=""&amp;$A5&amp;"" AND Q=FALSE AND R=FALSE"")))"),0)</f>
        <v>0</v>
      </c>
      <c r="G5" s="99">
        <f ca="1">IFERROR(__xludf.DUMMYFUNCTION("IFERROR(AVERAGE(QUERY(N_all,""SELECT U WHERE B=""&amp;$A5&amp;"" AND Q=FALSE AND R=FALSE AND U&gt;=""&amp;N_mean-2*N_sd&amp;"" AND U&lt;=""&amp;N_mean+2*N_sd)))"),18)</f>
        <v>18</v>
      </c>
      <c r="H5" s="98">
        <f ca="1">IFERROR(__xludf.DUMMYFUNCTION("IFERROR(STDEV(QUERY(N_all,""SELECT U WHERE B=""&amp;$A5&amp;"" AND Q=FALSE AND R=FALSE AND U&gt;=""&amp;N_mean-2*N_sd&amp;"" AND U&lt;=""&amp;N_mean+2*N_sd)))"),0)</f>
        <v>0</v>
      </c>
      <c r="I5" s="100">
        <f ca="1">IFERROR(__xludf.DUMMYFUNCTION("IFERROR(IF(ISBLANK(G5),,RANK.AVG(B5,QUERY(B$2:G$35,""SELECT B WHERE G IS NOT NULL""),TRUE)))"),4)</f>
        <v>4</v>
      </c>
      <c r="J5" s="100">
        <v>24</v>
      </c>
      <c r="K5" s="100">
        <f t="shared" ca="1" si="0"/>
        <v>400</v>
      </c>
      <c r="L5" s="101"/>
      <c r="M5" s="21" t="s">
        <v>528</v>
      </c>
      <c r="N5" s="103">
        <f ca="1">IFERROR(__xludf.DUMMYFUNCTION("STDEV(QUERY(N_all,""SELECT U WHERE Q=FALSE AND R=FALSE""))"),7.08567979215602)</f>
        <v>7.0856797921560197</v>
      </c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</row>
    <row r="6" spans="1:29" ht="15" customHeight="1">
      <c r="A6" s="96">
        <v>4</v>
      </c>
      <c r="B6" s="97">
        <f>VLOOKUP(A6,N!B:D,3,FALSE)</f>
        <v>2600</v>
      </c>
      <c r="C6" s="98">
        <f ca="1">IFERROR(__xludf.DUMMYFUNCTION("IFERROR(AVERAGE(QUERY(N_all,""SELECT U WHERE B=""&amp;$A6)))"),9)</f>
        <v>9</v>
      </c>
      <c r="D6" s="98">
        <f ca="1">IFERROR(__xludf.DUMMYFUNCTION("IFERROR(STDEV(QUERY(N_all,""SELECT U WHERE B=""&amp;$A6)))"),4.69041575982343)</f>
        <v>4.6904157598234297</v>
      </c>
      <c r="E6" s="98">
        <f ca="1">IFERROR(__xludf.DUMMYFUNCTION("IFERROR(AVERAGE(QUERY(N_all,""SELECT U WHERE B=""&amp;$A6&amp;"" AND Q=FALSE AND R=FALSE"")))"),11.5)</f>
        <v>11.5</v>
      </c>
      <c r="F6" s="98">
        <f ca="1">IFERROR(__xludf.DUMMYFUNCTION("IFERROR(STDEV(QUERY(N_all,""SELECT U WHERE B=""&amp;$A6&amp;"" AND Q=FALSE AND R=FALSE"")))"),0.707106781186547)</f>
        <v>0.70710678118654702</v>
      </c>
      <c r="G6" s="99">
        <f ca="1">IFERROR(__xludf.DUMMYFUNCTION("IFERROR(AVERAGE(QUERY(N_all,""SELECT U WHERE B=""&amp;$A6&amp;"" AND Q=FALSE AND R=FALSE AND U&gt;=""&amp;N_mean-2*N_sd&amp;"" AND U&lt;=""&amp;N_mean+2*N_sd)))"),11.5)</f>
        <v>11.5</v>
      </c>
      <c r="H6" s="98">
        <f ca="1">IFERROR(__xludf.DUMMYFUNCTION("IFERROR(STDEV(QUERY(N_all,""SELECT U WHERE B=""&amp;$A6&amp;"" AND Q=FALSE AND R=FALSE AND U&gt;=""&amp;N_mean-2*N_sd&amp;"" AND U&lt;=""&amp;N_mean+2*N_sd)))"),0.707106781186547)</f>
        <v>0.70710678118654702</v>
      </c>
      <c r="I6" s="100">
        <f ca="1">IFERROR(__xludf.DUMMYFUNCTION("IFERROR(IF(ISBLANK(G6),,RANK.AVG(B6,QUERY(B$2:G$35,""SELECT B WHERE G IS NOT NULL""),TRUE)))"),5)</f>
        <v>5</v>
      </c>
      <c r="J6" s="100">
        <v>8</v>
      </c>
      <c r="K6" s="100">
        <f t="shared" ca="1" si="0"/>
        <v>9</v>
      </c>
      <c r="L6" s="101"/>
      <c r="M6" s="21" t="s">
        <v>529</v>
      </c>
      <c r="N6" s="104">
        <f ca="1">N4+2*N5</f>
        <v>30.502004745602338</v>
      </c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</row>
    <row r="7" spans="1:29" ht="15" customHeight="1">
      <c r="A7" s="96">
        <v>5</v>
      </c>
      <c r="B7" s="97">
        <f>VLOOKUP(A7,N!B:D,3,FALSE)</f>
        <v>2800</v>
      </c>
      <c r="C7" s="98">
        <f ca="1">IFERROR(__xludf.DUMMYFUNCTION("IFERROR(AVERAGE(QUERY(N_all,""SELECT U WHERE B=""&amp;$A7)))"),17.75)</f>
        <v>17.75</v>
      </c>
      <c r="D7" s="98">
        <f ca="1">IFERROR(__xludf.DUMMYFUNCTION("IFERROR(STDEV(QUERY(N_all,""SELECT U WHERE B=""&amp;$A7)))"),5.43905629069357)</f>
        <v>5.4390562906935704</v>
      </c>
      <c r="E7" s="98">
        <f ca="1">IFERROR(__xludf.DUMMYFUNCTION("IFERROR(AVERAGE(QUERY(N_all,""SELECT U WHERE B=""&amp;$A7&amp;"" AND Q=FALSE AND R=FALSE"")))"),17.75)</f>
        <v>17.75</v>
      </c>
      <c r="F7" s="98">
        <f ca="1">IFERROR(__xludf.DUMMYFUNCTION("IFERROR(STDEV(QUERY(N_all,""SELECT U WHERE B=""&amp;$A7&amp;"" AND Q=FALSE AND R=FALSE"")))"),5.43905629069357)</f>
        <v>5.4390562906935704</v>
      </c>
      <c r="G7" s="99">
        <f ca="1">IFERROR(__xludf.DUMMYFUNCTION("IFERROR(AVERAGE(QUERY(N_all,""SELECT U WHERE B=""&amp;$A7&amp;"" AND Q=FALSE AND R=FALSE AND U&gt;=""&amp;N_mean-2*N_sd&amp;"" AND U&lt;=""&amp;N_mean+2*N_sd)))"),17.75)</f>
        <v>17.75</v>
      </c>
      <c r="H7" s="98">
        <f ca="1">IFERROR(__xludf.DUMMYFUNCTION("IFERROR(STDEV(QUERY(N_all,""SELECT U WHERE B=""&amp;$A7&amp;"" AND Q=FALSE AND R=FALSE AND U&gt;=""&amp;N_mean-2*N_sd&amp;"" AND U&lt;=""&amp;N_mean+2*N_sd)))"),5.43905629069357)</f>
        <v>5.4390562906935704</v>
      </c>
      <c r="I7" s="100">
        <f ca="1">IFERROR(__xludf.DUMMYFUNCTION("IFERROR(IF(ISBLANK(G7),,RANK.AVG(B7,QUERY(B$2:G$35,""SELECT B WHERE G IS NOT NULL""),TRUE)))"),6)</f>
        <v>6</v>
      </c>
      <c r="J7" s="100">
        <v>23</v>
      </c>
      <c r="K7" s="100">
        <f t="shared" ca="1" si="0"/>
        <v>289</v>
      </c>
      <c r="L7" s="101"/>
      <c r="M7" s="21" t="s">
        <v>530</v>
      </c>
      <c r="N7" s="104">
        <f ca="1">N4-2*N5</f>
        <v>2.1592855769782595</v>
      </c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</row>
    <row r="8" spans="1:29" ht="15" customHeight="1">
      <c r="A8" s="96">
        <v>6</v>
      </c>
      <c r="B8" s="97">
        <f>VLOOKUP(A8,N!B:D,3,FALSE)</f>
        <v>3000</v>
      </c>
      <c r="C8" s="98">
        <f ca="1">IFERROR(__xludf.DUMMYFUNCTION("IFERROR(AVERAGE(QUERY(N_all,""SELECT U WHERE B=""&amp;$A8)))"),15.25)</f>
        <v>15.25</v>
      </c>
      <c r="D8" s="98">
        <f ca="1">IFERROR(__xludf.DUMMYFUNCTION("IFERROR(STDEV(QUERY(N_all,""SELECT U WHERE B=""&amp;$A8)))"),6.8495741960115)</f>
        <v>6.8495741960115</v>
      </c>
      <c r="E8" s="98">
        <f ca="1">IFERROR(__xludf.DUMMYFUNCTION("IFERROR(AVERAGE(QUERY(N_all,""SELECT U WHERE B=""&amp;$A8&amp;"" AND Q=FALSE AND R=FALSE"")))"),15.25)</f>
        <v>15.25</v>
      </c>
      <c r="F8" s="98">
        <f ca="1">IFERROR(__xludf.DUMMYFUNCTION("IFERROR(STDEV(QUERY(N_all,""SELECT U WHERE B=""&amp;$A8&amp;"" AND Q=FALSE AND R=FALSE"")))"),6.8495741960115)</f>
        <v>6.8495741960115</v>
      </c>
      <c r="G8" s="99">
        <f ca="1">IFERROR(__xludf.DUMMYFUNCTION("IFERROR(AVERAGE(QUERY(N_all,""SELECT U WHERE B=""&amp;$A8&amp;"" AND Q=FALSE AND R=FALSE AND U&gt;=""&amp;N_mean-2*N_sd&amp;"" AND U&lt;=""&amp;N_mean+2*N_sd)))"),15.25)</f>
        <v>15.25</v>
      </c>
      <c r="H8" s="98">
        <f ca="1">IFERROR(__xludf.DUMMYFUNCTION("IFERROR(STDEV(QUERY(N_all,""SELECT U WHERE B=""&amp;$A8&amp;"" AND Q=FALSE AND R=FALSE AND U&gt;=""&amp;N_mean-2*N_sd&amp;"" AND U&lt;=""&amp;N_mean+2*N_sd)))"),6.8495741960115)</f>
        <v>6.8495741960115</v>
      </c>
      <c r="I8" s="100">
        <f ca="1">IFERROR(__xludf.DUMMYFUNCTION("IFERROR(IF(ISBLANK(G8),,RANK.AVG(B8,QUERY(B$2:G$35,""SELECT B WHERE G IS NOT NULL""),TRUE)))"),7)</f>
        <v>7</v>
      </c>
      <c r="J8" s="100">
        <v>19</v>
      </c>
      <c r="K8" s="100">
        <f t="shared" ca="1" si="0"/>
        <v>144</v>
      </c>
      <c r="L8" s="101"/>
      <c r="M8" s="21" t="s">
        <v>531</v>
      </c>
      <c r="N8" s="104">
        <f ca="1">IFERROR(__xludf.DUMMYFUNCTION("AVERAGE(QUERY(N_all,""SELECT U WHERE Q=FALSE AND R=FALSE AND U&gt;""&amp;N_mean-2*N_sd&amp;"" AND U&lt;""&amp;N_mean+2*N_sd))"),15.4745762711864)</f>
        <v>15.4745762711864</v>
      </c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</row>
    <row r="9" spans="1:29" ht="15" customHeight="1">
      <c r="A9" s="96">
        <v>7</v>
      </c>
      <c r="B9" s="97">
        <f>VLOOKUP(A9,N!B:D,3,FALSE)</f>
        <v>3200</v>
      </c>
      <c r="C9" s="98">
        <f ca="1">IFERROR(__xludf.DUMMYFUNCTION("IFERROR(AVERAGE(QUERY(N_all,""SELECT U WHERE B=""&amp;$A9)))"),15)</f>
        <v>15</v>
      </c>
      <c r="D9" s="98">
        <f ca="1">IFERROR(__xludf.DUMMYFUNCTION("IFERROR(STDEV(QUERY(N_all,""SELECT U WHERE B=""&amp;$A9)))"),3.46410161513775)</f>
        <v>3.4641016151377499</v>
      </c>
      <c r="E9" s="98">
        <f ca="1">IFERROR(__xludf.DUMMYFUNCTION("IFERROR(AVERAGE(QUERY(N_all,""SELECT U WHERE B=""&amp;$A9&amp;"" AND Q=FALSE AND R=FALSE"")))"),15)</f>
        <v>15</v>
      </c>
      <c r="F9" s="98">
        <f ca="1">IFERROR(__xludf.DUMMYFUNCTION("IFERROR(STDEV(QUERY(N_all,""SELECT U WHERE B=""&amp;$A9&amp;"" AND Q=FALSE AND R=FALSE"")))"),3.46410161513775)</f>
        <v>3.4641016151377499</v>
      </c>
      <c r="G9" s="99">
        <f ca="1">IFERROR(__xludf.DUMMYFUNCTION("IFERROR(AVERAGE(QUERY(N_all,""SELECT U WHERE B=""&amp;$A9&amp;"" AND Q=FALSE AND R=FALSE AND U&gt;=""&amp;N_mean-2*N_sd&amp;"" AND U&lt;=""&amp;N_mean+2*N_sd)))"),15)</f>
        <v>15</v>
      </c>
      <c r="H9" s="98">
        <f ca="1">IFERROR(__xludf.DUMMYFUNCTION("IFERROR(STDEV(QUERY(N_all,""SELECT U WHERE B=""&amp;$A9&amp;"" AND Q=FALSE AND R=FALSE AND U&gt;=""&amp;N_mean-2*N_sd&amp;"" AND U&lt;=""&amp;N_mean+2*N_sd)))"),3.46410161513775)</f>
        <v>3.4641016151377499</v>
      </c>
      <c r="I9" s="100">
        <f ca="1">IFERROR(__xludf.DUMMYFUNCTION("IFERROR(IF(ISBLANK(G9),,RANK.AVG(B9,QUERY(B$2:G$35,""SELECT B WHERE G IS NOT NULL""),TRUE)))"),8)</f>
        <v>8</v>
      </c>
      <c r="J9" s="100">
        <v>18</v>
      </c>
      <c r="K9" s="100">
        <f t="shared" ca="1" si="0"/>
        <v>100</v>
      </c>
      <c r="L9" s="101"/>
      <c r="M9" s="21" t="s">
        <v>532</v>
      </c>
      <c r="N9" s="104">
        <f ca="1">IFERROR(__xludf.DUMMYFUNCTION("STDEV(QUERY(N_all,""SELECT U WHERE Q=FALSE AND R=FALSE AND U&gt;""&amp;N_mean-2*N_sd&amp;"" AND U&lt;""&amp;N_mean+2*N_sd))"),6.11109662463877)</f>
        <v>6.1110966246387699</v>
      </c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</row>
    <row r="10" spans="1:29" ht="15" customHeight="1">
      <c r="A10" s="96">
        <v>8</v>
      </c>
      <c r="B10" s="97">
        <f>VLOOKUP(A10,N!B:D,3,FALSE)</f>
        <v>3400</v>
      </c>
      <c r="C10" s="98">
        <f ca="1">IFERROR(__xludf.DUMMYFUNCTION("IFERROR(AVERAGE(QUERY(N_all,""SELECT U WHERE B=""&amp;$A10)))"),12.25)</f>
        <v>12.25</v>
      </c>
      <c r="D10" s="98">
        <f ca="1">IFERROR(__xludf.DUMMYFUNCTION("IFERROR(STDEV(QUERY(N_all,""SELECT U WHERE B=""&amp;$A10)))"),7.41057802513857)</f>
        <v>7.4105780251385696</v>
      </c>
      <c r="E10" s="98">
        <f ca="1">IFERROR(__xludf.DUMMYFUNCTION("IFERROR(AVERAGE(QUERY(N_all,""SELECT U WHERE B=""&amp;$A10&amp;"" AND Q=FALSE AND R=FALSE"")))"),14)</f>
        <v>14</v>
      </c>
      <c r="F10" s="98">
        <f ca="1">IFERROR(__xludf.DUMMYFUNCTION("IFERROR(STDEV(QUERY(N_all,""SELECT U WHERE B=""&amp;$A10&amp;"" AND Q=FALSE AND R=FALSE"")))"),2.82842712474619)</f>
        <v>2.8284271247461898</v>
      </c>
      <c r="G10" s="99">
        <f ca="1">IFERROR(__xludf.DUMMYFUNCTION("IFERROR(AVERAGE(QUERY(N_all,""SELECT U WHERE B=""&amp;$A10&amp;"" AND Q=FALSE AND R=FALSE AND U&gt;=""&amp;N_mean-2*N_sd&amp;"" AND U&lt;=""&amp;N_mean+2*N_sd)))"),14)</f>
        <v>14</v>
      </c>
      <c r="H10" s="98">
        <f ca="1">IFERROR(__xludf.DUMMYFUNCTION("IFERROR(STDEV(QUERY(N_all,""SELECT U WHERE B=""&amp;$A10&amp;"" AND Q=FALSE AND R=FALSE AND U&gt;=""&amp;N_mean-2*N_sd&amp;"" AND U&lt;=""&amp;N_mean+2*N_sd)))"),2.82842712474619)</f>
        <v>2.8284271247461898</v>
      </c>
      <c r="I10" s="100">
        <f ca="1">IFERROR(__xludf.DUMMYFUNCTION("IFERROR(IF(ISBLANK(G10),,RANK.AVG(B10,QUERY(B$2:G$35,""SELECT B WHERE G IS NOT NULL""),TRUE)))"),9)</f>
        <v>9</v>
      </c>
      <c r="J10" s="100">
        <v>15</v>
      </c>
      <c r="K10" s="100">
        <f t="shared" ca="1" si="0"/>
        <v>36</v>
      </c>
      <c r="L10" s="101"/>
      <c r="M10" s="105" t="s">
        <v>533</v>
      </c>
      <c r="N10" s="106">
        <f ca="1">COUNT(N_d2)</f>
        <v>34</v>
      </c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</row>
    <row r="11" spans="1:29" ht="15" customHeight="1">
      <c r="A11" s="96">
        <v>9</v>
      </c>
      <c r="B11" s="97">
        <f>VLOOKUP(A11,N!B:D,3,FALSE)</f>
        <v>3600</v>
      </c>
      <c r="C11" s="98">
        <f ca="1">IFERROR(__xludf.DUMMYFUNCTION("IFERROR(AVERAGE(QUERY(N_all,""SELECT U WHERE B=""&amp;$A11)))"),19.25)</f>
        <v>19.25</v>
      </c>
      <c r="D11" s="98">
        <f ca="1">IFERROR(__xludf.DUMMYFUNCTION("IFERROR(STDEV(QUERY(N_all,""SELECT U WHERE B=""&amp;$A11)))"),5.5)</f>
        <v>5.5</v>
      </c>
      <c r="E11" s="98">
        <f ca="1">IFERROR(__xludf.DUMMYFUNCTION("IFERROR(AVERAGE(QUERY(N_all,""SELECT U WHERE B=""&amp;$A11&amp;"" AND Q=FALSE AND R=FALSE"")))"),19.25)</f>
        <v>19.25</v>
      </c>
      <c r="F11" s="98">
        <f ca="1">IFERROR(__xludf.DUMMYFUNCTION("IFERROR(STDEV(QUERY(N_all,""SELECT U WHERE B=""&amp;$A11&amp;"" AND Q=FALSE AND R=FALSE"")))"),5.5)</f>
        <v>5.5</v>
      </c>
      <c r="G11" s="99">
        <f ca="1">IFERROR(__xludf.DUMMYFUNCTION("IFERROR(AVERAGE(QUERY(N_all,""SELECT U WHERE B=""&amp;$A11&amp;"" AND Q=FALSE AND R=FALSE AND U&gt;=""&amp;N_mean-2*N_sd&amp;"" AND U&lt;=""&amp;N_mean+2*N_sd)))"),19.25)</f>
        <v>19.25</v>
      </c>
      <c r="H11" s="98">
        <f ca="1">IFERROR(__xludf.DUMMYFUNCTION("IFERROR(STDEV(QUERY(N_all,""SELECT U WHERE B=""&amp;$A11&amp;"" AND Q=FALSE AND R=FALSE AND U&gt;=""&amp;N_mean-2*N_sd&amp;"" AND U&lt;=""&amp;N_mean+2*N_sd)))"),5.5)</f>
        <v>5.5</v>
      </c>
      <c r="I11" s="100">
        <f ca="1">IFERROR(__xludf.DUMMYFUNCTION("IFERROR(IF(ISBLANK(G11),,RANK.AVG(B11,QUERY(B$2:G$35,""SELECT B WHERE G IS NOT NULL""),TRUE)))"),10)</f>
        <v>10</v>
      </c>
      <c r="J11" s="100">
        <v>28</v>
      </c>
      <c r="K11" s="100">
        <f t="shared" ca="1" si="0"/>
        <v>324</v>
      </c>
      <c r="L11" s="101"/>
      <c r="M11" s="21" t="s">
        <v>534</v>
      </c>
      <c r="N11" s="107">
        <f ca="1">1-(6*SUM(N_d2)/(N10^3-N10))</f>
        <v>-0.45660809778456835</v>
      </c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</row>
    <row r="12" spans="1:29" ht="15" customHeight="1">
      <c r="A12" s="96">
        <v>10</v>
      </c>
      <c r="B12" s="97">
        <f>VLOOKUP(A12,N!B:D,3,FALSE)</f>
        <v>3800</v>
      </c>
      <c r="C12" s="98">
        <f ca="1">IFERROR(__xludf.DUMMYFUNCTION("IFERROR(AVERAGE(QUERY(N_all,""SELECT U WHERE B=""&amp;$A12)))"),16)</f>
        <v>16</v>
      </c>
      <c r="D12" s="98">
        <f ca="1">IFERROR(__xludf.DUMMYFUNCTION("IFERROR(STDEV(QUERY(N_all,""SELECT U WHERE B=""&amp;$A12)))"),4.24264068711928)</f>
        <v>4.2426406871192803</v>
      </c>
      <c r="E12" s="98">
        <f ca="1">IFERROR(__xludf.DUMMYFUNCTION("IFERROR(AVERAGE(QUERY(N_all,""SELECT U WHERE B=""&amp;$A12&amp;"" AND Q=FALSE AND R=FALSE"")))"),16)</f>
        <v>16</v>
      </c>
      <c r="F12" s="98">
        <f ca="1">IFERROR(__xludf.DUMMYFUNCTION("IFERROR(STDEV(QUERY(N_all,""SELECT U WHERE B=""&amp;$A12&amp;"" AND Q=FALSE AND R=FALSE"")))"),4.24264068711928)</f>
        <v>4.2426406871192803</v>
      </c>
      <c r="G12" s="99">
        <f ca="1">IFERROR(__xludf.DUMMYFUNCTION("IFERROR(AVERAGE(QUERY(N_all,""SELECT U WHERE B=""&amp;$A12&amp;"" AND Q=FALSE AND R=FALSE AND U&gt;=""&amp;N_mean-2*N_sd&amp;"" AND U&lt;=""&amp;N_mean+2*N_sd)))"),16)</f>
        <v>16</v>
      </c>
      <c r="H12" s="98">
        <f ca="1">IFERROR(__xludf.DUMMYFUNCTION("IFERROR(STDEV(QUERY(N_all,""SELECT U WHERE B=""&amp;$A12&amp;"" AND Q=FALSE AND R=FALSE AND U&gt;=""&amp;N_mean-2*N_sd&amp;"" AND U&lt;=""&amp;N_mean+2*N_sd)))"),4.24264068711928)</f>
        <v>4.2426406871192803</v>
      </c>
      <c r="I12" s="100">
        <f ca="1">IFERROR(__xludf.DUMMYFUNCTION("IFERROR(IF(ISBLANK(G12),,RANK.AVG(B12,QUERY(B$2:G$35,""SELECT B WHERE G IS NOT NULL""),TRUE)))"),11)</f>
        <v>11</v>
      </c>
      <c r="J12" s="100">
        <v>20.5</v>
      </c>
      <c r="K12" s="100">
        <f t="shared" ca="1" si="0"/>
        <v>90.25</v>
      </c>
      <c r="L12" s="101"/>
      <c r="M12" s="21" t="s">
        <v>315</v>
      </c>
      <c r="N12" s="107">
        <f ca="1">SQRT(N11^2*(N10-2)/(1-N11^2))</f>
        <v>2.9032915985906866</v>
      </c>
      <c r="O12" s="108"/>
      <c r="P12" s="109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</row>
    <row r="13" spans="1:29" ht="13">
      <c r="A13" s="96">
        <v>11</v>
      </c>
      <c r="B13" s="97">
        <f>VLOOKUP(A13,N!B:D,3,FALSE)</f>
        <v>4000</v>
      </c>
      <c r="C13" s="98">
        <f ca="1">IFERROR(__xludf.DUMMYFUNCTION("IFERROR(AVERAGE(QUERY(N_all,""SELECT U WHERE B=""&amp;$A13)))"),22.25)</f>
        <v>22.25</v>
      </c>
      <c r="D13" s="98">
        <f ca="1">IFERROR(__xludf.DUMMYFUNCTION("IFERROR(STDEV(QUERY(N_all,""SELECT U WHERE B=""&amp;$A13)))"),2.3629078131263)</f>
        <v>2.3629078131262999</v>
      </c>
      <c r="E13" s="98">
        <f ca="1">IFERROR(__xludf.DUMMYFUNCTION("IFERROR(AVERAGE(QUERY(N_all,""SELECT U WHERE B=""&amp;$A13&amp;"" AND Q=FALSE AND R=FALSE"")))"),22.25)</f>
        <v>22.25</v>
      </c>
      <c r="F13" s="98">
        <f ca="1">IFERROR(__xludf.DUMMYFUNCTION("IFERROR(STDEV(QUERY(N_all,""SELECT U WHERE B=""&amp;$A13&amp;"" AND Q=FALSE AND R=FALSE"")))"),2.3629078131263)</f>
        <v>2.3629078131262999</v>
      </c>
      <c r="G13" s="99">
        <f ca="1">IFERROR(__xludf.DUMMYFUNCTION("IFERROR(AVERAGE(QUERY(N_all,""SELECT U WHERE B=""&amp;$A13&amp;"" AND Q=FALSE AND R=FALSE AND U&gt;=""&amp;N_mean-2*N_sd&amp;"" AND U&lt;=""&amp;N_mean+2*N_sd)))"),22.25)</f>
        <v>22.25</v>
      </c>
      <c r="H13" s="98">
        <f ca="1">IFERROR(__xludf.DUMMYFUNCTION("IFERROR(STDEV(QUERY(N_all,""SELECT U WHERE B=""&amp;$A13&amp;"" AND Q=FALSE AND R=FALSE AND U&gt;=""&amp;N_mean-2*N_sd&amp;"" AND U&lt;=""&amp;N_mean+2*N_sd)))"),2.3629078131263)</f>
        <v>2.3629078131262999</v>
      </c>
      <c r="I13" s="100">
        <f ca="1">IFERROR(__xludf.DUMMYFUNCTION("IFERROR(IF(ISBLANK(G13),,RANK.AVG(B13,QUERY(B$2:G$35,""SELECT B WHERE G IS NOT NULL""),TRUE)))"),12)</f>
        <v>12</v>
      </c>
      <c r="J13" s="100">
        <v>30</v>
      </c>
      <c r="K13" s="100">
        <f t="shared" ca="1" si="0"/>
        <v>324</v>
      </c>
      <c r="L13" s="101"/>
      <c r="M13" s="110" t="s">
        <v>535</v>
      </c>
      <c r="N13" s="111">
        <f ca="1">_xlfn.T.INV.2T(0.05,N10-2)</f>
        <v>2.0369333434601011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</row>
    <row r="14" spans="1:29" ht="13">
      <c r="A14" s="96">
        <v>12</v>
      </c>
      <c r="B14" s="97">
        <f>VLOOKUP(A14,N!B:D,3,FALSE)</f>
        <v>4200</v>
      </c>
      <c r="C14" s="98">
        <f ca="1">IFERROR(__xludf.DUMMYFUNCTION("IFERROR(AVERAGE(QUERY(N_all,""SELECT U WHERE B=""&amp;$A14)))"),24.25)</f>
        <v>24.25</v>
      </c>
      <c r="D14" s="98">
        <f ca="1">IFERROR(__xludf.DUMMYFUNCTION("IFERROR(STDEV(QUERY(N_all,""SELECT U WHERE B=""&amp;$A14)))"),3.30403793359983)</f>
        <v>3.30403793359983</v>
      </c>
      <c r="E14" s="98">
        <f ca="1">IFERROR(__xludf.DUMMYFUNCTION("IFERROR(AVERAGE(QUERY(N_all,""SELECT U WHERE B=""&amp;$A14&amp;"" AND Q=FALSE AND R=FALSE"")))"),24.25)</f>
        <v>24.25</v>
      </c>
      <c r="F14" s="98">
        <f ca="1">IFERROR(__xludf.DUMMYFUNCTION("IFERROR(STDEV(QUERY(N_all,""SELECT U WHERE B=""&amp;$A14&amp;"" AND Q=FALSE AND R=FALSE"")))"),3.30403793359983)</f>
        <v>3.30403793359983</v>
      </c>
      <c r="G14" s="99">
        <f ca="1">IFERROR(__xludf.DUMMYFUNCTION("IFERROR(AVERAGE(QUERY(N_all,""SELECT U WHERE B=""&amp;$A14&amp;"" AND Q=FALSE AND R=FALSE AND U&gt;=""&amp;N_mean-2*N_sd&amp;"" AND U&lt;=""&amp;N_mean+2*N_sd)))"),24.25)</f>
        <v>24.25</v>
      </c>
      <c r="H14" s="98">
        <f ca="1">IFERROR(__xludf.DUMMYFUNCTION("IFERROR(STDEV(QUERY(N_all,""SELECT U WHERE B=""&amp;$A14&amp;"" AND Q=FALSE AND R=FALSE AND U&gt;=""&amp;N_mean-2*N_sd&amp;"" AND U&lt;=""&amp;N_mean+2*N_sd)))"),3.30403793359983)</f>
        <v>3.30403793359983</v>
      </c>
      <c r="I14" s="100">
        <f ca="1">IFERROR(__xludf.DUMMYFUNCTION("IFERROR(IF(ISBLANK(G14),,RANK.AVG(B14,QUERY(B$2:G$35,""SELECT B WHERE G IS NOT NULL""),TRUE)))"),13)</f>
        <v>13</v>
      </c>
      <c r="J14" s="100">
        <v>33</v>
      </c>
      <c r="K14" s="100">
        <f t="shared" ca="1" si="0"/>
        <v>400</v>
      </c>
      <c r="L14" s="101"/>
      <c r="M14" s="21" t="s">
        <v>91</v>
      </c>
      <c r="N14" s="112" t="b">
        <f ca="1">N12&gt;N13</f>
        <v>1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</row>
    <row r="15" spans="1:29" ht="13">
      <c r="A15" s="96">
        <v>13</v>
      </c>
      <c r="B15" s="97">
        <f>VLOOKUP(A15,N!B:D,3,FALSE)</f>
        <v>4400</v>
      </c>
      <c r="C15" s="98">
        <f ca="1">IFERROR(__xludf.DUMMYFUNCTION("IFERROR(AVERAGE(QUERY(N_all,""SELECT U WHERE B=""&amp;$A15)))"),18.75)</f>
        <v>18.75</v>
      </c>
      <c r="D15" s="98">
        <f ca="1">IFERROR(__xludf.DUMMYFUNCTION("IFERROR(STDEV(QUERY(N_all,""SELECT U WHERE B=""&amp;$A15)))"),4.85626742811115)</f>
        <v>4.85626742811115</v>
      </c>
      <c r="E15" s="98">
        <f ca="1">IFERROR(__xludf.DUMMYFUNCTION("IFERROR(AVERAGE(QUERY(N_all,""SELECT U WHERE B=""&amp;$A15&amp;"" AND Q=FALSE AND R=FALSE"")))"),18.75)</f>
        <v>18.75</v>
      </c>
      <c r="F15" s="98">
        <f ca="1">IFERROR(__xludf.DUMMYFUNCTION("IFERROR(STDEV(QUERY(N_all,""SELECT U WHERE B=""&amp;$A15&amp;"" AND Q=FALSE AND R=FALSE"")))"),4.85626742811115)</f>
        <v>4.85626742811115</v>
      </c>
      <c r="G15" s="99">
        <f ca="1">IFERROR(__xludf.DUMMYFUNCTION("IFERROR(AVERAGE(QUERY(N_all,""SELECT U WHERE B=""&amp;$A15&amp;"" AND Q=FALSE AND R=FALSE AND U&gt;=""&amp;N_mean-2*N_sd&amp;"" AND U&lt;=""&amp;N_mean+2*N_sd)))"),18.75)</f>
        <v>18.75</v>
      </c>
      <c r="H15" s="98">
        <f ca="1">IFERROR(__xludf.DUMMYFUNCTION("IFERROR(STDEV(QUERY(N_all,""SELECT U WHERE B=""&amp;$A15&amp;"" AND Q=FALSE AND R=FALSE AND U&gt;=""&amp;N_mean-2*N_sd&amp;"" AND U&lt;=""&amp;N_mean+2*N_sd)))"),4.85626742811115)</f>
        <v>4.85626742811115</v>
      </c>
      <c r="I15" s="100">
        <f ca="1">IFERROR(__xludf.DUMMYFUNCTION("IFERROR(IF(ISBLANK(G15),,RANK.AVG(B15,QUERY(B$2:G$35,""SELECT B WHERE G IS NOT NULL""),TRUE)))"),14)</f>
        <v>14</v>
      </c>
      <c r="J15" s="100">
        <v>26</v>
      </c>
      <c r="K15" s="100">
        <f t="shared" ca="1" si="0"/>
        <v>144</v>
      </c>
      <c r="L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</row>
    <row r="16" spans="1:29" ht="13">
      <c r="A16" s="96">
        <v>14</v>
      </c>
      <c r="B16" s="97">
        <f>VLOOKUP(A16,N!B:D,3,FALSE)</f>
        <v>4600</v>
      </c>
      <c r="C16" s="98">
        <f ca="1">IFERROR(__xludf.DUMMYFUNCTION("IFERROR(AVERAGE(QUERY(N_all,""SELECT U WHERE B=""&amp;$A16)))"),23)</f>
        <v>23</v>
      </c>
      <c r="D16" s="98">
        <f ca="1">IFERROR(__xludf.DUMMYFUNCTION("IFERROR(STDEV(QUERY(N_all,""SELECT U WHERE B=""&amp;$A16)))"),2.44948974278317)</f>
        <v>2.4494897427831699</v>
      </c>
      <c r="E16" s="98">
        <f ca="1">IFERROR(__xludf.DUMMYFUNCTION("IFERROR(AVERAGE(QUERY(N_all,""SELECT U WHERE B=""&amp;$A16&amp;"" AND Q=FALSE AND R=FALSE"")))"),23)</f>
        <v>23</v>
      </c>
      <c r="F16" s="98">
        <f ca="1">IFERROR(__xludf.DUMMYFUNCTION("IFERROR(STDEV(QUERY(N_all,""SELECT U WHERE B=""&amp;$A16&amp;"" AND Q=FALSE AND R=FALSE"")))"),2.44948974278317)</f>
        <v>2.4494897427831699</v>
      </c>
      <c r="G16" s="99">
        <f ca="1">IFERROR(__xludf.DUMMYFUNCTION("IFERROR(AVERAGE(QUERY(N_all,""SELECT U WHERE B=""&amp;$A16&amp;"" AND Q=FALSE AND R=FALSE AND U&gt;=""&amp;N_mean-2*N_sd&amp;"" AND U&lt;=""&amp;N_mean+2*N_sd)))"),23)</f>
        <v>23</v>
      </c>
      <c r="H16" s="98">
        <f ca="1">IFERROR(__xludf.DUMMYFUNCTION("IFERROR(STDEV(QUERY(N_all,""SELECT U WHERE B=""&amp;$A16&amp;"" AND Q=FALSE AND R=FALSE AND U&gt;=""&amp;N_mean-2*N_sd&amp;"" AND U&lt;=""&amp;N_mean+2*N_sd)))"),2.44948974278317)</f>
        <v>2.4494897427831699</v>
      </c>
      <c r="I16" s="100">
        <f ca="1">IFERROR(__xludf.DUMMYFUNCTION("IFERROR(IF(ISBLANK(G16),,RANK.AVG(B16,QUERY(B$2:G$35,""SELECT B WHERE G IS NOT NULL""),TRUE)))"),15)</f>
        <v>15</v>
      </c>
      <c r="J16" s="100">
        <v>31</v>
      </c>
      <c r="K16" s="100">
        <f t="shared" ca="1" si="0"/>
        <v>256</v>
      </c>
      <c r="L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</row>
    <row r="17" spans="1:29" ht="13">
      <c r="A17" s="96">
        <v>15</v>
      </c>
      <c r="B17" s="97">
        <f>VLOOKUP(A17,N!B:D,3,FALSE)</f>
        <v>4800</v>
      </c>
      <c r="C17" s="98">
        <f ca="1">IFERROR(__xludf.DUMMYFUNCTION("IFERROR(AVERAGE(QUERY(N_all,""SELECT U WHERE B=""&amp;$A17)))"),18.5)</f>
        <v>18.5</v>
      </c>
      <c r="D17" s="98">
        <f ca="1">IFERROR(__xludf.DUMMYFUNCTION("IFERROR(STDEV(QUERY(N_all,""SELECT U WHERE B=""&amp;$A17)))"),4.43471156521669)</f>
        <v>4.4347115652166904</v>
      </c>
      <c r="E17" s="98">
        <f ca="1">IFERROR(__xludf.DUMMYFUNCTION("IFERROR(AVERAGE(QUERY(N_all,""SELECT U WHERE B=""&amp;$A17&amp;"" AND Q=FALSE AND R=FALSE"")))"),18.5)</f>
        <v>18.5</v>
      </c>
      <c r="F17" s="98">
        <f ca="1">IFERROR(__xludf.DUMMYFUNCTION("IFERROR(STDEV(QUERY(N_all,""SELECT U WHERE B=""&amp;$A17&amp;"" AND Q=FALSE AND R=FALSE"")))"),4.43471156521669)</f>
        <v>4.4347115652166904</v>
      </c>
      <c r="G17" s="99">
        <f ca="1">IFERROR(__xludf.DUMMYFUNCTION("IFERROR(AVERAGE(QUERY(N_all,""SELECT U WHERE B=""&amp;$A17&amp;"" AND Q=FALSE AND R=FALSE AND U&gt;=""&amp;N_mean-2*N_sd&amp;"" AND U&lt;=""&amp;N_mean+2*N_sd)))"),18.5)</f>
        <v>18.5</v>
      </c>
      <c r="H17" s="98">
        <f ca="1">IFERROR(__xludf.DUMMYFUNCTION("IFERROR(STDEV(QUERY(N_all,""SELECT U WHERE B=""&amp;$A17&amp;"" AND Q=FALSE AND R=FALSE AND U&gt;=""&amp;N_mean-2*N_sd&amp;"" AND U&lt;=""&amp;N_mean+2*N_sd)))"),4.43471156521669)</f>
        <v>4.4347115652166904</v>
      </c>
      <c r="I17" s="100">
        <f ca="1">IFERROR(__xludf.DUMMYFUNCTION("IFERROR(IF(ISBLANK(G17),,RANK.AVG(B17,QUERY(B$2:G$35,""SELECT B WHERE G IS NOT NULL""),TRUE)))"),16)</f>
        <v>16</v>
      </c>
      <c r="J17" s="100">
        <v>25</v>
      </c>
      <c r="K17" s="100">
        <f t="shared" ca="1" si="0"/>
        <v>81</v>
      </c>
      <c r="L17" s="101"/>
      <c r="N17" s="113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</row>
    <row r="18" spans="1:29" ht="13">
      <c r="A18" s="96">
        <v>16</v>
      </c>
      <c r="B18" s="97">
        <f>VLOOKUP(A18,N!B:D,3,FALSE)</f>
        <v>5000</v>
      </c>
      <c r="C18" s="98">
        <f ca="1">IFERROR(__xludf.DUMMYFUNCTION("IFERROR(AVERAGE(QUERY(N_all,""SELECT U WHERE B=""&amp;$A18)))"),16.75)</f>
        <v>16.75</v>
      </c>
      <c r="D18" s="98">
        <f ca="1">IFERROR(__xludf.DUMMYFUNCTION("IFERROR(STDEV(QUERY(N_all,""SELECT U WHERE B=""&amp;$A18)))"),7.80491298264539)</f>
        <v>7.8049129826453898</v>
      </c>
      <c r="E18" s="98">
        <f ca="1">IFERROR(__xludf.DUMMYFUNCTION("IFERROR(AVERAGE(QUERY(N_all,""SELECT U WHERE B=""&amp;$A18&amp;"" AND Q=FALSE AND R=FALSE"")))"),19)</f>
        <v>19</v>
      </c>
      <c r="F18" s="98">
        <f ca="1">IFERROR(__xludf.DUMMYFUNCTION("IFERROR(STDEV(QUERY(N_all,""SELECT U WHERE B=""&amp;$A18&amp;"" AND Q=FALSE AND R=FALSE"")))"),7.81024967590665)</f>
        <v>7.8102496759066504</v>
      </c>
      <c r="G18" s="99">
        <f ca="1">IFERROR(__xludf.DUMMYFUNCTION("IFERROR(AVERAGE(QUERY(N_all,""SELECT U WHERE B=""&amp;$A18&amp;"" AND Q=FALSE AND R=FALSE AND U&gt;=""&amp;N_mean-2*N_sd&amp;"" AND U&lt;=""&amp;N_mean+2*N_sd)))"),19)</f>
        <v>19</v>
      </c>
      <c r="H18" s="98">
        <f ca="1">IFERROR(__xludf.DUMMYFUNCTION("IFERROR(STDEV(QUERY(N_all,""SELECT U WHERE B=""&amp;$A18&amp;"" AND Q=FALSE AND R=FALSE AND U&gt;=""&amp;N_mean-2*N_sd&amp;"" AND U&lt;=""&amp;N_mean+2*N_sd)))"),7.81024967590665)</f>
        <v>7.8102496759066504</v>
      </c>
      <c r="I18" s="100">
        <f ca="1">IFERROR(__xludf.DUMMYFUNCTION("IFERROR(IF(ISBLANK(G18),,RANK.AVG(B18,QUERY(B$2:G$35,""SELECT B WHERE G IS NOT NULL""),TRUE)))"),17)</f>
        <v>17</v>
      </c>
      <c r="J18" s="100">
        <v>27</v>
      </c>
      <c r="K18" s="100">
        <f t="shared" ca="1" si="0"/>
        <v>100</v>
      </c>
      <c r="L18" s="101"/>
      <c r="N18" s="113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</row>
    <row r="19" spans="1:29" ht="13">
      <c r="A19" s="96">
        <v>17</v>
      </c>
      <c r="B19" s="97">
        <f>VLOOKUP(A19,N!B:D,3,FALSE)</f>
        <v>5200</v>
      </c>
      <c r="C19" s="98">
        <f ca="1">IFERROR(__xludf.DUMMYFUNCTION("IFERROR(AVERAGE(QUERY(N_all,""SELECT U WHERE B=""&amp;$A19)))"),16.25)</f>
        <v>16.25</v>
      </c>
      <c r="D19" s="98">
        <f ca="1">IFERROR(__xludf.DUMMYFUNCTION("IFERROR(STDEV(QUERY(N_all,""SELECT U WHERE B=""&amp;$A19)))"),4.57347424467074)</f>
        <v>4.5734742446707397</v>
      </c>
      <c r="E19" s="98">
        <f ca="1">IFERROR(__xludf.DUMMYFUNCTION("IFERROR(AVERAGE(QUERY(N_all,""SELECT U WHERE B=""&amp;$A19&amp;"" AND Q=FALSE AND R=FALSE"")))"),16.25)</f>
        <v>16.25</v>
      </c>
      <c r="F19" s="98">
        <f ca="1">IFERROR(__xludf.DUMMYFUNCTION("IFERROR(STDEV(QUERY(N_all,""SELECT U WHERE B=""&amp;$A19&amp;"" AND Q=FALSE AND R=FALSE"")))"),4.57347424467074)</f>
        <v>4.5734742446707397</v>
      </c>
      <c r="G19" s="99">
        <f ca="1">IFERROR(__xludf.DUMMYFUNCTION("IFERROR(AVERAGE(QUERY(N_all,""SELECT U WHERE B=""&amp;$A19&amp;"" AND Q=FALSE AND R=FALSE AND U&gt;=""&amp;N_mean-2*N_sd&amp;"" AND U&lt;=""&amp;N_mean+2*N_sd)))"),16.25)</f>
        <v>16.25</v>
      </c>
      <c r="H19" s="98">
        <f ca="1">IFERROR(__xludf.DUMMYFUNCTION("IFERROR(STDEV(QUERY(N_all,""SELECT U WHERE B=""&amp;$A19&amp;"" AND Q=FALSE AND R=FALSE AND U&gt;=""&amp;N_mean-2*N_sd&amp;"" AND U&lt;=""&amp;N_mean+2*N_sd)))"),4.57347424467074)</f>
        <v>4.5734742446707397</v>
      </c>
      <c r="I19" s="100">
        <f ca="1">IFERROR(__xludf.DUMMYFUNCTION("IFERROR(IF(ISBLANK(G19),,RANK.AVG(B19,QUERY(B$2:G$35,""SELECT B WHERE G IS NOT NULL""),TRUE)))"),18)</f>
        <v>18</v>
      </c>
      <c r="J19" s="100">
        <v>22</v>
      </c>
      <c r="K19" s="100">
        <f t="shared" ca="1" si="0"/>
        <v>16</v>
      </c>
      <c r="L19" s="101"/>
      <c r="N19" s="113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</row>
    <row r="20" spans="1:29" ht="13">
      <c r="A20" s="96">
        <v>18</v>
      </c>
      <c r="B20" s="97">
        <f>VLOOKUP(A20,N!B:D,3,FALSE)</f>
        <v>5400</v>
      </c>
      <c r="C20" s="98">
        <f ca="1">IFERROR(__xludf.DUMMYFUNCTION("IFERROR(AVERAGE(QUERY(N_all,""SELECT U WHERE B=""&amp;$A20)))"),19)</f>
        <v>19</v>
      </c>
      <c r="D20" s="98">
        <f ca="1">IFERROR(__xludf.DUMMYFUNCTION("IFERROR(STDEV(QUERY(N_all,""SELECT U WHERE B=""&amp;$A20)))"),10.1324561023804)</f>
        <v>10.132456102380401</v>
      </c>
      <c r="E20" s="98">
        <f ca="1">IFERROR(__xludf.DUMMYFUNCTION("IFERROR(AVERAGE(QUERY(N_all,""SELECT U WHERE B=""&amp;$A20&amp;"" AND Q=FALSE AND R=FALSE"")))"),19)</f>
        <v>19</v>
      </c>
      <c r="F20" s="98">
        <f ca="1">IFERROR(__xludf.DUMMYFUNCTION("IFERROR(STDEV(QUERY(N_all,""SELECT U WHERE B=""&amp;$A20&amp;"" AND Q=FALSE AND R=FALSE"")))"),10.1324561023804)</f>
        <v>10.132456102380401</v>
      </c>
      <c r="G20" s="99">
        <f ca="1">IFERROR(__xludf.DUMMYFUNCTION("IFERROR(AVERAGE(QUERY(N_all,""SELECT U WHERE B=""&amp;$A20&amp;"" AND Q=FALSE AND R=FALSE AND U&gt;=""&amp;N_mean-2*N_sd&amp;"" AND U&lt;=""&amp;N_mean+2*N_sd)))"),14)</f>
        <v>14</v>
      </c>
      <c r="H20" s="98">
        <f ca="1">IFERROR(__xludf.DUMMYFUNCTION("IFERROR(STDEV(QUERY(N_all,""SELECT U WHERE B=""&amp;$A20&amp;"" AND Q=FALSE AND R=FALSE AND U&gt;=""&amp;N_mean-2*N_sd&amp;"" AND U&lt;=""&amp;N_mean+2*N_sd)))"),2)</f>
        <v>2</v>
      </c>
      <c r="I20" s="100">
        <f ca="1">IFERROR(__xludf.DUMMYFUNCTION("IFERROR(IF(ISBLANK(G20),,RANK.AVG(B20,QUERY(B$2:G$35,""SELECT B WHERE G IS NOT NULL""),TRUE)))"),19)</f>
        <v>19</v>
      </c>
      <c r="J20" s="100">
        <v>15</v>
      </c>
      <c r="K20" s="100">
        <f t="shared" ca="1" si="0"/>
        <v>16</v>
      </c>
      <c r="L20" s="101"/>
      <c r="M20" s="101"/>
      <c r="N20" s="112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</row>
    <row r="21" spans="1:29" ht="13">
      <c r="A21" s="96">
        <v>19</v>
      </c>
      <c r="B21" s="97">
        <f>VLOOKUP(A21,N!B:D,3,FALSE)</f>
        <v>5600</v>
      </c>
      <c r="C21" s="98">
        <f ca="1">IFERROR(__xludf.DUMMYFUNCTION("IFERROR(AVERAGE(QUERY(N_all,""SELECT U WHERE B=""&amp;$A21)))"),13.25)</f>
        <v>13.25</v>
      </c>
      <c r="D21" s="98">
        <f ca="1">IFERROR(__xludf.DUMMYFUNCTION("IFERROR(STDEV(QUERY(N_all,""SELECT U WHERE B=""&amp;$A21)))"),6.34428877022475)</f>
        <v>6.3442887702247504</v>
      </c>
      <c r="E21" s="98">
        <f ca="1">IFERROR(__xludf.DUMMYFUNCTION("IFERROR(AVERAGE(QUERY(N_all,""SELECT U WHERE B=""&amp;$A21&amp;"" AND Q=FALSE AND R=FALSE"")))"),13.25)</f>
        <v>13.25</v>
      </c>
      <c r="F21" s="98">
        <f ca="1">IFERROR(__xludf.DUMMYFUNCTION("IFERROR(STDEV(QUERY(N_all,""SELECT U WHERE B=""&amp;$A21&amp;"" AND Q=FALSE AND R=FALSE"")))"),6.34428877022475)</f>
        <v>6.3442887702247504</v>
      </c>
      <c r="G21" s="99">
        <f ca="1">IFERROR(__xludf.DUMMYFUNCTION("IFERROR(AVERAGE(QUERY(N_all,""SELECT U WHERE B=""&amp;$A21&amp;"" AND Q=FALSE AND R=FALSE AND U&gt;=""&amp;N_mean-2*N_sd&amp;"" AND U&lt;=""&amp;N_mean+2*N_sd)))"),13.25)</f>
        <v>13.25</v>
      </c>
      <c r="H21" s="98">
        <f ca="1">IFERROR(__xludf.DUMMYFUNCTION("IFERROR(STDEV(QUERY(N_all,""SELECT U WHERE B=""&amp;$A21&amp;"" AND Q=FALSE AND R=FALSE AND U&gt;=""&amp;N_mean-2*N_sd&amp;"" AND U&lt;=""&amp;N_mean+2*N_sd)))"),6.34428877022475)</f>
        <v>6.3442887702247504</v>
      </c>
      <c r="I21" s="100">
        <f ca="1">IFERROR(__xludf.DUMMYFUNCTION("IFERROR(IF(ISBLANK(G21),,RANK.AVG(B21,QUERY(B$2:G$35,""SELECT B WHERE G IS NOT NULL""),TRUE)))"),20)</f>
        <v>20</v>
      </c>
      <c r="J21" s="100">
        <v>11.5</v>
      </c>
      <c r="K21" s="100">
        <f t="shared" ca="1" si="0"/>
        <v>72.25</v>
      </c>
      <c r="L21" s="101"/>
      <c r="M21" s="101"/>
      <c r="N21" s="112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</row>
    <row r="22" spans="1:29" ht="13">
      <c r="A22" s="96">
        <v>20</v>
      </c>
      <c r="B22" s="97">
        <f>VLOOKUP(A22,N!B:D,3,FALSE)</f>
        <v>5800</v>
      </c>
      <c r="C22" s="98">
        <f ca="1">IFERROR(__xludf.DUMMYFUNCTION("IFERROR(AVERAGE(QUERY(N_all,""SELECT U WHERE B=""&amp;$A22)))"),10)</f>
        <v>10</v>
      </c>
      <c r="D22" s="98">
        <f ca="1">IFERROR(__xludf.DUMMYFUNCTION("IFERROR(STDEV(QUERY(N_all,""SELECT U WHERE B=""&amp;$A22)))"),2.94392028877594)</f>
        <v>2.9439202887759399</v>
      </c>
      <c r="E22" s="98">
        <f ca="1">IFERROR(__xludf.DUMMYFUNCTION("IFERROR(AVERAGE(QUERY(N_all,""SELECT U WHERE B=""&amp;$A22&amp;"" AND Q=FALSE AND R=FALSE"")))"),10)</f>
        <v>10</v>
      </c>
      <c r="F22" s="98">
        <f ca="1">IFERROR(__xludf.DUMMYFUNCTION("IFERROR(STDEV(QUERY(N_all,""SELECT U WHERE B=""&amp;$A22&amp;"" AND Q=FALSE AND R=FALSE"")))"),2.94392028877594)</f>
        <v>2.9439202887759399</v>
      </c>
      <c r="G22" s="99">
        <f ca="1">IFERROR(__xludf.DUMMYFUNCTION("IFERROR(AVERAGE(QUERY(N_all,""SELECT U WHERE B=""&amp;$A22&amp;"" AND Q=FALSE AND R=FALSE AND U&gt;=""&amp;N_mean-2*N_sd&amp;"" AND U&lt;=""&amp;N_mean+2*N_sd)))"),10)</f>
        <v>10</v>
      </c>
      <c r="H22" s="98">
        <f ca="1">IFERROR(__xludf.DUMMYFUNCTION("IFERROR(STDEV(QUERY(N_all,""SELECT U WHERE B=""&amp;$A22&amp;"" AND Q=FALSE AND R=FALSE AND U&gt;=""&amp;N_mean-2*N_sd&amp;"" AND U&lt;=""&amp;N_mean+2*N_sd)))"),2.94392028877594)</f>
        <v>2.9439202887759399</v>
      </c>
      <c r="I22" s="100">
        <f ca="1">IFERROR(__xludf.DUMMYFUNCTION("IFERROR(IF(ISBLANK(G22),,RANK.AVG(B22,QUERY(B$2:G$35,""SELECT B WHERE G IS NOT NULL""),TRUE)))"),21)</f>
        <v>21</v>
      </c>
      <c r="J22" s="100">
        <v>3.5</v>
      </c>
      <c r="K22" s="100">
        <f t="shared" ca="1" si="0"/>
        <v>306.25</v>
      </c>
      <c r="L22" s="101"/>
      <c r="M22" s="101"/>
      <c r="N22" s="112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</row>
    <row r="23" spans="1:29" ht="13">
      <c r="A23" s="96">
        <v>21</v>
      </c>
      <c r="B23" s="97">
        <f>VLOOKUP(A23,N!B:D,3,FALSE)</f>
        <v>6000</v>
      </c>
      <c r="C23" s="98">
        <f ca="1">IFERROR(__xludf.DUMMYFUNCTION("IFERROR(AVERAGE(QUERY(N_all,""SELECT U WHERE B=""&amp;$A23)))"),11.5)</f>
        <v>11.5</v>
      </c>
      <c r="D23" s="98">
        <f ca="1">IFERROR(__xludf.DUMMYFUNCTION("IFERROR(STDEV(QUERY(N_all,""SELECT U WHERE B=""&amp;$A23)))"),0.577350269189625)</f>
        <v>0.57735026918962495</v>
      </c>
      <c r="E23" s="98">
        <f ca="1">IFERROR(__xludf.DUMMYFUNCTION("IFERROR(AVERAGE(QUERY(N_all,""SELECT U WHERE B=""&amp;$A23&amp;"" AND Q=FALSE AND R=FALSE"")))"),11.5)</f>
        <v>11.5</v>
      </c>
      <c r="F23" s="98">
        <f ca="1">IFERROR(__xludf.DUMMYFUNCTION("IFERROR(STDEV(QUERY(N_all,""SELECT U WHERE B=""&amp;$A23&amp;"" AND Q=FALSE AND R=FALSE"")))"),0.577350269189625)</f>
        <v>0.57735026918962495</v>
      </c>
      <c r="G23" s="99">
        <f ca="1">IFERROR(__xludf.DUMMYFUNCTION("IFERROR(AVERAGE(QUERY(N_all,""SELECT U WHERE B=""&amp;$A23&amp;"" AND Q=FALSE AND R=FALSE AND U&gt;=""&amp;N_mean-2*N_sd&amp;"" AND U&lt;=""&amp;N_mean+2*N_sd)))"),11.5)</f>
        <v>11.5</v>
      </c>
      <c r="H23" s="98">
        <f ca="1">IFERROR(__xludf.DUMMYFUNCTION("IFERROR(STDEV(QUERY(N_all,""SELECT U WHERE B=""&amp;$A23&amp;"" AND Q=FALSE AND R=FALSE AND U&gt;=""&amp;N_mean-2*N_sd&amp;"" AND U&lt;=""&amp;N_mean+2*N_sd)))"),0.577350269189625)</f>
        <v>0.57735026918962495</v>
      </c>
      <c r="I23" s="100">
        <f ca="1">IFERROR(__xludf.DUMMYFUNCTION("IFERROR(IF(ISBLANK(G23),,RANK.AVG(B23,QUERY(B$2:G$35,""SELECT B WHERE G IS NOT NULL""),TRUE)))"),22)</f>
        <v>22</v>
      </c>
      <c r="J23" s="100">
        <v>8</v>
      </c>
      <c r="K23" s="100">
        <f t="shared" ca="1" si="0"/>
        <v>196</v>
      </c>
      <c r="L23" s="101"/>
      <c r="M23" s="101"/>
      <c r="N23" s="112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</row>
    <row r="24" spans="1:29" ht="13">
      <c r="A24" s="96">
        <v>22</v>
      </c>
      <c r="B24" s="97">
        <f>VLOOKUP(A24,N!B:D,3,FALSE)</f>
        <v>6200</v>
      </c>
      <c r="C24" s="98">
        <f ca="1">IFERROR(__xludf.DUMMYFUNCTION("IFERROR(AVERAGE(QUERY(N_all,""SELECT U WHERE B=""&amp;$A24)))"),5.5)</f>
        <v>5.5</v>
      </c>
      <c r="D24" s="98">
        <f ca="1">IFERROR(__xludf.DUMMYFUNCTION("IFERROR(STDEV(QUERY(N_all,""SELECT U WHERE B=""&amp;$A24)))"),6.40312423743284)</f>
        <v>6.4031242374328396</v>
      </c>
      <c r="E24" s="98">
        <f ca="1">IFERROR(__xludf.DUMMYFUNCTION("IFERROR(AVERAGE(QUERY(N_all,""SELECT U WHERE B=""&amp;$A24&amp;"" AND Q=FALSE AND R=FALSE"")))"),11)</f>
        <v>11</v>
      </c>
      <c r="F24" s="98">
        <f ca="1">IFERROR(__xludf.DUMMYFUNCTION("IFERROR(STDEV(QUERY(N_all,""SELECT U WHERE B=""&amp;$A24&amp;"" AND Q=FALSE AND R=FALSE"")))"),1.41421356237309)</f>
        <v>1.41421356237309</v>
      </c>
      <c r="G24" s="99">
        <f ca="1">IFERROR(__xludf.DUMMYFUNCTION("IFERROR(AVERAGE(QUERY(N_all,""SELECT U WHERE B=""&amp;$A24&amp;"" AND Q=FALSE AND R=FALSE AND U&gt;=""&amp;N_mean-2*N_sd&amp;"" AND U&lt;=""&amp;N_mean+2*N_sd)))"),11)</f>
        <v>11</v>
      </c>
      <c r="H24" s="98">
        <f ca="1">IFERROR(__xludf.DUMMYFUNCTION("IFERROR(STDEV(QUERY(N_all,""SELECT U WHERE B=""&amp;$A24&amp;"" AND Q=FALSE AND R=FALSE AND U&gt;=""&amp;N_mean-2*N_sd&amp;"" AND U&lt;=""&amp;N_mean+2*N_sd)))"),1.41421356237309)</f>
        <v>1.41421356237309</v>
      </c>
      <c r="I24" s="100">
        <f ca="1">IFERROR(__xludf.DUMMYFUNCTION("IFERROR(IF(ISBLANK(G24),,RANK.AVG(B24,QUERY(B$2:G$35,""SELECT B WHERE G IS NOT NULL""),TRUE)))"),23)</f>
        <v>23</v>
      </c>
      <c r="J24" s="100">
        <v>6</v>
      </c>
      <c r="K24" s="100">
        <f t="shared" ca="1" si="0"/>
        <v>289</v>
      </c>
      <c r="L24" s="101"/>
      <c r="M24" s="101"/>
      <c r="N24" s="112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</row>
    <row r="25" spans="1:29" ht="13">
      <c r="A25" s="96">
        <v>23</v>
      </c>
      <c r="B25" s="97">
        <f>VLOOKUP(A25,N!B:D,3,FALSE)</f>
        <v>6400</v>
      </c>
      <c r="C25" s="98">
        <f ca="1">IFERROR(__xludf.DUMMYFUNCTION("IFERROR(AVERAGE(QUERY(N_all,""SELECT U WHERE B=""&amp;$A25)))"),8.75)</f>
        <v>8.75</v>
      </c>
      <c r="D25" s="98">
        <f ca="1">IFERROR(__xludf.DUMMYFUNCTION("IFERROR(STDEV(QUERY(N_all,""SELECT U WHERE B=""&amp;$A25)))"),4.5)</f>
        <v>4.5</v>
      </c>
      <c r="E25" s="98">
        <f ca="1">IFERROR(__xludf.DUMMYFUNCTION("IFERROR(AVERAGE(QUERY(N_all,""SELECT U WHERE B=""&amp;$A25&amp;"" AND Q=FALSE AND R=FALSE"")))"),10)</f>
        <v>10</v>
      </c>
      <c r="F25" s="98">
        <f ca="1">IFERROR(__xludf.DUMMYFUNCTION("IFERROR(STDEV(QUERY(N_all,""SELECT U WHERE B=""&amp;$A25&amp;"" AND Q=FALSE AND R=FALSE"")))"),4.58257569495584)</f>
        <v>4.5825756949558398</v>
      </c>
      <c r="G25" s="99">
        <f ca="1">IFERROR(__xludf.DUMMYFUNCTION("IFERROR(AVERAGE(QUERY(N_all,""SELECT U WHERE B=""&amp;$A25&amp;"" AND Q=FALSE AND R=FALSE AND U&gt;=""&amp;N_mean-2*N_sd&amp;"" AND U&lt;=""&amp;N_mean+2*N_sd)))"),10)</f>
        <v>10</v>
      </c>
      <c r="H25" s="98">
        <f ca="1">IFERROR(__xludf.DUMMYFUNCTION("IFERROR(STDEV(QUERY(N_all,""SELECT U WHERE B=""&amp;$A25&amp;"" AND Q=FALSE AND R=FALSE AND U&gt;=""&amp;N_mean-2*N_sd&amp;"" AND U&lt;=""&amp;N_mean+2*N_sd)))"),4.58257569495584)</f>
        <v>4.5825756949558398</v>
      </c>
      <c r="I25" s="100">
        <f ca="1">IFERROR(__xludf.DUMMYFUNCTION("IFERROR(IF(ISBLANK(G25),,RANK.AVG(B25,QUERY(B$2:G$35,""SELECT B WHERE G IS NOT NULL""),TRUE)))"),24)</f>
        <v>24</v>
      </c>
      <c r="J25" s="100">
        <v>3.5</v>
      </c>
      <c r="K25" s="100">
        <f t="shared" ca="1" si="0"/>
        <v>420.25</v>
      </c>
      <c r="L25" s="101"/>
      <c r="M25" s="101"/>
      <c r="N25" s="112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</row>
    <row r="26" spans="1:29" ht="13">
      <c r="A26" s="96">
        <v>24</v>
      </c>
      <c r="B26" s="97">
        <f>VLOOKUP(A26,N!B:D,3,FALSE)</f>
        <v>6600</v>
      </c>
      <c r="C26" s="98">
        <f ca="1">IFERROR(__xludf.DUMMYFUNCTION("IFERROR(AVERAGE(QUERY(N_all,""SELECT U WHERE B=""&amp;$A26)))"),8)</f>
        <v>8</v>
      </c>
      <c r="D26" s="98">
        <f ca="1">IFERROR(__xludf.DUMMYFUNCTION("IFERROR(STDEV(QUERY(N_all,""SELECT U WHERE B=""&amp;$A26)))"),4.24264068711928)</f>
        <v>4.2426406871192803</v>
      </c>
      <c r="E26" s="98">
        <f ca="1">IFERROR(__xludf.DUMMYFUNCTION("IFERROR(AVERAGE(QUERY(N_all,""SELECT U WHERE B=""&amp;$A26&amp;"" AND Q=FALSE AND R=FALSE"")))"),8)</f>
        <v>8</v>
      </c>
      <c r="F26" s="98">
        <f ca="1">IFERROR(__xludf.DUMMYFUNCTION("IFERROR(STDEV(QUERY(N_all,""SELECT U WHERE B=""&amp;$A26&amp;"" AND Q=FALSE AND R=FALSE"")))"),4.24264068711928)</f>
        <v>4.2426406871192803</v>
      </c>
      <c r="G26" s="99">
        <f ca="1">IFERROR(__xludf.DUMMYFUNCTION("IFERROR(AVERAGE(QUERY(N_all,""SELECT U WHERE B=""&amp;$A26&amp;"" AND Q=FALSE AND R=FALSE AND U&gt;=""&amp;N_mean-2*N_sd&amp;"" AND U&lt;=""&amp;N_mean+2*N_sd)))"),8)</f>
        <v>8</v>
      </c>
      <c r="H26" s="98">
        <f ca="1">IFERROR(__xludf.DUMMYFUNCTION("IFERROR(STDEV(QUERY(N_all,""SELECT U WHERE B=""&amp;$A26&amp;"" AND Q=FALSE AND R=FALSE AND U&gt;=""&amp;N_mean-2*N_sd&amp;"" AND U&lt;=""&amp;N_mean+2*N_sd)))"),4.24264068711928)</f>
        <v>4.2426406871192803</v>
      </c>
      <c r="I26" s="100">
        <f ca="1">IFERROR(__xludf.DUMMYFUNCTION("IFERROR(IF(ISBLANK(G26),,RANK.AVG(B26,QUERY(B$2:G$35,""SELECT B WHERE G IS NOT NULL""),TRUE)))"),25)</f>
        <v>25</v>
      </c>
      <c r="J26" s="100">
        <v>2</v>
      </c>
      <c r="K26" s="100">
        <f t="shared" ca="1" si="0"/>
        <v>529</v>
      </c>
      <c r="L26" s="101"/>
      <c r="M26" s="101"/>
      <c r="N26" s="112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</row>
    <row r="27" spans="1:29" ht="13">
      <c r="A27" s="96">
        <v>25</v>
      </c>
      <c r="B27" s="97">
        <f>VLOOKUP(A27,N!B:D,3,FALSE)</f>
        <v>6800</v>
      </c>
      <c r="C27" s="98">
        <f ca="1">IFERROR(__xludf.DUMMYFUNCTION("IFERROR(AVERAGE(QUERY(N_all,""SELECT U WHERE B=""&amp;$A27)))"),10.75)</f>
        <v>10.75</v>
      </c>
      <c r="D27" s="98">
        <f ca="1">IFERROR(__xludf.DUMMYFUNCTION("IFERROR(STDEV(QUERY(N_all,""SELECT U WHERE B=""&amp;$A27)))"),0.957427107756338)</f>
        <v>0.95742710775633799</v>
      </c>
      <c r="E27" s="98">
        <f ca="1">IFERROR(__xludf.DUMMYFUNCTION("IFERROR(AVERAGE(QUERY(N_all,""SELECT U WHERE B=""&amp;$A27&amp;"" AND Q=FALSE AND R=FALSE"")))"),10.75)</f>
        <v>10.75</v>
      </c>
      <c r="F27" s="98">
        <f ca="1">IFERROR(__xludf.DUMMYFUNCTION("IFERROR(STDEV(QUERY(N_all,""SELECT U WHERE B=""&amp;$A27&amp;"" AND Q=FALSE AND R=FALSE"")))"),0.957427107756338)</f>
        <v>0.95742710775633799</v>
      </c>
      <c r="G27" s="99">
        <f ca="1">IFERROR(__xludf.DUMMYFUNCTION("IFERROR(AVERAGE(QUERY(N_all,""SELECT U WHERE B=""&amp;$A27&amp;"" AND Q=FALSE AND R=FALSE AND U&gt;=""&amp;N_mean-2*N_sd&amp;"" AND U&lt;=""&amp;N_mean+2*N_sd)))"),10.75)</f>
        <v>10.75</v>
      </c>
      <c r="H27" s="98">
        <f ca="1">IFERROR(__xludf.DUMMYFUNCTION("IFERROR(STDEV(QUERY(N_all,""SELECT U WHERE B=""&amp;$A27&amp;"" AND Q=FALSE AND R=FALSE AND U&gt;=""&amp;N_mean-2*N_sd&amp;"" AND U&lt;=""&amp;N_mean+2*N_sd)))"),0.957427107756338)</f>
        <v>0.95742710775633799</v>
      </c>
      <c r="I27" s="100">
        <f ca="1">IFERROR(__xludf.DUMMYFUNCTION("IFERROR(IF(ISBLANK(G27),,RANK.AVG(B27,QUERY(B$2:G$35,""SELECT B WHERE G IS NOT NULL""),TRUE)))"),26)</f>
        <v>26</v>
      </c>
      <c r="J27" s="100">
        <v>5</v>
      </c>
      <c r="K27" s="100">
        <f t="shared" ca="1" si="0"/>
        <v>441</v>
      </c>
      <c r="L27" s="101"/>
      <c r="M27" s="101"/>
      <c r="N27" s="112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</row>
    <row r="28" spans="1:29" ht="13">
      <c r="A28" s="96">
        <v>26</v>
      </c>
      <c r="B28" s="97">
        <f>VLOOKUP(A28,N!B:D,3,FALSE)</f>
        <v>7000</v>
      </c>
      <c r="C28" s="98">
        <f ca="1">IFERROR(__xludf.DUMMYFUNCTION("IFERROR(AVERAGE(QUERY(N_all,""SELECT U WHERE B=""&amp;$A28)))"),5.25)</f>
        <v>5.25</v>
      </c>
      <c r="D28" s="98">
        <f ca="1">IFERROR(__xludf.DUMMYFUNCTION("IFERROR(STDEV(QUERY(N_all,""SELECT U WHERE B=""&amp;$A28)))"),0.5)</f>
        <v>0.5</v>
      </c>
      <c r="E28" s="98">
        <f ca="1">IFERROR(__xludf.DUMMYFUNCTION("IFERROR(AVERAGE(QUERY(N_all,""SELECT U WHERE B=""&amp;$A28&amp;"" AND Q=FALSE AND R=FALSE"")))"),5.25)</f>
        <v>5.25</v>
      </c>
      <c r="F28" s="98">
        <f ca="1">IFERROR(__xludf.DUMMYFUNCTION("IFERROR(STDEV(QUERY(N_all,""SELECT U WHERE B=""&amp;$A28&amp;"" AND Q=FALSE AND R=FALSE"")))"),0.5)</f>
        <v>0.5</v>
      </c>
      <c r="G28" s="99">
        <f ca="1">IFERROR(__xludf.DUMMYFUNCTION("IFERROR(AVERAGE(QUERY(N_all,""SELECT U WHERE B=""&amp;$A28&amp;"" AND Q=FALSE AND R=FALSE AND U&gt;=""&amp;N_mean-2*N_sd&amp;"" AND U&lt;=""&amp;N_mean+2*N_sd)))"),5.25)</f>
        <v>5.25</v>
      </c>
      <c r="H28" s="98">
        <f ca="1">IFERROR(__xludf.DUMMYFUNCTION("IFERROR(STDEV(QUERY(N_all,""SELECT U WHERE B=""&amp;$A28&amp;"" AND Q=FALSE AND R=FALSE AND U&gt;=""&amp;N_mean-2*N_sd&amp;"" AND U&lt;=""&amp;N_mean+2*N_sd)))"),0.5)</f>
        <v>0.5</v>
      </c>
      <c r="I28" s="100">
        <f ca="1">IFERROR(__xludf.DUMMYFUNCTION("IFERROR(IF(ISBLANK(G28),,RANK.AVG(B28,QUERY(B$2:G$35,""SELECT B WHERE G IS NOT NULL""),TRUE)))"),27)</f>
        <v>27</v>
      </c>
      <c r="J28" s="100">
        <v>1</v>
      </c>
      <c r="K28" s="100">
        <f t="shared" ca="1" si="0"/>
        <v>676</v>
      </c>
      <c r="L28" s="101"/>
      <c r="M28" s="101"/>
      <c r="N28" s="112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</row>
    <row r="29" spans="1:29" ht="13">
      <c r="A29" s="96">
        <v>27</v>
      </c>
      <c r="B29" s="97">
        <f>VLOOKUP(A29,N!B:D,3,FALSE)</f>
        <v>7200</v>
      </c>
      <c r="C29" s="98">
        <f ca="1">IFERROR(__xludf.DUMMYFUNCTION("IFERROR(AVERAGE(QUERY(N_all,""SELECT U WHERE B=""&amp;$A29)))"),18.25)</f>
        <v>18.25</v>
      </c>
      <c r="D29" s="98">
        <f ca="1">IFERROR(__xludf.DUMMYFUNCTION("IFERROR(STDEV(QUERY(N_all,""SELECT U WHERE B=""&amp;$A29)))"),10.6887791632159)</f>
        <v>10.6887791632159</v>
      </c>
      <c r="E29" s="98">
        <f ca="1">IFERROR(__xludf.DUMMYFUNCTION("IFERROR(AVERAGE(QUERY(N_all,""SELECT U WHERE B=""&amp;$A29&amp;"" AND Q=FALSE AND R=FALSE"")))"),18.25)</f>
        <v>18.25</v>
      </c>
      <c r="F29" s="98">
        <f ca="1">IFERROR(__xludf.DUMMYFUNCTION("IFERROR(STDEV(QUERY(N_all,""SELECT U WHERE B=""&amp;$A29&amp;"" AND Q=FALSE AND R=FALSE"")))"),10.6887791632159)</f>
        <v>10.6887791632159</v>
      </c>
      <c r="G29" s="99">
        <f ca="1">IFERROR(__xludf.DUMMYFUNCTION("IFERROR(AVERAGE(QUERY(N_all,""SELECT U WHERE B=""&amp;$A29&amp;"" AND Q=FALSE AND R=FALSE AND U&gt;=""&amp;N_mean-2*N_sd&amp;"" AND U&lt;=""&amp;N_mean+2*N_sd)))"),14)</f>
        <v>14</v>
      </c>
      <c r="H29" s="98">
        <f ca="1">IFERROR(__xludf.DUMMYFUNCTION("IFERROR(STDEV(QUERY(N_all,""SELECT U WHERE B=""&amp;$A29&amp;"" AND Q=FALSE AND R=FALSE AND U&gt;=""&amp;N_mean-2*N_sd&amp;"" AND U&lt;=""&amp;N_mean+2*N_sd)))"),7.93725393319377)</f>
        <v>7.9372539331937704</v>
      </c>
      <c r="I29" s="100">
        <f ca="1">IFERROR(__xludf.DUMMYFUNCTION("IFERROR(IF(ISBLANK(G29),,RANK.AVG(B29,QUERY(B$2:G$35,""SELECT B WHERE G IS NOT NULL""),TRUE)))"),28)</f>
        <v>28</v>
      </c>
      <c r="J29" s="100">
        <v>15</v>
      </c>
      <c r="K29" s="100">
        <f t="shared" ca="1" si="0"/>
        <v>169</v>
      </c>
      <c r="L29" s="101"/>
      <c r="M29" s="114" t="s">
        <v>536</v>
      </c>
      <c r="N29" s="112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</row>
    <row r="30" spans="1:29" ht="13">
      <c r="A30" s="96">
        <v>28</v>
      </c>
      <c r="B30" s="97">
        <f>VLOOKUP(A30,N!B:D,3,FALSE)</f>
        <v>7400</v>
      </c>
      <c r="C30" s="98">
        <f ca="1">IFERROR(__xludf.DUMMYFUNCTION("IFERROR(AVERAGE(QUERY(N_all,""SELECT U WHERE B=""&amp;$A30)))"),30)</f>
        <v>30</v>
      </c>
      <c r="D30" s="98">
        <f ca="1">IFERROR(__xludf.DUMMYFUNCTION("IFERROR(STDEV(QUERY(N_all,""SELECT U WHERE B=""&amp;$A30)))"),5.35412613473633)</f>
        <v>5.3541261347363296</v>
      </c>
      <c r="E30" s="98">
        <f ca="1">IFERROR(__xludf.DUMMYFUNCTION("IFERROR(AVERAGE(QUERY(N_all,""SELECT U WHERE B=""&amp;$A30&amp;"" AND Q=FALSE AND R=FALSE"")))"),30)</f>
        <v>30</v>
      </c>
      <c r="F30" s="98">
        <f ca="1">IFERROR(__xludf.DUMMYFUNCTION("IFERROR(STDEV(QUERY(N_all,""SELECT U WHERE B=""&amp;$A30&amp;"" AND Q=FALSE AND R=FALSE"")))"),5.35412613473633)</f>
        <v>5.3541261347363296</v>
      </c>
      <c r="G30" s="99">
        <f ca="1">IFERROR(__xludf.DUMMYFUNCTION("IFERROR(AVERAGE(QUERY(N_all,""SELECT U WHERE B=""&amp;$A30&amp;"" AND Q=FALSE AND R=FALSE AND U&gt;=""&amp;N_mean-2*N_sd&amp;"" AND U&lt;=""&amp;N_mean+2*N_sd)))"),25.5)</f>
        <v>25.5</v>
      </c>
      <c r="H30" s="98">
        <f ca="1">IFERROR(__xludf.DUMMYFUNCTION("IFERROR(STDEV(QUERY(N_all,""SELECT U WHERE B=""&amp;$A30&amp;"" AND Q=FALSE AND R=FALSE AND U&gt;=""&amp;N_mean-2*N_sd&amp;"" AND U&lt;=""&amp;N_mean+2*N_sd)))"),0.707106781186547)</f>
        <v>0.70710678118654702</v>
      </c>
      <c r="I30" s="100">
        <f ca="1">IFERROR(__xludf.DUMMYFUNCTION("IFERROR(IF(ISBLANK(G30),,RANK.AVG(B30,QUERY(B$2:G$35,""SELECT B WHERE G IS NOT NULL""),TRUE)))"),29)</f>
        <v>29</v>
      </c>
      <c r="J30" s="100">
        <v>34</v>
      </c>
      <c r="K30" s="100">
        <f t="shared" ca="1" si="0"/>
        <v>25</v>
      </c>
      <c r="L30" s="101"/>
      <c r="M30" s="101"/>
      <c r="N30" s="112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</row>
    <row r="31" spans="1:29" ht="13">
      <c r="A31" s="96">
        <v>29</v>
      </c>
      <c r="B31" s="97">
        <f>VLOOKUP(A31,N!B:D,3,FALSE)</f>
        <v>7600</v>
      </c>
      <c r="C31" s="98">
        <f ca="1">IFERROR(__xludf.DUMMYFUNCTION("IFERROR(AVERAGE(QUERY(N_all,""SELECT U WHERE B=""&amp;$A31)))"),14.25)</f>
        <v>14.25</v>
      </c>
      <c r="D31" s="98">
        <f ca="1">IFERROR(__xludf.DUMMYFUNCTION("IFERROR(STDEV(QUERY(N_all,""SELECT U WHERE B=""&amp;$A31)))"),5.56027577253742)</f>
        <v>5.5602757725374197</v>
      </c>
      <c r="E31" s="98">
        <f ca="1">IFERROR(__xludf.DUMMYFUNCTION("IFERROR(AVERAGE(QUERY(N_all,""SELECT U WHERE B=""&amp;$A31&amp;"" AND Q=FALSE AND R=FALSE"")))"),14.25)</f>
        <v>14.25</v>
      </c>
      <c r="F31" s="98">
        <f ca="1">IFERROR(__xludf.DUMMYFUNCTION("IFERROR(STDEV(QUERY(N_all,""SELECT U WHERE B=""&amp;$A31&amp;"" AND Q=FALSE AND R=FALSE"")))"),5.56027577253742)</f>
        <v>5.5602757725374197</v>
      </c>
      <c r="G31" s="99">
        <f ca="1">IFERROR(__xludf.DUMMYFUNCTION("IFERROR(AVERAGE(QUERY(N_all,""SELECT U WHERE B=""&amp;$A31&amp;"" AND Q=FALSE AND R=FALSE AND U&gt;=""&amp;N_mean-2*N_sd&amp;"" AND U&lt;=""&amp;N_mean+2*N_sd)))"),14.25)</f>
        <v>14.25</v>
      </c>
      <c r="H31" s="98">
        <f ca="1">IFERROR(__xludf.DUMMYFUNCTION("IFERROR(STDEV(QUERY(N_all,""SELECT U WHERE B=""&amp;$A31&amp;"" AND Q=FALSE AND R=FALSE AND U&gt;=""&amp;N_mean-2*N_sd&amp;"" AND U&lt;=""&amp;N_mean+2*N_sd)))"),5.56027577253742)</f>
        <v>5.5602757725374197</v>
      </c>
      <c r="I31" s="100">
        <f ca="1">IFERROR(__xludf.DUMMYFUNCTION("IFERROR(IF(ISBLANK(G31),,RANK.AVG(B31,QUERY(B$2:G$35,""SELECT B WHERE G IS NOT NULL""),TRUE)))"),30)</f>
        <v>30</v>
      </c>
      <c r="J31" s="100">
        <v>17</v>
      </c>
      <c r="K31" s="100">
        <f t="shared" ca="1" si="0"/>
        <v>169</v>
      </c>
      <c r="L31" s="101"/>
      <c r="M31" s="101"/>
      <c r="N31" s="112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</row>
    <row r="32" spans="1:29" ht="13">
      <c r="A32" s="96">
        <v>30</v>
      </c>
      <c r="B32" s="97">
        <f>VLOOKUP(A32,N!B:D,3,FALSE)</f>
        <v>7800</v>
      </c>
      <c r="C32" s="98">
        <f ca="1">IFERROR(__xludf.DUMMYFUNCTION("IFERROR(AVERAGE(QUERY(N_all,""SELECT U WHERE B=""&amp;$A32)))"),16)</f>
        <v>16</v>
      </c>
      <c r="D32" s="98">
        <f ca="1">IFERROR(__xludf.DUMMYFUNCTION("IFERROR(STDEV(QUERY(N_all,""SELECT U WHERE B=""&amp;$A32)))"),8.48528137423857)</f>
        <v>8.4852813742385695</v>
      </c>
      <c r="E32" s="98">
        <f ca="1">IFERROR(__xludf.DUMMYFUNCTION("IFERROR(AVERAGE(QUERY(N_all,""SELECT U WHERE B=""&amp;$A32&amp;"" AND Q=FALSE AND R=FALSE"")))"),16)</f>
        <v>16</v>
      </c>
      <c r="F32" s="98">
        <f ca="1">IFERROR(__xludf.DUMMYFUNCTION("IFERROR(STDEV(QUERY(N_all,""SELECT U WHERE B=""&amp;$A32&amp;"" AND Q=FALSE AND R=FALSE"")))"),8.48528137423857)</f>
        <v>8.4852813742385695</v>
      </c>
      <c r="G32" s="99">
        <f ca="1">IFERROR(__xludf.DUMMYFUNCTION("IFERROR(AVERAGE(QUERY(N_all,""SELECT U WHERE B=""&amp;$A32&amp;"" AND Q=FALSE AND R=FALSE AND U&gt;=""&amp;N_mean-2*N_sd&amp;"" AND U&lt;=""&amp;N_mean+2*N_sd)))"),16)</f>
        <v>16</v>
      </c>
      <c r="H32" s="98">
        <f ca="1">IFERROR(__xludf.DUMMYFUNCTION("IFERROR(STDEV(QUERY(N_all,""SELECT U WHERE B=""&amp;$A32&amp;"" AND Q=FALSE AND R=FALSE AND U&gt;=""&amp;N_mean-2*N_sd&amp;"" AND U&lt;=""&amp;N_mean+2*N_sd)))"),8.48528137423857)</f>
        <v>8.4852813742385695</v>
      </c>
      <c r="I32" s="100">
        <f ca="1">IFERROR(__xludf.DUMMYFUNCTION("IFERROR(IF(ISBLANK(G32),,RANK.AVG(B32,QUERY(B$2:G$35,""SELECT B WHERE G IS NOT NULL""),TRUE)))"),31)</f>
        <v>31</v>
      </c>
      <c r="J32" s="100">
        <v>20.5</v>
      </c>
      <c r="K32" s="100">
        <f t="shared" ca="1" si="0"/>
        <v>110.25</v>
      </c>
      <c r="L32" s="101"/>
      <c r="M32" s="101"/>
      <c r="N32" s="112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</row>
    <row r="33" spans="1:29" ht="13">
      <c r="A33" s="96">
        <v>31</v>
      </c>
      <c r="B33" s="97">
        <f>VLOOKUP(A33,N!B:D,3,FALSE)</f>
        <v>8000</v>
      </c>
      <c r="C33" s="98">
        <f ca="1">IFERROR(__xludf.DUMMYFUNCTION("IFERROR(AVERAGE(QUERY(N_all,""SELECT U WHERE B=""&amp;$A33)))"),11.5)</f>
        <v>11.5</v>
      </c>
      <c r="D33" s="98">
        <f ca="1">IFERROR(__xludf.DUMMYFUNCTION("IFERROR(STDEV(QUERY(N_all,""SELECT U WHERE B=""&amp;$A33)))"),4.20317340430616)</f>
        <v>4.2031734043061597</v>
      </c>
      <c r="E33" s="98">
        <f ca="1">IFERROR(__xludf.DUMMYFUNCTION("IFERROR(AVERAGE(QUERY(N_all,""SELECT U WHERE B=""&amp;$A33&amp;"" AND Q=FALSE AND R=FALSE"")))"),11.5)</f>
        <v>11.5</v>
      </c>
      <c r="F33" s="98">
        <f ca="1">IFERROR(__xludf.DUMMYFUNCTION("IFERROR(STDEV(QUERY(N_all,""SELECT U WHERE B=""&amp;$A33&amp;"" AND Q=FALSE AND R=FALSE"")))"),4.20317340430616)</f>
        <v>4.2031734043061597</v>
      </c>
      <c r="G33" s="99">
        <f ca="1">IFERROR(__xludf.DUMMYFUNCTION("IFERROR(AVERAGE(QUERY(N_all,""SELECT U WHERE B=""&amp;$A33&amp;"" AND Q=FALSE AND R=FALSE AND U&gt;=""&amp;N_mean-2*N_sd&amp;"" AND U&lt;=""&amp;N_mean+2*N_sd)))"),11.5)</f>
        <v>11.5</v>
      </c>
      <c r="H33" s="98">
        <f ca="1">IFERROR(__xludf.DUMMYFUNCTION("IFERROR(STDEV(QUERY(N_all,""SELECT U WHERE B=""&amp;$A33&amp;"" AND Q=FALSE AND R=FALSE AND U&gt;=""&amp;N_mean-2*N_sd&amp;"" AND U&lt;=""&amp;N_mean+2*N_sd)))"),4.20317340430616)</f>
        <v>4.2031734043061597</v>
      </c>
      <c r="I33" s="100">
        <f ca="1">IFERROR(__xludf.DUMMYFUNCTION("IFERROR(IF(ISBLANK(G33),,RANK.AVG(B33,QUERY(B$2:G$35,""SELECT B WHERE G IS NOT NULL""),TRUE)))"),32)</f>
        <v>32</v>
      </c>
      <c r="J33" s="100">
        <v>8</v>
      </c>
      <c r="K33" s="100">
        <f t="shared" ca="1" si="0"/>
        <v>576</v>
      </c>
      <c r="L33" s="101"/>
      <c r="M33" s="101"/>
      <c r="N33" s="112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</row>
    <row r="34" spans="1:29" ht="13">
      <c r="A34" s="96">
        <v>32</v>
      </c>
      <c r="B34" s="97">
        <f>VLOOKUP(A34,N!B:D,3,FALSE)</f>
        <v>8200</v>
      </c>
      <c r="C34" s="98">
        <f ca="1">IFERROR(__xludf.DUMMYFUNCTION("IFERROR(AVERAGE(QUERY(N_all,""SELECT U WHERE B=""&amp;$A34)))"),17.5)</f>
        <v>17.5</v>
      </c>
      <c r="D34" s="98">
        <f ca="1">IFERROR(__xludf.DUMMYFUNCTION("IFERROR(STDEV(QUERY(N_all,""SELECT U WHERE B=""&amp;$A34)))"),11)</f>
        <v>11</v>
      </c>
      <c r="E34" s="98">
        <f ca="1">IFERROR(__xludf.DUMMYFUNCTION("IFERROR(AVERAGE(QUERY(N_all,""SELECT U WHERE B=""&amp;$A34&amp;"" AND Q=FALSE AND R=FALSE"")))"),17.5)</f>
        <v>17.5</v>
      </c>
      <c r="F34" s="98">
        <f ca="1">IFERROR(__xludf.DUMMYFUNCTION("IFERROR(STDEV(QUERY(N_all,""SELECT U WHERE B=""&amp;$A34&amp;"" AND Q=FALSE AND R=FALSE"")))"),11)</f>
        <v>11</v>
      </c>
      <c r="G34" s="99">
        <f ca="1">IFERROR(__xludf.DUMMYFUNCTION("IFERROR(AVERAGE(QUERY(N_all,""SELECT U WHERE B=""&amp;$A34&amp;"" AND Q=FALSE AND R=FALSE AND U&gt;=""&amp;N_mean-2*N_sd&amp;"" AND U&lt;=""&amp;N_mean+2*N_sd)))"),12)</f>
        <v>12</v>
      </c>
      <c r="H34" s="98">
        <f ca="1">IFERROR(__xludf.DUMMYFUNCTION("IFERROR(STDEV(QUERY(N_all,""SELECT U WHERE B=""&amp;$A34&amp;"" AND Q=FALSE AND R=FALSE AND U&gt;=""&amp;N_mean-2*N_sd&amp;"" AND U&lt;=""&amp;N_mean+2*N_sd)))"),0)</f>
        <v>0</v>
      </c>
      <c r="I34" s="100">
        <f ca="1">IFERROR(__xludf.DUMMYFUNCTION("IFERROR(IF(ISBLANK(G34),,RANK.AVG(B34,QUERY(B$2:G$35,""SELECT B WHERE G IS NOT NULL""),TRUE)))"),33)</f>
        <v>33</v>
      </c>
      <c r="J34" s="100">
        <v>10</v>
      </c>
      <c r="K34" s="100">
        <f t="shared" ca="1" si="0"/>
        <v>529</v>
      </c>
      <c r="L34" s="101"/>
      <c r="M34" s="101"/>
      <c r="N34" s="112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</row>
    <row r="35" spans="1:29" ht="13">
      <c r="A35" s="96">
        <v>33</v>
      </c>
      <c r="B35" s="97">
        <f>VLOOKUP(A35,N!B:D,3,FALSE)</f>
        <v>8400</v>
      </c>
      <c r="C35" s="98">
        <f ca="1">IFERROR(__xludf.DUMMYFUNCTION("IFERROR(AVERAGE(QUERY(N_all,""SELECT U WHERE B=""&amp;$A35)))"),13.25)</f>
        <v>13.25</v>
      </c>
      <c r="D35" s="98">
        <f ca="1">IFERROR(__xludf.DUMMYFUNCTION("IFERROR(STDEV(QUERY(N_all,""SELECT U WHERE B=""&amp;$A35)))"),1.89296944860009)</f>
        <v>1.8929694486000901</v>
      </c>
      <c r="E35" s="98">
        <f ca="1">IFERROR(__xludf.DUMMYFUNCTION("IFERROR(AVERAGE(QUERY(N_all,""SELECT U WHERE B=""&amp;$A35&amp;"" AND Q=FALSE AND R=FALSE"")))"),13.25)</f>
        <v>13.25</v>
      </c>
      <c r="F35" s="98">
        <f ca="1">IFERROR(__xludf.DUMMYFUNCTION("IFERROR(STDEV(QUERY(N_all,""SELECT U WHERE B=""&amp;$A35&amp;"" AND Q=FALSE AND R=FALSE"")))"),1.89296944860009)</f>
        <v>1.8929694486000901</v>
      </c>
      <c r="G35" s="99">
        <f ca="1">IFERROR(__xludf.DUMMYFUNCTION("IFERROR(AVERAGE(QUERY(N_all,""SELECT U WHERE B=""&amp;$A35&amp;"" AND Q=FALSE AND R=FALSE AND U&gt;=""&amp;N_mean-2*N_sd&amp;"" AND U&lt;=""&amp;N_mean+2*N_sd)))"),13.25)</f>
        <v>13.25</v>
      </c>
      <c r="H35" s="98">
        <f ca="1">IFERROR(__xludf.DUMMYFUNCTION("IFERROR(STDEV(QUERY(N_all,""SELECT U WHERE B=""&amp;$A35&amp;"" AND Q=FALSE AND R=FALSE AND U&gt;=""&amp;N_mean-2*N_sd&amp;"" AND U&lt;=""&amp;N_mean+2*N_sd)))"),1.89296944860009)</f>
        <v>1.8929694486000901</v>
      </c>
      <c r="I35" s="100">
        <f ca="1">IFERROR(__xludf.DUMMYFUNCTION("IFERROR(IF(ISBLANK(G35),,RANK.AVG(B35,QUERY(B$2:G$35,""SELECT B WHERE G IS NOT NULL""),TRUE)))"),34)</f>
        <v>34</v>
      </c>
      <c r="J35" s="100">
        <v>11.5</v>
      </c>
      <c r="K35" s="100">
        <f t="shared" ca="1" si="0"/>
        <v>506.25</v>
      </c>
      <c r="L35" s="101"/>
      <c r="M35" s="101"/>
      <c r="N35" s="112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</row>
    <row r="36" spans="1:29" ht="13">
      <c r="A36" s="96"/>
      <c r="B36" s="97"/>
      <c r="C36" s="98"/>
      <c r="D36" s="98"/>
      <c r="E36" s="98"/>
      <c r="F36" s="98"/>
      <c r="G36" s="99"/>
      <c r="H36" s="98"/>
      <c r="I36" s="100"/>
      <c r="J36" s="100"/>
      <c r="K36" s="100"/>
      <c r="L36" s="101"/>
      <c r="M36" s="101"/>
      <c r="N36" s="112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</row>
    <row r="37" spans="1:29" ht="13">
      <c r="A37" s="96"/>
      <c r="B37" s="97"/>
      <c r="C37" s="98"/>
      <c r="D37" s="98"/>
      <c r="E37" s="98"/>
      <c r="F37" s="98"/>
      <c r="G37" s="99"/>
      <c r="H37" s="98"/>
      <c r="I37" s="100"/>
      <c r="J37" s="100"/>
      <c r="K37" s="100"/>
      <c r="L37" s="101"/>
      <c r="M37" s="101"/>
      <c r="N37" s="112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</row>
    <row r="38" spans="1:29" ht="13">
      <c r="A38" s="96"/>
      <c r="B38" s="97"/>
      <c r="C38" s="98"/>
      <c r="D38" s="98"/>
      <c r="E38" s="98"/>
      <c r="F38" s="98"/>
      <c r="G38" s="99"/>
      <c r="H38" s="98"/>
      <c r="I38" s="100"/>
      <c r="J38" s="100"/>
      <c r="K38" s="100"/>
      <c r="L38" s="101"/>
      <c r="M38" s="101"/>
      <c r="N38" s="112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</row>
    <row r="39" spans="1:29" ht="13">
      <c r="A39" s="96"/>
      <c r="B39" s="97"/>
      <c r="C39" s="98"/>
      <c r="D39" s="98"/>
      <c r="E39" s="98"/>
      <c r="F39" s="98"/>
      <c r="G39" s="99"/>
      <c r="H39" s="98"/>
      <c r="I39" s="100"/>
      <c r="J39" s="100"/>
      <c r="K39" s="100"/>
      <c r="L39" s="101"/>
      <c r="M39" s="101"/>
      <c r="N39" s="112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</row>
    <row r="40" spans="1:29" ht="13">
      <c r="A40" s="96"/>
      <c r="B40" s="97"/>
      <c r="C40" s="98"/>
      <c r="D40" s="98"/>
      <c r="E40" s="98"/>
      <c r="F40" s="98"/>
      <c r="G40" s="99"/>
      <c r="H40" s="98"/>
      <c r="I40" s="100"/>
      <c r="J40" s="100"/>
      <c r="K40" s="100"/>
      <c r="L40" s="101"/>
      <c r="M40" s="101"/>
      <c r="N40" s="112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</row>
    <row r="41" spans="1:29" ht="13">
      <c r="A41" s="96"/>
      <c r="B41" s="97"/>
      <c r="C41" s="98"/>
      <c r="D41" s="98"/>
      <c r="E41" s="98"/>
      <c r="F41" s="98"/>
      <c r="G41" s="99"/>
      <c r="H41" s="98"/>
      <c r="I41" s="100"/>
      <c r="J41" s="100"/>
      <c r="K41" s="100"/>
      <c r="L41" s="101"/>
      <c r="M41" s="101"/>
      <c r="N41" s="112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</row>
    <row r="42" spans="1:29" ht="13">
      <c r="A42" s="96"/>
      <c r="B42" s="97"/>
      <c r="C42" s="98"/>
      <c r="D42" s="98"/>
      <c r="E42" s="98"/>
      <c r="F42" s="98"/>
      <c r="G42" s="99"/>
      <c r="H42" s="98"/>
      <c r="I42" s="100"/>
      <c r="J42" s="100"/>
      <c r="K42" s="100"/>
      <c r="L42" s="101"/>
      <c r="M42" s="101"/>
      <c r="N42" s="112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</row>
    <row r="43" spans="1:29" ht="13">
      <c r="A43" s="96"/>
      <c r="B43" s="97"/>
      <c r="C43" s="98"/>
      <c r="D43" s="98"/>
      <c r="E43" s="98"/>
      <c r="F43" s="98"/>
      <c r="G43" s="99"/>
      <c r="H43" s="98"/>
      <c r="I43" s="100"/>
      <c r="J43" s="100"/>
      <c r="K43" s="100"/>
      <c r="L43" s="101"/>
      <c r="M43" s="101"/>
      <c r="N43" s="112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</row>
    <row r="44" spans="1:29" ht="13">
      <c r="A44" s="96"/>
      <c r="B44" s="97"/>
      <c r="C44" s="98"/>
      <c r="D44" s="98"/>
      <c r="E44" s="98"/>
      <c r="F44" s="98"/>
      <c r="G44" s="99"/>
      <c r="H44" s="98"/>
      <c r="I44" s="100"/>
      <c r="J44" s="100"/>
      <c r="K44" s="100"/>
      <c r="L44" s="101"/>
      <c r="M44" s="101"/>
      <c r="N44" s="112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</row>
    <row r="45" spans="1:29" ht="13">
      <c r="A45" s="96"/>
      <c r="B45" s="97"/>
      <c r="C45" s="98"/>
      <c r="D45" s="98"/>
      <c r="E45" s="98"/>
      <c r="F45" s="98"/>
      <c r="G45" s="99"/>
      <c r="H45" s="98"/>
      <c r="I45" s="100"/>
      <c r="J45" s="100"/>
      <c r="K45" s="100"/>
      <c r="L45" s="101"/>
      <c r="M45" s="101"/>
      <c r="N45" s="112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</row>
    <row r="46" spans="1:29" ht="13">
      <c r="A46" s="115"/>
      <c r="B46" s="97"/>
      <c r="C46" s="115"/>
      <c r="D46" s="115"/>
      <c r="E46" s="115"/>
      <c r="F46" s="115"/>
      <c r="G46" s="99"/>
      <c r="H46" s="98"/>
      <c r="I46" s="100"/>
      <c r="J46" s="100"/>
      <c r="K46" s="100"/>
      <c r="L46" s="101"/>
      <c r="M46" s="101"/>
      <c r="N46" s="112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</row>
    <row r="47" spans="1:29" ht="13">
      <c r="A47" s="115"/>
      <c r="B47" s="97"/>
      <c r="C47" s="115"/>
      <c r="D47" s="115"/>
      <c r="E47" s="115"/>
      <c r="F47" s="115"/>
      <c r="G47" s="99"/>
      <c r="H47" s="98"/>
      <c r="I47" s="100"/>
      <c r="J47" s="100"/>
      <c r="K47" s="100"/>
      <c r="L47" s="101"/>
      <c r="M47" s="101"/>
      <c r="N47" s="112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</row>
    <row r="48" spans="1:29" ht="13">
      <c r="A48" s="115"/>
      <c r="B48" s="97"/>
      <c r="C48" s="115"/>
      <c r="D48" s="115"/>
      <c r="E48" s="115"/>
      <c r="F48" s="115"/>
      <c r="G48" s="99"/>
      <c r="H48" s="98"/>
      <c r="I48" s="100"/>
      <c r="J48" s="100"/>
      <c r="K48" s="100"/>
      <c r="L48" s="101"/>
      <c r="M48" s="101"/>
      <c r="N48" s="112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</row>
    <row r="49" spans="1:29" ht="13">
      <c r="A49" s="115"/>
      <c r="B49" s="97"/>
      <c r="C49" s="115"/>
      <c r="D49" s="115"/>
      <c r="E49" s="115"/>
      <c r="F49" s="115"/>
      <c r="G49" s="99"/>
      <c r="H49" s="98"/>
      <c r="I49" s="100"/>
      <c r="J49" s="100"/>
      <c r="K49" s="100"/>
      <c r="L49" s="101"/>
      <c r="M49" s="101"/>
      <c r="N49" s="112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</row>
    <row r="50" spans="1:29" ht="13">
      <c r="A50" s="115"/>
      <c r="B50" s="97"/>
      <c r="C50" s="115"/>
      <c r="D50" s="115"/>
      <c r="E50" s="115"/>
      <c r="F50" s="115"/>
      <c r="G50" s="99"/>
      <c r="H50" s="98"/>
      <c r="I50" s="100"/>
      <c r="J50" s="100"/>
      <c r="K50" s="100"/>
      <c r="L50" s="101"/>
      <c r="M50" s="101"/>
      <c r="N50" s="112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</row>
    <row r="51" spans="1:29" ht="13">
      <c r="A51" s="115"/>
      <c r="B51" s="97"/>
      <c r="C51" s="115"/>
      <c r="D51" s="115"/>
      <c r="E51" s="115"/>
      <c r="F51" s="115"/>
      <c r="G51" s="99"/>
      <c r="H51" s="98"/>
      <c r="I51" s="100"/>
      <c r="J51" s="100"/>
      <c r="K51" s="100"/>
      <c r="L51" s="101"/>
      <c r="M51" s="101"/>
      <c r="N51" s="112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</row>
    <row r="52" spans="1:29" ht="13">
      <c r="A52" s="115"/>
      <c r="B52" s="97"/>
      <c r="C52" s="115"/>
      <c r="D52" s="115"/>
      <c r="E52" s="115"/>
      <c r="F52" s="115"/>
      <c r="G52" s="99"/>
      <c r="H52" s="98"/>
      <c r="I52" s="100"/>
      <c r="J52" s="100"/>
      <c r="K52" s="100"/>
      <c r="L52" s="101"/>
      <c r="M52" s="101"/>
      <c r="N52" s="112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</row>
    <row r="53" spans="1:29" ht="13">
      <c r="A53" s="115"/>
      <c r="B53" s="97"/>
      <c r="C53" s="115"/>
      <c r="D53" s="115"/>
      <c r="E53" s="115"/>
      <c r="F53" s="115"/>
      <c r="G53" s="99"/>
      <c r="H53" s="98"/>
      <c r="I53" s="100"/>
      <c r="J53" s="100"/>
      <c r="K53" s="100"/>
      <c r="L53" s="101"/>
      <c r="M53" s="101"/>
      <c r="N53" s="112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</row>
    <row r="54" spans="1:29" ht="13">
      <c r="A54" s="115"/>
      <c r="B54" s="97"/>
      <c r="C54" s="115"/>
      <c r="D54" s="115"/>
      <c r="E54" s="115"/>
      <c r="F54" s="115"/>
      <c r="G54" s="99"/>
      <c r="H54" s="98"/>
      <c r="I54" s="100"/>
      <c r="J54" s="100"/>
      <c r="K54" s="100"/>
      <c r="L54" s="101"/>
      <c r="M54" s="101"/>
      <c r="N54" s="112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</row>
    <row r="55" spans="1:29" ht="13">
      <c r="A55" s="115"/>
      <c r="B55" s="97"/>
      <c r="C55" s="115"/>
      <c r="D55" s="115"/>
      <c r="E55" s="115"/>
      <c r="F55" s="115"/>
      <c r="G55" s="99"/>
      <c r="H55" s="98"/>
      <c r="I55" s="100"/>
      <c r="J55" s="100"/>
      <c r="K55" s="100"/>
      <c r="L55" s="101"/>
      <c r="M55" s="101"/>
      <c r="N55" s="112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</row>
    <row r="56" spans="1:29" ht="13">
      <c r="A56" s="115"/>
      <c r="B56" s="97"/>
      <c r="C56" s="115"/>
      <c r="D56" s="115"/>
      <c r="E56" s="115"/>
      <c r="F56" s="115"/>
      <c r="G56" s="99"/>
      <c r="H56" s="98"/>
      <c r="I56" s="100"/>
      <c r="J56" s="100"/>
      <c r="K56" s="100"/>
      <c r="L56" s="101"/>
      <c r="M56" s="101"/>
      <c r="N56" s="112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</row>
    <row r="57" spans="1:29" ht="13">
      <c r="A57" s="115"/>
      <c r="B57" s="97"/>
      <c r="C57" s="115"/>
      <c r="D57" s="115"/>
      <c r="E57" s="115"/>
      <c r="F57" s="115"/>
      <c r="G57" s="99"/>
      <c r="H57" s="98"/>
      <c r="I57" s="100"/>
      <c r="J57" s="100"/>
      <c r="K57" s="100"/>
      <c r="L57" s="101"/>
      <c r="M57" s="101"/>
      <c r="N57" s="112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</row>
    <row r="58" spans="1:29" ht="13">
      <c r="A58" s="115"/>
      <c r="B58" s="97"/>
      <c r="C58" s="115"/>
      <c r="D58" s="115"/>
      <c r="E58" s="115"/>
      <c r="F58" s="115"/>
      <c r="G58" s="99"/>
      <c r="H58" s="98"/>
      <c r="I58" s="100"/>
      <c r="J58" s="100"/>
      <c r="K58" s="100"/>
      <c r="L58" s="101"/>
      <c r="M58" s="101"/>
      <c r="N58" s="112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</row>
    <row r="59" spans="1:29" ht="13">
      <c r="A59" s="115"/>
      <c r="B59" s="97"/>
      <c r="C59" s="115"/>
      <c r="D59" s="115"/>
      <c r="E59" s="115"/>
      <c r="F59" s="115"/>
      <c r="G59" s="99"/>
      <c r="H59" s="98"/>
      <c r="I59" s="100"/>
      <c r="J59" s="100"/>
      <c r="K59" s="100"/>
      <c r="L59" s="101"/>
      <c r="M59" s="101"/>
      <c r="N59" s="112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</row>
    <row r="60" spans="1:29" ht="13">
      <c r="A60" s="115"/>
      <c r="B60" s="97"/>
      <c r="C60" s="115"/>
      <c r="D60" s="115"/>
      <c r="E60" s="115"/>
      <c r="F60" s="115"/>
      <c r="G60" s="99"/>
      <c r="H60" s="98"/>
      <c r="I60" s="100"/>
      <c r="J60" s="100"/>
      <c r="K60" s="100"/>
      <c r="L60" s="101"/>
      <c r="M60" s="101"/>
      <c r="N60" s="112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</row>
    <row r="61" spans="1:29" ht="13">
      <c r="A61" s="115"/>
      <c r="B61" s="97"/>
      <c r="C61" s="115"/>
      <c r="D61" s="115"/>
      <c r="E61" s="115"/>
      <c r="F61" s="115"/>
      <c r="G61" s="99"/>
      <c r="H61" s="98"/>
      <c r="I61" s="100"/>
      <c r="J61" s="100"/>
      <c r="K61" s="100"/>
      <c r="L61" s="101"/>
      <c r="M61" s="101"/>
      <c r="N61" s="112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</row>
    <row r="62" spans="1:29" ht="13">
      <c r="A62" s="115"/>
      <c r="B62" s="97"/>
      <c r="C62" s="115"/>
      <c r="D62" s="115"/>
      <c r="E62" s="115"/>
      <c r="F62" s="115"/>
      <c r="G62" s="99"/>
      <c r="H62" s="98"/>
      <c r="I62" s="100"/>
      <c r="J62" s="100"/>
      <c r="K62" s="100"/>
      <c r="L62" s="101"/>
      <c r="M62" s="101"/>
      <c r="N62" s="112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</row>
    <row r="63" spans="1:29" ht="13">
      <c r="A63" s="115"/>
      <c r="B63" s="97"/>
      <c r="C63" s="115"/>
      <c r="D63" s="115"/>
      <c r="E63" s="115"/>
      <c r="F63" s="115"/>
      <c r="G63" s="99"/>
      <c r="H63" s="98"/>
      <c r="I63" s="100"/>
      <c r="J63" s="100"/>
      <c r="K63" s="100"/>
      <c r="L63" s="101"/>
      <c r="M63" s="101"/>
      <c r="N63" s="112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</row>
    <row r="64" spans="1:29" ht="13">
      <c r="A64" s="115"/>
      <c r="B64" s="97"/>
      <c r="C64" s="115"/>
      <c r="D64" s="115"/>
      <c r="E64" s="115"/>
      <c r="F64" s="115"/>
      <c r="G64" s="99"/>
      <c r="H64" s="98"/>
      <c r="I64" s="100"/>
      <c r="J64" s="100"/>
      <c r="K64" s="100"/>
      <c r="L64" s="101"/>
      <c r="M64" s="101"/>
      <c r="N64" s="112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</row>
    <row r="65" spans="1:29" ht="13">
      <c r="A65" s="115"/>
      <c r="B65" s="97"/>
      <c r="C65" s="115"/>
      <c r="D65" s="115"/>
      <c r="E65" s="115"/>
      <c r="F65" s="115"/>
      <c r="G65" s="99"/>
      <c r="H65" s="98"/>
      <c r="I65" s="100"/>
      <c r="J65" s="100"/>
      <c r="K65" s="100"/>
      <c r="L65" s="101"/>
      <c r="M65" s="101"/>
      <c r="N65" s="112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</row>
    <row r="66" spans="1:29" ht="13">
      <c r="A66" s="115"/>
      <c r="B66" s="97"/>
      <c r="C66" s="115"/>
      <c r="D66" s="115"/>
      <c r="E66" s="115"/>
      <c r="F66" s="115"/>
      <c r="G66" s="99"/>
      <c r="H66" s="98"/>
      <c r="I66" s="100"/>
      <c r="J66" s="100"/>
      <c r="K66" s="100"/>
      <c r="L66" s="101"/>
      <c r="M66" s="101"/>
      <c r="N66" s="112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</row>
    <row r="67" spans="1:29" ht="13">
      <c r="A67" s="115"/>
      <c r="B67" s="97"/>
      <c r="C67" s="115"/>
      <c r="D67" s="115"/>
      <c r="E67" s="115"/>
      <c r="F67" s="115"/>
      <c r="G67" s="99"/>
      <c r="H67" s="98"/>
      <c r="I67" s="100"/>
      <c r="J67" s="100"/>
      <c r="K67" s="100"/>
      <c r="L67" s="101"/>
      <c r="M67" s="101"/>
      <c r="N67" s="112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</row>
    <row r="68" spans="1:29" ht="13">
      <c r="A68" s="115"/>
      <c r="B68" s="97"/>
      <c r="C68" s="115"/>
      <c r="D68" s="115"/>
      <c r="E68" s="115"/>
      <c r="F68" s="115"/>
      <c r="G68" s="99"/>
      <c r="H68" s="98"/>
      <c r="I68" s="100"/>
      <c r="J68" s="100"/>
      <c r="K68" s="100"/>
      <c r="L68" s="101"/>
      <c r="M68" s="101"/>
      <c r="N68" s="112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</row>
    <row r="69" spans="1:29" ht="13">
      <c r="A69" s="115"/>
      <c r="B69" s="97"/>
      <c r="C69" s="115"/>
      <c r="D69" s="115"/>
      <c r="E69" s="115"/>
      <c r="F69" s="115"/>
      <c r="G69" s="99"/>
      <c r="H69" s="98"/>
      <c r="I69" s="100"/>
      <c r="J69" s="100"/>
      <c r="K69" s="100"/>
      <c r="L69" s="101"/>
      <c r="M69" s="101"/>
      <c r="N69" s="112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</row>
    <row r="70" spans="1:29" ht="13">
      <c r="A70" s="115"/>
      <c r="B70" s="97"/>
      <c r="C70" s="115"/>
      <c r="D70" s="115"/>
      <c r="E70" s="115"/>
      <c r="F70" s="115"/>
      <c r="G70" s="99"/>
      <c r="H70" s="98"/>
      <c r="I70" s="100"/>
      <c r="J70" s="100"/>
      <c r="K70" s="100"/>
      <c r="L70" s="101"/>
      <c r="M70" s="101"/>
      <c r="N70" s="112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</row>
    <row r="71" spans="1:29" ht="13">
      <c r="A71" s="115"/>
      <c r="B71" s="97"/>
      <c r="C71" s="115"/>
      <c r="D71" s="115"/>
      <c r="E71" s="115"/>
      <c r="F71" s="115"/>
      <c r="G71" s="99"/>
      <c r="H71" s="98"/>
      <c r="I71" s="100"/>
      <c r="J71" s="100"/>
      <c r="K71" s="100"/>
      <c r="L71" s="101"/>
      <c r="M71" s="101"/>
      <c r="N71" s="112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</row>
    <row r="72" spans="1:29" ht="13">
      <c r="A72" s="115"/>
      <c r="B72" s="97"/>
      <c r="C72" s="115"/>
      <c r="D72" s="115"/>
      <c r="E72" s="115"/>
      <c r="F72" s="115"/>
      <c r="G72" s="99"/>
      <c r="H72" s="98"/>
      <c r="I72" s="100"/>
      <c r="J72" s="100"/>
      <c r="K72" s="100"/>
      <c r="L72" s="101"/>
      <c r="M72" s="101"/>
      <c r="N72" s="112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</row>
    <row r="73" spans="1:29" ht="13">
      <c r="A73" s="115"/>
      <c r="B73" s="97"/>
      <c r="C73" s="115"/>
      <c r="D73" s="115"/>
      <c r="E73" s="115"/>
      <c r="F73" s="115"/>
      <c r="G73" s="99"/>
      <c r="H73" s="98"/>
      <c r="I73" s="100"/>
      <c r="J73" s="100"/>
      <c r="K73" s="100"/>
      <c r="L73" s="101"/>
      <c r="M73" s="101"/>
      <c r="N73" s="112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</row>
    <row r="74" spans="1:29" ht="13">
      <c r="A74" s="115"/>
      <c r="B74" s="97"/>
      <c r="C74" s="115"/>
      <c r="D74" s="115"/>
      <c r="E74" s="115"/>
      <c r="F74" s="115"/>
      <c r="G74" s="99"/>
      <c r="H74" s="98"/>
      <c r="I74" s="100"/>
      <c r="J74" s="100"/>
      <c r="K74" s="100"/>
      <c r="L74" s="101"/>
      <c r="M74" s="101"/>
      <c r="N74" s="112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</row>
    <row r="75" spans="1:29" ht="13">
      <c r="A75" s="115"/>
      <c r="B75" s="97"/>
      <c r="C75" s="115"/>
      <c r="D75" s="115"/>
      <c r="E75" s="115"/>
      <c r="F75" s="115"/>
      <c r="G75" s="99"/>
      <c r="H75" s="98"/>
      <c r="I75" s="100"/>
      <c r="J75" s="100"/>
      <c r="K75" s="100"/>
      <c r="L75" s="101"/>
      <c r="M75" s="101"/>
      <c r="N75" s="112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</row>
    <row r="76" spans="1:29" ht="13">
      <c r="A76" s="115"/>
      <c r="B76" s="97"/>
      <c r="C76" s="115"/>
      <c r="D76" s="115"/>
      <c r="E76" s="115"/>
      <c r="F76" s="115"/>
      <c r="G76" s="99"/>
      <c r="H76" s="98"/>
      <c r="I76" s="100"/>
      <c r="J76" s="100"/>
      <c r="K76" s="100"/>
      <c r="L76" s="101"/>
      <c r="M76" s="101"/>
      <c r="N76" s="112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</row>
    <row r="77" spans="1:29" ht="13">
      <c r="A77" s="115"/>
      <c r="B77" s="97"/>
      <c r="C77" s="115"/>
      <c r="D77" s="115"/>
      <c r="E77" s="115"/>
      <c r="F77" s="115"/>
      <c r="G77" s="99"/>
      <c r="H77" s="98"/>
      <c r="I77" s="100"/>
      <c r="J77" s="100"/>
      <c r="K77" s="100"/>
      <c r="L77" s="101"/>
      <c r="M77" s="101"/>
      <c r="N77" s="112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</row>
    <row r="78" spans="1:29" ht="13">
      <c r="A78" s="115"/>
      <c r="B78" s="97"/>
      <c r="C78" s="115"/>
      <c r="D78" s="115"/>
      <c r="E78" s="115"/>
      <c r="F78" s="115"/>
      <c r="G78" s="99"/>
      <c r="H78" s="98"/>
      <c r="I78" s="100"/>
      <c r="J78" s="100"/>
      <c r="K78" s="100"/>
      <c r="L78" s="101"/>
      <c r="M78" s="101"/>
      <c r="N78" s="112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</row>
    <row r="79" spans="1:29" ht="13">
      <c r="A79" s="115"/>
      <c r="B79" s="97"/>
      <c r="C79" s="115"/>
      <c r="D79" s="115"/>
      <c r="E79" s="115"/>
      <c r="F79" s="115"/>
      <c r="G79" s="99"/>
      <c r="H79" s="98"/>
      <c r="I79" s="100"/>
      <c r="J79" s="100"/>
      <c r="K79" s="100"/>
      <c r="L79" s="101"/>
      <c r="M79" s="101"/>
      <c r="N79" s="112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</row>
    <row r="80" spans="1:29" ht="13">
      <c r="A80" s="115"/>
      <c r="B80" s="97"/>
      <c r="C80" s="115"/>
      <c r="D80" s="115"/>
      <c r="E80" s="115"/>
      <c r="F80" s="115"/>
      <c r="G80" s="99"/>
      <c r="H80" s="98"/>
      <c r="I80" s="100"/>
      <c r="J80" s="100"/>
      <c r="K80" s="100"/>
      <c r="L80" s="101"/>
      <c r="M80" s="101"/>
      <c r="N80" s="112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</row>
    <row r="81" spans="1:29" ht="13">
      <c r="A81" s="115"/>
      <c r="B81" s="97"/>
      <c r="C81" s="115"/>
      <c r="D81" s="115"/>
      <c r="E81" s="115"/>
      <c r="F81" s="115"/>
      <c r="G81" s="99"/>
      <c r="H81" s="98"/>
      <c r="I81" s="100"/>
      <c r="J81" s="100"/>
      <c r="K81" s="100"/>
      <c r="L81" s="101"/>
      <c r="M81" s="101"/>
      <c r="N81" s="112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</row>
    <row r="82" spans="1:29" ht="13">
      <c r="A82" s="115"/>
      <c r="B82" s="97"/>
      <c r="C82" s="115"/>
      <c r="D82" s="115"/>
      <c r="E82" s="115"/>
      <c r="F82" s="115"/>
      <c r="G82" s="99"/>
      <c r="H82" s="98"/>
      <c r="I82" s="100"/>
      <c r="J82" s="100"/>
      <c r="K82" s="100"/>
      <c r="L82" s="101"/>
      <c r="M82" s="101"/>
      <c r="N82" s="112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</row>
    <row r="83" spans="1:29" ht="13">
      <c r="A83" s="115"/>
      <c r="B83" s="97"/>
      <c r="C83" s="115"/>
      <c r="D83" s="115"/>
      <c r="E83" s="115"/>
      <c r="F83" s="115"/>
      <c r="G83" s="99"/>
      <c r="H83" s="98"/>
      <c r="I83" s="100"/>
      <c r="J83" s="100"/>
      <c r="K83" s="100"/>
      <c r="L83" s="101"/>
      <c r="M83" s="101"/>
      <c r="N83" s="112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</row>
    <row r="84" spans="1:29" ht="13">
      <c r="A84" s="115"/>
      <c r="B84" s="97"/>
      <c r="C84" s="115"/>
      <c r="D84" s="115"/>
      <c r="E84" s="115"/>
      <c r="F84" s="115"/>
      <c r="G84" s="99"/>
      <c r="H84" s="98"/>
      <c r="I84" s="100"/>
      <c r="J84" s="100"/>
      <c r="K84" s="100"/>
      <c r="L84" s="101"/>
      <c r="M84" s="101"/>
      <c r="N84" s="112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</row>
    <row r="85" spans="1:29" ht="13">
      <c r="A85" s="115"/>
      <c r="B85" s="97"/>
      <c r="C85" s="115"/>
      <c r="D85" s="115"/>
      <c r="E85" s="115"/>
      <c r="F85" s="115"/>
      <c r="G85" s="99"/>
      <c r="H85" s="98"/>
      <c r="I85" s="100"/>
      <c r="J85" s="100"/>
      <c r="K85" s="100"/>
      <c r="L85" s="101"/>
      <c r="M85" s="101"/>
      <c r="N85" s="112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</row>
    <row r="86" spans="1:29" ht="13">
      <c r="A86" s="115"/>
      <c r="B86" s="97"/>
      <c r="C86" s="115"/>
      <c r="D86" s="115"/>
      <c r="E86" s="115"/>
      <c r="F86" s="115"/>
      <c r="G86" s="99"/>
      <c r="H86" s="98"/>
      <c r="I86" s="100"/>
      <c r="J86" s="100"/>
      <c r="K86" s="100"/>
      <c r="L86" s="101"/>
      <c r="M86" s="101"/>
      <c r="N86" s="112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</row>
    <row r="87" spans="1:29" ht="13">
      <c r="A87" s="115"/>
      <c r="B87" s="97"/>
      <c r="C87" s="115"/>
      <c r="D87" s="115"/>
      <c r="E87" s="115"/>
      <c r="F87" s="115"/>
      <c r="G87" s="99"/>
      <c r="H87" s="98"/>
      <c r="I87" s="100"/>
      <c r="J87" s="100"/>
      <c r="K87" s="100"/>
      <c r="L87" s="101"/>
      <c r="M87" s="101"/>
      <c r="N87" s="112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</row>
    <row r="88" spans="1:29" ht="13">
      <c r="A88" s="115"/>
      <c r="B88" s="97"/>
      <c r="C88" s="115"/>
      <c r="D88" s="115"/>
      <c r="E88" s="115"/>
      <c r="F88" s="115"/>
      <c r="G88" s="99"/>
      <c r="H88" s="98"/>
      <c r="I88" s="100"/>
      <c r="J88" s="100"/>
      <c r="K88" s="100"/>
      <c r="L88" s="101"/>
      <c r="M88" s="101"/>
      <c r="N88" s="112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</row>
    <row r="89" spans="1:29" ht="13">
      <c r="A89" s="115"/>
      <c r="B89" s="97"/>
      <c r="C89" s="115"/>
      <c r="D89" s="115"/>
      <c r="E89" s="115"/>
      <c r="F89" s="115"/>
      <c r="G89" s="99"/>
      <c r="H89" s="98"/>
      <c r="I89" s="100"/>
      <c r="J89" s="100"/>
      <c r="K89" s="100"/>
      <c r="L89" s="101"/>
      <c r="M89" s="101"/>
      <c r="N89" s="112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</row>
    <row r="90" spans="1:29" ht="13">
      <c r="A90" s="115"/>
      <c r="B90" s="97"/>
      <c r="C90" s="115"/>
      <c r="D90" s="115"/>
      <c r="E90" s="115"/>
      <c r="F90" s="115"/>
      <c r="G90" s="99"/>
      <c r="H90" s="98"/>
      <c r="I90" s="100"/>
      <c r="J90" s="100"/>
      <c r="K90" s="100"/>
      <c r="L90" s="101"/>
      <c r="M90" s="101"/>
      <c r="N90" s="112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</row>
    <row r="91" spans="1:29" ht="13">
      <c r="A91" s="115"/>
      <c r="B91" s="97"/>
      <c r="C91" s="115"/>
      <c r="D91" s="115"/>
      <c r="E91" s="115"/>
      <c r="F91" s="115"/>
      <c r="G91" s="99"/>
      <c r="H91" s="98"/>
      <c r="I91" s="100"/>
      <c r="J91" s="100"/>
      <c r="K91" s="100"/>
      <c r="L91" s="101"/>
      <c r="M91" s="101"/>
      <c r="N91" s="112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</row>
    <row r="92" spans="1:29" ht="13">
      <c r="A92" s="115"/>
      <c r="B92" s="97"/>
      <c r="C92" s="115"/>
      <c r="D92" s="115"/>
      <c r="E92" s="115"/>
      <c r="F92" s="115"/>
      <c r="G92" s="99"/>
      <c r="H92" s="98"/>
      <c r="I92" s="100"/>
      <c r="J92" s="100"/>
      <c r="K92" s="100"/>
      <c r="L92" s="101"/>
      <c r="M92" s="101"/>
      <c r="N92" s="112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</row>
    <row r="93" spans="1:29" ht="13">
      <c r="A93" s="115"/>
      <c r="B93" s="97"/>
      <c r="C93" s="115"/>
      <c r="D93" s="115"/>
      <c r="E93" s="115"/>
      <c r="F93" s="115"/>
      <c r="G93" s="99"/>
      <c r="H93" s="98"/>
      <c r="I93" s="100"/>
      <c r="J93" s="100"/>
      <c r="K93" s="100"/>
      <c r="L93" s="101"/>
      <c r="M93" s="101"/>
      <c r="N93" s="112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</row>
    <row r="94" spans="1:29" ht="13">
      <c r="A94" s="115"/>
      <c r="B94" s="97"/>
      <c r="C94" s="115"/>
      <c r="D94" s="115"/>
      <c r="E94" s="115"/>
      <c r="F94" s="115"/>
      <c r="G94" s="99"/>
      <c r="H94" s="98"/>
      <c r="I94" s="100"/>
      <c r="J94" s="100"/>
      <c r="K94" s="100"/>
      <c r="L94" s="101"/>
      <c r="M94" s="101"/>
      <c r="N94" s="112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</row>
    <row r="95" spans="1:29" ht="13">
      <c r="A95" s="115"/>
      <c r="B95" s="97"/>
      <c r="C95" s="115"/>
      <c r="D95" s="115"/>
      <c r="E95" s="115"/>
      <c r="F95" s="115"/>
      <c r="G95" s="99"/>
      <c r="H95" s="98"/>
      <c r="I95" s="100"/>
      <c r="J95" s="100"/>
      <c r="K95" s="100"/>
      <c r="L95" s="101"/>
      <c r="M95" s="101"/>
      <c r="N95" s="112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</row>
    <row r="96" spans="1:29" ht="13">
      <c r="A96" s="115"/>
      <c r="B96" s="97"/>
      <c r="C96" s="115"/>
      <c r="D96" s="115"/>
      <c r="E96" s="115"/>
      <c r="F96" s="115"/>
      <c r="G96" s="99"/>
      <c r="H96" s="98"/>
      <c r="I96" s="100"/>
      <c r="J96" s="100"/>
      <c r="K96" s="100"/>
      <c r="L96" s="101"/>
      <c r="M96" s="101"/>
      <c r="N96" s="112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</row>
    <row r="97" spans="1:29" ht="13">
      <c r="A97" s="115"/>
      <c r="B97" s="97"/>
      <c r="C97" s="115"/>
      <c r="D97" s="115"/>
      <c r="E97" s="115"/>
      <c r="F97" s="115"/>
      <c r="G97" s="99"/>
      <c r="H97" s="98"/>
      <c r="I97" s="100"/>
      <c r="J97" s="100"/>
      <c r="K97" s="100"/>
      <c r="L97" s="101"/>
      <c r="M97" s="101"/>
      <c r="N97" s="112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</row>
    <row r="98" spans="1:29" ht="13">
      <c r="A98" s="115"/>
      <c r="B98" s="97"/>
      <c r="C98" s="115"/>
      <c r="D98" s="115"/>
      <c r="E98" s="115"/>
      <c r="F98" s="115"/>
      <c r="G98" s="99"/>
      <c r="H98" s="98"/>
      <c r="I98" s="100"/>
      <c r="J98" s="100"/>
      <c r="K98" s="100"/>
      <c r="L98" s="101"/>
      <c r="M98" s="101"/>
      <c r="N98" s="112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</row>
    <row r="99" spans="1:29" ht="13">
      <c r="A99" s="115"/>
      <c r="B99" s="97"/>
      <c r="C99" s="115"/>
      <c r="D99" s="115"/>
      <c r="E99" s="115"/>
      <c r="F99" s="115"/>
      <c r="G99" s="99"/>
      <c r="H99" s="98"/>
      <c r="I99" s="100"/>
      <c r="J99" s="100"/>
      <c r="K99" s="100"/>
      <c r="L99" s="101"/>
      <c r="M99" s="101"/>
      <c r="N99" s="112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</row>
    <row r="100" spans="1:29" ht="13">
      <c r="A100" s="115"/>
      <c r="B100" s="97"/>
      <c r="C100" s="115"/>
      <c r="D100" s="115"/>
      <c r="E100" s="115"/>
      <c r="F100" s="115"/>
      <c r="G100" s="99"/>
      <c r="H100" s="98"/>
      <c r="I100" s="100"/>
      <c r="J100" s="100"/>
      <c r="K100" s="100"/>
      <c r="L100" s="101"/>
      <c r="M100" s="101"/>
      <c r="N100" s="112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</row>
    <row r="101" spans="1:29" ht="13">
      <c r="A101" s="115"/>
      <c r="B101" s="97"/>
      <c r="C101" s="115"/>
      <c r="D101" s="115"/>
      <c r="E101" s="115"/>
      <c r="F101" s="115"/>
      <c r="G101" s="99"/>
      <c r="H101" s="98"/>
      <c r="I101" s="100"/>
      <c r="J101" s="100"/>
      <c r="K101" s="100"/>
      <c r="L101" s="101"/>
      <c r="M101" s="101"/>
      <c r="N101" s="112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</row>
    <row r="102" spans="1:29" ht="13">
      <c r="A102" s="115"/>
      <c r="B102" s="97"/>
      <c r="C102" s="115"/>
      <c r="D102" s="115"/>
      <c r="E102" s="115"/>
      <c r="F102" s="115"/>
      <c r="G102" s="99"/>
      <c r="H102" s="98"/>
      <c r="I102" s="100"/>
      <c r="J102" s="100"/>
      <c r="K102" s="100"/>
      <c r="L102" s="101"/>
      <c r="M102" s="101"/>
      <c r="N102" s="112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</row>
    <row r="103" spans="1:29" ht="13">
      <c r="A103" s="115"/>
      <c r="B103" s="97"/>
      <c r="C103" s="115"/>
      <c r="D103" s="115"/>
      <c r="E103" s="115"/>
      <c r="F103" s="115"/>
      <c r="G103" s="99"/>
      <c r="H103" s="98"/>
      <c r="I103" s="100"/>
      <c r="J103" s="100"/>
      <c r="K103" s="100"/>
      <c r="L103" s="101"/>
      <c r="M103" s="101"/>
      <c r="N103" s="112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</row>
    <row r="104" spans="1:29" ht="13">
      <c r="A104" s="115"/>
      <c r="B104" s="97"/>
      <c r="C104" s="115"/>
      <c r="D104" s="115"/>
      <c r="E104" s="115"/>
      <c r="F104" s="115"/>
      <c r="G104" s="99"/>
      <c r="H104" s="98"/>
      <c r="I104" s="100"/>
      <c r="J104" s="100"/>
      <c r="K104" s="100"/>
      <c r="L104" s="101"/>
      <c r="M104" s="101"/>
      <c r="N104" s="112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</row>
    <row r="105" spans="1:29" ht="13">
      <c r="A105" s="115"/>
      <c r="B105" s="97"/>
      <c r="C105" s="115"/>
      <c r="D105" s="115"/>
      <c r="E105" s="115"/>
      <c r="F105" s="115"/>
      <c r="G105" s="99"/>
      <c r="H105" s="98"/>
      <c r="I105" s="100"/>
      <c r="J105" s="100"/>
      <c r="K105" s="100"/>
      <c r="L105" s="101"/>
      <c r="M105" s="101"/>
      <c r="N105" s="112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</row>
    <row r="106" spans="1:29" ht="13">
      <c r="A106" s="115"/>
      <c r="B106" s="97"/>
      <c r="C106" s="115"/>
      <c r="D106" s="115"/>
      <c r="E106" s="115"/>
      <c r="F106" s="115"/>
      <c r="G106" s="99"/>
      <c r="H106" s="98"/>
      <c r="I106" s="100"/>
      <c r="J106" s="100"/>
      <c r="K106" s="100"/>
      <c r="L106" s="101"/>
      <c r="M106" s="101"/>
      <c r="N106" s="112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</row>
    <row r="107" spans="1:29" ht="13">
      <c r="A107" s="115"/>
      <c r="B107" s="97"/>
      <c r="C107" s="115"/>
      <c r="D107" s="115"/>
      <c r="E107" s="115"/>
      <c r="F107" s="115"/>
      <c r="G107" s="99"/>
      <c r="H107" s="98"/>
      <c r="I107" s="100"/>
      <c r="J107" s="100"/>
      <c r="K107" s="100"/>
      <c r="L107" s="101"/>
      <c r="M107" s="101"/>
      <c r="N107" s="112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</row>
    <row r="108" spans="1:29" ht="13">
      <c r="A108" s="115"/>
      <c r="B108" s="97"/>
      <c r="C108" s="115"/>
      <c r="D108" s="115"/>
      <c r="E108" s="115"/>
      <c r="F108" s="115"/>
      <c r="G108" s="99"/>
      <c r="H108" s="98"/>
      <c r="I108" s="100"/>
      <c r="J108" s="100"/>
      <c r="K108" s="100"/>
      <c r="L108" s="101"/>
      <c r="M108" s="101"/>
      <c r="N108" s="112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</row>
    <row r="109" spans="1:29" ht="13">
      <c r="A109" s="115"/>
      <c r="B109" s="97"/>
      <c r="C109" s="115"/>
      <c r="D109" s="115"/>
      <c r="E109" s="115"/>
      <c r="F109" s="115"/>
      <c r="G109" s="99"/>
      <c r="H109" s="98"/>
      <c r="I109" s="100"/>
      <c r="J109" s="100"/>
      <c r="K109" s="100"/>
      <c r="L109" s="101"/>
      <c r="M109" s="101"/>
      <c r="N109" s="112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</row>
    <row r="110" spans="1:29" ht="13">
      <c r="A110" s="115"/>
      <c r="B110" s="97"/>
      <c r="C110" s="115"/>
      <c r="D110" s="115"/>
      <c r="E110" s="115"/>
      <c r="F110" s="115"/>
      <c r="G110" s="99"/>
      <c r="H110" s="98"/>
      <c r="I110" s="100"/>
      <c r="J110" s="100"/>
      <c r="K110" s="100"/>
      <c r="L110" s="101"/>
      <c r="M110" s="101"/>
      <c r="N110" s="112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</row>
    <row r="111" spans="1:29" ht="13">
      <c r="A111" s="115"/>
      <c r="B111" s="97"/>
      <c r="C111" s="115"/>
      <c r="D111" s="115"/>
      <c r="E111" s="115"/>
      <c r="F111" s="115"/>
      <c r="G111" s="99"/>
      <c r="H111" s="98"/>
      <c r="I111" s="100"/>
      <c r="J111" s="100"/>
      <c r="K111" s="100"/>
      <c r="L111" s="101"/>
      <c r="M111" s="101"/>
      <c r="N111" s="112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</row>
    <row r="112" spans="1:29" ht="13">
      <c r="A112" s="115"/>
      <c r="B112" s="97"/>
      <c r="C112" s="115"/>
      <c r="D112" s="115"/>
      <c r="E112" s="115"/>
      <c r="F112" s="115"/>
      <c r="G112" s="99"/>
      <c r="H112" s="98"/>
      <c r="I112" s="100"/>
      <c r="J112" s="100"/>
      <c r="K112" s="100"/>
      <c r="L112" s="101"/>
      <c r="M112" s="101"/>
      <c r="N112" s="112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</row>
    <row r="113" spans="1:29" ht="13">
      <c r="A113" s="115"/>
      <c r="B113" s="97"/>
      <c r="C113" s="115"/>
      <c r="D113" s="115"/>
      <c r="E113" s="115"/>
      <c r="F113" s="115"/>
      <c r="G113" s="99"/>
      <c r="H113" s="98"/>
      <c r="I113" s="100"/>
      <c r="J113" s="100"/>
      <c r="K113" s="100"/>
      <c r="L113" s="101"/>
      <c r="M113" s="101"/>
      <c r="N113" s="112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</row>
    <row r="114" spans="1:29" ht="13">
      <c r="A114" s="115"/>
      <c r="B114" s="97"/>
      <c r="C114" s="115"/>
      <c r="D114" s="115"/>
      <c r="E114" s="115"/>
      <c r="F114" s="115"/>
      <c r="G114" s="99"/>
      <c r="H114" s="98"/>
      <c r="I114" s="100"/>
      <c r="J114" s="100"/>
      <c r="K114" s="100"/>
      <c r="L114" s="101"/>
      <c r="M114" s="101"/>
      <c r="N114" s="112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</row>
    <row r="115" spans="1:29" ht="13">
      <c r="A115" s="115"/>
      <c r="B115" s="97"/>
      <c r="C115" s="115"/>
      <c r="D115" s="115"/>
      <c r="E115" s="115"/>
      <c r="F115" s="115"/>
      <c r="G115" s="99"/>
      <c r="H115" s="98"/>
      <c r="I115" s="100"/>
      <c r="J115" s="100"/>
      <c r="K115" s="100"/>
      <c r="L115" s="101"/>
      <c r="M115" s="101"/>
      <c r="N115" s="112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</row>
    <row r="116" spans="1:29" ht="13">
      <c r="A116" s="115"/>
      <c r="B116" s="97"/>
      <c r="C116" s="115"/>
      <c r="D116" s="115"/>
      <c r="E116" s="115"/>
      <c r="F116" s="115"/>
      <c r="G116" s="99"/>
      <c r="H116" s="98"/>
      <c r="I116" s="100"/>
      <c r="J116" s="100"/>
      <c r="K116" s="100"/>
      <c r="L116" s="101"/>
      <c r="M116" s="101"/>
      <c r="N116" s="112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</row>
    <row r="117" spans="1:29" ht="13">
      <c r="A117" s="115"/>
      <c r="B117" s="97"/>
      <c r="C117" s="115"/>
      <c r="D117" s="115"/>
      <c r="E117" s="115"/>
      <c r="F117" s="115"/>
      <c r="G117" s="99"/>
      <c r="H117" s="98"/>
      <c r="I117" s="100"/>
      <c r="J117" s="100"/>
      <c r="K117" s="100"/>
      <c r="L117" s="101"/>
      <c r="M117" s="101"/>
      <c r="N117" s="112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</row>
    <row r="118" spans="1:29" ht="13">
      <c r="A118" s="115"/>
      <c r="B118" s="97"/>
      <c r="C118" s="115"/>
      <c r="D118" s="115"/>
      <c r="E118" s="115"/>
      <c r="F118" s="115"/>
      <c r="G118" s="99"/>
      <c r="H118" s="98"/>
      <c r="I118" s="100"/>
      <c r="J118" s="100"/>
      <c r="K118" s="100"/>
      <c r="L118" s="101"/>
      <c r="M118" s="101"/>
      <c r="N118" s="112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</row>
    <row r="119" spans="1:29" ht="13">
      <c r="A119" s="115"/>
      <c r="B119" s="97"/>
      <c r="C119" s="115"/>
      <c r="D119" s="115"/>
      <c r="E119" s="115"/>
      <c r="F119" s="115"/>
      <c r="G119" s="99"/>
      <c r="H119" s="98"/>
      <c r="I119" s="100"/>
      <c r="J119" s="100"/>
      <c r="K119" s="100"/>
      <c r="L119" s="101"/>
      <c r="M119" s="101"/>
      <c r="N119" s="112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</row>
    <row r="120" spans="1:29" ht="13">
      <c r="A120" s="115"/>
      <c r="B120" s="97"/>
      <c r="C120" s="115"/>
      <c r="D120" s="115"/>
      <c r="E120" s="115"/>
      <c r="F120" s="115"/>
      <c r="G120" s="99"/>
      <c r="H120" s="98"/>
      <c r="I120" s="100"/>
      <c r="J120" s="100"/>
      <c r="K120" s="100"/>
      <c r="L120" s="101"/>
      <c r="M120" s="101"/>
      <c r="N120" s="112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</row>
    <row r="121" spans="1:29" ht="13">
      <c r="A121" s="115"/>
      <c r="B121" s="97"/>
      <c r="C121" s="115"/>
      <c r="D121" s="115"/>
      <c r="E121" s="115"/>
      <c r="F121" s="115"/>
      <c r="G121" s="99"/>
      <c r="H121" s="98"/>
      <c r="I121" s="100"/>
      <c r="J121" s="100"/>
      <c r="K121" s="100"/>
      <c r="L121" s="101"/>
      <c r="M121" s="101"/>
      <c r="N121" s="112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</row>
    <row r="122" spans="1:29" ht="13">
      <c r="A122" s="115"/>
      <c r="B122" s="97"/>
      <c r="C122" s="115"/>
      <c r="D122" s="115"/>
      <c r="E122" s="115"/>
      <c r="F122" s="115"/>
      <c r="G122" s="99"/>
      <c r="H122" s="98"/>
      <c r="I122" s="100"/>
      <c r="J122" s="100"/>
      <c r="K122" s="100"/>
      <c r="L122" s="101"/>
      <c r="M122" s="101"/>
      <c r="N122" s="112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</row>
    <row r="123" spans="1:29" ht="13">
      <c r="A123" s="115"/>
      <c r="B123" s="97"/>
      <c r="C123" s="115"/>
      <c r="D123" s="115"/>
      <c r="E123" s="115"/>
      <c r="F123" s="115"/>
      <c r="G123" s="99"/>
      <c r="H123" s="98"/>
      <c r="I123" s="100"/>
      <c r="J123" s="100"/>
      <c r="K123" s="100"/>
      <c r="L123" s="101"/>
      <c r="M123" s="101"/>
      <c r="N123" s="112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</row>
    <row r="124" spans="1:29" ht="13">
      <c r="A124" s="115"/>
      <c r="B124" s="97"/>
      <c r="C124" s="115"/>
      <c r="D124" s="115"/>
      <c r="E124" s="115"/>
      <c r="F124" s="115"/>
      <c r="G124" s="99"/>
      <c r="H124" s="98"/>
      <c r="I124" s="100"/>
      <c r="J124" s="100"/>
      <c r="K124" s="100"/>
      <c r="L124" s="101"/>
      <c r="M124" s="101"/>
      <c r="N124" s="112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</row>
    <row r="125" spans="1:29" ht="13">
      <c r="A125" s="115"/>
      <c r="B125" s="97"/>
      <c r="C125" s="115"/>
      <c r="D125" s="115"/>
      <c r="E125" s="115"/>
      <c r="F125" s="115"/>
      <c r="G125" s="99"/>
      <c r="H125" s="98"/>
      <c r="I125" s="100"/>
      <c r="J125" s="100"/>
      <c r="K125" s="100"/>
      <c r="L125" s="101"/>
      <c r="M125" s="101"/>
      <c r="N125" s="112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</row>
    <row r="126" spans="1:29" ht="13">
      <c r="A126" s="115"/>
      <c r="B126" s="97"/>
      <c r="C126" s="115"/>
      <c r="D126" s="115"/>
      <c r="E126" s="115"/>
      <c r="F126" s="115"/>
      <c r="G126" s="99"/>
      <c r="H126" s="98"/>
      <c r="I126" s="100"/>
      <c r="J126" s="100"/>
      <c r="K126" s="100"/>
      <c r="L126" s="101"/>
      <c r="M126" s="101"/>
      <c r="N126" s="112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</row>
    <row r="127" spans="1:29" ht="13">
      <c r="A127" s="115"/>
      <c r="B127" s="97"/>
      <c r="C127" s="115"/>
      <c r="D127" s="115"/>
      <c r="E127" s="115"/>
      <c r="F127" s="115"/>
      <c r="G127" s="99"/>
      <c r="H127" s="98"/>
      <c r="I127" s="100"/>
      <c r="J127" s="100"/>
      <c r="K127" s="100"/>
      <c r="L127" s="101"/>
      <c r="M127" s="101"/>
      <c r="N127" s="112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</row>
    <row r="128" spans="1:29" ht="13">
      <c r="A128" s="115"/>
      <c r="B128" s="97"/>
      <c r="C128" s="115"/>
      <c r="D128" s="115"/>
      <c r="E128" s="115"/>
      <c r="F128" s="115"/>
      <c r="G128" s="99"/>
      <c r="H128" s="98"/>
      <c r="I128" s="100"/>
      <c r="J128" s="100"/>
      <c r="K128" s="100"/>
      <c r="L128" s="101"/>
      <c r="M128" s="101"/>
      <c r="N128" s="112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</row>
    <row r="129" spans="1:29" ht="13">
      <c r="A129" s="115"/>
      <c r="B129" s="97"/>
      <c r="C129" s="115"/>
      <c r="D129" s="115"/>
      <c r="E129" s="115"/>
      <c r="F129" s="115"/>
      <c r="G129" s="99"/>
      <c r="H129" s="98"/>
      <c r="I129" s="100"/>
      <c r="J129" s="100"/>
      <c r="K129" s="100"/>
      <c r="L129" s="101"/>
      <c r="M129" s="101"/>
      <c r="N129" s="112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</row>
    <row r="130" spans="1:29" ht="13">
      <c r="A130" s="115"/>
      <c r="B130" s="97"/>
      <c r="C130" s="115"/>
      <c r="D130" s="115"/>
      <c r="E130" s="115"/>
      <c r="F130" s="115"/>
      <c r="G130" s="99"/>
      <c r="H130" s="98"/>
      <c r="I130" s="100"/>
      <c r="J130" s="100"/>
      <c r="K130" s="100"/>
      <c r="L130" s="101"/>
      <c r="M130" s="101"/>
      <c r="N130" s="112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</row>
    <row r="131" spans="1:29" ht="13">
      <c r="A131" s="115"/>
      <c r="B131" s="97"/>
      <c r="C131" s="115"/>
      <c r="D131" s="115"/>
      <c r="E131" s="115"/>
      <c r="F131" s="115"/>
      <c r="G131" s="99"/>
      <c r="H131" s="98"/>
      <c r="I131" s="100"/>
      <c r="J131" s="100"/>
      <c r="K131" s="100"/>
      <c r="L131" s="101"/>
      <c r="M131" s="101"/>
      <c r="N131" s="112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</row>
    <row r="132" spans="1:29" ht="13">
      <c r="A132" s="115"/>
      <c r="B132" s="97"/>
      <c r="C132" s="115"/>
      <c r="D132" s="115"/>
      <c r="E132" s="115"/>
      <c r="F132" s="115"/>
      <c r="G132" s="99"/>
      <c r="H132" s="98"/>
      <c r="I132" s="100"/>
      <c r="J132" s="100"/>
      <c r="K132" s="100"/>
      <c r="L132" s="101"/>
      <c r="M132" s="101"/>
      <c r="N132" s="112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</row>
    <row r="133" spans="1:29" ht="13">
      <c r="A133" s="115"/>
      <c r="B133" s="97"/>
      <c r="C133" s="115"/>
      <c r="D133" s="115"/>
      <c r="E133" s="115"/>
      <c r="F133" s="115"/>
      <c r="G133" s="99"/>
      <c r="H133" s="98"/>
      <c r="I133" s="100"/>
      <c r="J133" s="100"/>
      <c r="K133" s="100"/>
      <c r="L133" s="101"/>
      <c r="M133" s="101"/>
      <c r="N133" s="112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</row>
    <row r="134" spans="1:29" ht="13">
      <c r="A134" s="115"/>
      <c r="B134" s="97"/>
      <c r="C134" s="115"/>
      <c r="D134" s="115"/>
      <c r="E134" s="115"/>
      <c r="F134" s="115"/>
      <c r="G134" s="99"/>
      <c r="H134" s="98"/>
      <c r="I134" s="100"/>
      <c r="J134" s="100"/>
      <c r="K134" s="100"/>
      <c r="L134" s="101"/>
      <c r="M134" s="101"/>
      <c r="N134" s="112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</row>
    <row r="135" spans="1:29" ht="13">
      <c r="A135" s="115"/>
      <c r="B135" s="97"/>
      <c r="C135" s="115"/>
      <c r="D135" s="115"/>
      <c r="E135" s="115"/>
      <c r="F135" s="115"/>
      <c r="G135" s="99"/>
      <c r="H135" s="98"/>
      <c r="I135" s="100"/>
      <c r="J135" s="100"/>
      <c r="K135" s="100"/>
      <c r="L135" s="101"/>
      <c r="M135" s="101"/>
      <c r="N135" s="112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</row>
    <row r="136" spans="1:29" ht="13">
      <c r="A136" s="115"/>
      <c r="B136" s="97"/>
      <c r="C136" s="115"/>
      <c r="D136" s="115"/>
      <c r="E136" s="115"/>
      <c r="F136" s="115"/>
      <c r="G136" s="99"/>
      <c r="H136" s="98"/>
      <c r="I136" s="100"/>
      <c r="J136" s="100"/>
      <c r="K136" s="100"/>
      <c r="L136" s="101"/>
      <c r="M136" s="101"/>
      <c r="N136" s="112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</row>
    <row r="137" spans="1:29" ht="13">
      <c r="A137" s="115"/>
      <c r="B137" s="97"/>
      <c r="C137" s="115"/>
      <c r="D137" s="115"/>
      <c r="E137" s="115"/>
      <c r="F137" s="115"/>
      <c r="G137" s="99"/>
      <c r="H137" s="98"/>
      <c r="I137" s="100"/>
      <c r="J137" s="100"/>
      <c r="K137" s="100"/>
      <c r="L137" s="101"/>
      <c r="M137" s="101"/>
      <c r="N137" s="112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</row>
    <row r="138" spans="1:29" ht="13">
      <c r="A138" s="115"/>
      <c r="B138" s="97"/>
      <c r="C138" s="115"/>
      <c r="D138" s="115"/>
      <c r="E138" s="115"/>
      <c r="F138" s="115"/>
      <c r="G138" s="99"/>
      <c r="H138" s="98"/>
      <c r="I138" s="100"/>
      <c r="J138" s="100"/>
      <c r="K138" s="100"/>
      <c r="L138" s="101"/>
      <c r="M138" s="101"/>
      <c r="N138" s="112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</row>
    <row r="139" spans="1:29" ht="13">
      <c r="A139" s="115"/>
      <c r="B139" s="97"/>
      <c r="C139" s="115"/>
      <c r="D139" s="115"/>
      <c r="E139" s="115"/>
      <c r="F139" s="115"/>
      <c r="G139" s="99"/>
      <c r="H139" s="98"/>
      <c r="I139" s="100"/>
      <c r="J139" s="100"/>
      <c r="K139" s="100"/>
      <c r="L139" s="101"/>
      <c r="M139" s="101"/>
      <c r="N139" s="112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</row>
    <row r="140" spans="1:29" ht="13">
      <c r="A140" s="115"/>
      <c r="B140" s="97"/>
      <c r="C140" s="115"/>
      <c r="D140" s="115"/>
      <c r="E140" s="115"/>
      <c r="F140" s="115"/>
      <c r="G140" s="99"/>
      <c r="H140" s="98"/>
      <c r="I140" s="100"/>
      <c r="J140" s="100"/>
      <c r="K140" s="100"/>
      <c r="L140" s="101"/>
      <c r="M140" s="101"/>
      <c r="N140" s="112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</row>
    <row r="141" spans="1:29" ht="13">
      <c r="A141" s="115"/>
      <c r="B141" s="97"/>
      <c r="C141" s="115"/>
      <c r="D141" s="115"/>
      <c r="E141" s="115"/>
      <c r="F141" s="115"/>
      <c r="G141" s="99"/>
      <c r="H141" s="98"/>
      <c r="I141" s="100"/>
      <c r="J141" s="100"/>
      <c r="K141" s="100"/>
      <c r="L141" s="101"/>
      <c r="M141" s="101"/>
      <c r="N141" s="112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</row>
    <row r="142" spans="1:29" ht="13">
      <c r="A142" s="115"/>
      <c r="B142" s="97"/>
      <c r="C142" s="115"/>
      <c r="D142" s="115"/>
      <c r="E142" s="115"/>
      <c r="F142" s="115"/>
      <c r="G142" s="99"/>
      <c r="H142" s="98"/>
      <c r="I142" s="100"/>
      <c r="J142" s="100"/>
      <c r="K142" s="100"/>
      <c r="L142" s="101"/>
      <c r="M142" s="101"/>
      <c r="N142" s="112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</row>
    <row r="143" spans="1:29" ht="13">
      <c r="A143" s="115"/>
      <c r="B143" s="97"/>
      <c r="C143" s="115"/>
      <c r="D143" s="115"/>
      <c r="E143" s="115"/>
      <c r="F143" s="115"/>
      <c r="G143" s="99"/>
      <c r="H143" s="98"/>
      <c r="I143" s="100"/>
      <c r="J143" s="100"/>
      <c r="K143" s="100"/>
      <c r="L143" s="101"/>
      <c r="M143" s="101"/>
      <c r="N143" s="112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</row>
    <row r="144" spans="1:29" ht="13">
      <c r="A144" s="115"/>
      <c r="B144" s="97"/>
      <c r="C144" s="115"/>
      <c r="D144" s="115"/>
      <c r="E144" s="115"/>
      <c r="F144" s="115"/>
      <c r="G144" s="99"/>
      <c r="H144" s="98"/>
      <c r="I144" s="100"/>
      <c r="J144" s="100"/>
      <c r="K144" s="100"/>
      <c r="L144" s="101"/>
      <c r="M144" s="101"/>
      <c r="N144" s="112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</row>
    <row r="145" spans="1:29" ht="13">
      <c r="A145" s="115"/>
      <c r="B145" s="97"/>
      <c r="C145" s="115"/>
      <c r="D145" s="115"/>
      <c r="E145" s="115"/>
      <c r="F145" s="115"/>
      <c r="G145" s="99"/>
      <c r="H145" s="98"/>
      <c r="I145" s="100"/>
      <c r="J145" s="100"/>
      <c r="K145" s="100"/>
      <c r="L145" s="101"/>
      <c r="M145" s="101"/>
      <c r="N145" s="112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</row>
    <row r="146" spans="1:29" ht="13">
      <c r="A146" s="115"/>
      <c r="B146" s="97"/>
      <c r="C146" s="115"/>
      <c r="D146" s="115"/>
      <c r="E146" s="115"/>
      <c r="F146" s="115"/>
      <c r="G146" s="99"/>
      <c r="H146" s="98"/>
      <c r="I146" s="100"/>
      <c r="J146" s="100"/>
      <c r="K146" s="100"/>
      <c r="L146" s="101"/>
      <c r="M146" s="101"/>
      <c r="N146" s="112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</row>
    <row r="147" spans="1:29" ht="13">
      <c r="A147" s="115"/>
      <c r="B147" s="97"/>
      <c r="C147" s="115"/>
      <c r="D147" s="115"/>
      <c r="E147" s="115"/>
      <c r="F147" s="115"/>
      <c r="G147" s="99"/>
      <c r="H147" s="98"/>
      <c r="I147" s="100"/>
      <c r="J147" s="100"/>
      <c r="K147" s="100"/>
      <c r="L147" s="101"/>
      <c r="M147" s="101"/>
      <c r="N147" s="112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</row>
    <row r="148" spans="1:29" ht="13">
      <c r="A148" s="115"/>
      <c r="B148" s="97"/>
      <c r="C148" s="115"/>
      <c r="D148" s="115"/>
      <c r="E148" s="115"/>
      <c r="F148" s="115"/>
      <c r="G148" s="99"/>
      <c r="H148" s="98"/>
      <c r="I148" s="100"/>
      <c r="J148" s="100"/>
      <c r="K148" s="100"/>
      <c r="L148" s="101"/>
      <c r="M148" s="101"/>
      <c r="N148" s="112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</row>
    <row r="149" spans="1:29" ht="13">
      <c r="A149" s="115"/>
      <c r="B149" s="97"/>
      <c r="C149" s="115"/>
      <c r="D149" s="115"/>
      <c r="E149" s="115"/>
      <c r="F149" s="115"/>
      <c r="G149" s="99"/>
      <c r="H149" s="98"/>
      <c r="I149" s="100"/>
      <c r="J149" s="100"/>
      <c r="K149" s="100"/>
      <c r="L149" s="101"/>
      <c r="M149" s="101"/>
      <c r="N149" s="112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</row>
    <row r="150" spans="1:29" ht="13">
      <c r="A150" s="115"/>
      <c r="B150" s="97"/>
      <c r="C150" s="115"/>
      <c r="D150" s="115"/>
      <c r="E150" s="115"/>
      <c r="F150" s="115"/>
      <c r="G150" s="99"/>
      <c r="H150" s="98"/>
      <c r="I150" s="100"/>
      <c r="J150" s="100"/>
      <c r="K150" s="100"/>
      <c r="L150" s="101"/>
      <c r="M150" s="101"/>
      <c r="N150" s="112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</row>
    <row r="151" spans="1:29" ht="13">
      <c r="A151" s="115"/>
      <c r="B151" s="97"/>
      <c r="C151" s="115"/>
      <c r="D151" s="115"/>
      <c r="E151" s="115"/>
      <c r="F151" s="115"/>
      <c r="G151" s="99"/>
      <c r="H151" s="98"/>
      <c r="I151" s="100"/>
      <c r="J151" s="100"/>
      <c r="K151" s="100"/>
      <c r="L151" s="101"/>
      <c r="M151" s="101"/>
      <c r="N151" s="112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</row>
    <row r="152" spans="1:29" ht="13">
      <c r="A152" s="115"/>
      <c r="B152" s="97"/>
      <c r="C152" s="115"/>
      <c r="D152" s="115"/>
      <c r="E152" s="115"/>
      <c r="F152" s="115"/>
      <c r="G152" s="99"/>
      <c r="H152" s="98"/>
      <c r="I152" s="100"/>
      <c r="J152" s="100"/>
      <c r="K152" s="100"/>
      <c r="L152" s="101"/>
      <c r="M152" s="101"/>
      <c r="N152" s="112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</row>
    <row r="153" spans="1:29" ht="13">
      <c r="A153" s="115"/>
      <c r="B153" s="97"/>
      <c r="C153" s="115"/>
      <c r="D153" s="115"/>
      <c r="E153" s="115"/>
      <c r="F153" s="115"/>
      <c r="G153" s="99"/>
      <c r="H153" s="98"/>
      <c r="I153" s="100"/>
      <c r="J153" s="100"/>
      <c r="K153" s="100"/>
      <c r="L153" s="101"/>
      <c r="M153" s="101"/>
      <c r="N153" s="112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</row>
    <row r="154" spans="1:29" ht="13">
      <c r="A154" s="115"/>
      <c r="B154" s="97"/>
      <c r="C154" s="115"/>
      <c r="D154" s="115"/>
      <c r="E154" s="115"/>
      <c r="F154" s="115"/>
      <c r="G154" s="99"/>
      <c r="H154" s="98"/>
      <c r="I154" s="100"/>
      <c r="J154" s="100"/>
      <c r="K154" s="100"/>
      <c r="L154" s="101"/>
      <c r="M154" s="101"/>
      <c r="N154" s="112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</row>
    <row r="155" spans="1:29" ht="13">
      <c r="A155" s="115"/>
      <c r="B155" s="97"/>
      <c r="C155" s="115"/>
      <c r="D155" s="115"/>
      <c r="E155" s="115"/>
      <c r="F155" s="115"/>
      <c r="G155" s="99"/>
      <c r="H155" s="98"/>
      <c r="I155" s="100"/>
      <c r="J155" s="100"/>
      <c r="K155" s="100"/>
      <c r="L155" s="101"/>
      <c r="M155" s="101"/>
      <c r="N155" s="112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</row>
    <row r="156" spans="1:29" ht="13">
      <c r="A156" s="115"/>
      <c r="B156" s="97"/>
      <c r="C156" s="115"/>
      <c r="D156" s="115"/>
      <c r="E156" s="115"/>
      <c r="F156" s="115"/>
      <c r="G156" s="99"/>
      <c r="H156" s="98"/>
      <c r="I156" s="100"/>
      <c r="J156" s="100"/>
      <c r="K156" s="100"/>
      <c r="L156" s="101"/>
      <c r="M156" s="101"/>
      <c r="N156" s="112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</row>
    <row r="157" spans="1:29" ht="13">
      <c r="A157" s="115"/>
      <c r="B157" s="97"/>
      <c r="C157" s="115"/>
      <c r="D157" s="115"/>
      <c r="E157" s="115"/>
      <c r="F157" s="115"/>
      <c r="G157" s="99"/>
      <c r="H157" s="98"/>
      <c r="I157" s="100"/>
      <c r="J157" s="100"/>
      <c r="K157" s="100"/>
      <c r="L157" s="101"/>
      <c r="M157" s="101"/>
      <c r="N157" s="112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</row>
    <row r="158" spans="1:29" ht="13">
      <c r="A158" s="115"/>
      <c r="B158" s="97"/>
      <c r="C158" s="115"/>
      <c r="D158" s="115"/>
      <c r="E158" s="115"/>
      <c r="F158" s="115"/>
      <c r="G158" s="99"/>
      <c r="H158" s="98"/>
      <c r="I158" s="100"/>
      <c r="J158" s="100"/>
      <c r="K158" s="100"/>
      <c r="L158" s="101"/>
      <c r="M158" s="101"/>
      <c r="N158" s="112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</row>
    <row r="159" spans="1:29" ht="13">
      <c r="A159" s="115"/>
      <c r="B159" s="97"/>
      <c r="C159" s="115"/>
      <c r="D159" s="115"/>
      <c r="E159" s="115"/>
      <c r="F159" s="115"/>
      <c r="G159" s="99"/>
      <c r="H159" s="98"/>
      <c r="I159" s="100"/>
      <c r="J159" s="100"/>
      <c r="K159" s="100"/>
      <c r="L159" s="101"/>
      <c r="M159" s="101"/>
      <c r="N159" s="112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</row>
    <row r="160" spans="1:29" ht="13">
      <c r="A160" s="115"/>
      <c r="B160" s="97"/>
      <c r="C160" s="115"/>
      <c r="D160" s="115"/>
      <c r="E160" s="115"/>
      <c r="F160" s="115"/>
      <c r="G160" s="99"/>
      <c r="H160" s="98"/>
      <c r="I160" s="100"/>
      <c r="J160" s="100"/>
      <c r="K160" s="100"/>
      <c r="L160" s="101"/>
      <c r="M160" s="101"/>
      <c r="N160" s="112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</row>
    <row r="161" spans="1:29" ht="13">
      <c r="A161" s="115"/>
      <c r="B161" s="97"/>
      <c r="C161" s="115"/>
      <c r="D161" s="115"/>
      <c r="E161" s="115"/>
      <c r="F161" s="115"/>
      <c r="G161" s="99"/>
      <c r="H161" s="98"/>
      <c r="I161" s="100"/>
      <c r="J161" s="100"/>
      <c r="K161" s="100"/>
      <c r="L161" s="101"/>
      <c r="M161" s="101"/>
      <c r="N161" s="112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</row>
    <row r="162" spans="1:29" ht="13">
      <c r="A162" s="115"/>
      <c r="B162" s="97"/>
      <c r="C162" s="115"/>
      <c r="D162" s="115"/>
      <c r="E162" s="115"/>
      <c r="F162" s="115"/>
      <c r="G162" s="99"/>
      <c r="H162" s="98"/>
      <c r="I162" s="100"/>
      <c r="J162" s="100"/>
      <c r="K162" s="100"/>
      <c r="L162" s="101"/>
      <c r="M162" s="101"/>
      <c r="N162" s="112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</row>
    <row r="163" spans="1:29" ht="13">
      <c r="A163" s="115"/>
      <c r="B163" s="97"/>
      <c r="C163" s="115"/>
      <c r="D163" s="115"/>
      <c r="E163" s="115"/>
      <c r="F163" s="115"/>
      <c r="G163" s="99"/>
      <c r="H163" s="98"/>
      <c r="I163" s="100"/>
      <c r="J163" s="100"/>
      <c r="K163" s="100"/>
      <c r="L163" s="101"/>
      <c r="M163" s="101"/>
      <c r="N163" s="112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</row>
    <row r="164" spans="1:29" ht="13">
      <c r="A164" s="115"/>
      <c r="B164" s="97"/>
      <c r="C164" s="115"/>
      <c r="D164" s="115"/>
      <c r="E164" s="115"/>
      <c r="F164" s="115"/>
      <c r="G164" s="99"/>
      <c r="H164" s="98"/>
      <c r="I164" s="100"/>
      <c r="J164" s="100"/>
      <c r="K164" s="100"/>
      <c r="L164" s="101"/>
      <c r="M164" s="101"/>
      <c r="N164" s="112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</row>
    <row r="165" spans="1:29" ht="13">
      <c r="A165" s="115"/>
      <c r="B165" s="97"/>
      <c r="C165" s="115"/>
      <c r="D165" s="115"/>
      <c r="E165" s="115"/>
      <c r="F165" s="115"/>
      <c r="G165" s="99"/>
      <c r="H165" s="98"/>
      <c r="I165" s="100"/>
      <c r="J165" s="100"/>
      <c r="K165" s="100"/>
      <c r="L165" s="101"/>
      <c r="M165" s="101"/>
      <c r="N165" s="112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</row>
    <row r="166" spans="1:29" ht="13">
      <c r="A166" s="115"/>
      <c r="B166" s="97"/>
      <c r="C166" s="115"/>
      <c r="D166" s="115"/>
      <c r="E166" s="115"/>
      <c r="F166" s="115"/>
      <c r="G166" s="99"/>
      <c r="H166" s="98"/>
      <c r="I166" s="100"/>
      <c r="J166" s="100"/>
      <c r="K166" s="100"/>
      <c r="L166" s="101"/>
      <c r="M166" s="101"/>
      <c r="N166" s="112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</row>
    <row r="167" spans="1:29" ht="13">
      <c r="A167" s="115"/>
      <c r="B167" s="97"/>
      <c r="C167" s="115"/>
      <c r="D167" s="115"/>
      <c r="E167" s="115"/>
      <c r="F167" s="115"/>
      <c r="G167" s="99"/>
      <c r="H167" s="98"/>
      <c r="I167" s="100"/>
      <c r="J167" s="100"/>
      <c r="K167" s="100"/>
      <c r="L167" s="101"/>
      <c r="M167" s="101"/>
      <c r="N167" s="112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</row>
    <row r="168" spans="1:29" ht="13">
      <c r="A168" s="115"/>
      <c r="B168" s="97"/>
      <c r="C168" s="115"/>
      <c r="D168" s="115"/>
      <c r="E168" s="115"/>
      <c r="F168" s="115"/>
      <c r="G168" s="99"/>
      <c r="H168" s="98"/>
      <c r="I168" s="100"/>
      <c r="J168" s="100"/>
      <c r="K168" s="100"/>
      <c r="L168" s="101"/>
      <c r="M168" s="101"/>
      <c r="N168" s="112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</row>
    <row r="169" spans="1:29" ht="13">
      <c r="A169" s="115"/>
      <c r="B169" s="97"/>
      <c r="C169" s="115"/>
      <c r="D169" s="115"/>
      <c r="E169" s="115"/>
      <c r="F169" s="115"/>
      <c r="G169" s="99"/>
      <c r="H169" s="98"/>
      <c r="I169" s="100"/>
      <c r="J169" s="100"/>
      <c r="K169" s="100"/>
      <c r="L169" s="101"/>
      <c r="M169" s="101"/>
      <c r="N169" s="112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</row>
    <row r="170" spans="1:29" ht="13">
      <c r="A170" s="115"/>
      <c r="B170" s="97"/>
      <c r="C170" s="115"/>
      <c r="D170" s="115"/>
      <c r="E170" s="115"/>
      <c r="F170" s="115"/>
      <c r="G170" s="99"/>
      <c r="H170" s="98"/>
      <c r="I170" s="100"/>
      <c r="J170" s="100"/>
      <c r="K170" s="100"/>
      <c r="L170" s="101"/>
      <c r="M170" s="101"/>
      <c r="N170" s="112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</row>
    <row r="171" spans="1:29" ht="13">
      <c r="A171" s="115"/>
      <c r="B171" s="97"/>
      <c r="C171" s="115"/>
      <c r="D171" s="115"/>
      <c r="E171" s="115"/>
      <c r="F171" s="115"/>
      <c r="G171" s="99"/>
      <c r="H171" s="98"/>
      <c r="I171" s="100"/>
      <c r="J171" s="100"/>
      <c r="K171" s="100"/>
      <c r="L171" s="101"/>
      <c r="M171" s="101"/>
      <c r="N171" s="112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</row>
    <row r="172" spans="1:29" ht="13">
      <c r="A172" s="115"/>
      <c r="B172" s="97"/>
      <c r="C172" s="115"/>
      <c r="D172" s="115"/>
      <c r="E172" s="115"/>
      <c r="F172" s="115"/>
      <c r="G172" s="99"/>
      <c r="H172" s="98"/>
      <c r="I172" s="100"/>
      <c r="J172" s="100"/>
      <c r="K172" s="100"/>
      <c r="L172" s="101"/>
      <c r="M172" s="101"/>
      <c r="N172" s="112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</row>
    <row r="173" spans="1:29" ht="13">
      <c r="A173" s="115"/>
      <c r="B173" s="97"/>
      <c r="C173" s="115"/>
      <c r="D173" s="115"/>
      <c r="E173" s="115"/>
      <c r="F173" s="115"/>
      <c r="G173" s="99"/>
      <c r="H173" s="98"/>
      <c r="I173" s="100"/>
      <c r="J173" s="100"/>
      <c r="K173" s="100"/>
      <c r="L173" s="101"/>
      <c r="M173" s="101"/>
      <c r="N173" s="112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</row>
    <row r="174" spans="1:29" ht="13">
      <c r="A174" s="115"/>
      <c r="B174" s="97"/>
      <c r="C174" s="115"/>
      <c r="D174" s="115"/>
      <c r="E174" s="115"/>
      <c r="F174" s="115"/>
      <c r="G174" s="99"/>
      <c r="H174" s="98"/>
      <c r="I174" s="100"/>
      <c r="J174" s="100"/>
      <c r="K174" s="100"/>
      <c r="L174" s="101"/>
      <c r="M174" s="101"/>
      <c r="N174" s="112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</row>
    <row r="175" spans="1:29" ht="13">
      <c r="A175" s="115"/>
      <c r="B175" s="97"/>
      <c r="C175" s="115"/>
      <c r="D175" s="115"/>
      <c r="E175" s="115"/>
      <c r="F175" s="115"/>
      <c r="G175" s="99"/>
      <c r="H175" s="98"/>
      <c r="I175" s="100"/>
      <c r="J175" s="100"/>
      <c r="K175" s="100"/>
      <c r="L175" s="101"/>
      <c r="M175" s="101"/>
      <c r="N175" s="112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</row>
    <row r="176" spans="1:29" ht="13">
      <c r="A176" s="115"/>
      <c r="B176" s="97"/>
      <c r="C176" s="115"/>
      <c r="D176" s="115"/>
      <c r="E176" s="115"/>
      <c r="F176" s="115"/>
      <c r="G176" s="99"/>
      <c r="H176" s="98"/>
      <c r="I176" s="100"/>
      <c r="J176" s="100"/>
      <c r="K176" s="100"/>
      <c r="L176" s="101"/>
      <c r="M176" s="101"/>
      <c r="N176" s="112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</row>
    <row r="177" spans="1:29" ht="13">
      <c r="A177" s="115"/>
      <c r="B177" s="97"/>
      <c r="C177" s="115"/>
      <c r="D177" s="115"/>
      <c r="E177" s="115"/>
      <c r="F177" s="115"/>
      <c r="G177" s="99"/>
      <c r="H177" s="98"/>
      <c r="I177" s="100"/>
      <c r="J177" s="100"/>
      <c r="K177" s="100"/>
      <c r="L177" s="101"/>
      <c r="M177" s="101"/>
      <c r="N177" s="112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</row>
    <row r="178" spans="1:29" ht="13">
      <c r="A178" s="115"/>
      <c r="B178" s="97"/>
      <c r="C178" s="115"/>
      <c r="D178" s="115"/>
      <c r="E178" s="115"/>
      <c r="F178" s="115"/>
      <c r="G178" s="99"/>
      <c r="H178" s="98"/>
      <c r="I178" s="100"/>
      <c r="J178" s="100"/>
      <c r="K178" s="100"/>
      <c r="L178" s="101"/>
      <c r="M178" s="101"/>
      <c r="N178" s="112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</row>
    <row r="179" spans="1:29" ht="13">
      <c r="A179" s="115"/>
      <c r="B179" s="97"/>
      <c r="C179" s="115"/>
      <c r="D179" s="115"/>
      <c r="E179" s="115"/>
      <c r="F179" s="115"/>
      <c r="G179" s="99"/>
      <c r="H179" s="98"/>
      <c r="I179" s="100"/>
      <c r="J179" s="100"/>
      <c r="K179" s="100"/>
      <c r="L179" s="101"/>
      <c r="M179" s="101"/>
      <c r="N179" s="112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</row>
    <row r="180" spans="1:29" ht="13">
      <c r="A180" s="115"/>
      <c r="B180" s="97"/>
      <c r="C180" s="115"/>
      <c r="D180" s="115"/>
      <c r="E180" s="115"/>
      <c r="F180" s="115"/>
      <c r="G180" s="99"/>
      <c r="H180" s="98"/>
      <c r="I180" s="100"/>
      <c r="J180" s="100"/>
      <c r="K180" s="100"/>
      <c r="L180" s="101"/>
      <c r="M180" s="101"/>
      <c r="N180" s="112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</row>
    <row r="181" spans="1:29" ht="13">
      <c r="A181" s="115"/>
      <c r="B181" s="97"/>
      <c r="C181" s="115"/>
      <c r="D181" s="115"/>
      <c r="E181" s="115"/>
      <c r="F181" s="115"/>
      <c r="G181" s="99"/>
      <c r="H181" s="98"/>
      <c r="I181" s="100"/>
      <c r="J181" s="100"/>
      <c r="K181" s="100"/>
      <c r="L181" s="101"/>
      <c r="M181" s="101"/>
      <c r="N181" s="112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</row>
    <row r="182" spans="1:29" ht="13">
      <c r="A182" s="115"/>
      <c r="B182" s="97"/>
      <c r="C182" s="115"/>
      <c r="D182" s="115"/>
      <c r="E182" s="115"/>
      <c r="F182" s="115"/>
      <c r="G182" s="99"/>
      <c r="H182" s="98"/>
      <c r="I182" s="100"/>
      <c r="J182" s="100"/>
      <c r="K182" s="100"/>
      <c r="L182" s="101"/>
      <c r="M182" s="101"/>
      <c r="N182" s="112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</row>
    <row r="183" spans="1:29" ht="13">
      <c r="A183" s="115"/>
      <c r="B183" s="97"/>
      <c r="C183" s="115"/>
      <c r="D183" s="115"/>
      <c r="E183" s="115"/>
      <c r="F183" s="115"/>
      <c r="G183" s="99"/>
      <c r="H183" s="98"/>
      <c r="I183" s="100"/>
      <c r="J183" s="100"/>
      <c r="K183" s="100"/>
      <c r="L183" s="101"/>
      <c r="M183" s="101"/>
      <c r="N183" s="112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</row>
    <row r="184" spans="1:29" ht="13">
      <c r="A184" s="115"/>
      <c r="B184" s="97"/>
      <c r="C184" s="115"/>
      <c r="D184" s="115"/>
      <c r="E184" s="115"/>
      <c r="F184" s="115"/>
      <c r="G184" s="99"/>
      <c r="H184" s="98"/>
      <c r="I184" s="100"/>
      <c r="J184" s="100"/>
      <c r="K184" s="100"/>
      <c r="L184" s="101"/>
      <c r="M184" s="101"/>
      <c r="N184" s="112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</row>
    <row r="185" spans="1:29" ht="13">
      <c r="A185" s="115"/>
      <c r="B185" s="97"/>
      <c r="C185" s="115"/>
      <c r="D185" s="115"/>
      <c r="E185" s="115"/>
      <c r="F185" s="115"/>
      <c r="G185" s="99"/>
      <c r="H185" s="98"/>
      <c r="I185" s="100"/>
      <c r="J185" s="100"/>
      <c r="K185" s="100"/>
      <c r="L185" s="101"/>
      <c r="M185" s="101"/>
      <c r="N185" s="112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</row>
    <row r="186" spans="1:29" ht="13">
      <c r="A186" s="115"/>
      <c r="B186" s="97"/>
      <c r="C186" s="115"/>
      <c r="D186" s="115"/>
      <c r="E186" s="115"/>
      <c r="F186" s="115"/>
      <c r="G186" s="99"/>
      <c r="H186" s="98"/>
      <c r="I186" s="100"/>
      <c r="J186" s="100"/>
      <c r="K186" s="100"/>
      <c r="L186" s="101"/>
      <c r="M186" s="101"/>
      <c r="N186" s="112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</row>
    <row r="187" spans="1:29" ht="13">
      <c r="A187" s="115"/>
      <c r="B187" s="97"/>
      <c r="C187" s="115"/>
      <c r="D187" s="115"/>
      <c r="E187" s="115"/>
      <c r="F187" s="115"/>
      <c r="G187" s="99"/>
      <c r="H187" s="98"/>
      <c r="I187" s="100"/>
      <c r="J187" s="100"/>
      <c r="K187" s="100"/>
      <c r="L187" s="101"/>
      <c r="M187" s="101"/>
      <c r="N187" s="112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</row>
    <row r="188" spans="1:29" ht="13">
      <c r="A188" s="115"/>
      <c r="B188" s="97"/>
      <c r="C188" s="115"/>
      <c r="D188" s="115"/>
      <c r="E188" s="115"/>
      <c r="F188" s="115"/>
      <c r="G188" s="99"/>
      <c r="H188" s="98"/>
      <c r="I188" s="100"/>
      <c r="J188" s="100"/>
      <c r="K188" s="100"/>
      <c r="L188" s="101"/>
      <c r="M188" s="101"/>
      <c r="N188" s="112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</row>
    <row r="189" spans="1:29" ht="13">
      <c r="A189" s="115"/>
      <c r="B189" s="97"/>
      <c r="C189" s="115"/>
      <c r="D189" s="115"/>
      <c r="E189" s="115"/>
      <c r="F189" s="115"/>
      <c r="G189" s="99"/>
      <c r="H189" s="98"/>
      <c r="I189" s="100"/>
      <c r="J189" s="100"/>
      <c r="K189" s="100"/>
      <c r="L189" s="101"/>
      <c r="M189" s="101"/>
      <c r="N189" s="112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</row>
    <row r="190" spans="1:29" ht="13">
      <c r="A190" s="115"/>
      <c r="B190" s="97"/>
      <c r="C190" s="115"/>
      <c r="D190" s="115"/>
      <c r="E190" s="115"/>
      <c r="F190" s="115"/>
      <c r="G190" s="99"/>
      <c r="H190" s="98"/>
      <c r="I190" s="100"/>
      <c r="J190" s="100"/>
      <c r="K190" s="100"/>
      <c r="L190" s="101"/>
      <c r="M190" s="101"/>
      <c r="N190" s="112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</row>
    <row r="191" spans="1:29" ht="13">
      <c r="A191" s="115"/>
      <c r="B191" s="97"/>
      <c r="C191" s="115"/>
      <c r="D191" s="115"/>
      <c r="E191" s="115"/>
      <c r="F191" s="115"/>
      <c r="G191" s="99"/>
      <c r="H191" s="98"/>
      <c r="I191" s="100"/>
      <c r="J191" s="100"/>
      <c r="K191" s="100"/>
      <c r="L191" s="101"/>
      <c r="M191" s="101"/>
      <c r="N191" s="112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</row>
    <row r="192" spans="1:29" ht="13">
      <c r="A192" s="115"/>
      <c r="B192" s="97"/>
      <c r="C192" s="115"/>
      <c r="D192" s="115"/>
      <c r="E192" s="115"/>
      <c r="F192" s="115"/>
      <c r="G192" s="99"/>
      <c r="H192" s="98"/>
      <c r="I192" s="100"/>
      <c r="J192" s="100"/>
      <c r="K192" s="100"/>
      <c r="L192" s="101"/>
      <c r="M192" s="101"/>
      <c r="N192" s="112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</row>
    <row r="193" spans="1:29" ht="13">
      <c r="A193" s="115"/>
      <c r="B193" s="97"/>
      <c r="C193" s="115"/>
      <c r="D193" s="115"/>
      <c r="E193" s="115"/>
      <c r="F193" s="115"/>
      <c r="G193" s="99"/>
      <c r="H193" s="98"/>
      <c r="I193" s="100"/>
      <c r="J193" s="100"/>
      <c r="K193" s="100"/>
      <c r="L193" s="101"/>
      <c r="M193" s="101"/>
      <c r="N193" s="112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</row>
    <row r="194" spans="1:29" ht="13">
      <c r="A194" s="115"/>
      <c r="B194" s="97"/>
      <c r="C194" s="115"/>
      <c r="D194" s="115"/>
      <c r="E194" s="115"/>
      <c r="F194" s="115"/>
      <c r="G194" s="99"/>
      <c r="H194" s="98"/>
      <c r="I194" s="100"/>
      <c r="J194" s="100"/>
      <c r="K194" s="100"/>
      <c r="L194" s="101"/>
      <c r="M194" s="101"/>
      <c r="N194" s="112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</row>
    <row r="195" spans="1:29" ht="13">
      <c r="A195" s="115"/>
      <c r="B195" s="97"/>
      <c r="C195" s="115"/>
      <c r="D195" s="115"/>
      <c r="E195" s="115"/>
      <c r="F195" s="115"/>
      <c r="G195" s="99"/>
      <c r="H195" s="98"/>
      <c r="I195" s="100"/>
      <c r="J195" s="100"/>
      <c r="K195" s="100"/>
      <c r="L195" s="101"/>
      <c r="M195" s="101"/>
      <c r="N195" s="112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</row>
    <row r="196" spans="1:29" ht="13">
      <c r="A196" s="115"/>
      <c r="B196" s="97"/>
      <c r="C196" s="115"/>
      <c r="D196" s="115"/>
      <c r="E196" s="115"/>
      <c r="F196" s="115"/>
      <c r="G196" s="99"/>
      <c r="H196" s="98"/>
      <c r="I196" s="100"/>
      <c r="J196" s="100"/>
      <c r="K196" s="100"/>
      <c r="L196" s="101"/>
      <c r="M196" s="101"/>
      <c r="N196" s="112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</row>
    <row r="197" spans="1:29" ht="13">
      <c r="A197" s="115"/>
      <c r="B197" s="97"/>
      <c r="C197" s="115"/>
      <c r="D197" s="115"/>
      <c r="E197" s="115"/>
      <c r="F197" s="115"/>
      <c r="G197" s="99"/>
      <c r="H197" s="98"/>
      <c r="I197" s="100"/>
      <c r="J197" s="100"/>
      <c r="K197" s="100"/>
      <c r="L197" s="101"/>
      <c r="M197" s="101"/>
      <c r="N197" s="112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</row>
    <row r="198" spans="1:29" ht="13">
      <c r="A198" s="115"/>
      <c r="B198" s="97"/>
      <c r="C198" s="115"/>
      <c r="D198" s="115"/>
      <c r="E198" s="115"/>
      <c r="F198" s="115"/>
      <c r="G198" s="99"/>
      <c r="H198" s="98"/>
      <c r="I198" s="100"/>
      <c r="J198" s="100"/>
      <c r="K198" s="100"/>
      <c r="L198" s="101"/>
      <c r="M198" s="101"/>
      <c r="N198" s="112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</row>
    <row r="199" spans="1:29" ht="13">
      <c r="A199" s="115"/>
      <c r="B199" s="97"/>
      <c r="C199" s="115"/>
      <c r="D199" s="115"/>
      <c r="E199" s="115"/>
      <c r="F199" s="115"/>
      <c r="G199" s="99"/>
      <c r="H199" s="98"/>
      <c r="I199" s="100"/>
      <c r="J199" s="100"/>
      <c r="K199" s="100"/>
      <c r="L199" s="101"/>
      <c r="M199" s="101"/>
      <c r="N199" s="112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</row>
    <row r="200" spans="1:29" ht="13">
      <c r="A200" s="115"/>
      <c r="B200" s="97"/>
      <c r="C200" s="115"/>
      <c r="D200" s="115"/>
      <c r="E200" s="115"/>
      <c r="F200" s="115"/>
      <c r="G200" s="99"/>
      <c r="H200" s="98"/>
      <c r="I200" s="100"/>
      <c r="J200" s="100"/>
      <c r="K200" s="100"/>
      <c r="L200" s="101"/>
      <c r="M200" s="101"/>
      <c r="N200" s="112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</row>
    <row r="201" spans="1:29" ht="13">
      <c r="A201" s="115"/>
      <c r="B201" s="97"/>
      <c r="C201" s="115"/>
      <c r="D201" s="115"/>
      <c r="E201" s="115"/>
      <c r="F201" s="115"/>
      <c r="G201" s="99"/>
      <c r="H201" s="98"/>
      <c r="I201" s="100"/>
      <c r="J201" s="100"/>
      <c r="K201" s="100"/>
      <c r="L201" s="101"/>
      <c r="M201" s="101"/>
      <c r="N201" s="112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</row>
    <row r="202" spans="1:29" ht="13">
      <c r="A202" s="115"/>
      <c r="B202" s="97"/>
      <c r="C202" s="115"/>
      <c r="D202" s="115"/>
      <c r="E202" s="115"/>
      <c r="F202" s="115"/>
      <c r="G202" s="99"/>
      <c r="H202" s="98"/>
      <c r="I202" s="100"/>
      <c r="J202" s="100"/>
      <c r="K202" s="100"/>
      <c r="L202" s="101"/>
      <c r="M202" s="101"/>
      <c r="N202" s="112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</row>
    <row r="203" spans="1:29" ht="13">
      <c r="A203" s="115"/>
      <c r="B203" s="97"/>
      <c r="C203" s="115"/>
      <c r="D203" s="115"/>
      <c r="E203" s="115"/>
      <c r="F203" s="115"/>
      <c r="G203" s="99"/>
      <c r="H203" s="98"/>
      <c r="I203" s="100"/>
      <c r="J203" s="100"/>
      <c r="K203" s="100"/>
      <c r="L203" s="101"/>
      <c r="M203" s="101"/>
      <c r="N203" s="112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</row>
    <row r="204" spans="1:29" ht="13">
      <c r="A204" s="115"/>
      <c r="B204" s="97"/>
      <c r="C204" s="115"/>
      <c r="D204" s="115"/>
      <c r="E204" s="115"/>
      <c r="F204" s="115"/>
      <c r="G204" s="99"/>
      <c r="H204" s="98"/>
      <c r="I204" s="100"/>
      <c r="J204" s="100"/>
      <c r="K204" s="100"/>
      <c r="L204" s="101"/>
      <c r="M204" s="101"/>
      <c r="N204" s="112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</row>
    <row r="205" spans="1:29" ht="13">
      <c r="A205" s="115"/>
      <c r="B205" s="97"/>
      <c r="C205" s="115"/>
      <c r="D205" s="115"/>
      <c r="E205" s="115"/>
      <c r="F205" s="115"/>
      <c r="G205" s="99"/>
      <c r="H205" s="98"/>
      <c r="I205" s="100"/>
      <c r="J205" s="100"/>
      <c r="K205" s="100"/>
      <c r="L205" s="101"/>
      <c r="M205" s="101"/>
      <c r="N205" s="112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</row>
    <row r="206" spans="1:29" ht="13">
      <c r="A206" s="115"/>
      <c r="B206" s="97"/>
      <c r="C206" s="115"/>
      <c r="D206" s="115"/>
      <c r="E206" s="115"/>
      <c r="F206" s="115"/>
      <c r="G206" s="99"/>
      <c r="H206" s="98"/>
      <c r="I206" s="100"/>
      <c r="J206" s="100"/>
      <c r="K206" s="100"/>
      <c r="L206" s="101"/>
      <c r="M206" s="101"/>
      <c r="N206" s="112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</row>
    <row r="207" spans="1:29" ht="13">
      <c r="A207" s="115"/>
      <c r="B207" s="97"/>
      <c r="C207" s="115"/>
      <c r="D207" s="115"/>
      <c r="E207" s="115"/>
      <c r="F207" s="115"/>
      <c r="G207" s="99"/>
      <c r="H207" s="98"/>
      <c r="I207" s="100"/>
      <c r="J207" s="100"/>
      <c r="K207" s="100"/>
      <c r="L207" s="101"/>
      <c r="M207" s="101"/>
      <c r="N207" s="112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</row>
    <row r="208" spans="1:29" ht="13">
      <c r="A208" s="115"/>
      <c r="B208" s="97"/>
      <c r="C208" s="115"/>
      <c r="D208" s="115"/>
      <c r="E208" s="115"/>
      <c r="F208" s="115"/>
      <c r="G208" s="99"/>
      <c r="H208" s="98"/>
      <c r="I208" s="100"/>
      <c r="J208" s="100"/>
      <c r="K208" s="100"/>
      <c r="L208" s="101"/>
      <c r="M208" s="101"/>
      <c r="N208" s="112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</row>
    <row r="209" spans="1:29" ht="13">
      <c r="A209" s="115"/>
      <c r="B209" s="97"/>
      <c r="C209" s="115"/>
      <c r="D209" s="115"/>
      <c r="E209" s="115"/>
      <c r="F209" s="115"/>
      <c r="G209" s="99"/>
      <c r="H209" s="98"/>
      <c r="I209" s="100"/>
      <c r="J209" s="100"/>
      <c r="K209" s="100"/>
      <c r="L209" s="101"/>
      <c r="M209" s="101"/>
      <c r="N209" s="112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</row>
    <row r="210" spans="1:29" ht="13">
      <c r="A210" s="115"/>
      <c r="B210" s="97"/>
      <c r="C210" s="115"/>
      <c r="D210" s="115"/>
      <c r="E210" s="115"/>
      <c r="F210" s="115"/>
      <c r="G210" s="99"/>
      <c r="H210" s="98"/>
      <c r="I210" s="100"/>
      <c r="J210" s="100"/>
      <c r="K210" s="100"/>
      <c r="L210" s="101"/>
      <c r="M210" s="101"/>
      <c r="N210" s="112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</row>
    <row r="211" spans="1:29" ht="13">
      <c r="A211" s="115"/>
      <c r="B211" s="97"/>
      <c r="C211" s="115"/>
      <c r="D211" s="115"/>
      <c r="E211" s="115"/>
      <c r="F211" s="115"/>
      <c r="G211" s="99"/>
      <c r="H211" s="98"/>
      <c r="I211" s="100"/>
      <c r="J211" s="100"/>
      <c r="K211" s="100"/>
      <c r="L211" s="101"/>
      <c r="M211" s="101"/>
      <c r="N211" s="112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</row>
    <row r="212" spans="1:29" ht="13">
      <c r="A212" s="115"/>
      <c r="B212" s="97"/>
      <c r="C212" s="115"/>
      <c r="D212" s="115"/>
      <c r="E212" s="115"/>
      <c r="F212" s="115"/>
      <c r="G212" s="99"/>
      <c r="H212" s="98"/>
      <c r="I212" s="100"/>
      <c r="J212" s="100"/>
      <c r="K212" s="100"/>
      <c r="L212" s="101"/>
      <c r="M212" s="101"/>
      <c r="N212" s="112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</row>
    <row r="213" spans="1:29" ht="13">
      <c r="A213" s="115"/>
      <c r="B213" s="97"/>
      <c r="C213" s="115"/>
      <c r="D213" s="115"/>
      <c r="E213" s="115"/>
      <c r="F213" s="115"/>
      <c r="G213" s="99"/>
      <c r="H213" s="98"/>
      <c r="I213" s="100"/>
      <c r="J213" s="100"/>
      <c r="K213" s="100"/>
      <c r="L213" s="101"/>
      <c r="M213" s="101"/>
      <c r="N213" s="112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</row>
    <row r="214" spans="1:29" ht="13">
      <c r="A214" s="115"/>
      <c r="B214" s="97"/>
      <c r="C214" s="115"/>
      <c r="D214" s="115"/>
      <c r="E214" s="115"/>
      <c r="F214" s="115"/>
      <c r="G214" s="99"/>
      <c r="H214" s="98"/>
      <c r="I214" s="100"/>
      <c r="J214" s="100"/>
      <c r="K214" s="100"/>
      <c r="L214" s="101"/>
      <c r="M214" s="101"/>
      <c r="N214" s="112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</row>
    <row r="215" spans="1:29" ht="13">
      <c r="A215" s="115"/>
      <c r="B215" s="97"/>
      <c r="C215" s="115"/>
      <c r="D215" s="115"/>
      <c r="E215" s="115"/>
      <c r="F215" s="115"/>
      <c r="G215" s="99"/>
      <c r="H215" s="98"/>
      <c r="I215" s="100"/>
      <c r="J215" s="100"/>
      <c r="K215" s="100"/>
      <c r="L215" s="101"/>
      <c r="M215" s="101"/>
      <c r="N215" s="112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</row>
    <row r="216" spans="1:29" ht="13">
      <c r="A216" s="115"/>
      <c r="B216" s="97"/>
      <c r="C216" s="115"/>
      <c r="D216" s="115"/>
      <c r="E216" s="115"/>
      <c r="F216" s="115"/>
      <c r="G216" s="99"/>
      <c r="H216" s="98"/>
      <c r="I216" s="100"/>
      <c r="J216" s="100"/>
      <c r="K216" s="100"/>
      <c r="L216" s="101"/>
      <c r="M216" s="101"/>
      <c r="N216" s="112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</row>
    <row r="217" spans="1:29" ht="13">
      <c r="A217" s="115"/>
      <c r="B217" s="97"/>
      <c r="C217" s="115"/>
      <c r="D217" s="115"/>
      <c r="E217" s="115"/>
      <c r="F217" s="115"/>
      <c r="G217" s="99"/>
      <c r="H217" s="98"/>
      <c r="I217" s="100"/>
      <c r="J217" s="100"/>
      <c r="K217" s="100"/>
      <c r="L217" s="101"/>
      <c r="M217" s="101"/>
      <c r="N217" s="112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</row>
    <row r="218" spans="1:29" ht="13">
      <c r="A218" s="115"/>
      <c r="B218" s="97"/>
      <c r="C218" s="115"/>
      <c r="D218" s="115"/>
      <c r="E218" s="115"/>
      <c r="F218" s="115"/>
      <c r="G218" s="99"/>
      <c r="H218" s="98"/>
      <c r="I218" s="100"/>
      <c r="J218" s="100"/>
      <c r="K218" s="100"/>
      <c r="L218" s="101"/>
      <c r="M218" s="101"/>
      <c r="N218" s="112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</row>
    <row r="219" spans="1:29" ht="13">
      <c r="A219" s="115"/>
      <c r="B219" s="97"/>
      <c r="C219" s="115"/>
      <c r="D219" s="115"/>
      <c r="E219" s="115"/>
      <c r="F219" s="115"/>
      <c r="G219" s="99"/>
      <c r="H219" s="98"/>
      <c r="I219" s="100"/>
      <c r="J219" s="100"/>
      <c r="K219" s="100"/>
      <c r="L219" s="101"/>
      <c r="M219" s="101"/>
      <c r="N219" s="112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</row>
    <row r="220" spans="1:29" ht="13">
      <c r="A220" s="115"/>
      <c r="B220" s="97"/>
      <c r="C220" s="115"/>
      <c r="D220" s="115"/>
      <c r="E220" s="115"/>
      <c r="F220" s="115"/>
      <c r="G220" s="99"/>
      <c r="H220" s="98"/>
      <c r="I220" s="100"/>
      <c r="J220" s="100"/>
      <c r="K220" s="100"/>
      <c r="L220" s="101"/>
      <c r="M220" s="101"/>
      <c r="N220" s="112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</row>
    <row r="221" spans="1:29" ht="13">
      <c r="A221" s="115"/>
      <c r="B221" s="97"/>
      <c r="C221" s="115"/>
      <c r="D221" s="115"/>
      <c r="E221" s="115"/>
      <c r="F221" s="115"/>
      <c r="G221" s="99"/>
      <c r="H221" s="98"/>
      <c r="I221" s="100"/>
      <c r="J221" s="100"/>
      <c r="K221" s="100"/>
      <c r="L221" s="101"/>
      <c r="M221" s="101"/>
      <c r="N221" s="112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</row>
    <row r="222" spans="1:29" ht="13">
      <c r="A222" s="115"/>
      <c r="B222" s="97"/>
      <c r="C222" s="115"/>
      <c r="D222" s="115"/>
      <c r="E222" s="115"/>
      <c r="F222" s="115"/>
      <c r="G222" s="99"/>
      <c r="H222" s="98"/>
      <c r="I222" s="100"/>
      <c r="J222" s="100"/>
      <c r="K222" s="100"/>
      <c r="L222" s="101"/>
      <c r="M222" s="101"/>
      <c r="N222" s="112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</row>
    <row r="223" spans="1:29" ht="13">
      <c r="A223" s="115"/>
      <c r="B223" s="97"/>
      <c r="C223" s="115"/>
      <c r="D223" s="115"/>
      <c r="E223" s="115"/>
      <c r="F223" s="115"/>
      <c r="G223" s="99"/>
      <c r="H223" s="98"/>
      <c r="I223" s="100"/>
      <c r="J223" s="100"/>
      <c r="K223" s="100"/>
      <c r="L223" s="101"/>
      <c r="M223" s="101"/>
      <c r="N223" s="112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</row>
    <row r="224" spans="1:29" ht="13">
      <c r="A224" s="115"/>
      <c r="B224" s="97"/>
      <c r="C224" s="115"/>
      <c r="D224" s="115"/>
      <c r="E224" s="115"/>
      <c r="F224" s="115"/>
      <c r="G224" s="99"/>
      <c r="H224" s="98"/>
      <c r="I224" s="100"/>
      <c r="J224" s="100"/>
      <c r="K224" s="100"/>
      <c r="L224" s="101"/>
      <c r="M224" s="101"/>
      <c r="N224" s="112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</row>
    <row r="225" spans="1:29" ht="13">
      <c r="A225" s="115"/>
      <c r="B225" s="97"/>
      <c r="C225" s="115"/>
      <c r="D225" s="115"/>
      <c r="E225" s="115"/>
      <c r="F225" s="115"/>
      <c r="G225" s="99"/>
      <c r="H225" s="98"/>
      <c r="I225" s="100"/>
      <c r="J225" s="100"/>
      <c r="K225" s="100"/>
      <c r="L225" s="101"/>
      <c r="M225" s="101"/>
      <c r="N225" s="112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</row>
    <row r="226" spans="1:29" ht="13">
      <c r="A226" s="115"/>
      <c r="B226" s="97"/>
      <c r="C226" s="115"/>
      <c r="D226" s="115"/>
      <c r="E226" s="115"/>
      <c r="F226" s="115"/>
      <c r="G226" s="99"/>
      <c r="H226" s="98"/>
      <c r="I226" s="100"/>
      <c r="J226" s="100"/>
      <c r="K226" s="100"/>
      <c r="L226" s="101"/>
      <c r="M226" s="101"/>
      <c r="N226" s="112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</row>
    <row r="227" spans="1:29" ht="13">
      <c r="A227" s="115"/>
      <c r="B227" s="97"/>
      <c r="C227" s="115"/>
      <c r="D227" s="115"/>
      <c r="E227" s="115"/>
      <c r="F227" s="115"/>
      <c r="G227" s="99"/>
      <c r="H227" s="98"/>
      <c r="I227" s="100"/>
      <c r="J227" s="100"/>
      <c r="K227" s="100"/>
      <c r="L227" s="101"/>
      <c r="M227" s="101"/>
      <c r="N227" s="112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</row>
    <row r="228" spans="1:29" ht="13">
      <c r="A228" s="115"/>
      <c r="B228" s="97"/>
      <c r="C228" s="115"/>
      <c r="D228" s="115"/>
      <c r="E228" s="115"/>
      <c r="F228" s="115"/>
      <c r="G228" s="99"/>
      <c r="H228" s="98"/>
      <c r="I228" s="100"/>
      <c r="J228" s="100"/>
      <c r="K228" s="100"/>
      <c r="L228" s="101"/>
      <c r="M228" s="101"/>
      <c r="N228" s="112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</row>
    <row r="229" spans="1:29" ht="13">
      <c r="A229" s="115"/>
      <c r="B229" s="97"/>
      <c r="C229" s="115"/>
      <c r="D229" s="115"/>
      <c r="E229" s="115"/>
      <c r="F229" s="115"/>
      <c r="G229" s="99"/>
      <c r="H229" s="98"/>
      <c r="I229" s="100"/>
      <c r="J229" s="100"/>
      <c r="K229" s="100"/>
      <c r="L229" s="101"/>
      <c r="M229" s="101"/>
      <c r="N229" s="112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</row>
    <row r="230" spans="1:29" ht="13">
      <c r="A230" s="115"/>
      <c r="B230" s="97"/>
      <c r="C230" s="115"/>
      <c r="D230" s="115"/>
      <c r="E230" s="115"/>
      <c r="F230" s="115"/>
      <c r="G230" s="99"/>
      <c r="H230" s="98"/>
      <c r="I230" s="100"/>
      <c r="J230" s="100"/>
      <c r="K230" s="100"/>
      <c r="L230" s="101"/>
      <c r="M230" s="101"/>
      <c r="N230" s="112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</row>
    <row r="231" spans="1:29" ht="13">
      <c r="A231" s="115"/>
      <c r="B231" s="97"/>
      <c r="C231" s="115"/>
      <c r="D231" s="115"/>
      <c r="E231" s="115"/>
      <c r="F231" s="115"/>
      <c r="G231" s="99"/>
      <c r="H231" s="98"/>
      <c r="I231" s="100"/>
      <c r="J231" s="100"/>
      <c r="K231" s="100"/>
      <c r="L231" s="101"/>
      <c r="M231" s="101"/>
      <c r="N231" s="112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</row>
    <row r="232" spans="1:29" ht="13">
      <c r="A232" s="115"/>
      <c r="B232" s="97"/>
      <c r="C232" s="115"/>
      <c r="D232" s="115"/>
      <c r="E232" s="115"/>
      <c r="F232" s="115"/>
      <c r="G232" s="99"/>
      <c r="H232" s="98"/>
      <c r="I232" s="100"/>
      <c r="J232" s="100"/>
      <c r="K232" s="100"/>
      <c r="L232" s="101"/>
      <c r="M232" s="101"/>
      <c r="N232" s="112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</row>
    <row r="233" spans="1:29" ht="13">
      <c r="A233" s="115"/>
      <c r="B233" s="97"/>
      <c r="C233" s="115"/>
      <c r="D233" s="115"/>
      <c r="E233" s="115"/>
      <c r="F233" s="115"/>
      <c r="G233" s="99"/>
      <c r="H233" s="98"/>
      <c r="I233" s="100"/>
      <c r="J233" s="100"/>
      <c r="K233" s="100"/>
      <c r="L233" s="101"/>
      <c r="M233" s="101"/>
      <c r="N233" s="112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</row>
    <row r="234" spans="1:29" ht="13">
      <c r="A234" s="115"/>
      <c r="B234" s="97"/>
      <c r="C234" s="115"/>
      <c r="D234" s="115"/>
      <c r="E234" s="115"/>
      <c r="F234" s="115"/>
      <c r="G234" s="99"/>
      <c r="H234" s="98"/>
      <c r="I234" s="100"/>
      <c r="J234" s="100"/>
      <c r="K234" s="100"/>
      <c r="L234" s="101"/>
      <c r="M234" s="101"/>
      <c r="N234" s="112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</row>
    <row r="235" spans="1:29" ht="13">
      <c r="A235" s="115"/>
      <c r="B235" s="97"/>
      <c r="C235" s="115"/>
      <c r="D235" s="115"/>
      <c r="E235" s="115"/>
      <c r="F235" s="115"/>
      <c r="G235" s="99"/>
      <c r="H235" s="98"/>
      <c r="I235" s="100"/>
      <c r="J235" s="100"/>
      <c r="K235" s="100"/>
      <c r="L235" s="101"/>
      <c r="M235" s="101"/>
      <c r="N235" s="112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</row>
    <row r="236" spans="1:29" ht="13">
      <c r="A236" s="115"/>
      <c r="B236" s="97"/>
      <c r="C236" s="115"/>
      <c r="D236" s="115"/>
      <c r="E236" s="115"/>
      <c r="F236" s="115"/>
      <c r="G236" s="99"/>
      <c r="H236" s="98"/>
      <c r="I236" s="100"/>
      <c r="J236" s="100"/>
      <c r="K236" s="100"/>
      <c r="L236" s="101"/>
      <c r="M236" s="101"/>
      <c r="N236" s="112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</row>
    <row r="237" spans="1:29" ht="13">
      <c r="A237" s="115"/>
      <c r="B237" s="97"/>
      <c r="C237" s="115"/>
      <c r="D237" s="115"/>
      <c r="E237" s="115"/>
      <c r="F237" s="115"/>
      <c r="G237" s="99"/>
      <c r="H237" s="98"/>
      <c r="I237" s="100"/>
      <c r="J237" s="100"/>
      <c r="K237" s="100"/>
      <c r="L237" s="101"/>
      <c r="M237" s="101"/>
      <c r="N237" s="112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</row>
    <row r="238" spans="1:29" ht="13">
      <c r="A238" s="115"/>
      <c r="B238" s="97"/>
      <c r="C238" s="115"/>
      <c r="D238" s="115"/>
      <c r="E238" s="115"/>
      <c r="F238" s="115"/>
      <c r="G238" s="99"/>
      <c r="H238" s="98"/>
      <c r="I238" s="100"/>
      <c r="J238" s="100"/>
      <c r="K238" s="100"/>
      <c r="L238" s="101"/>
      <c r="M238" s="101"/>
      <c r="N238" s="112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</row>
    <row r="239" spans="1:29" ht="13">
      <c r="A239" s="115"/>
      <c r="B239" s="97"/>
      <c r="C239" s="115"/>
      <c r="D239" s="115"/>
      <c r="E239" s="115"/>
      <c r="F239" s="115"/>
      <c r="G239" s="99"/>
      <c r="H239" s="98"/>
      <c r="I239" s="100"/>
      <c r="J239" s="100"/>
      <c r="K239" s="100"/>
      <c r="L239" s="101"/>
      <c r="M239" s="101"/>
      <c r="N239" s="112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</row>
    <row r="240" spans="1:29" ht="13">
      <c r="A240" s="115"/>
      <c r="B240" s="97"/>
      <c r="C240" s="115"/>
      <c r="D240" s="115"/>
      <c r="E240" s="115"/>
      <c r="F240" s="115"/>
      <c r="G240" s="99"/>
      <c r="H240" s="98"/>
      <c r="I240" s="100"/>
      <c r="J240" s="100"/>
      <c r="K240" s="100"/>
      <c r="L240" s="101"/>
      <c r="M240" s="101"/>
      <c r="N240" s="112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</row>
    <row r="241" spans="1:29" ht="13">
      <c r="A241" s="115"/>
      <c r="B241" s="97"/>
      <c r="C241" s="115"/>
      <c r="D241" s="115"/>
      <c r="E241" s="115"/>
      <c r="F241" s="115"/>
      <c r="G241" s="99"/>
      <c r="H241" s="98"/>
      <c r="I241" s="100"/>
      <c r="J241" s="100"/>
      <c r="K241" s="100"/>
      <c r="L241" s="101"/>
      <c r="M241" s="101"/>
      <c r="N241" s="112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</row>
    <row r="242" spans="1:29" ht="13">
      <c r="A242" s="115"/>
      <c r="B242" s="97"/>
      <c r="C242" s="115"/>
      <c r="D242" s="115"/>
      <c r="E242" s="115"/>
      <c r="F242" s="115"/>
      <c r="G242" s="99"/>
      <c r="H242" s="98"/>
      <c r="I242" s="100"/>
      <c r="J242" s="100"/>
      <c r="K242" s="100"/>
      <c r="L242" s="101"/>
      <c r="M242" s="101"/>
      <c r="N242" s="112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</row>
    <row r="243" spans="1:29" ht="13">
      <c r="A243" s="115"/>
      <c r="B243" s="97"/>
      <c r="C243" s="115"/>
      <c r="D243" s="115"/>
      <c r="E243" s="115"/>
      <c r="F243" s="115"/>
      <c r="G243" s="99"/>
      <c r="H243" s="98"/>
      <c r="I243" s="100"/>
      <c r="J243" s="100"/>
      <c r="K243" s="100"/>
      <c r="L243" s="101"/>
      <c r="M243" s="101"/>
      <c r="N243" s="112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</row>
    <row r="244" spans="1:29" ht="13">
      <c r="A244" s="115"/>
      <c r="B244" s="97"/>
      <c r="C244" s="115"/>
      <c r="D244" s="115"/>
      <c r="E244" s="115"/>
      <c r="F244" s="115"/>
      <c r="G244" s="99"/>
      <c r="H244" s="98"/>
      <c r="I244" s="100"/>
      <c r="J244" s="100"/>
      <c r="K244" s="100"/>
      <c r="L244" s="101"/>
      <c r="M244" s="101"/>
      <c r="N244" s="112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</row>
    <row r="245" spans="1:29" ht="13">
      <c r="A245" s="115"/>
      <c r="B245" s="97"/>
      <c r="C245" s="115"/>
      <c r="D245" s="115"/>
      <c r="E245" s="115"/>
      <c r="F245" s="115"/>
      <c r="G245" s="99"/>
      <c r="H245" s="98"/>
      <c r="I245" s="100"/>
      <c r="J245" s="100"/>
      <c r="K245" s="100"/>
      <c r="L245" s="101"/>
      <c r="M245" s="101"/>
      <c r="N245" s="112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</row>
    <row r="246" spans="1:29" ht="13">
      <c r="A246" s="115"/>
      <c r="B246" s="97"/>
      <c r="C246" s="115"/>
      <c r="D246" s="115"/>
      <c r="E246" s="115"/>
      <c r="F246" s="115"/>
      <c r="G246" s="99"/>
      <c r="H246" s="98"/>
      <c r="I246" s="100"/>
      <c r="J246" s="100"/>
      <c r="K246" s="100"/>
      <c r="L246" s="101"/>
      <c r="M246" s="101"/>
      <c r="N246" s="112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</row>
    <row r="247" spans="1:29" ht="13">
      <c r="A247" s="115"/>
      <c r="B247" s="97"/>
      <c r="C247" s="115"/>
      <c r="D247" s="115"/>
      <c r="E247" s="115"/>
      <c r="F247" s="115"/>
      <c r="G247" s="99"/>
      <c r="H247" s="98"/>
      <c r="I247" s="100"/>
      <c r="J247" s="100"/>
      <c r="K247" s="100"/>
      <c r="L247" s="101"/>
      <c r="M247" s="101"/>
      <c r="N247" s="112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</row>
    <row r="248" spans="1:29" ht="13">
      <c r="A248" s="115"/>
      <c r="B248" s="97"/>
      <c r="C248" s="115"/>
      <c r="D248" s="115"/>
      <c r="E248" s="115"/>
      <c r="F248" s="115"/>
      <c r="G248" s="99"/>
      <c r="H248" s="98"/>
      <c r="I248" s="100"/>
      <c r="J248" s="100"/>
      <c r="K248" s="100"/>
      <c r="L248" s="101"/>
      <c r="M248" s="101"/>
      <c r="N248" s="112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</row>
    <row r="249" spans="1:29" ht="13">
      <c r="A249" s="115"/>
      <c r="B249" s="97"/>
      <c r="C249" s="115"/>
      <c r="D249" s="115"/>
      <c r="E249" s="115"/>
      <c r="F249" s="115"/>
      <c r="G249" s="99"/>
      <c r="H249" s="98"/>
      <c r="I249" s="100"/>
      <c r="J249" s="100"/>
      <c r="K249" s="100"/>
      <c r="L249" s="101"/>
      <c r="M249" s="101"/>
      <c r="N249" s="112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</row>
    <row r="250" spans="1:29" ht="13">
      <c r="A250" s="115"/>
      <c r="B250" s="97"/>
      <c r="C250" s="115"/>
      <c r="D250" s="115"/>
      <c r="E250" s="115"/>
      <c r="F250" s="115"/>
      <c r="G250" s="99"/>
      <c r="H250" s="98"/>
      <c r="I250" s="100"/>
      <c r="J250" s="100"/>
      <c r="K250" s="100"/>
      <c r="L250" s="101"/>
      <c r="M250" s="101"/>
      <c r="N250" s="112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</row>
    <row r="251" spans="1:29" ht="13">
      <c r="A251" s="115"/>
      <c r="B251" s="97"/>
      <c r="C251" s="115"/>
      <c r="D251" s="115"/>
      <c r="E251" s="115"/>
      <c r="F251" s="115"/>
      <c r="G251" s="99"/>
      <c r="H251" s="98"/>
      <c r="I251" s="100"/>
      <c r="J251" s="100"/>
      <c r="K251" s="100"/>
      <c r="L251" s="101"/>
      <c r="M251" s="101"/>
      <c r="N251" s="112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</row>
    <row r="252" spans="1:29" ht="13">
      <c r="A252" s="115"/>
      <c r="B252" s="97"/>
      <c r="C252" s="115"/>
      <c r="D252" s="115"/>
      <c r="E252" s="115"/>
      <c r="F252" s="115"/>
      <c r="G252" s="99"/>
      <c r="H252" s="98"/>
      <c r="I252" s="100"/>
      <c r="J252" s="100"/>
      <c r="K252" s="100"/>
      <c r="L252" s="101"/>
      <c r="M252" s="101"/>
      <c r="N252" s="112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</row>
    <row r="253" spans="1:29" ht="13">
      <c r="A253" s="115"/>
      <c r="B253" s="97"/>
      <c r="C253" s="115"/>
      <c r="D253" s="115"/>
      <c r="E253" s="115"/>
      <c r="F253" s="115"/>
      <c r="G253" s="99"/>
      <c r="H253" s="98"/>
      <c r="I253" s="100"/>
      <c r="J253" s="100"/>
      <c r="K253" s="100"/>
      <c r="L253" s="101"/>
      <c r="M253" s="101"/>
      <c r="N253" s="112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</row>
    <row r="254" spans="1:29" ht="13">
      <c r="A254" s="115"/>
      <c r="B254" s="97"/>
      <c r="C254" s="115"/>
      <c r="D254" s="115"/>
      <c r="E254" s="115"/>
      <c r="F254" s="115"/>
      <c r="G254" s="99"/>
      <c r="H254" s="98"/>
      <c r="I254" s="100"/>
      <c r="J254" s="100"/>
      <c r="K254" s="100"/>
      <c r="L254" s="101"/>
      <c r="M254" s="101"/>
      <c r="N254" s="112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</row>
    <row r="255" spans="1:29" ht="13">
      <c r="A255" s="115"/>
      <c r="B255" s="97"/>
      <c r="C255" s="115"/>
      <c r="D255" s="115"/>
      <c r="E255" s="115"/>
      <c r="F255" s="115"/>
      <c r="G255" s="99"/>
      <c r="H255" s="98"/>
      <c r="I255" s="100"/>
      <c r="J255" s="100"/>
      <c r="K255" s="100"/>
      <c r="L255" s="101"/>
      <c r="M255" s="101"/>
      <c r="N255" s="112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</row>
    <row r="256" spans="1:29" ht="13">
      <c r="A256" s="115"/>
      <c r="B256" s="97"/>
      <c r="C256" s="115"/>
      <c r="D256" s="115"/>
      <c r="E256" s="115"/>
      <c r="F256" s="115"/>
      <c r="G256" s="99"/>
      <c r="H256" s="98"/>
      <c r="I256" s="100"/>
      <c r="J256" s="100"/>
      <c r="K256" s="100"/>
      <c r="L256" s="101"/>
      <c r="M256" s="101"/>
      <c r="N256" s="112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</row>
    <row r="257" spans="1:29" ht="13">
      <c r="A257" s="115"/>
      <c r="B257" s="97"/>
      <c r="C257" s="115"/>
      <c r="D257" s="115"/>
      <c r="E257" s="115"/>
      <c r="F257" s="115"/>
      <c r="G257" s="99"/>
      <c r="H257" s="98"/>
      <c r="I257" s="100"/>
      <c r="J257" s="100"/>
      <c r="K257" s="100"/>
      <c r="L257" s="101"/>
      <c r="M257" s="101"/>
      <c r="N257" s="112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</row>
    <row r="258" spans="1:29" ht="13">
      <c r="A258" s="115"/>
      <c r="B258" s="97"/>
      <c r="C258" s="115"/>
      <c r="D258" s="115"/>
      <c r="E258" s="115"/>
      <c r="F258" s="115"/>
      <c r="G258" s="99"/>
      <c r="H258" s="98"/>
      <c r="I258" s="100"/>
      <c r="J258" s="100"/>
      <c r="K258" s="100"/>
      <c r="L258" s="101"/>
      <c r="M258" s="101"/>
      <c r="N258" s="112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</row>
    <row r="259" spans="1:29" ht="13">
      <c r="A259" s="115"/>
      <c r="B259" s="97"/>
      <c r="C259" s="115"/>
      <c r="D259" s="115"/>
      <c r="E259" s="115"/>
      <c r="F259" s="115"/>
      <c r="G259" s="99"/>
      <c r="H259" s="98"/>
      <c r="I259" s="100"/>
      <c r="J259" s="100"/>
      <c r="K259" s="100"/>
      <c r="L259" s="101"/>
      <c r="M259" s="101"/>
      <c r="N259" s="112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</row>
    <row r="260" spans="1:29" ht="13">
      <c r="A260" s="115"/>
      <c r="B260" s="97"/>
      <c r="C260" s="115"/>
      <c r="D260" s="115"/>
      <c r="E260" s="115"/>
      <c r="F260" s="115"/>
      <c r="G260" s="99"/>
      <c r="H260" s="98"/>
      <c r="I260" s="100"/>
      <c r="J260" s="100"/>
      <c r="K260" s="100"/>
      <c r="L260" s="101"/>
      <c r="M260" s="101"/>
      <c r="N260" s="112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</row>
    <row r="261" spans="1:29" ht="13">
      <c r="A261" s="115"/>
      <c r="B261" s="97"/>
      <c r="C261" s="115"/>
      <c r="D261" s="115"/>
      <c r="E261" s="115"/>
      <c r="F261" s="115"/>
      <c r="G261" s="99"/>
      <c r="H261" s="98"/>
      <c r="I261" s="100"/>
      <c r="J261" s="100"/>
      <c r="K261" s="100"/>
      <c r="L261" s="101"/>
      <c r="M261" s="101"/>
      <c r="N261" s="112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</row>
    <row r="262" spans="1:29" ht="13">
      <c r="A262" s="115"/>
      <c r="B262" s="97"/>
      <c r="C262" s="115"/>
      <c r="D262" s="115"/>
      <c r="E262" s="115"/>
      <c r="F262" s="115"/>
      <c r="G262" s="99"/>
      <c r="H262" s="98"/>
      <c r="I262" s="100"/>
      <c r="J262" s="100"/>
      <c r="K262" s="100"/>
      <c r="L262" s="101"/>
      <c r="M262" s="101"/>
      <c r="N262" s="112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</row>
    <row r="263" spans="1:29" ht="13">
      <c r="A263" s="115"/>
      <c r="B263" s="97"/>
      <c r="C263" s="115"/>
      <c r="D263" s="115"/>
      <c r="E263" s="115"/>
      <c r="F263" s="115"/>
      <c r="G263" s="99"/>
      <c r="H263" s="98"/>
      <c r="I263" s="100"/>
      <c r="J263" s="100"/>
      <c r="K263" s="100"/>
      <c r="L263" s="101"/>
      <c r="M263" s="101"/>
      <c r="N263" s="112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</row>
    <row r="264" spans="1:29" ht="13">
      <c r="A264" s="115"/>
      <c r="B264" s="97"/>
      <c r="C264" s="115"/>
      <c r="D264" s="115"/>
      <c r="E264" s="115"/>
      <c r="F264" s="115"/>
      <c r="G264" s="99"/>
      <c r="H264" s="98"/>
      <c r="I264" s="100"/>
      <c r="J264" s="100"/>
      <c r="K264" s="100"/>
      <c r="L264" s="101"/>
      <c r="M264" s="101"/>
      <c r="N264" s="112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</row>
    <row r="265" spans="1:29" ht="13">
      <c r="A265" s="115"/>
      <c r="B265" s="97"/>
      <c r="C265" s="115"/>
      <c r="D265" s="115"/>
      <c r="E265" s="115"/>
      <c r="F265" s="115"/>
      <c r="G265" s="99"/>
      <c r="H265" s="98"/>
      <c r="I265" s="100"/>
      <c r="J265" s="100"/>
      <c r="K265" s="100"/>
      <c r="L265" s="101"/>
      <c r="M265" s="101"/>
      <c r="N265" s="112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</row>
    <row r="266" spans="1:29" ht="13">
      <c r="A266" s="115"/>
      <c r="B266" s="97"/>
      <c r="C266" s="115"/>
      <c r="D266" s="115"/>
      <c r="E266" s="115"/>
      <c r="F266" s="115"/>
      <c r="G266" s="99"/>
      <c r="H266" s="98"/>
      <c r="I266" s="100"/>
      <c r="J266" s="100"/>
      <c r="K266" s="100"/>
      <c r="L266" s="101"/>
      <c r="M266" s="101"/>
      <c r="N266" s="112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</row>
    <row r="267" spans="1:29" ht="13">
      <c r="A267" s="115"/>
      <c r="B267" s="97"/>
      <c r="C267" s="115"/>
      <c r="D267" s="115"/>
      <c r="E267" s="115"/>
      <c r="F267" s="115"/>
      <c r="G267" s="99"/>
      <c r="H267" s="98"/>
      <c r="I267" s="100"/>
      <c r="J267" s="100"/>
      <c r="K267" s="100"/>
      <c r="L267" s="101"/>
      <c r="M267" s="101"/>
      <c r="N267" s="112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</row>
    <row r="268" spans="1:29" ht="13">
      <c r="A268" s="115"/>
      <c r="B268" s="97"/>
      <c r="C268" s="115"/>
      <c r="D268" s="115"/>
      <c r="E268" s="115"/>
      <c r="F268" s="115"/>
      <c r="G268" s="99"/>
      <c r="H268" s="98"/>
      <c r="I268" s="100"/>
      <c r="J268" s="100"/>
      <c r="K268" s="100"/>
      <c r="L268" s="101"/>
      <c r="M268" s="101"/>
      <c r="N268" s="112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</row>
    <row r="269" spans="1:29" ht="13">
      <c r="A269" s="115"/>
      <c r="B269" s="97"/>
      <c r="C269" s="115"/>
      <c r="D269" s="115"/>
      <c r="E269" s="115"/>
      <c r="F269" s="115"/>
      <c r="G269" s="99"/>
      <c r="H269" s="98"/>
      <c r="I269" s="100"/>
      <c r="J269" s="100"/>
      <c r="K269" s="100"/>
      <c r="L269" s="101"/>
      <c r="M269" s="101"/>
      <c r="N269" s="112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</row>
    <row r="270" spans="1:29" ht="13">
      <c r="A270" s="115"/>
      <c r="B270" s="97"/>
      <c r="C270" s="115"/>
      <c r="D270" s="115"/>
      <c r="E270" s="115"/>
      <c r="F270" s="115"/>
      <c r="G270" s="99"/>
      <c r="H270" s="98"/>
      <c r="I270" s="100"/>
      <c r="J270" s="100"/>
      <c r="K270" s="100"/>
      <c r="L270" s="101"/>
      <c r="M270" s="101"/>
      <c r="N270" s="112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</row>
    <row r="271" spans="1:29" ht="13">
      <c r="A271" s="115"/>
      <c r="B271" s="97"/>
      <c r="C271" s="115"/>
      <c r="D271" s="115"/>
      <c r="E271" s="115"/>
      <c r="F271" s="115"/>
      <c r="G271" s="99"/>
      <c r="H271" s="98"/>
      <c r="I271" s="100"/>
      <c r="J271" s="100"/>
      <c r="K271" s="100"/>
      <c r="L271" s="101"/>
      <c r="M271" s="101"/>
      <c r="N271" s="112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</row>
    <row r="272" spans="1:29" ht="13">
      <c r="A272" s="115"/>
      <c r="B272" s="97"/>
      <c r="C272" s="115"/>
      <c r="D272" s="115"/>
      <c r="E272" s="115"/>
      <c r="F272" s="115"/>
      <c r="G272" s="99"/>
      <c r="H272" s="98"/>
      <c r="I272" s="100"/>
      <c r="J272" s="100"/>
      <c r="K272" s="100"/>
      <c r="L272" s="101"/>
      <c r="M272" s="101"/>
      <c r="N272" s="112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</row>
    <row r="273" spans="1:29" ht="13">
      <c r="A273" s="115"/>
      <c r="B273" s="97"/>
      <c r="C273" s="115"/>
      <c r="D273" s="115"/>
      <c r="E273" s="115"/>
      <c r="F273" s="115"/>
      <c r="G273" s="99"/>
      <c r="H273" s="98"/>
      <c r="I273" s="100"/>
      <c r="J273" s="100"/>
      <c r="K273" s="100"/>
      <c r="L273" s="101"/>
      <c r="M273" s="101"/>
      <c r="N273" s="112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</row>
    <row r="274" spans="1:29" ht="13">
      <c r="A274" s="115"/>
      <c r="B274" s="97"/>
      <c r="C274" s="115"/>
      <c r="D274" s="115"/>
      <c r="E274" s="115"/>
      <c r="F274" s="115"/>
      <c r="G274" s="99"/>
      <c r="H274" s="98"/>
      <c r="I274" s="100"/>
      <c r="J274" s="100"/>
      <c r="K274" s="100"/>
      <c r="L274" s="101"/>
      <c r="M274" s="101"/>
      <c r="N274" s="112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</row>
    <row r="275" spans="1:29" ht="13">
      <c r="A275" s="115"/>
      <c r="B275" s="97"/>
      <c r="C275" s="115"/>
      <c r="D275" s="115"/>
      <c r="E275" s="115"/>
      <c r="F275" s="115"/>
      <c r="G275" s="99"/>
      <c r="H275" s="98"/>
      <c r="I275" s="100"/>
      <c r="J275" s="100"/>
      <c r="K275" s="100"/>
      <c r="L275" s="101"/>
      <c r="M275" s="101"/>
      <c r="N275" s="112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</row>
    <row r="276" spans="1:29" ht="13">
      <c r="A276" s="115"/>
      <c r="B276" s="97"/>
      <c r="C276" s="115"/>
      <c r="D276" s="115"/>
      <c r="E276" s="115"/>
      <c r="F276" s="115"/>
      <c r="G276" s="99"/>
      <c r="H276" s="98"/>
      <c r="I276" s="100"/>
      <c r="J276" s="100"/>
      <c r="K276" s="100"/>
      <c r="L276" s="101"/>
      <c r="M276" s="101"/>
      <c r="N276" s="112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</row>
    <row r="277" spans="1:29" ht="13">
      <c r="A277" s="115"/>
      <c r="B277" s="97"/>
      <c r="C277" s="115"/>
      <c r="D277" s="115"/>
      <c r="E277" s="115"/>
      <c r="F277" s="115"/>
      <c r="G277" s="99"/>
      <c r="H277" s="98"/>
      <c r="I277" s="100"/>
      <c r="J277" s="100"/>
      <c r="K277" s="100"/>
      <c r="L277" s="101"/>
      <c r="M277" s="101"/>
      <c r="N277" s="112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</row>
    <row r="278" spans="1:29" ht="13">
      <c r="A278" s="115"/>
      <c r="B278" s="97"/>
      <c r="C278" s="115"/>
      <c r="D278" s="115"/>
      <c r="E278" s="115"/>
      <c r="F278" s="115"/>
      <c r="G278" s="99"/>
      <c r="H278" s="98"/>
      <c r="I278" s="100"/>
      <c r="J278" s="100"/>
      <c r="K278" s="100"/>
      <c r="L278" s="101"/>
      <c r="M278" s="101"/>
      <c r="N278" s="112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</row>
    <row r="279" spans="1:29" ht="13">
      <c r="A279" s="115"/>
      <c r="B279" s="97"/>
      <c r="C279" s="115"/>
      <c r="D279" s="115"/>
      <c r="E279" s="115"/>
      <c r="F279" s="115"/>
      <c r="G279" s="99"/>
      <c r="H279" s="98"/>
      <c r="I279" s="100"/>
      <c r="J279" s="100"/>
      <c r="K279" s="100"/>
      <c r="L279" s="101"/>
      <c r="M279" s="101"/>
      <c r="N279" s="112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</row>
    <row r="280" spans="1:29" ht="13">
      <c r="A280" s="115"/>
      <c r="B280" s="97"/>
      <c r="C280" s="115"/>
      <c r="D280" s="115"/>
      <c r="E280" s="115"/>
      <c r="F280" s="115"/>
      <c r="G280" s="99"/>
      <c r="H280" s="98"/>
      <c r="I280" s="100"/>
      <c r="J280" s="100"/>
      <c r="K280" s="100"/>
      <c r="L280" s="101"/>
      <c r="M280" s="101"/>
      <c r="N280" s="112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</row>
    <row r="281" spans="1:29" ht="13">
      <c r="A281" s="115"/>
      <c r="B281" s="97"/>
      <c r="C281" s="115"/>
      <c r="D281" s="115"/>
      <c r="E281" s="115"/>
      <c r="F281" s="115"/>
      <c r="G281" s="99"/>
      <c r="H281" s="98"/>
      <c r="I281" s="100"/>
      <c r="J281" s="100"/>
      <c r="K281" s="100"/>
      <c r="L281" s="101"/>
      <c r="M281" s="101"/>
      <c r="N281" s="112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</row>
    <row r="282" spans="1:29" ht="13">
      <c r="A282" s="115"/>
      <c r="B282" s="97"/>
      <c r="C282" s="115"/>
      <c r="D282" s="115"/>
      <c r="E282" s="115"/>
      <c r="F282" s="115"/>
      <c r="G282" s="99"/>
      <c r="H282" s="98"/>
      <c r="I282" s="100"/>
      <c r="J282" s="100"/>
      <c r="K282" s="100"/>
      <c r="L282" s="101"/>
      <c r="M282" s="101"/>
      <c r="N282" s="112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</row>
    <row r="283" spans="1:29" ht="13">
      <c r="A283" s="115"/>
      <c r="B283" s="97"/>
      <c r="C283" s="115"/>
      <c r="D283" s="115"/>
      <c r="E283" s="115"/>
      <c r="F283" s="115"/>
      <c r="G283" s="99"/>
      <c r="H283" s="98"/>
      <c r="I283" s="100"/>
      <c r="J283" s="100"/>
      <c r="K283" s="100"/>
      <c r="L283" s="101"/>
      <c r="M283" s="101"/>
      <c r="N283" s="112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</row>
    <row r="284" spans="1:29" ht="13">
      <c r="A284" s="115"/>
      <c r="B284" s="97"/>
      <c r="C284" s="115"/>
      <c r="D284" s="115"/>
      <c r="E284" s="115"/>
      <c r="F284" s="115"/>
      <c r="G284" s="99"/>
      <c r="H284" s="98"/>
      <c r="I284" s="100"/>
      <c r="J284" s="100"/>
      <c r="K284" s="100"/>
      <c r="L284" s="101"/>
      <c r="M284" s="101"/>
      <c r="N284" s="112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</row>
    <row r="285" spans="1:29" ht="13">
      <c r="A285" s="115"/>
      <c r="B285" s="97"/>
      <c r="C285" s="115"/>
      <c r="D285" s="115"/>
      <c r="E285" s="115"/>
      <c r="F285" s="115"/>
      <c r="G285" s="99"/>
      <c r="H285" s="98"/>
      <c r="I285" s="100"/>
      <c r="J285" s="100"/>
      <c r="K285" s="100"/>
      <c r="L285" s="101"/>
      <c r="M285" s="101"/>
      <c r="N285" s="112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</row>
    <row r="286" spans="1:29" ht="13">
      <c r="A286" s="115"/>
      <c r="B286" s="97"/>
      <c r="C286" s="115"/>
      <c r="D286" s="115"/>
      <c r="E286" s="115"/>
      <c r="F286" s="115"/>
      <c r="G286" s="99"/>
      <c r="H286" s="98"/>
      <c r="I286" s="100"/>
      <c r="J286" s="100"/>
      <c r="K286" s="100"/>
      <c r="L286" s="101"/>
      <c r="M286" s="101"/>
      <c r="N286" s="112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</row>
    <row r="287" spans="1:29" ht="13">
      <c r="A287" s="115"/>
      <c r="B287" s="97"/>
      <c r="C287" s="115"/>
      <c r="D287" s="115"/>
      <c r="E287" s="115"/>
      <c r="F287" s="115"/>
      <c r="G287" s="99"/>
      <c r="H287" s="98"/>
      <c r="I287" s="100"/>
      <c r="J287" s="100"/>
      <c r="K287" s="100"/>
      <c r="L287" s="101"/>
      <c r="M287" s="101"/>
      <c r="N287" s="112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</row>
    <row r="288" spans="1:29" ht="13">
      <c r="A288" s="115"/>
      <c r="B288" s="97"/>
      <c r="C288" s="115"/>
      <c r="D288" s="115"/>
      <c r="E288" s="115"/>
      <c r="F288" s="115"/>
      <c r="G288" s="99"/>
      <c r="H288" s="98"/>
      <c r="I288" s="100"/>
      <c r="J288" s="100"/>
      <c r="K288" s="100"/>
      <c r="L288" s="101"/>
      <c r="M288" s="101"/>
      <c r="N288" s="112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</row>
    <row r="289" spans="1:29" ht="13">
      <c r="A289" s="115"/>
      <c r="B289" s="97"/>
      <c r="C289" s="115"/>
      <c r="D289" s="115"/>
      <c r="E289" s="115"/>
      <c r="F289" s="115"/>
      <c r="G289" s="99"/>
      <c r="H289" s="98"/>
      <c r="I289" s="100"/>
      <c r="J289" s="100"/>
      <c r="K289" s="100"/>
      <c r="L289" s="101"/>
      <c r="M289" s="101"/>
      <c r="N289" s="112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</row>
    <row r="290" spans="1:29" ht="13">
      <c r="A290" s="115"/>
      <c r="B290" s="97"/>
      <c r="C290" s="115"/>
      <c r="D290" s="115"/>
      <c r="E290" s="115"/>
      <c r="F290" s="115"/>
      <c r="G290" s="99"/>
      <c r="H290" s="98"/>
      <c r="I290" s="100"/>
      <c r="J290" s="100"/>
      <c r="K290" s="100"/>
      <c r="L290" s="101"/>
      <c r="M290" s="101"/>
      <c r="N290" s="112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</row>
    <row r="291" spans="1:29" ht="13">
      <c r="A291" s="115"/>
      <c r="B291" s="97"/>
      <c r="C291" s="115"/>
      <c r="D291" s="115"/>
      <c r="E291" s="115"/>
      <c r="F291" s="115"/>
      <c r="G291" s="99"/>
      <c r="H291" s="98"/>
      <c r="I291" s="100"/>
      <c r="J291" s="100"/>
      <c r="K291" s="100"/>
      <c r="L291" s="101"/>
      <c r="M291" s="101"/>
      <c r="N291" s="112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</row>
    <row r="292" spans="1:29" ht="13">
      <c r="A292" s="115"/>
      <c r="B292" s="97"/>
      <c r="C292" s="115"/>
      <c r="D292" s="115"/>
      <c r="E292" s="115"/>
      <c r="F292" s="115"/>
      <c r="G292" s="99"/>
      <c r="H292" s="98"/>
      <c r="I292" s="100"/>
      <c r="J292" s="100"/>
      <c r="K292" s="100"/>
      <c r="L292" s="101"/>
      <c r="M292" s="101"/>
      <c r="N292" s="112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</row>
    <row r="293" spans="1:29" ht="13">
      <c r="A293" s="115"/>
      <c r="B293" s="97"/>
      <c r="C293" s="115"/>
      <c r="D293" s="115"/>
      <c r="E293" s="115"/>
      <c r="F293" s="115"/>
      <c r="G293" s="99"/>
      <c r="H293" s="98"/>
      <c r="I293" s="100"/>
      <c r="J293" s="100"/>
      <c r="K293" s="100"/>
      <c r="L293" s="101"/>
      <c r="M293" s="101"/>
      <c r="N293" s="112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</row>
    <row r="294" spans="1:29" ht="13">
      <c r="A294" s="115"/>
      <c r="B294" s="97"/>
      <c r="C294" s="115"/>
      <c r="D294" s="115"/>
      <c r="E294" s="115"/>
      <c r="F294" s="115"/>
      <c r="G294" s="99"/>
      <c r="H294" s="98"/>
      <c r="I294" s="100"/>
      <c r="J294" s="100"/>
      <c r="K294" s="100"/>
      <c r="L294" s="101"/>
      <c r="M294" s="101"/>
      <c r="N294" s="112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</row>
    <row r="295" spans="1:29" ht="13">
      <c r="A295" s="115"/>
      <c r="B295" s="97"/>
      <c r="C295" s="115"/>
      <c r="D295" s="115"/>
      <c r="E295" s="115"/>
      <c r="F295" s="115"/>
      <c r="G295" s="99"/>
      <c r="H295" s="98"/>
      <c r="I295" s="100"/>
      <c r="J295" s="100"/>
      <c r="K295" s="100"/>
      <c r="L295" s="101"/>
      <c r="M295" s="101"/>
      <c r="N295" s="112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</row>
    <row r="296" spans="1:29" ht="13">
      <c r="A296" s="115"/>
      <c r="B296" s="97"/>
      <c r="C296" s="115"/>
      <c r="D296" s="115"/>
      <c r="E296" s="115"/>
      <c r="F296" s="115"/>
      <c r="G296" s="99"/>
      <c r="H296" s="98"/>
      <c r="I296" s="100"/>
      <c r="J296" s="100"/>
      <c r="K296" s="100"/>
      <c r="L296" s="101"/>
      <c r="M296" s="101"/>
      <c r="N296" s="112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</row>
    <row r="297" spans="1:29" ht="13">
      <c r="A297" s="115"/>
      <c r="B297" s="97"/>
      <c r="C297" s="115"/>
      <c r="D297" s="115"/>
      <c r="E297" s="115"/>
      <c r="F297" s="115"/>
      <c r="G297" s="99"/>
      <c r="H297" s="98"/>
      <c r="I297" s="100"/>
      <c r="J297" s="100"/>
      <c r="K297" s="100"/>
      <c r="L297" s="101"/>
      <c r="M297" s="101"/>
      <c r="N297" s="112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</row>
    <row r="298" spans="1:29" ht="13">
      <c r="A298" s="115"/>
      <c r="B298" s="97"/>
      <c r="C298" s="115"/>
      <c r="D298" s="115"/>
      <c r="E298" s="115"/>
      <c r="F298" s="115"/>
      <c r="G298" s="99"/>
      <c r="H298" s="98"/>
      <c r="I298" s="100"/>
      <c r="J298" s="100"/>
      <c r="K298" s="100"/>
      <c r="L298" s="101"/>
      <c r="M298" s="101"/>
      <c r="N298" s="112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</row>
    <row r="299" spans="1:29" ht="13">
      <c r="A299" s="115"/>
      <c r="B299" s="97"/>
      <c r="C299" s="115"/>
      <c r="D299" s="115"/>
      <c r="E299" s="115"/>
      <c r="F299" s="115"/>
      <c r="G299" s="99"/>
      <c r="H299" s="98"/>
      <c r="I299" s="100"/>
      <c r="J299" s="100"/>
      <c r="K299" s="100"/>
      <c r="L299" s="101"/>
      <c r="M299" s="101"/>
      <c r="N299" s="112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</row>
    <row r="300" spans="1:29" ht="13">
      <c r="A300" s="115"/>
      <c r="B300" s="97"/>
      <c r="C300" s="115"/>
      <c r="D300" s="115"/>
      <c r="E300" s="115"/>
      <c r="F300" s="115"/>
      <c r="G300" s="99"/>
      <c r="H300" s="98"/>
      <c r="I300" s="100"/>
      <c r="J300" s="100"/>
      <c r="K300" s="100"/>
      <c r="L300" s="101"/>
      <c r="M300" s="101"/>
      <c r="N300" s="112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</row>
    <row r="301" spans="1:29" ht="13">
      <c r="A301" s="115"/>
      <c r="B301" s="97"/>
      <c r="C301" s="115"/>
      <c r="D301" s="115"/>
      <c r="E301" s="115"/>
      <c r="F301" s="115"/>
      <c r="G301" s="99"/>
      <c r="H301" s="98"/>
      <c r="I301" s="100"/>
      <c r="J301" s="100"/>
      <c r="K301" s="100"/>
      <c r="L301" s="101"/>
      <c r="M301" s="101"/>
      <c r="N301" s="112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</row>
    <row r="302" spans="1:29" ht="13">
      <c r="A302" s="115"/>
      <c r="B302" s="97"/>
      <c r="C302" s="115"/>
      <c r="D302" s="115"/>
      <c r="E302" s="115"/>
      <c r="F302" s="115"/>
      <c r="G302" s="99"/>
      <c r="H302" s="98"/>
      <c r="I302" s="100"/>
      <c r="J302" s="100"/>
      <c r="K302" s="100"/>
      <c r="L302" s="101"/>
      <c r="M302" s="101"/>
      <c r="N302" s="112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</row>
    <row r="303" spans="1:29" ht="13">
      <c r="A303" s="115"/>
      <c r="B303" s="97"/>
      <c r="C303" s="115"/>
      <c r="D303" s="115"/>
      <c r="E303" s="115"/>
      <c r="F303" s="115"/>
      <c r="G303" s="99"/>
      <c r="H303" s="98"/>
      <c r="I303" s="100"/>
      <c r="J303" s="100"/>
      <c r="K303" s="100"/>
      <c r="L303" s="101"/>
      <c r="M303" s="101"/>
      <c r="N303" s="112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</row>
    <row r="304" spans="1:29" ht="13">
      <c r="A304" s="115"/>
      <c r="B304" s="97"/>
      <c r="C304" s="115"/>
      <c r="D304" s="115"/>
      <c r="E304" s="115"/>
      <c r="F304" s="115"/>
      <c r="G304" s="99"/>
      <c r="H304" s="98"/>
      <c r="I304" s="100"/>
      <c r="J304" s="100"/>
      <c r="K304" s="100"/>
      <c r="L304" s="101"/>
      <c r="M304" s="101"/>
      <c r="N304" s="112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</row>
    <row r="305" spans="1:29" ht="13">
      <c r="A305" s="115"/>
      <c r="B305" s="97"/>
      <c r="C305" s="115"/>
      <c r="D305" s="115"/>
      <c r="E305" s="115"/>
      <c r="F305" s="115"/>
      <c r="G305" s="99"/>
      <c r="H305" s="98"/>
      <c r="I305" s="100"/>
      <c r="J305" s="100"/>
      <c r="K305" s="100"/>
      <c r="L305" s="101"/>
      <c r="M305" s="101"/>
      <c r="N305" s="112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</row>
    <row r="306" spans="1:29" ht="13">
      <c r="A306" s="115"/>
      <c r="B306" s="97"/>
      <c r="C306" s="115"/>
      <c r="D306" s="115"/>
      <c r="E306" s="115"/>
      <c r="F306" s="115"/>
      <c r="G306" s="99"/>
      <c r="H306" s="98"/>
      <c r="I306" s="100"/>
      <c r="J306" s="100"/>
      <c r="K306" s="100"/>
      <c r="L306" s="101"/>
      <c r="M306" s="101"/>
      <c r="N306" s="112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</row>
    <row r="307" spans="1:29" ht="13">
      <c r="A307" s="115"/>
      <c r="B307" s="97"/>
      <c r="C307" s="115"/>
      <c r="D307" s="115"/>
      <c r="E307" s="115"/>
      <c r="F307" s="115"/>
      <c r="G307" s="99"/>
      <c r="H307" s="98"/>
      <c r="I307" s="100"/>
      <c r="J307" s="100"/>
      <c r="K307" s="100"/>
      <c r="L307" s="101"/>
      <c r="M307" s="101"/>
      <c r="N307" s="112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</row>
    <row r="308" spans="1:29" ht="13">
      <c r="A308" s="115"/>
      <c r="B308" s="97"/>
      <c r="C308" s="115"/>
      <c r="D308" s="115"/>
      <c r="E308" s="115"/>
      <c r="F308" s="115"/>
      <c r="G308" s="99"/>
      <c r="H308" s="98"/>
      <c r="I308" s="100"/>
      <c r="J308" s="100"/>
      <c r="K308" s="100"/>
      <c r="L308" s="101"/>
      <c r="M308" s="101"/>
      <c r="N308" s="112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</row>
    <row r="309" spans="1:29" ht="13">
      <c r="A309" s="115"/>
      <c r="B309" s="97"/>
      <c r="C309" s="115"/>
      <c r="D309" s="115"/>
      <c r="E309" s="115"/>
      <c r="F309" s="115"/>
      <c r="G309" s="99"/>
      <c r="H309" s="98"/>
      <c r="I309" s="100"/>
      <c r="J309" s="100"/>
      <c r="K309" s="100"/>
      <c r="L309" s="101"/>
      <c r="M309" s="101"/>
      <c r="N309" s="112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</row>
    <row r="310" spans="1:29" ht="13">
      <c r="A310" s="115"/>
      <c r="B310" s="97"/>
      <c r="C310" s="115"/>
      <c r="D310" s="115"/>
      <c r="E310" s="115"/>
      <c r="F310" s="115"/>
      <c r="G310" s="99"/>
      <c r="H310" s="98"/>
      <c r="I310" s="100"/>
      <c r="J310" s="100"/>
      <c r="K310" s="100"/>
      <c r="L310" s="101"/>
      <c r="M310" s="101"/>
      <c r="N310" s="112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</row>
    <row r="311" spans="1:29" ht="13">
      <c r="A311" s="115"/>
      <c r="B311" s="97"/>
      <c r="C311" s="115"/>
      <c r="D311" s="115"/>
      <c r="E311" s="115"/>
      <c r="F311" s="115"/>
      <c r="G311" s="99"/>
      <c r="H311" s="98"/>
      <c r="I311" s="100"/>
      <c r="J311" s="100"/>
      <c r="K311" s="100"/>
      <c r="L311" s="101"/>
      <c r="M311" s="101"/>
      <c r="N311" s="112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</row>
    <row r="312" spans="1:29" ht="13">
      <c r="A312" s="115"/>
      <c r="B312" s="97"/>
      <c r="C312" s="115"/>
      <c r="D312" s="115"/>
      <c r="E312" s="115"/>
      <c r="F312" s="115"/>
      <c r="G312" s="99"/>
      <c r="H312" s="98"/>
      <c r="I312" s="100"/>
      <c r="J312" s="100"/>
      <c r="K312" s="100"/>
      <c r="L312" s="101"/>
      <c r="M312" s="101"/>
      <c r="N312" s="112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</row>
    <row r="313" spans="1:29" ht="13">
      <c r="A313" s="115"/>
      <c r="B313" s="97"/>
      <c r="C313" s="115"/>
      <c r="D313" s="115"/>
      <c r="E313" s="115"/>
      <c r="F313" s="115"/>
      <c r="G313" s="99"/>
      <c r="H313" s="98"/>
      <c r="I313" s="100"/>
      <c r="J313" s="100"/>
      <c r="K313" s="100"/>
      <c r="L313" s="101"/>
      <c r="M313" s="101"/>
      <c r="N313" s="112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</row>
    <row r="314" spans="1:29" ht="13">
      <c r="A314" s="115"/>
      <c r="B314" s="97"/>
      <c r="C314" s="115"/>
      <c r="D314" s="115"/>
      <c r="E314" s="115"/>
      <c r="F314" s="115"/>
      <c r="G314" s="99"/>
      <c r="H314" s="98"/>
      <c r="I314" s="100"/>
      <c r="J314" s="100"/>
      <c r="K314" s="100"/>
      <c r="L314" s="101"/>
      <c r="M314" s="101"/>
      <c r="N314" s="112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</row>
    <row r="315" spans="1:29" ht="13">
      <c r="A315" s="115"/>
      <c r="B315" s="97"/>
      <c r="C315" s="115"/>
      <c r="D315" s="115"/>
      <c r="E315" s="115"/>
      <c r="F315" s="115"/>
      <c r="G315" s="99"/>
      <c r="H315" s="98"/>
      <c r="I315" s="100"/>
      <c r="J315" s="100"/>
      <c r="K315" s="100"/>
      <c r="L315" s="101"/>
      <c r="M315" s="101"/>
      <c r="N315" s="112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</row>
    <row r="316" spans="1:29" ht="13">
      <c r="A316" s="115"/>
      <c r="B316" s="97"/>
      <c r="C316" s="115"/>
      <c r="D316" s="115"/>
      <c r="E316" s="115"/>
      <c r="F316" s="115"/>
      <c r="G316" s="99"/>
      <c r="H316" s="98"/>
      <c r="I316" s="100"/>
      <c r="J316" s="100"/>
      <c r="K316" s="100"/>
      <c r="L316" s="101"/>
      <c r="M316" s="101"/>
      <c r="N316" s="112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</row>
    <row r="317" spans="1:29" ht="13">
      <c r="A317" s="115"/>
      <c r="B317" s="97"/>
      <c r="C317" s="115"/>
      <c r="D317" s="115"/>
      <c r="E317" s="115"/>
      <c r="F317" s="115"/>
      <c r="G317" s="99"/>
      <c r="H317" s="98"/>
      <c r="I317" s="100"/>
      <c r="J317" s="100"/>
      <c r="K317" s="100"/>
      <c r="L317" s="101"/>
      <c r="M317" s="101"/>
      <c r="N317" s="112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</row>
    <row r="318" spans="1:29" ht="13">
      <c r="A318" s="115"/>
      <c r="B318" s="97"/>
      <c r="C318" s="115"/>
      <c r="D318" s="115"/>
      <c r="E318" s="115"/>
      <c r="F318" s="115"/>
      <c r="G318" s="99"/>
      <c r="H318" s="98"/>
      <c r="I318" s="100"/>
      <c r="J318" s="100"/>
      <c r="K318" s="100"/>
      <c r="L318" s="101"/>
      <c r="M318" s="101"/>
      <c r="N318" s="112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</row>
    <row r="319" spans="1:29" ht="13">
      <c r="A319" s="115"/>
      <c r="B319" s="97"/>
      <c r="C319" s="115"/>
      <c r="D319" s="115"/>
      <c r="E319" s="115"/>
      <c r="F319" s="115"/>
      <c r="G319" s="99"/>
      <c r="H319" s="98"/>
      <c r="I319" s="100"/>
      <c r="J319" s="100"/>
      <c r="K319" s="100"/>
      <c r="L319" s="101"/>
      <c r="M319" s="101"/>
      <c r="N319" s="112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</row>
    <row r="320" spans="1:29" ht="13">
      <c r="A320" s="115"/>
      <c r="B320" s="97"/>
      <c r="C320" s="115"/>
      <c r="D320" s="115"/>
      <c r="E320" s="115"/>
      <c r="F320" s="115"/>
      <c r="G320" s="99"/>
      <c r="H320" s="98"/>
      <c r="I320" s="100"/>
      <c r="J320" s="100"/>
      <c r="K320" s="100"/>
      <c r="L320" s="101"/>
      <c r="M320" s="101"/>
      <c r="N320" s="112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</row>
    <row r="321" spans="1:29" ht="13">
      <c r="A321" s="115"/>
      <c r="B321" s="97"/>
      <c r="C321" s="115"/>
      <c r="D321" s="115"/>
      <c r="E321" s="115"/>
      <c r="F321" s="115"/>
      <c r="G321" s="99"/>
      <c r="H321" s="98"/>
      <c r="I321" s="100"/>
      <c r="J321" s="100"/>
      <c r="K321" s="100"/>
      <c r="L321" s="101"/>
      <c r="M321" s="101"/>
      <c r="N321" s="112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</row>
    <row r="322" spans="1:29" ht="13">
      <c r="A322" s="115"/>
      <c r="B322" s="97"/>
      <c r="C322" s="115"/>
      <c r="D322" s="115"/>
      <c r="E322" s="115"/>
      <c r="F322" s="115"/>
      <c r="G322" s="99"/>
      <c r="H322" s="98"/>
      <c r="I322" s="100"/>
      <c r="J322" s="100"/>
      <c r="K322" s="100"/>
      <c r="L322" s="101"/>
      <c r="M322" s="101"/>
      <c r="N322" s="112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</row>
    <row r="323" spans="1:29" ht="13">
      <c r="A323" s="115"/>
      <c r="B323" s="97"/>
      <c r="C323" s="115"/>
      <c r="D323" s="115"/>
      <c r="E323" s="115"/>
      <c r="F323" s="115"/>
      <c r="G323" s="99"/>
      <c r="H323" s="98"/>
      <c r="I323" s="100"/>
      <c r="J323" s="100"/>
      <c r="K323" s="100"/>
      <c r="L323" s="101"/>
      <c r="M323" s="101"/>
      <c r="N323" s="112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</row>
    <row r="324" spans="1:29" ht="13">
      <c r="A324" s="115"/>
      <c r="B324" s="97"/>
      <c r="C324" s="115"/>
      <c r="D324" s="115"/>
      <c r="E324" s="115"/>
      <c r="F324" s="115"/>
      <c r="G324" s="99"/>
      <c r="H324" s="98"/>
      <c r="I324" s="100"/>
      <c r="J324" s="100"/>
      <c r="K324" s="100"/>
      <c r="L324" s="101"/>
      <c r="M324" s="101"/>
      <c r="N324" s="112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</row>
    <row r="325" spans="1:29" ht="13">
      <c r="A325" s="115"/>
      <c r="B325" s="97"/>
      <c r="C325" s="115"/>
      <c r="D325" s="115"/>
      <c r="E325" s="115"/>
      <c r="F325" s="115"/>
      <c r="G325" s="99"/>
      <c r="H325" s="98"/>
      <c r="I325" s="100"/>
      <c r="J325" s="100"/>
      <c r="K325" s="100"/>
      <c r="L325" s="101"/>
      <c r="M325" s="101"/>
      <c r="N325" s="112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</row>
    <row r="326" spans="1:29" ht="13">
      <c r="A326" s="115"/>
      <c r="B326" s="97"/>
      <c r="C326" s="115"/>
      <c r="D326" s="115"/>
      <c r="E326" s="115"/>
      <c r="F326" s="115"/>
      <c r="G326" s="99"/>
      <c r="H326" s="98"/>
      <c r="I326" s="100"/>
      <c r="J326" s="100"/>
      <c r="K326" s="100"/>
      <c r="L326" s="101"/>
      <c r="M326" s="101"/>
      <c r="N326" s="112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</row>
    <row r="327" spans="1:29" ht="13">
      <c r="A327" s="115"/>
      <c r="B327" s="97"/>
      <c r="C327" s="115"/>
      <c r="D327" s="115"/>
      <c r="E327" s="115"/>
      <c r="F327" s="115"/>
      <c r="G327" s="99"/>
      <c r="H327" s="98"/>
      <c r="I327" s="100"/>
      <c r="J327" s="100"/>
      <c r="K327" s="100"/>
      <c r="L327" s="101"/>
      <c r="M327" s="101"/>
      <c r="N327" s="112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</row>
    <row r="328" spans="1:29" ht="13">
      <c r="A328" s="115"/>
      <c r="B328" s="97"/>
      <c r="C328" s="115"/>
      <c r="D328" s="115"/>
      <c r="E328" s="115"/>
      <c r="F328" s="115"/>
      <c r="G328" s="99"/>
      <c r="H328" s="98"/>
      <c r="I328" s="100"/>
      <c r="J328" s="100"/>
      <c r="K328" s="100"/>
      <c r="L328" s="101"/>
      <c r="M328" s="101"/>
      <c r="N328" s="112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</row>
    <row r="329" spans="1:29" ht="13">
      <c r="A329" s="115"/>
      <c r="B329" s="97"/>
      <c r="C329" s="115"/>
      <c r="D329" s="115"/>
      <c r="E329" s="115"/>
      <c r="F329" s="115"/>
      <c r="G329" s="99"/>
      <c r="H329" s="98"/>
      <c r="I329" s="100"/>
      <c r="J329" s="100"/>
      <c r="K329" s="100"/>
      <c r="L329" s="101"/>
      <c r="M329" s="101"/>
      <c r="N329" s="112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</row>
    <row r="330" spans="1:29" ht="13">
      <c r="A330" s="115"/>
      <c r="B330" s="97"/>
      <c r="C330" s="115"/>
      <c r="D330" s="115"/>
      <c r="E330" s="115"/>
      <c r="F330" s="115"/>
      <c r="G330" s="99"/>
      <c r="H330" s="98"/>
      <c r="I330" s="100"/>
      <c r="J330" s="100"/>
      <c r="K330" s="100"/>
      <c r="L330" s="101"/>
      <c r="M330" s="101"/>
      <c r="N330" s="112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</row>
    <row r="331" spans="1:29" ht="13">
      <c r="A331" s="115"/>
      <c r="B331" s="97"/>
      <c r="C331" s="115"/>
      <c r="D331" s="115"/>
      <c r="E331" s="115"/>
      <c r="F331" s="115"/>
      <c r="G331" s="99"/>
      <c r="H331" s="98"/>
      <c r="I331" s="100"/>
      <c r="J331" s="100"/>
      <c r="K331" s="100"/>
      <c r="L331" s="101"/>
      <c r="M331" s="101"/>
      <c r="N331" s="112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</row>
    <row r="332" spans="1:29" ht="13">
      <c r="A332" s="115"/>
      <c r="B332" s="97"/>
      <c r="C332" s="115"/>
      <c r="D332" s="115"/>
      <c r="E332" s="115"/>
      <c r="F332" s="115"/>
      <c r="G332" s="99"/>
      <c r="H332" s="98"/>
      <c r="I332" s="100"/>
      <c r="J332" s="100"/>
      <c r="K332" s="100"/>
      <c r="L332" s="101"/>
      <c r="M332" s="101"/>
      <c r="N332" s="112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</row>
    <row r="333" spans="1:29" ht="13">
      <c r="A333" s="115"/>
      <c r="B333" s="97"/>
      <c r="C333" s="115"/>
      <c r="D333" s="115"/>
      <c r="E333" s="115"/>
      <c r="F333" s="115"/>
      <c r="G333" s="99"/>
      <c r="H333" s="98"/>
      <c r="I333" s="100"/>
      <c r="J333" s="100"/>
      <c r="K333" s="100"/>
      <c r="L333" s="101"/>
      <c r="M333" s="101"/>
      <c r="N333" s="112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</row>
    <row r="334" spans="1:29" ht="13">
      <c r="A334" s="115"/>
      <c r="B334" s="97"/>
      <c r="C334" s="115"/>
      <c r="D334" s="115"/>
      <c r="E334" s="115"/>
      <c r="F334" s="115"/>
      <c r="G334" s="99"/>
      <c r="H334" s="98"/>
      <c r="I334" s="100"/>
      <c r="J334" s="100"/>
      <c r="K334" s="100"/>
      <c r="L334" s="101"/>
      <c r="M334" s="101"/>
      <c r="N334" s="112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</row>
    <row r="335" spans="1:29" ht="13">
      <c r="A335" s="115"/>
      <c r="B335" s="97"/>
      <c r="C335" s="115"/>
      <c r="D335" s="115"/>
      <c r="E335" s="115"/>
      <c r="F335" s="115"/>
      <c r="G335" s="99"/>
      <c r="H335" s="98"/>
      <c r="I335" s="100"/>
      <c r="J335" s="100"/>
      <c r="K335" s="100"/>
      <c r="L335" s="101"/>
      <c r="M335" s="101"/>
      <c r="N335" s="112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</row>
    <row r="336" spans="1:29" ht="13">
      <c r="A336" s="115"/>
      <c r="B336" s="97"/>
      <c r="C336" s="115"/>
      <c r="D336" s="115"/>
      <c r="E336" s="115"/>
      <c r="F336" s="115"/>
      <c r="G336" s="99"/>
      <c r="H336" s="98"/>
      <c r="I336" s="100"/>
      <c r="J336" s="100"/>
      <c r="K336" s="100"/>
      <c r="L336" s="101"/>
      <c r="M336" s="101"/>
      <c r="N336" s="112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</row>
    <row r="337" spans="1:29" ht="13">
      <c r="A337" s="115"/>
      <c r="B337" s="97"/>
      <c r="C337" s="115"/>
      <c r="D337" s="115"/>
      <c r="E337" s="115"/>
      <c r="F337" s="115"/>
      <c r="G337" s="99"/>
      <c r="H337" s="98"/>
      <c r="I337" s="100"/>
      <c r="J337" s="100"/>
      <c r="K337" s="100"/>
      <c r="L337" s="101"/>
      <c r="M337" s="101"/>
      <c r="N337" s="112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</row>
    <row r="338" spans="1:29" ht="13">
      <c r="A338" s="115"/>
      <c r="B338" s="97"/>
      <c r="C338" s="115"/>
      <c r="D338" s="115"/>
      <c r="E338" s="115"/>
      <c r="F338" s="115"/>
      <c r="G338" s="99"/>
      <c r="H338" s="98"/>
      <c r="I338" s="100"/>
      <c r="J338" s="100"/>
      <c r="K338" s="100"/>
      <c r="L338" s="101"/>
      <c r="M338" s="101"/>
      <c r="N338" s="112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</row>
    <row r="339" spans="1:29" ht="13">
      <c r="A339" s="115"/>
      <c r="B339" s="97"/>
      <c r="C339" s="115"/>
      <c r="D339" s="115"/>
      <c r="E339" s="115"/>
      <c r="F339" s="115"/>
      <c r="G339" s="99"/>
      <c r="H339" s="98"/>
      <c r="I339" s="100"/>
      <c r="J339" s="100"/>
      <c r="K339" s="100"/>
      <c r="L339" s="101"/>
      <c r="M339" s="101"/>
      <c r="N339" s="112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</row>
    <row r="340" spans="1:29" ht="13">
      <c r="A340" s="115"/>
      <c r="B340" s="97"/>
      <c r="C340" s="115"/>
      <c r="D340" s="115"/>
      <c r="E340" s="115"/>
      <c r="F340" s="115"/>
      <c r="G340" s="99"/>
      <c r="H340" s="98"/>
      <c r="I340" s="100"/>
      <c r="J340" s="100"/>
      <c r="K340" s="100"/>
      <c r="L340" s="101"/>
      <c r="M340" s="101"/>
      <c r="N340" s="112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</row>
    <row r="341" spans="1:29" ht="13">
      <c r="A341" s="115"/>
      <c r="B341" s="97"/>
      <c r="C341" s="115"/>
      <c r="D341" s="115"/>
      <c r="E341" s="115"/>
      <c r="F341" s="115"/>
      <c r="G341" s="99"/>
      <c r="H341" s="98"/>
      <c r="I341" s="100"/>
      <c r="J341" s="100"/>
      <c r="K341" s="100"/>
      <c r="L341" s="101"/>
      <c r="M341" s="101"/>
      <c r="N341" s="112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</row>
    <row r="342" spans="1:29" ht="13">
      <c r="A342" s="115"/>
      <c r="B342" s="97"/>
      <c r="C342" s="115"/>
      <c r="D342" s="115"/>
      <c r="E342" s="115"/>
      <c r="F342" s="115"/>
      <c r="G342" s="99"/>
      <c r="H342" s="98"/>
      <c r="I342" s="100"/>
      <c r="J342" s="100"/>
      <c r="K342" s="100"/>
      <c r="L342" s="101"/>
      <c r="M342" s="101"/>
      <c r="N342" s="112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</row>
    <row r="343" spans="1:29" ht="13">
      <c r="A343" s="115"/>
      <c r="B343" s="97"/>
      <c r="C343" s="115"/>
      <c r="D343" s="115"/>
      <c r="E343" s="115"/>
      <c r="F343" s="115"/>
      <c r="G343" s="99"/>
      <c r="H343" s="98"/>
      <c r="I343" s="100"/>
      <c r="J343" s="100"/>
      <c r="K343" s="100"/>
      <c r="L343" s="101"/>
      <c r="M343" s="101"/>
      <c r="N343" s="112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</row>
    <row r="344" spans="1:29" ht="13">
      <c r="A344" s="115"/>
      <c r="B344" s="97"/>
      <c r="C344" s="115"/>
      <c r="D344" s="115"/>
      <c r="E344" s="115"/>
      <c r="F344" s="115"/>
      <c r="G344" s="99"/>
      <c r="H344" s="98"/>
      <c r="I344" s="100"/>
      <c r="J344" s="100"/>
      <c r="K344" s="100"/>
      <c r="L344" s="101"/>
      <c r="M344" s="101"/>
      <c r="N344" s="112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</row>
    <row r="345" spans="1:29" ht="13">
      <c r="A345" s="115"/>
      <c r="B345" s="97"/>
      <c r="C345" s="115"/>
      <c r="D345" s="115"/>
      <c r="E345" s="115"/>
      <c r="F345" s="115"/>
      <c r="G345" s="99"/>
      <c r="H345" s="98"/>
      <c r="I345" s="100"/>
      <c r="J345" s="100"/>
      <c r="K345" s="100"/>
      <c r="L345" s="101"/>
      <c r="M345" s="101"/>
      <c r="N345" s="112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</row>
    <row r="346" spans="1:29" ht="13">
      <c r="A346" s="115"/>
      <c r="B346" s="97"/>
      <c r="C346" s="115"/>
      <c r="D346" s="115"/>
      <c r="E346" s="115"/>
      <c r="F346" s="115"/>
      <c r="G346" s="99"/>
      <c r="H346" s="98"/>
      <c r="I346" s="100"/>
      <c r="J346" s="100"/>
      <c r="K346" s="100"/>
      <c r="L346" s="101"/>
      <c r="M346" s="101"/>
      <c r="N346" s="112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</row>
    <row r="347" spans="1:29" ht="13">
      <c r="A347" s="115"/>
      <c r="B347" s="97"/>
      <c r="C347" s="115"/>
      <c r="D347" s="115"/>
      <c r="E347" s="115"/>
      <c r="F347" s="115"/>
      <c r="G347" s="99"/>
      <c r="H347" s="98"/>
      <c r="I347" s="100"/>
      <c r="J347" s="100"/>
      <c r="K347" s="100"/>
      <c r="L347" s="101"/>
      <c r="M347" s="101"/>
      <c r="N347" s="112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</row>
    <row r="348" spans="1:29" ht="13">
      <c r="A348" s="115"/>
      <c r="B348" s="97"/>
      <c r="C348" s="115"/>
      <c r="D348" s="115"/>
      <c r="E348" s="115"/>
      <c r="F348" s="115"/>
      <c r="G348" s="99"/>
      <c r="H348" s="98"/>
      <c r="I348" s="100"/>
      <c r="J348" s="100"/>
      <c r="K348" s="100"/>
      <c r="L348" s="101"/>
      <c r="M348" s="101"/>
      <c r="N348" s="112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</row>
    <row r="349" spans="1:29" ht="13">
      <c r="A349" s="115"/>
      <c r="B349" s="97"/>
      <c r="C349" s="115"/>
      <c r="D349" s="115"/>
      <c r="E349" s="115"/>
      <c r="F349" s="115"/>
      <c r="G349" s="99"/>
      <c r="H349" s="98"/>
      <c r="I349" s="100"/>
      <c r="J349" s="100"/>
      <c r="K349" s="100"/>
      <c r="L349" s="101"/>
      <c r="M349" s="101"/>
      <c r="N349" s="112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</row>
    <row r="350" spans="1:29" ht="13">
      <c r="A350" s="115"/>
      <c r="B350" s="97"/>
      <c r="C350" s="115"/>
      <c r="D350" s="115"/>
      <c r="E350" s="115"/>
      <c r="F350" s="115"/>
      <c r="G350" s="99"/>
      <c r="H350" s="98"/>
      <c r="I350" s="100"/>
      <c r="J350" s="100"/>
      <c r="K350" s="100"/>
      <c r="L350" s="101"/>
      <c r="M350" s="101"/>
      <c r="N350" s="112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</row>
    <row r="351" spans="1:29" ht="13">
      <c r="A351" s="115"/>
      <c r="B351" s="97"/>
      <c r="C351" s="115"/>
      <c r="D351" s="115"/>
      <c r="E351" s="115"/>
      <c r="F351" s="115"/>
      <c r="G351" s="99"/>
      <c r="H351" s="98"/>
      <c r="I351" s="100"/>
      <c r="J351" s="100"/>
      <c r="K351" s="100"/>
      <c r="L351" s="101"/>
      <c r="M351" s="101"/>
      <c r="N351" s="112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</row>
    <row r="352" spans="1:29" ht="13">
      <c r="A352" s="115"/>
      <c r="B352" s="97"/>
      <c r="C352" s="115"/>
      <c r="D352" s="115"/>
      <c r="E352" s="115"/>
      <c r="F352" s="115"/>
      <c r="G352" s="99"/>
      <c r="H352" s="98"/>
      <c r="I352" s="100"/>
      <c r="J352" s="100"/>
      <c r="K352" s="100"/>
      <c r="L352" s="101"/>
      <c r="M352" s="101"/>
      <c r="N352" s="112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</row>
    <row r="353" spans="1:29" ht="13">
      <c r="A353" s="115"/>
      <c r="B353" s="97"/>
      <c r="C353" s="115"/>
      <c r="D353" s="115"/>
      <c r="E353" s="115"/>
      <c r="F353" s="115"/>
      <c r="G353" s="99"/>
      <c r="H353" s="98"/>
      <c r="I353" s="100"/>
      <c r="J353" s="100"/>
      <c r="K353" s="100"/>
      <c r="L353" s="101"/>
      <c r="M353" s="101"/>
      <c r="N353" s="112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</row>
    <row r="354" spans="1:29" ht="13">
      <c r="A354" s="115"/>
      <c r="B354" s="97"/>
      <c r="C354" s="115"/>
      <c r="D354" s="115"/>
      <c r="E354" s="115"/>
      <c r="F354" s="115"/>
      <c r="G354" s="99"/>
      <c r="H354" s="98"/>
      <c r="I354" s="100"/>
      <c r="J354" s="100"/>
      <c r="K354" s="100"/>
      <c r="L354" s="101"/>
      <c r="M354" s="101"/>
      <c r="N354" s="112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</row>
    <row r="355" spans="1:29" ht="13">
      <c r="A355" s="115"/>
      <c r="B355" s="97"/>
      <c r="C355" s="115"/>
      <c r="D355" s="115"/>
      <c r="E355" s="115"/>
      <c r="F355" s="115"/>
      <c r="G355" s="99"/>
      <c r="H355" s="98"/>
      <c r="I355" s="100"/>
      <c r="J355" s="100"/>
      <c r="K355" s="100"/>
      <c r="L355" s="101"/>
      <c r="M355" s="101"/>
      <c r="N355" s="112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</row>
    <row r="356" spans="1:29" ht="13">
      <c r="A356" s="115"/>
      <c r="B356" s="97"/>
      <c r="C356" s="115"/>
      <c r="D356" s="115"/>
      <c r="E356" s="115"/>
      <c r="F356" s="115"/>
      <c r="G356" s="99"/>
      <c r="H356" s="98"/>
      <c r="I356" s="100"/>
      <c r="J356" s="100"/>
      <c r="K356" s="100"/>
      <c r="L356" s="101"/>
      <c r="M356" s="101"/>
      <c r="N356" s="112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</row>
    <row r="357" spans="1:29" ht="13">
      <c r="A357" s="115"/>
      <c r="B357" s="97"/>
      <c r="C357" s="115"/>
      <c r="D357" s="115"/>
      <c r="E357" s="115"/>
      <c r="F357" s="115"/>
      <c r="G357" s="99"/>
      <c r="H357" s="98"/>
      <c r="I357" s="100"/>
      <c r="J357" s="100"/>
      <c r="K357" s="100"/>
      <c r="L357" s="101"/>
      <c r="M357" s="101"/>
      <c r="N357" s="112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</row>
    <row r="358" spans="1:29" ht="13">
      <c r="A358" s="115"/>
      <c r="B358" s="97"/>
      <c r="C358" s="115"/>
      <c r="D358" s="115"/>
      <c r="E358" s="115"/>
      <c r="F358" s="115"/>
      <c r="G358" s="99"/>
      <c r="H358" s="98"/>
      <c r="I358" s="100"/>
      <c r="J358" s="100"/>
      <c r="K358" s="100"/>
      <c r="L358" s="101"/>
      <c r="M358" s="101"/>
      <c r="N358" s="112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</row>
    <row r="359" spans="1:29" ht="13">
      <c r="A359" s="115"/>
      <c r="B359" s="97"/>
      <c r="C359" s="115"/>
      <c r="D359" s="115"/>
      <c r="E359" s="115"/>
      <c r="F359" s="115"/>
      <c r="G359" s="99"/>
      <c r="H359" s="98"/>
      <c r="I359" s="100"/>
      <c r="J359" s="100"/>
      <c r="K359" s="100"/>
      <c r="L359" s="101"/>
      <c r="M359" s="101"/>
      <c r="N359" s="112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</row>
    <row r="360" spans="1:29" ht="13">
      <c r="A360" s="115"/>
      <c r="B360" s="97"/>
      <c r="C360" s="115"/>
      <c r="D360" s="115"/>
      <c r="E360" s="115"/>
      <c r="F360" s="115"/>
      <c r="G360" s="99"/>
      <c r="H360" s="98"/>
      <c r="I360" s="100"/>
      <c r="J360" s="100"/>
      <c r="K360" s="100"/>
      <c r="L360" s="101"/>
      <c r="M360" s="101"/>
      <c r="N360" s="112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</row>
    <row r="361" spans="1:29" ht="13">
      <c r="A361" s="115"/>
      <c r="B361" s="97"/>
      <c r="C361" s="115"/>
      <c r="D361" s="115"/>
      <c r="E361" s="115"/>
      <c r="F361" s="115"/>
      <c r="G361" s="99"/>
      <c r="H361" s="98"/>
      <c r="I361" s="100"/>
      <c r="J361" s="100"/>
      <c r="K361" s="100"/>
      <c r="L361" s="101"/>
      <c r="M361" s="101"/>
      <c r="N361" s="112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</row>
    <row r="362" spans="1:29" ht="13">
      <c r="A362" s="115"/>
      <c r="B362" s="97"/>
      <c r="C362" s="115"/>
      <c r="D362" s="115"/>
      <c r="E362" s="115"/>
      <c r="F362" s="115"/>
      <c r="G362" s="99"/>
      <c r="H362" s="98"/>
      <c r="I362" s="100"/>
      <c r="J362" s="100"/>
      <c r="K362" s="100"/>
      <c r="L362" s="101"/>
      <c r="M362" s="101"/>
      <c r="N362" s="112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</row>
    <row r="363" spans="1:29" ht="13">
      <c r="A363" s="115"/>
      <c r="B363" s="97"/>
      <c r="C363" s="115"/>
      <c r="D363" s="115"/>
      <c r="E363" s="115"/>
      <c r="F363" s="115"/>
      <c r="G363" s="99"/>
      <c r="H363" s="98"/>
      <c r="I363" s="100"/>
      <c r="J363" s="100"/>
      <c r="K363" s="100"/>
      <c r="L363" s="101"/>
      <c r="M363" s="101"/>
      <c r="N363" s="112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</row>
    <row r="364" spans="1:29" ht="13">
      <c r="A364" s="115"/>
      <c r="B364" s="97"/>
      <c r="C364" s="115"/>
      <c r="D364" s="115"/>
      <c r="E364" s="115"/>
      <c r="F364" s="115"/>
      <c r="G364" s="99"/>
      <c r="H364" s="98"/>
      <c r="I364" s="100"/>
      <c r="J364" s="100"/>
      <c r="K364" s="100"/>
      <c r="L364" s="101"/>
      <c r="M364" s="101"/>
      <c r="N364" s="112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</row>
    <row r="365" spans="1:29" ht="13">
      <c r="A365" s="115"/>
      <c r="B365" s="97"/>
      <c r="C365" s="115"/>
      <c r="D365" s="115"/>
      <c r="E365" s="115"/>
      <c r="F365" s="115"/>
      <c r="G365" s="99"/>
      <c r="H365" s="98"/>
      <c r="I365" s="100"/>
      <c r="J365" s="100"/>
      <c r="K365" s="100"/>
      <c r="L365" s="101"/>
      <c r="M365" s="101"/>
      <c r="N365" s="112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</row>
    <row r="366" spans="1:29" ht="13">
      <c r="A366" s="115"/>
      <c r="B366" s="97"/>
      <c r="C366" s="115"/>
      <c r="D366" s="115"/>
      <c r="E366" s="115"/>
      <c r="F366" s="115"/>
      <c r="G366" s="99"/>
      <c r="H366" s="98"/>
      <c r="I366" s="100"/>
      <c r="J366" s="100"/>
      <c r="K366" s="100"/>
      <c r="L366" s="101"/>
      <c r="M366" s="101"/>
      <c r="N366" s="112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</row>
    <row r="367" spans="1:29" ht="13">
      <c r="A367" s="115"/>
      <c r="B367" s="97"/>
      <c r="C367" s="115"/>
      <c r="D367" s="115"/>
      <c r="E367" s="115"/>
      <c r="F367" s="115"/>
      <c r="G367" s="99"/>
      <c r="H367" s="98"/>
      <c r="I367" s="100"/>
      <c r="J367" s="100"/>
      <c r="K367" s="100"/>
      <c r="L367" s="101"/>
      <c r="M367" s="101"/>
      <c r="N367" s="112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</row>
    <row r="368" spans="1:29" ht="13">
      <c r="A368" s="115"/>
      <c r="B368" s="97"/>
      <c r="C368" s="115"/>
      <c r="D368" s="115"/>
      <c r="E368" s="115"/>
      <c r="F368" s="115"/>
      <c r="G368" s="99"/>
      <c r="H368" s="98"/>
      <c r="I368" s="100"/>
      <c r="J368" s="100"/>
      <c r="K368" s="100"/>
      <c r="L368" s="101"/>
      <c r="M368" s="101"/>
      <c r="N368" s="112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</row>
    <row r="369" spans="1:29" ht="13">
      <c r="A369" s="115"/>
      <c r="B369" s="97"/>
      <c r="C369" s="115"/>
      <c r="D369" s="115"/>
      <c r="E369" s="115"/>
      <c r="F369" s="115"/>
      <c r="G369" s="99"/>
      <c r="H369" s="98"/>
      <c r="I369" s="100"/>
      <c r="J369" s="100"/>
      <c r="K369" s="100"/>
      <c r="L369" s="101"/>
      <c r="M369" s="101"/>
      <c r="N369" s="112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</row>
    <row r="370" spans="1:29" ht="13">
      <c r="A370" s="115"/>
      <c r="B370" s="97"/>
      <c r="C370" s="115"/>
      <c r="D370" s="115"/>
      <c r="E370" s="115"/>
      <c r="F370" s="115"/>
      <c r="G370" s="99"/>
      <c r="H370" s="98"/>
      <c r="I370" s="100"/>
      <c r="J370" s="100"/>
      <c r="K370" s="100"/>
      <c r="L370" s="101"/>
      <c r="M370" s="101"/>
      <c r="N370" s="112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</row>
    <row r="371" spans="1:29" ht="13">
      <c r="A371" s="115"/>
      <c r="B371" s="97"/>
      <c r="C371" s="115"/>
      <c r="D371" s="115"/>
      <c r="E371" s="115"/>
      <c r="F371" s="115"/>
      <c r="G371" s="99"/>
      <c r="H371" s="98"/>
      <c r="I371" s="100"/>
      <c r="J371" s="100"/>
      <c r="K371" s="100"/>
      <c r="L371" s="101"/>
      <c r="M371" s="101"/>
      <c r="N371" s="112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</row>
    <row r="372" spans="1:29" ht="13">
      <c r="A372" s="115"/>
      <c r="B372" s="97"/>
      <c r="C372" s="115"/>
      <c r="D372" s="115"/>
      <c r="E372" s="115"/>
      <c r="F372" s="115"/>
      <c r="G372" s="99"/>
      <c r="H372" s="98"/>
      <c r="I372" s="100"/>
      <c r="J372" s="100"/>
      <c r="K372" s="100"/>
      <c r="L372" s="101"/>
      <c r="M372" s="101"/>
      <c r="N372" s="112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</row>
    <row r="373" spans="1:29" ht="13">
      <c r="A373" s="115"/>
      <c r="B373" s="97"/>
      <c r="C373" s="115"/>
      <c r="D373" s="115"/>
      <c r="E373" s="115"/>
      <c r="F373" s="115"/>
      <c r="G373" s="99"/>
      <c r="H373" s="98"/>
      <c r="I373" s="100"/>
      <c r="J373" s="100"/>
      <c r="K373" s="100"/>
      <c r="L373" s="101"/>
      <c r="M373" s="101"/>
      <c r="N373" s="112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</row>
    <row r="374" spans="1:29" ht="13">
      <c r="A374" s="115"/>
      <c r="B374" s="97"/>
      <c r="C374" s="115"/>
      <c r="D374" s="115"/>
      <c r="E374" s="115"/>
      <c r="F374" s="115"/>
      <c r="G374" s="99"/>
      <c r="H374" s="98"/>
      <c r="I374" s="100"/>
      <c r="J374" s="100"/>
      <c r="K374" s="100"/>
      <c r="L374" s="101"/>
      <c r="M374" s="101"/>
      <c r="N374" s="112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</row>
    <row r="375" spans="1:29" ht="13">
      <c r="A375" s="115"/>
      <c r="B375" s="97"/>
      <c r="C375" s="115"/>
      <c r="D375" s="115"/>
      <c r="E375" s="115"/>
      <c r="F375" s="115"/>
      <c r="G375" s="99"/>
      <c r="H375" s="98"/>
      <c r="I375" s="100"/>
      <c r="J375" s="100"/>
      <c r="K375" s="100"/>
      <c r="L375" s="101"/>
      <c r="M375" s="101"/>
      <c r="N375" s="112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</row>
    <row r="376" spans="1:29" ht="13">
      <c r="A376" s="115"/>
      <c r="B376" s="97"/>
      <c r="C376" s="115"/>
      <c r="D376" s="115"/>
      <c r="E376" s="115"/>
      <c r="F376" s="115"/>
      <c r="G376" s="99"/>
      <c r="H376" s="98"/>
      <c r="I376" s="100"/>
      <c r="J376" s="100"/>
      <c r="K376" s="100"/>
      <c r="L376" s="101"/>
      <c r="M376" s="101"/>
      <c r="N376" s="112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</row>
    <row r="377" spans="1:29" ht="13">
      <c r="A377" s="115"/>
      <c r="B377" s="97"/>
      <c r="C377" s="115"/>
      <c r="D377" s="115"/>
      <c r="E377" s="115"/>
      <c r="F377" s="115"/>
      <c r="G377" s="99"/>
      <c r="H377" s="98"/>
      <c r="I377" s="100"/>
      <c r="J377" s="100"/>
      <c r="K377" s="100"/>
      <c r="L377" s="101"/>
      <c r="M377" s="101"/>
      <c r="N377" s="112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</row>
    <row r="378" spans="1:29" ht="13">
      <c r="A378" s="115"/>
      <c r="B378" s="97"/>
      <c r="C378" s="115"/>
      <c r="D378" s="115"/>
      <c r="E378" s="115"/>
      <c r="F378" s="115"/>
      <c r="G378" s="99"/>
      <c r="H378" s="98"/>
      <c r="I378" s="100"/>
      <c r="J378" s="100"/>
      <c r="K378" s="100"/>
      <c r="L378" s="101"/>
      <c r="M378" s="101"/>
      <c r="N378" s="112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</row>
    <row r="379" spans="1:29" ht="13">
      <c r="A379" s="115"/>
      <c r="B379" s="97"/>
      <c r="C379" s="115"/>
      <c r="D379" s="115"/>
      <c r="E379" s="115"/>
      <c r="F379" s="115"/>
      <c r="G379" s="99"/>
      <c r="H379" s="98"/>
      <c r="I379" s="100"/>
      <c r="J379" s="100"/>
      <c r="K379" s="100"/>
      <c r="L379" s="101"/>
      <c r="M379" s="101"/>
      <c r="N379" s="112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</row>
    <row r="380" spans="1:29" ht="13">
      <c r="A380" s="115"/>
      <c r="B380" s="97"/>
      <c r="C380" s="115"/>
      <c r="D380" s="115"/>
      <c r="E380" s="115"/>
      <c r="F380" s="115"/>
      <c r="G380" s="99"/>
      <c r="H380" s="98"/>
      <c r="I380" s="100"/>
      <c r="J380" s="100"/>
      <c r="K380" s="100"/>
      <c r="L380" s="101"/>
      <c r="M380" s="101"/>
      <c r="N380" s="112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</row>
    <row r="381" spans="1:29" ht="13">
      <c r="A381" s="115"/>
      <c r="B381" s="97"/>
      <c r="C381" s="115"/>
      <c r="D381" s="115"/>
      <c r="E381" s="115"/>
      <c r="F381" s="115"/>
      <c r="G381" s="99"/>
      <c r="H381" s="98"/>
      <c r="I381" s="100"/>
      <c r="J381" s="100"/>
      <c r="K381" s="100"/>
      <c r="L381" s="101"/>
      <c r="M381" s="101"/>
      <c r="N381" s="112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</row>
    <row r="382" spans="1:29" ht="13">
      <c r="A382" s="115"/>
      <c r="B382" s="97"/>
      <c r="C382" s="115"/>
      <c r="D382" s="115"/>
      <c r="E382" s="115"/>
      <c r="F382" s="115"/>
      <c r="G382" s="99"/>
      <c r="H382" s="98"/>
      <c r="I382" s="100"/>
      <c r="J382" s="100"/>
      <c r="K382" s="100"/>
      <c r="L382" s="101"/>
      <c r="M382" s="101"/>
      <c r="N382" s="112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</row>
    <row r="383" spans="1:29" ht="13">
      <c r="A383" s="115"/>
      <c r="B383" s="97"/>
      <c r="C383" s="115"/>
      <c r="D383" s="115"/>
      <c r="E383" s="115"/>
      <c r="F383" s="115"/>
      <c r="G383" s="99"/>
      <c r="H383" s="98"/>
      <c r="I383" s="100"/>
      <c r="J383" s="100"/>
      <c r="K383" s="100"/>
      <c r="L383" s="101"/>
      <c r="M383" s="101"/>
      <c r="N383" s="112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</row>
    <row r="384" spans="1:29" ht="13">
      <c r="A384" s="115"/>
      <c r="B384" s="97"/>
      <c r="C384" s="115"/>
      <c r="D384" s="115"/>
      <c r="E384" s="115"/>
      <c r="F384" s="115"/>
      <c r="G384" s="99"/>
      <c r="H384" s="98"/>
      <c r="I384" s="100"/>
      <c r="J384" s="100"/>
      <c r="K384" s="100"/>
      <c r="L384" s="101"/>
      <c r="M384" s="101"/>
      <c r="N384" s="112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</row>
    <row r="385" spans="1:29" ht="13">
      <c r="A385" s="115"/>
      <c r="B385" s="97"/>
      <c r="C385" s="115"/>
      <c r="D385" s="115"/>
      <c r="E385" s="115"/>
      <c r="F385" s="115"/>
      <c r="G385" s="99"/>
      <c r="H385" s="98"/>
      <c r="I385" s="100"/>
      <c r="J385" s="100"/>
      <c r="K385" s="100"/>
      <c r="L385" s="101"/>
      <c r="M385" s="101"/>
      <c r="N385" s="112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</row>
    <row r="386" spans="1:29" ht="13">
      <c r="A386" s="115"/>
      <c r="B386" s="97"/>
      <c r="C386" s="115"/>
      <c r="D386" s="115"/>
      <c r="E386" s="115"/>
      <c r="F386" s="115"/>
      <c r="G386" s="99"/>
      <c r="H386" s="98"/>
      <c r="I386" s="100"/>
      <c r="J386" s="100"/>
      <c r="K386" s="100"/>
      <c r="L386" s="101"/>
      <c r="M386" s="101"/>
      <c r="N386" s="112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</row>
    <row r="387" spans="1:29" ht="13">
      <c r="A387" s="115"/>
      <c r="B387" s="97"/>
      <c r="C387" s="115"/>
      <c r="D387" s="115"/>
      <c r="E387" s="115"/>
      <c r="F387" s="115"/>
      <c r="G387" s="99"/>
      <c r="H387" s="98"/>
      <c r="I387" s="100"/>
      <c r="J387" s="100"/>
      <c r="K387" s="100"/>
      <c r="L387" s="101"/>
      <c r="M387" s="101"/>
      <c r="N387" s="112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</row>
    <row r="388" spans="1:29" ht="13">
      <c r="A388" s="115"/>
      <c r="B388" s="97"/>
      <c r="C388" s="115"/>
      <c r="D388" s="115"/>
      <c r="E388" s="115"/>
      <c r="F388" s="115"/>
      <c r="G388" s="99"/>
      <c r="H388" s="98"/>
      <c r="I388" s="100"/>
      <c r="J388" s="100"/>
      <c r="K388" s="100"/>
      <c r="L388" s="101"/>
      <c r="M388" s="101"/>
      <c r="N388" s="112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</row>
    <row r="389" spans="1:29" ht="13">
      <c r="A389" s="115"/>
      <c r="B389" s="97"/>
      <c r="C389" s="115"/>
      <c r="D389" s="115"/>
      <c r="E389" s="115"/>
      <c r="F389" s="115"/>
      <c r="G389" s="99"/>
      <c r="H389" s="98"/>
      <c r="I389" s="100"/>
      <c r="J389" s="100"/>
      <c r="K389" s="100"/>
      <c r="L389" s="101"/>
      <c r="M389" s="101"/>
      <c r="N389" s="112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</row>
    <row r="390" spans="1:29" ht="13">
      <c r="A390" s="115"/>
      <c r="B390" s="97"/>
      <c r="C390" s="115"/>
      <c r="D390" s="115"/>
      <c r="E390" s="115"/>
      <c r="F390" s="115"/>
      <c r="G390" s="99"/>
      <c r="H390" s="98"/>
      <c r="I390" s="100"/>
      <c r="J390" s="100"/>
      <c r="K390" s="100"/>
      <c r="L390" s="101"/>
      <c r="M390" s="101"/>
      <c r="N390" s="112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</row>
    <row r="391" spans="1:29" ht="13">
      <c r="A391" s="115"/>
      <c r="B391" s="97"/>
      <c r="C391" s="115"/>
      <c r="D391" s="115"/>
      <c r="E391" s="115"/>
      <c r="F391" s="115"/>
      <c r="G391" s="99"/>
      <c r="H391" s="98"/>
      <c r="I391" s="100"/>
      <c r="J391" s="100"/>
      <c r="K391" s="100"/>
      <c r="L391" s="101"/>
      <c r="M391" s="101"/>
      <c r="N391" s="112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</row>
    <row r="392" spans="1:29" ht="13">
      <c r="A392" s="115"/>
      <c r="B392" s="97"/>
      <c r="C392" s="115"/>
      <c r="D392" s="115"/>
      <c r="E392" s="115"/>
      <c r="F392" s="115"/>
      <c r="G392" s="99"/>
      <c r="H392" s="98"/>
      <c r="I392" s="100"/>
      <c r="J392" s="100"/>
      <c r="K392" s="100"/>
      <c r="L392" s="101"/>
      <c r="M392" s="101"/>
      <c r="N392" s="112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</row>
    <row r="393" spans="1:29" ht="13">
      <c r="A393" s="115"/>
      <c r="B393" s="97"/>
      <c r="C393" s="115"/>
      <c r="D393" s="115"/>
      <c r="E393" s="115"/>
      <c r="F393" s="115"/>
      <c r="G393" s="99"/>
      <c r="H393" s="98"/>
      <c r="I393" s="100"/>
      <c r="J393" s="100"/>
      <c r="K393" s="100"/>
      <c r="L393" s="101"/>
      <c r="M393" s="101"/>
      <c r="N393" s="112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</row>
    <row r="394" spans="1:29" ht="13">
      <c r="A394" s="115"/>
      <c r="B394" s="97"/>
      <c r="C394" s="115"/>
      <c r="D394" s="115"/>
      <c r="E394" s="115"/>
      <c r="F394" s="115"/>
      <c r="G394" s="99"/>
      <c r="H394" s="98"/>
      <c r="I394" s="100"/>
      <c r="J394" s="100"/>
      <c r="K394" s="100"/>
      <c r="L394" s="101"/>
      <c r="M394" s="101"/>
      <c r="N394" s="112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</row>
    <row r="395" spans="1:29" ht="13">
      <c r="A395" s="115"/>
      <c r="B395" s="97"/>
      <c r="C395" s="115"/>
      <c r="D395" s="115"/>
      <c r="E395" s="115"/>
      <c r="F395" s="115"/>
      <c r="G395" s="99"/>
      <c r="H395" s="98"/>
      <c r="I395" s="100"/>
      <c r="J395" s="100"/>
      <c r="K395" s="100"/>
      <c r="L395" s="101"/>
      <c r="M395" s="101"/>
      <c r="N395" s="112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</row>
    <row r="396" spans="1:29" ht="13">
      <c r="A396" s="115"/>
      <c r="B396" s="97"/>
      <c r="C396" s="115"/>
      <c r="D396" s="115"/>
      <c r="E396" s="115"/>
      <c r="F396" s="115"/>
      <c r="G396" s="99"/>
      <c r="H396" s="98"/>
      <c r="I396" s="100"/>
      <c r="J396" s="100"/>
      <c r="K396" s="100"/>
      <c r="L396" s="101"/>
      <c r="M396" s="101"/>
      <c r="N396" s="112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</row>
    <row r="397" spans="1:29" ht="13">
      <c r="A397" s="115"/>
      <c r="B397" s="97"/>
      <c r="C397" s="115"/>
      <c r="D397" s="115"/>
      <c r="E397" s="115"/>
      <c r="F397" s="115"/>
      <c r="G397" s="99"/>
      <c r="H397" s="98"/>
      <c r="I397" s="100"/>
      <c r="J397" s="100"/>
      <c r="K397" s="100"/>
      <c r="L397" s="101"/>
      <c r="M397" s="101"/>
      <c r="N397" s="112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</row>
    <row r="398" spans="1:29" ht="13">
      <c r="A398" s="115"/>
      <c r="B398" s="97"/>
      <c r="C398" s="115"/>
      <c r="D398" s="115"/>
      <c r="E398" s="115"/>
      <c r="F398" s="115"/>
      <c r="G398" s="99"/>
      <c r="H398" s="98"/>
      <c r="I398" s="100"/>
      <c r="J398" s="100"/>
      <c r="K398" s="100"/>
      <c r="L398" s="101"/>
      <c r="M398" s="101"/>
      <c r="N398" s="112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</row>
    <row r="399" spans="1:29" ht="13">
      <c r="A399" s="115"/>
      <c r="B399" s="97"/>
      <c r="C399" s="115"/>
      <c r="D399" s="115"/>
      <c r="E399" s="115"/>
      <c r="F399" s="115"/>
      <c r="G399" s="99"/>
      <c r="H399" s="98"/>
      <c r="I399" s="100"/>
      <c r="J399" s="100"/>
      <c r="K399" s="100"/>
      <c r="L399" s="101"/>
      <c r="M399" s="101"/>
      <c r="N399" s="112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</row>
    <row r="400" spans="1:29" ht="13">
      <c r="A400" s="115"/>
      <c r="B400" s="97"/>
      <c r="C400" s="115"/>
      <c r="D400" s="115"/>
      <c r="E400" s="115"/>
      <c r="F400" s="115"/>
      <c r="G400" s="99"/>
      <c r="H400" s="98"/>
      <c r="I400" s="100"/>
      <c r="J400" s="100"/>
      <c r="K400" s="100"/>
      <c r="L400" s="101"/>
      <c r="M400" s="101"/>
      <c r="N400" s="112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</row>
    <row r="401" spans="1:29" ht="13">
      <c r="A401" s="115"/>
      <c r="B401" s="97"/>
      <c r="C401" s="115"/>
      <c r="D401" s="115"/>
      <c r="E401" s="115"/>
      <c r="F401" s="115"/>
      <c r="G401" s="99"/>
      <c r="H401" s="98"/>
      <c r="I401" s="100"/>
      <c r="J401" s="100"/>
      <c r="K401" s="100"/>
      <c r="L401" s="101"/>
      <c r="M401" s="101"/>
      <c r="N401" s="112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</row>
    <row r="402" spans="1:29" ht="13">
      <c r="A402" s="115"/>
      <c r="B402" s="97"/>
      <c r="C402" s="115"/>
      <c r="D402" s="115"/>
      <c r="E402" s="115"/>
      <c r="F402" s="115"/>
      <c r="G402" s="99"/>
      <c r="H402" s="98"/>
      <c r="I402" s="100"/>
      <c r="J402" s="100"/>
      <c r="K402" s="100"/>
      <c r="L402" s="101"/>
      <c r="M402" s="101"/>
      <c r="N402" s="112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</row>
    <row r="403" spans="1:29" ht="13">
      <c r="A403" s="115"/>
      <c r="B403" s="97"/>
      <c r="C403" s="115"/>
      <c r="D403" s="115"/>
      <c r="E403" s="115"/>
      <c r="F403" s="115"/>
      <c r="G403" s="99"/>
      <c r="H403" s="98"/>
      <c r="I403" s="100"/>
      <c r="J403" s="100"/>
      <c r="K403" s="100"/>
      <c r="L403" s="101"/>
      <c r="M403" s="101"/>
      <c r="N403" s="112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</row>
    <row r="404" spans="1:29" ht="13">
      <c r="A404" s="115"/>
      <c r="B404" s="97"/>
      <c r="C404" s="115"/>
      <c r="D404" s="115"/>
      <c r="E404" s="115"/>
      <c r="F404" s="115"/>
      <c r="G404" s="99"/>
      <c r="H404" s="98"/>
      <c r="I404" s="100"/>
      <c r="J404" s="100"/>
      <c r="K404" s="100"/>
      <c r="L404" s="101"/>
      <c r="M404" s="101"/>
      <c r="N404" s="112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</row>
    <row r="405" spans="1:29" ht="13">
      <c r="A405" s="115"/>
      <c r="B405" s="97"/>
      <c r="C405" s="115"/>
      <c r="D405" s="115"/>
      <c r="E405" s="115"/>
      <c r="F405" s="115"/>
      <c r="G405" s="99"/>
      <c r="H405" s="98"/>
      <c r="I405" s="100"/>
      <c r="J405" s="100"/>
      <c r="K405" s="100"/>
      <c r="L405" s="101"/>
      <c r="M405" s="101"/>
      <c r="N405" s="112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</row>
    <row r="406" spans="1:29" ht="13">
      <c r="A406" s="115"/>
      <c r="B406" s="97"/>
      <c r="C406" s="115"/>
      <c r="D406" s="115"/>
      <c r="E406" s="115"/>
      <c r="F406" s="115"/>
      <c r="G406" s="99"/>
      <c r="H406" s="98"/>
      <c r="I406" s="100"/>
      <c r="J406" s="100"/>
      <c r="K406" s="100"/>
      <c r="L406" s="101"/>
      <c r="M406" s="101"/>
      <c r="N406" s="112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</row>
    <row r="407" spans="1:29" ht="13">
      <c r="A407" s="115"/>
      <c r="B407" s="97"/>
      <c r="C407" s="115"/>
      <c r="D407" s="115"/>
      <c r="E407" s="115"/>
      <c r="F407" s="115"/>
      <c r="G407" s="99"/>
      <c r="H407" s="98"/>
      <c r="I407" s="100"/>
      <c r="J407" s="100"/>
      <c r="K407" s="100"/>
      <c r="L407" s="101"/>
      <c r="M407" s="101"/>
      <c r="N407" s="112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</row>
    <row r="408" spans="1:29" ht="13">
      <c r="A408" s="115"/>
      <c r="B408" s="97"/>
      <c r="C408" s="115"/>
      <c r="D408" s="115"/>
      <c r="E408" s="115"/>
      <c r="F408" s="115"/>
      <c r="G408" s="99"/>
      <c r="H408" s="98"/>
      <c r="I408" s="100"/>
      <c r="J408" s="100"/>
      <c r="K408" s="100"/>
      <c r="L408" s="101"/>
      <c r="M408" s="101"/>
      <c r="N408" s="112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</row>
    <row r="409" spans="1:29" ht="13">
      <c r="A409" s="115"/>
      <c r="B409" s="97"/>
      <c r="C409" s="115"/>
      <c r="D409" s="115"/>
      <c r="E409" s="115"/>
      <c r="F409" s="115"/>
      <c r="G409" s="99"/>
      <c r="H409" s="98"/>
      <c r="I409" s="100"/>
      <c r="J409" s="100"/>
      <c r="K409" s="100"/>
      <c r="L409" s="101"/>
      <c r="M409" s="101"/>
      <c r="N409" s="112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</row>
    <row r="410" spans="1:29" ht="13">
      <c r="A410" s="115"/>
      <c r="B410" s="97"/>
      <c r="C410" s="115"/>
      <c r="D410" s="115"/>
      <c r="E410" s="115"/>
      <c r="F410" s="115"/>
      <c r="G410" s="99"/>
      <c r="H410" s="98"/>
      <c r="I410" s="100"/>
      <c r="J410" s="100"/>
      <c r="K410" s="100"/>
      <c r="L410" s="101"/>
      <c r="M410" s="101"/>
      <c r="N410" s="112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</row>
    <row r="411" spans="1:29" ht="13">
      <c r="A411" s="115"/>
      <c r="B411" s="97"/>
      <c r="C411" s="115"/>
      <c r="D411" s="115"/>
      <c r="E411" s="115"/>
      <c r="F411" s="115"/>
      <c r="G411" s="99"/>
      <c r="H411" s="98"/>
      <c r="I411" s="100"/>
      <c r="J411" s="100"/>
      <c r="K411" s="100"/>
      <c r="L411" s="101"/>
      <c r="M411" s="101"/>
      <c r="N411" s="112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</row>
    <row r="412" spans="1:29" ht="13">
      <c r="A412" s="115"/>
      <c r="B412" s="97"/>
      <c r="C412" s="115"/>
      <c r="D412" s="115"/>
      <c r="E412" s="115"/>
      <c r="F412" s="115"/>
      <c r="G412" s="99"/>
      <c r="H412" s="98"/>
      <c r="I412" s="100"/>
      <c r="J412" s="100"/>
      <c r="K412" s="100"/>
      <c r="L412" s="101"/>
      <c r="M412" s="101"/>
      <c r="N412" s="112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</row>
    <row r="413" spans="1:29" ht="13">
      <c r="A413" s="115"/>
      <c r="B413" s="97"/>
      <c r="C413" s="115"/>
      <c r="D413" s="115"/>
      <c r="E413" s="115"/>
      <c r="F413" s="115"/>
      <c r="G413" s="99"/>
      <c r="H413" s="98"/>
      <c r="I413" s="100"/>
      <c r="J413" s="100"/>
      <c r="K413" s="100"/>
      <c r="L413" s="101"/>
      <c r="M413" s="101"/>
      <c r="N413" s="112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</row>
    <row r="414" spans="1:29" ht="13">
      <c r="A414" s="115"/>
      <c r="B414" s="97"/>
      <c r="C414" s="115"/>
      <c r="D414" s="115"/>
      <c r="E414" s="115"/>
      <c r="F414" s="115"/>
      <c r="G414" s="99"/>
      <c r="H414" s="98"/>
      <c r="I414" s="100"/>
      <c r="J414" s="100"/>
      <c r="K414" s="100"/>
      <c r="L414" s="101"/>
      <c r="M414" s="101"/>
      <c r="N414" s="112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</row>
    <row r="415" spans="1:29" ht="13">
      <c r="A415" s="115"/>
      <c r="B415" s="97"/>
      <c r="C415" s="115"/>
      <c r="D415" s="115"/>
      <c r="E415" s="115"/>
      <c r="F415" s="115"/>
      <c r="G415" s="99"/>
      <c r="H415" s="98"/>
      <c r="I415" s="100"/>
      <c r="J415" s="100"/>
      <c r="K415" s="100"/>
      <c r="L415" s="101"/>
      <c r="M415" s="101"/>
      <c r="N415" s="112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</row>
    <row r="416" spans="1:29" ht="13">
      <c r="A416" s="115"/>
      <c r="B416" s="97"/>
      <c r="C416" s="115"/>
      <c r="D416" s="115"/>
      <c r="E416" s="115"/>
      <c r="F416" s="115"/>
      <c r="G416" s="99"/>
      <c r="H416" s="98"/>
      <c r="I416" s="100"/>
      <c r="J416" s="100"/>
      <c r="K416" s="100"/>
      <c r="L416" s="101"/>
      <c r="M416" s="101"/>
      <c r="N416" s="112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</row>
    <row r="417" spans="1:29" ht="13">
      <c r="A417" s="115"/>
      <c r="B417" s="97"/>
      <c r="C417" s="115"/>
      <c r="D417" s="115"/>
      <c r="E417" s="115"/>
      <c r="F417" s="115"/>
      <c r="G417" s="99"/>
      <c r="H417" s="98"/>
      <c r="I417" s="100"/>
      <c r="J417" s="100"/>
      <c r="K417" s="100"/>
      <c r="L417" s="101"/>
      <c r="M417" s="101"/>
      <c r="N417" s="112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</row>
    <row r="418" spans="1:29" ht="13">
      <c r="A418" s="115"/>
      <c r="B418" s="97"/>
      <c r="C418" s="115"/>
      <c r="D418" s="115"/>
      <c r="E418" s="115"/>
      <c r="F418" s="115"/>
      <c r="G418" s="99"/>
      <c r="H418" s="98"/>
      <c r="I418" s="100"/>
      <c r="J418" s="100"/>
      <c r="K418" s="100"/>
      <c r="L418" s="101"/>
      <c r="M418" s="101"/>
      <c r="N418" s="112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</row>
    <row r="419" spans="1:29" ht="13">
      <c r="A419" s="115"/>
      <c r="B419" s="97"/>
      <c r="C419" s="115"/>
      <c r="D419" s="115"/>
      <c r="E419" s="115"/>
      <c r="F419" s="115"/>
      <c r="G419" s="99"/>
      <c r="H419" s="98"/>
      <c r="I419" s="100"/>
      <c r="J419" s="100"/>
      <c r="K419" s="100"/>
      <c r="L419" s="101"/>
      <c r="M419" s="101"/>
      <c r="N419" s="112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</row>
    <row r="420" spans="1:29" ht="13">
      <c r="A420" s="115"/>
      <c r="B420" s="97"/>
      <c r="C420" s="115"/>
      <c r="D420" s="115"/>
      <c r="E420" s="115"/>
      <c r="F420" s="115"/>
      <c r="G420" s="99"/>
      <c r="H420" s="98"/>
      <c r="I420" s="100"/>
      <c r="J420" s="100"/>
      <c r="K420" s="100"/>
      <c r="L420" s="101"/>
      <c r="M420" s="101"/>
      <c r="N420" s="112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</row>
    <row r="421" spans="1:29" ht="13">
      <c r="A421" s="115"/>
      <c r="B421" s="97"/>
      <c r="C421" s="115"/>
      <c r="D421" s="115"/>
      <c r="E421" s="115"/>
      <c r="F421" s="115"/>
      <c r="G421" s="99"/>
      <c r="H421" s="98"/>
      <c r="I421" s="100"/>
      <c r="J421" s="100"/>
      <c r="K421" s="100"/>
      <c r="L421" s="101"/>
      <c r="M421" s="101"/>
      <c r="N421" s="112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</row>
    <row r="422" spans="1:29" ht="13">
      <c r="A422" s="115"/>
      <c r="B422" s="97"/>
      <c r="C422" s="115"/>
      <c r="D422" s="115"/>
      <c r="E422" s="115"/>
      <c r="F422" s="115"/>
      <c r="G422" s="99"/>
      <c r="H422" s="98"/>
      <c r="I422" s="100"/>
      <c r="J422" s="100"/>
      <c r="K422" s="100"/>
      <c r="L422" s="101"/>
      <c r="M422" s="101"/>
      <c r="N422" s="112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</row>
    <row r="423" spans="1:29" ht="13">
      <c r="A423" s="115"/>
      <c r="B423" s="97"/>
      <c r="C423" s="115"/>
      <c r="D423" s="115"/>
      <c r="E423" s="115"/>
      <c r="F423" s="115"/>
      <c r="G423" s="99"/>
      <c r="H423" s="98"/>
      <c r="I423" s="100"/>
      <c r="J423" s="100"/>
      <c r="K423" s="100"/>
      <c r="L423" s="101"/>
      <c r="M423" s="101"/>
      <c r="N423" s="112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</row>
    <row r="424" spans="1:29" ht="13">
      <c r="A424" s="115"/>
      <c r="B424" s="97"/>
      <c r="C424" s="115"/>
      <c r="D424" s="115"/>
      <c r="E424" s="115"/>
      <c r="F424" s="115"/>
      <c r="G424" s="99"/>
      <c r="H424" s="98"/>
      <c r="I424" s="100"/>
      <c r="J424" s="100"/>
      <c r="K424" s="100"/>
      <c r="L424" s="101"/>
      <c r="M424" s="101"/>
      <c r="N424" s="112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</row>
    <row r="425" spans="1:29" ht="13">
      <c r="A425" s="115"/>
      <c r="B425" s="97"/>
      <c r="C425" s="115"/>
      <c r="D425" s="115"/>
      <c r="E425" s="115"/>
      <c r="F425" s="115"/>
      <c r="G425" s="99"/>
      <c r="H425" s="98"/>
      <c r="I425" s="100"/>
      <c r="J425" s="100"/>
      <c r="K425" s="100"/>
      <c r="L425" s="101"/>
      <c r="M425" s="101"/>
      <c r="N425" s="112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</row>
    <row r="426" spans="1:29" ht="13">
      <c r="A426" s="115"/>
      <c r="B426" s="97"/>
      <c r="C426" s="115"/>
      <c r="D426" s="115"/>
      <c r="E426" s="115"/>
      <c r="F426" s="115"/>
      <c r="G426" s="99"/>
      <c r="H426" s="98"/>
      <c r="I426" s="100"/>
      <c r="J426" s="100"/>
      <c r="K426" s="100"/>
      <c r="L426" s="101"/>
      <c r="M426" s="101"/>
      <c r="N426" s="112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</row>
    <row r="427" spans="1:29" ht="13">
      <c r="A427" s="115"/>
      <c r="B427" s="97"/>
      <c r="C427" s="115"/>
      <c r="D427" s="115"/>
      <c r="E427" s="115"/>
      <c r="F427" s="115"/>
      <c r="G427" s="99"/>
      <c r="H427" s="98"/>
      <c r="I427" s="100"/>
      <c r="J427" s="100"/>
      <c r="K427" s="100"/>
      <c r="L427" s="101"/>
      <c r="M427" s="101"/>
      <c r="N427" s="112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</row>
    <row r="428" spans="1:29" ht="13">
      <c r="A428" s="115"/>
      <c r="B428" s="97"/>
      <c r="C428" s="115"/>
      <c r="D428" s="115"/>
      <c r="E428" s="115"/>
      <c r="F428" s="115"/>
      <c r="G428" s="99"/>
      <c r="H428" s="98"/>
      <c r="I428" s="100"/>
      <c r="J428" s="100"/>
      <c r="K428" s="100"/>
      <c r="L428" s="101"/>
      <c r="M428" s="101"/>
      <c r="N428" s="112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</row>
    <row r="429" spans="1:29" ht="13">
      <c r="A429" s="115"/>
      <c r="B429" s="97"/>
      <c r="C429" s="115"/>
      <c r="D429" s="115"/>
      <c r="E429" s="115"/>
      <c r="F429" s="115"/>
      <c r="G429" s="99"/>
      <c r="H429" s="98"/>
      <c r="I429" s="100"/>
      <c r="J429" s="100"/>
      <c r="K429" s="100"/>
      <c r="L429" s="101"/>
      <c r="M429" s="101"/>
      <c r="N429" s="112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</row>
    <row r="430" spans="1:29" ht="13">
      <c r="A430" s="115"/>
      <c r="B430" s="97"/>
      <c r="C430" s="115"/>
      <c r="D430" s="115"/>
      <c r="E430" s="115"/>
      <c r="F430" s="115"/>
      <c r="G430" s="99"/>
      <c r="H430" s="98"/>
      <c r="I430" s="100"/>
      <c r="J430" s="100"/>
      <c r="K430" s="100"/>
      <c r="L430" s="101"/>
      <c r="M430" s="101"/>
      <c r="N430" s="112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</row>
    <row r="431" spans="1:29" ht="13">
      <c r="A431" s="115"/>
      <c r="B431" s="97"/>
      <c r="C431" s="115"/>
      <c r="D431" s="115"/>
      <c r="E431" s="115"/>
      <c r="F431" s="115"/>
      <c r="G431" s="99"/>
      <c r="H431" s="98"/>
      <c r="I431" s="100"/>
      <c r="J431" s="100"/>
      <c r="K431" s="100"/>
      <c r="L431" s="101"/>
      <c r="M431" s="101"/>
      <c r="N431" s="112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</row>
    <row r="432" spans="1:29" ht="13">
      <c r="A432" s="115"/>
      <c r="B432" s="97"/>
      <c r="C432" s="115"/>
      <c r="D432" s="115"/>
      <c r="E432" s="115"/>
      <c r="F432" s="115"/>
      <c r="G432" s="99"/>
      <c r="H432" s="98"/>
      <c r="I432" s="100"/>
      <c r="J432" s="100"/>
      <c r="K432" s="100"/>
      <c r="L432" s="101"/>
      <c r="M432" s="101"/>
      <c r="N432" s="112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</row>
    <row r="433" spans="1:29" ht="13">
      <c r="A433" s="115"/>
      <c r="B433" s="97"/>
      <c r="C433" s="115"/>
      <c r="D433" s="115"/>
      <c r="E433" s="115"/>
      <c r="F433" s="115"/>
      <c r="G433" s="99"/>
      <c r="H433" s="98"/>
      <c r="I433" s="100"/>
      <c r="J433" s="100"/>
      <c r="K433" s="100"/>
      <c r="L433" s="101"/>
      <c r="M433" s="101"/>
      <c r="N433" s="112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</row>
    <row r="434" spans="1:29" ht="13">
      <c r="A434" s="115"/>
      <c r="B434" s="97"/>
      <c r="C434" s="115"/>
      <c r="D434" s="115"/>
      <c r="E434" s="115"/>
      <c r="F434" s="115"/>
      <c r="G434" s="99"/>
      <c r="H434" s="98"/>
      <c r="I434" s="100"/>
      <c r="J434" s="100"/>
      <c r="K434" s="100"/>
      <c r="L434" s="101"/>
      <c r="M434" s="101"/>
      <c r="N434" s="112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</row>
    <row r="435" spans="1:29" ht="13">
      <c r="A435" s="115"/>
      <c r="B435" s="97"/>
      <c r="C435" s="115"/>
      <c r="D435" s="115"/>
      <c r="E435" s="115"/>
      <c r="F435" s="115"/>
      <c r="G435" s="99"/>
      <c r="H435" s="98"/>
      <c r="I435" s="100"/>
      <c r="J435" s="100"/>
      <c r="K435" s="100"/>
      <c r="L435" s="101"/>
      <c r="M435" s="101"/>
      <c r="N435" s="112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</row>
    <row r="436" spans="1:29" ht="13">
      <c r="A436" s="115"/>
      <c r="B436" s="97"/>
      <c r="C436" s="115"/>
      <c r="D436" s="115"/>
      <c r="E436" s="115"/>
      <c r="F436" s="115"/>
      <c r="G436" s="99"/>
      <c r="H436" s="98"/>
      <c r="I436" s="100"/>
      <c r="J436" s="100"/>
      <c r="K436" s="100"/>
      <c r="L436" s="101"/>
      <c r="M436" s="101"/>
      <c r="N436" s="112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</row>
    <row r="437" spans="1:29" ht="13">
      <c r="A437" s="115"/>
      <c r="B437" s="97"/>
      <c r="C437" s="115"/>
      <c r="D437" s="115"/>
      <c r="E437" s="115"/>
      <c r="F437" s="115"/>
      <c r="G437" s="99"/>
      <c r="H437" s="98"/>
      <c r="I437" s="100"/>
      <c r="J437" s="100"/>
      <c r="K437" s="100"/>
      <c r="L437" s="101"/>
      <c r="M437" s="101"/>
      <c r="N437" s="112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</row>
    <row r="438" spans="1:29" ht="13">
      <c r="A438" s="115"/>
      <c r="B438" s="97"/>
      <c r="C438" s="115"/>
      <c r="D438" s="115"/>
      <c r="E438" s="115"/>
      <c r="F438" s="115"/>
      <c r="G438" s="99"/>
      <c r="H438" s="98"/>
      <c r="I438" s="100"/>
      <c r="J438" s="100"/>
      <c r="K438" s="100"/>
      <c r="L438" s="101"/>
      <c r="M438" s="101"/>
      <c r="N438" s="112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</row>
    <row r="439" spans="1:29" ht="13">
      <c r="A439" s="115"/>
      <c r="B439" s="97"/>
      <c r="C439" s="115"/>
      <c r="D439" s="115"/>
      <c r="E439" s="115"/>
      <c r="F439" s="115"/>
      <c r="G439" s="99"/>
      <c r="H439" s="98"/>
      <c r="I439" s="100"/>
      <c r="J439" s="100"/>
      <c r="K439" s="100"/>
      <c r="L439" s="101"/>
      <c r="M439" s="101"/>
      <c r="N439" s="112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</row>
    <row r="440" spans="1:29" ht="13">
      <c r="A440" s="115"/>
      <c r="B440" s="97"/>
      <c r="C440" s="115"/>
      <c r="D440" s="115"/>
      <c r="E440" s="115"/>
      <c r="F440" s="115"/>
      <c r="G440" s="99"/>
      <c r="H440" s="98"/>
      <c r="I440" s="100"/>
      <c r="J440" s="100"/>
      <c r="K440" s="100"/>
      <c r="L440" s="101"/>
      <c r="M440" s="101"/>
      <c r="N440" s="112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</row>
    <row r="441" spans="1:29" ht="13">
      <c r="A441" s="115"/>
      <c r="B441" s="97"/>
      <c r="C441" s="115"/>
      <c r="D441" s="115"/>
      <c r="E441" s="115"/>
      <c r="F441" s="115"/>
      <c r="G441" s="99"/>
      <c r="H441" s="98"/>
      <c r="I441" s="100"/>
      <c r="J441" s="100"/>
      <c r="K441" s="100"/>
      <c r="L441" s="101"/>
      <c r="M441" s="101"/>
      <c r="N441" s="112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</row>
    <row r="442" spans="1:29" ht="13">
      <c r="A442" s="115"/>
      <c r="B442" s="97"/>
      <c r="C442" s="115"/>
      <c r="D442" s="115"/>
      <c r="E442" s="115"/>
      <c r="F442" s="115"/>
      <c r="G442" s="99"/>
      <c r="H442" s="98"/>
      <c r="I442" s="100"/>
      <c r="J442" s="100"/>
      <c r="K442" s="100"/>
      <c r="L442" s="101"/>
      <c r="M442" s="101"/>
      <c r="N442" s="112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</row>
    <row r="443" spans="1:29" ht="13">
      <c r="A443" s="115"/>
      <c r="B443" s="97"/>
      <c r="C443" s="115"/>
      <c r="D443" s="115"/>
      <c r="E443" s="115"/>
      <c r="F443" s="115"/>
      <c r="G443" s="99"/>
      <c r="H443" s="98"/>
      <c r="I443" s="100"/>
      <c r="J443" s="100"/>
      <c r="K443" s="100"/>
      <c r="L443" s="101"/>
      <c r="M443" s="101"/>
      <c r="N443" s="112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</row>
    <row r="444" spans="1:29" ht="13">
      <c r="A444" s="115"/>
      <c r="B444" s="97"/>
      <c r="C444" s="115"/>
      <c r="D444" s="115"/>
      <c r="E444" s="115"/>
      <c r="F444" s="115"/>
      <c r="G444" s="99"/>
      <c r="H444" s="98"/>
      <c r="I444" s="100"/>
      <c r="J444" s="100"/>
      <c r="K444" s="100"/>
      <c r="L444" s="101"/>
      <c r="M444" s="101"/>
      <c r="N444" s="112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</row>
    <row r="445" spans="1:29" ht="13">
      <c r="A445" s="115"/>
      <c r="B445" s="97"/>
      <c r="C445" s="115"/>
      <c r="D445" s="115"/>
      <c r="E445" s="115"/>
      <c r="F445" s="115"/>
      <c r="G445" s="99"/>
      <c r="H445" s="98"/>
      <c r="I445" s="100"/>
      <c r="J445" s="100"/>
      <c r="K445" s="100"/>
      <c r="L445" s="101"/>
      <c r="M445" s="101"/>
      <c r="N445" s="112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</row>
    <row r="446" spans="1:29" ht="13">
      <c r="A446" s="115"/>
      <c r="B446" s="97"/>
      <c r="C446" s="115"/>
      <c r="D446" s="115"/>
      <c r="E446" s="115"/>
      <c r="F446" s="115"/>
      <c r="G446" s="99"/>
      <c r="H446" s="98"/>
      <c r="I446" s="100"/>
      <c r="J446" s="100"/>
      <c r="K446" s="100"/>
      <c r="L446" s="101"/>
      <c r="M446" s="101"/>
      <c r="N446" s="112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</row>
    <row r="447" spans="1:29" ht="13">
      <c r="A447" s="115"/>
      <c r="B447" s="97"/>
      <c r="C447" s="115"/>
      <c r="D447" s="115"/>
      <c r="E447" s="115"/>
      <c r="F447" s="115"/>
      <c r="G447" s="99"/>
      <c r="H447" s="98"/>
      <c r="I447" s="100"/>
      <c r="J447" s="100"/>
      <c r="K447" s="100"/>
      <c r="L447" s="101"/>
      <c r="M447" s="101"/>
      <c r="N447" s="112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</row>
    <row r="448" spans="1:29" ht="13">
      <c r="A448" s="115"/>
      <c r="B448" s="97"/>
      <c r="C448" s="115"/>
      <c r="D448" s="115"/>
      <c r="E448" s="115"/>
      <c r="F448" s="115"/>
      <c r="G448" s="99"/>
      <c r="H448" s="98"/>
      <c r="I448" s="100"/>
      <c r="J448" s="100"/>
      <c r="K448" s="100"/>
      <c r="L448" s="101"/>
      <c r="M448" s="101"/>
      <c r="N448" s="112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</row>
    <row r="449" spans="1:29" ht="13">
      <c r="A449" s="115"/>
      <c r="B449" s="97"/>
      <c r="C449" s="115"/>
      <c r="D449" s="115"/>
      <c r="E449" s="115"/>
      <c r="F449" s="115"/>
      <c r="G449" s="99"/>
      <c r="H449" s="98"/>
      <c r="I449" s="100"/>
      <c r="J449" s="100"/>
      <c r="K449" s="100"/>
      <c r="L449" s="101"/>
      <c r="M449" s="101"/>
      <c r="N449" s="112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</row>
    <row r="450" spans="1:29" ht="13">
      <c r="A450" s="115"/>
      <c r="B450" s="97"/>
      <c r="C450" s="115"/>
      <c r="D450" s="115"/>
      <c r="E450" s="115"/>
      <c r="F450" s="115"/>
      <c r="G450" s="99"/>
      <c r="H450" s="98"/>
      <c r="I450" s="100"/>
      <c r="J450" s="100"/>
      <c r="K450" s="100"/>
      <c r="L450" s="101"/>
      <c r="M450" s="101"/>
      <c r="N450" s="112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</row>
    <row r="451" spans="1:29" ht="13">
      <c r="A451" s="115"/>
      <c r="B451" s="97"/>
      <c r="C451" s="115"/>
      <c r="D451" s="115"/>
      <c r="E451" s="115"/>
      <c r="F451" s="115"/>
      <c r="G451" s="99"/>
      <c r="H451" s="98"/>
      <c r="I451" s="100"/>
      <c r="J451" s="100"/>
      <c r="K451" s="100"/>
      <c r="L451" s="101"/>
      <c r="M451" s="101"/>
      <c r="N451" s="112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</row>
    <row r="452" spans="1:29" ht="13">
      <c r="A452" s="115"/>
      <c r="B452" s="97"/>
      <c r="C452" s="115"/>
      <c r="D452" s="115"/>
      <c r="E452" s="115"/>
      <c r="F452" s="115"/>
      <c r="G452" s="99"/>
      <c r="H452" s="98"/>
      <c r="I452" s="100"/>
      <c r="J452" s="100"/>
      <c r="K452" s="100"/>
      <c r="L452" s="101"/>
      <c r="M452" s="101"/>
      <c r="N452" s="112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</row>
    <row r="453" spans="1:29" ht="13">
      <c r="A453" s="115"/>
      <c r="B453" s="97"/>
      <c r="C453" s="115"/>
      <c r="D453" s="115"/>
      <c r="E453" s="115"/>
      <c r="F453" s="115"/>
      <c r="G453" s="99"/>
      <c r="H453" s="98"/>
      <c r="I453" s="100"/>
      <c r="J453" s="100"/>
      <c r="K453" s="100"/>
      <c r="L453" s="101"/>
      <c r="M453" s="101"/>
      <c r="N453" s="112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</row>
    <row r="454" spans="1:29" ht="13">
      <c r="A454" s="115"/>
      <c r="B454" s="97"/>
      <c r="C454" s="115"/>
      <c r="D454" s="115"/>
      <c r="E454" s="115"/>
      <c r="F454" s="115"/>
      <c r="G454" s="99"/>
      <c r="H454" s="98"/>
      <c r="I454" s="100"/>
      <c r="J454" s="100"/>
      <c r="K454" s="100"/>
      <c r="L454" s="101"/>
      <c r="M454" s="101"/>
      <c r="N454" s="112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</row>
    <row r="455" spans="1:29" ht="13">
      <c r="A455" s="115"/>
      <c r="B455" s="97"/>
      <c r="C455" s="115"/>
      <c r="D455" s="115"/>
      <c r="E455" s="115"/>
      <c r="F455" s="115"/>
      <c r="G455" s="99"/>
      <c r="H455" s="98"/>
      <c r="I455" s="100"/>
      <c r="J455" s="100"/>
      <c r="K455" s="100"/>
      <c r="L455" s="101"/>
      <c r="M455" s="101"/>
      <c r="N455" s="112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</row>
    <row r="456" spans="1:29" ht="13">
      <c r="A456" s="115"/>
      <c r="B456" s="97"/>
      <c r="C456" s="115"/>
      <c r="D456" s="115"/>
      <c r="E456" s="115"/>
      <c r="F456" s="115"/>
      <c r="G456" s="99"/>
      <c r="H456" s="98"/>
      <c r="I456" s="100"/>
      <c r="J456" s="100"/>
      <c r="K456" s="100"/>
      <c r="L456" s="101"/>
      <c r="M456" s="101"/>
      <c r="N456" s="112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</row>
    <row r="457" spans="1:29" ht="13">
      <c r="A457" s="115"/>
      <c r="B457" s="97"/>
      <c r="C457" s="115"/>
      <c r="D457" s="115"/>
      <c r="E457" s="115"/>
      <c r="F457" s="115"/>
      <c r="G457" s="99"/>
      <c r="H457" s="98"/>
      <c r="I457" s="100"/>
      <c r="J457" s="100"/>
      <c r="K457" s="100"/>
      <c r="L457" s="101"/>
      <c r="M457" s="101"/>
      <c r="N457" s="112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</row>
    <row r="458" spans="1:29" ht="13">
      <c r="A458" s="115"/>
      <c r="B458" s="97"/>
      <c r="C458" s="115"/>
      <c r="D458" s="115"/>
      <c r="E458" s="115"/>
      <c r="F458" s="115"/>
      <c r="G458" s="99"/>
      <c r="H458" s="98"/>
      <c r="I458" s="100"/>
      <c r="J458" s="100"/>
      <c r="K458" s="100"/>
      <c r="L458" s="101"/>
      <c r="M458" s="101"/>
      <c r="N458" s="112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</row>
    <row r="459" spans="1:29" ht="13">
      <c r="A459" s="115"/>
      <c r="B459" s="97"/>
      <c r="C459" s="115"/>
      <c r="D459" s="115"/>
      <c r="E459" s="115"/>
      <c r="F459" s="115"/>
      <c r="G459" s="99"/>
      <c r="H459" s="98"/>
      <c r="I459" s="100"/>
      <c r="J459" s="100"/>
      <c r="K459" s="100"/>
      <c r="L459" s="101"/>
      <c r="M459" s="101"/>
      <c r="N459" s="112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</row>
    <row r="460" spans="1:29" ht="13">
      <c r="A460" s="115"/>
      <c r="B460" s="97"/>
      <c r="C460" s="115"/>
      <c r="D460" s="115"/>
      <c r="E460" s="115"/>
      <c r="F460" s="115"/>
      <c r="G460" s="99"/>
      <c r="H460" s="98"/>
      <c r="I460" s="100"/>
      <c r="J460" s="100"/>
      <c r="K460" s="100"/>
      <c r="L460" s="101"/>
      <c r="M460" s="101"/>
      <c r="N460" s="112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</row>
    <row r="461" spans="1:29" ht="13">
      <c r="A461" s="115"/>
      <c r="B461" s="97"/>
      <c r="C461" s="115"/>
      <c r="D461" s="115"/>
      <c r="E461" s="115"/>
      <c r="F461" s="115"/>
      <c r="G461" s="99"/>
      <c r="H461" s="98"/>
      <c r="I461" s="100"/>
      <c r="J461" s="100"/>
      <c r="K461" s="100"/>
      <c r="L461" s="101"/>
      <c r="M461" s="101"/>
      <c r="N461" s="112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</row>
    <row r="462" spans="1:29" ht="13">
      <c r="A462" s="115"/>
      <c r="B462" s="97"/>
      <c r="C462" s="115"/>
      <c r="D462" s="115"/>
      <c r="E462" s="115"/>
      <c r="F462" s="115"/>
      <c r="G462" s="99"/>
      <c r="H462" s="98"/>
      <c r="I462" s="100"/>
      <c r="J462" s="100"/>
      <c r="K462" s="100"/>
      <c r="L462" s="101"/>
      <c r="M462" s="101"/>
      <c r="N462" s="112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</row>
    <row r="463" spans="1:29" ht="13">
      <c r="A463" s="115"/>
      <c r="B463" s="97"/>
      <c r="C463" s="115"/>
      <c r="D463" s="115"/>
      <c r="E463" s="115"/>
      <c r="F463" s="115"/>
      <c r="G463" s="99"/>
      <c r="H463" s="98"/>
      <c r="I463" s="100"/>
      <c r="J463" s="100"/>
      <c r="K463" s="100"/>
      <c r="L463" s="101"/>
      <c r="M463" s="101"/>
      <c r="N463" s="112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</row>
    <row r="464" spans="1:29" ht="13">
      <c r="A464" s="115"/>
      <c r="B464" s="97"/>
      <c r="C464" s="115"/>
      <c r="D464" s="115"/>
      <c r="E464" s="115"/>
      <c r="F464" s="115"/>
      <c r="G464" s="99"/>
      <c r="H464" s="98"/>
      <c r="I464" s="100"/>
      <c r="J464" s="100"/>
      <c r="K464" s="100"/>
      <c r="L464" s="101"/>
      <c r="M464" s="101"/>
      <c r="N464" s="112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</row>
    <row r="465" spans="1:29" ht="13">
      <c r="A465" s="115"/>
      <c r="B465" s="97"/>
      <c r="C465" s="115"/>
      <c r="D465" s="115"/>
      <c r="E465" s="115"/>
      <c r="F465" s="115"/>
      <c r="G465" s="99"/>
      <c r="H465" s="98"/>
      <c r="I465" s="100"/>
      <c r="J465" s="100"/>
      <c r="K465" s="100"/>
      <c r="L465" s="101"/>
      <c r="M465" s="101"/>
      <c r="N465" s="112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</row>
    <row r="466" spans="1:29" ht="13">
      <c r="A466" s="115"/>
      <c r="B466" s="97"/>
      <c r="C466" s="115"/>
      <c r="D466" s="115"/>
      <c r="E466" s="115"/>
      <c r="F466" s="115"/>
      <c r="G466" s="99"/>
      <c r="H466" s="98"/>
      <c r="I466" s="100"/>
      <c r="J466" s="100"/>
      <c r="K466" s="100"/>
      <c r="L466" s="101"/>
      <c r="M466" s="101"/>
      <c r="N466" s="112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</row>
    <row r="467" spans="1:29" ht="13">
      <c r="A467" s="115"/>
      <c r="B467" s="97"/>
      <c r="C467" s="115"/>
      <c r="D467" s="115"/>
      <c r="E467" s="115"/>
      <c r="F467" s="115"/>
      <c r="G467" s="99"/>
      <c r="H467" s="98"/>
      <c r="I467" s="100"/>
      <c r="J467" s="100"/>
      <c r="K467" s="100"/>
      <c r="L467" s="101"/>
      <c r="M467" s="101"/>
      <c r="N467" s="112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</row>
    <row r="468" spans="1:29" ht="13">
      <c r="A468" s="115"/>
      <c r="B468" s="97"/>
      <c r="C468" s="115"/>
      <c r="D468" s="115"/>
      <c r="E468" s="115"/>
      <c r="F468" s="115"/>
      <c r="G468" s="99"/>
      <c r="H468" s="98"/>
      <c r="I468" s="100"/>
      <c r="J468" s="100"/>
      <c r="K468" s="100"/>
      <c r="L468" s="101"/>
      <c r="M468" s="101"/>
      <c r="N468" s="112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</row>
    <row r="469" spans="1:29" ht="13">
      <c r="A469" s="115"/>
      <c r="B469" s="97"/>
      <c r="C469" s="115"/>
      <c r="D469" s="115"/>
      <c r="E469" s="115"/>
      <c r="F469" s="115"/>
      <c r="G469" s="99"/>
      <c r="H469" s="98"/>
      <c r="I469" s="100"/>
      <c r="J469" s="100"/>
      <c r="K469" s="100"/>
      <c r="L469" s="101"/>
      <c r="M469" s="101"/>
      <c r="N469" s="112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</row>
    <row r="470" spans="1:29" ht="13">
      <c r="A470" s="115"/>
      <c r="B470" s="97"/>
      <c r="C470" s="115"/>
      <c r="D470" s="115"/>
      <c r="E470" s="115"/>
      <c r="F470" s="115"/>
      <c r="G470" s="99"/>
      <c r="H470" s="98"/>
      <c r="I470" s="100"/>
      <c r="J470" s="100"/>
      <c r="K470" s="100"/>
      <c r="L470" s="101"/>
      <c r="M470" s="101"/>
      <c r="N470" s="112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</row>
    <row r="471" spans="1:29" ht="13">
      <c r="A471" s="115"/>
      <c r="B471" s="97"/>
      <c r="C471" s="115"/>
      <c r="D471" s="115"/>
      <c r="E471" s="115"/>
      <c r="F471" s="115"/>
      <c r="G471" s="99"/>
      <c r="H471" s="98"/>
      <c r="I471" s="100"/>
      <c r="J471" s="100"/>
      <c r="K471" s="100"/>
      <c r="L471" s="101"/>
      <c r="M471" s="101"/>
      <c r="N471" s="112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</row>
    <row r="472" spans="1:29" ht="13">
      <c r="A472" s="115"/>
      <c r="B472" s="97"/>
      <c r="C472" s="115"/>
      <c r="D472" s="115"/>
      <c r="E472" s="115"/>
      <c r="F472" s="115"/>
      <c r="G472" s="99"/>
      <c r="H472" s="98"/>
      <c r="I472" s="100"/>
      <c r="J472" s="100"/>
      <c r="K472" s="100"/>
      <c r="L472" s="101"/>
      <c r="M472" s="101"/>
      <c r="N472" s="112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</row>
    <row r="473" spans="1:29" ht="13">
      <c r="A473" s="115"/>
      <c r="B473" s="97"/>
      <c r="C473" s="115"/>
      <c r="D473" s="115"/>
      <c r="E473" s="115"/>
      <c r="F473" s="115"/>
      <c r="G473" s="99"/>
      <c r="H473" s="98"/>
      <c r="I473" s="100"/>
      <c r="J473" s="100"/>
      <c r="K473" s="100"/>
      <c r="L473" s="101"/>
      <c r="M473" s="101"/>
      <c r="N473" s="112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</row>
    <row r="474" spans="1:29" ht="13">
      <c r="A474" s="115"/>
      <c r="B474" s="97"/>
      <c r="C474" s="115"/>
      <c r="D474" s="115"/>
      <c r="E474" s="115"/>
      <c r="F474" s="115"/>
      <c r="G474" s="99"/>
      <c r="H474" s="98"/>
      <c r="I474" s="100"/>
      <c r="J474" s="100"/>
      <c r="K474" s="100"/>
      <c r="L474" s="101"/>
      <c r="M474" s="101"/>
      <c r="N474" s="112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</row>
    <row r="475" spans="1:29" ht="13">
      <c r="A475" s="115"/>
      <c r="B475" s="97"/>
      <c r="C475" s="115"/>
      <c r="D475" s="115"/>
      <c r="E475" s="115"/>
      <c r="F475" s="115"/>
      <c r="G475" s="99"/>
      <c r="H475" s="98"/>
      <c r="I475" s="100"/>
      <c r="J475" s="100"/>
      <c r="K475" s="100"/>
      <c r="L475" s="101"/>
      <c r="M475" s="101"/>
      <c r="N475" s="112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</row>
    <row r="476" spans="1:29" ht="13">
      <c r="A476" s="115"/>
      <c r="B476" s="97"/>
      <c r="C476" s="115"/>
      <c r="D476" s="115"/>
      <c r="E476" s="115"/>
      <c r="F476" s="115"/>
      <c r="G476" s="99"/>
      <c r="H476" s="98"/>
      <c r="I476" s="100"/>
      <c r="J476" s="100"/>
      <c r="K476" s="100"/>
      <c r="L476" s="101"/>
      <c r="M476" s="101"/>
      <c r="N476" s="112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</row>
    <row r="477" spans="1:29" ht="13">
      <c r="A477" s="115"/>
      <c r="B477" s="97"/>
      <c r="C477" s="115"/>
      <c r="D477" s="115"/>
      <c r="E477" s="115"/>
      <c r="F477" s="115"/>
      <c r="G477" s="99"/>
      <c r="H477" s="98"/>
      <c r="I477" s="100"/>
      <c r="J477" s="100"/>
      <c r="K477" s="100"/>
      <c r="L477" s="101"/>
      <c r="M477" s="101"/>
      <c r="N477" s="112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</row>
    <row r="478" spans="1:29" ht="13">
      <c r="A478" s="115"/>
      <c r="B478" s="97"/>
      <c r="C478" s="115"/>
      <c r="D478" s="115"/>
      <c r="E478" s="115"/>
      <c r="F478" s="115"/>
      <c r="G478" s="99"/>
      <c r="H478" s="98"/>
      <c r="I478" s="100"/>
      <c r="J478" s="100"/>
      <c r="K478" s="100"/>
      <c r="L478" s="101"/>
      <c r="M478" s="101"/>
      <c r="N478" s="112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</row>
    <row r="479" spans="1:29" ht="13">
      <c r="A479" s="115"/>
      <c r="B479" s="97"/>
      <c r="C479" s="115"/>
      <c r="D479" s="115"/>
      <c r="E479" s="115"/>
      <c r="F479" s="115"/>
      <c r="G479" s="99"/>
      <c r="H479" s="98"/>
      <c r="I479" s="100"/>
      <c r="J479" s="100"/>
      <c r="K479" s="100"/>
      <c r="L479" s="101"/>
      <c r="M479" s="101"/>
      <c r="N479" s="112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</row>
    <row r="480" spans="1:29" ht="13">
      <c r="A480" s="115"/>
      <c r="B480" s="97"/>
      <c r="C480" s="115"/>
      <c r="D480" s="115"/>
      <c r="E480" s="115"/>
      <c r="F480" s="115"/>
      <c r="G480" s="99"/>
      <c r="H480" s="98"/>
      <c r="I480" s="100"/>
      <c r="J480" s="100"/>
      <c r="K480" s="100"/>
      <c r="L480" s="101"/>
      <c r="M480" s="101"/>
      <c r="N480" s="112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</row>
    <row r="481" spans="1:29" ht="13">
      <c r="A481" s="115"/>
      <c r="B481" s="97"/>
      <c r="C481" s="115"/>
      <c r="D481" s="115"/>
      <c r="E481" s="115"/>
      <c r="F481" s="115"/>
      <c r="G481" s="99"/>
      <c r="H481" s="98"/>
      <c r="I481" s="100"/>
      <c r="J481" s="100"/>
      <c r="K481" s="100"/>
      <c r="L481" s="101"/>
      <c r="M481" s="101"/>
      <c r="N481" s="112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</row>
    <row r="482" spans="1:29" ht="13">
      <c r="A482" s="115"/>
      <c r="B482" s="97"/>
      <c r="C482" s="115"/>
      <c r="D482" s="115"/>
      <c r="E482" s="115"/>
      <c r="F482" s="115"/>
      <c r="G482" s="99"/>
      <c r="H482" s="98"/>
      <c r="I482" s="100"/>
      <c r="J482" s="100"/>
      <c r="K482" s="100"/>
      <c r="L482" s="101"/>
      <c r="M482" s="101"/>
      <c r="N482" s="112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</row>
    <row r="483" spans="1:29" ht="13">
      <c r="A483" s="115"/>
      <c r="B483" s="97"/>
      <c r="C483" s="115"/>
      <c r="D483" s="115"/>
      <c r="E483" s="115"/>
      <c r="F483" s="115"/>
      <c r="G483" s="99"/>
      <c r="H483" s="98"/>
      <c r="I483" s="100"/>
      <c r="J483" s="100"/>
      <c r="K483" s="100"/>
      <c r="L483" s="101"/>
      <c r="M483" s="101"/>
      <c r="N483" s="112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</row>
    <row r="484" spans="1:29" ht="13">
      <c r="A484" s="115"/>
      <c r="B484" s="97"/>
      <c r="C484" s="115"/>
      <c r="D484" s="115"/>
      <c r="E484" s="115"/>
      <c r="F484" s="115"/>
      <c r="G484" s="99"/>
      <c r="H484" s="98"/>
      <c r="I484" s="100"/>
      <c r="J484" s="100"/>
      <c r="K484" s="100"/>
      <c r="L484" s="101"/>
      <c r="M484" s="101"/>
      <c r="N484" s="112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</row>
    <row r="485" spans="1:29" ht="13">
      <c r="A485" s="115"/>
      <c r="B485" s="97"/>
      <c r="C485" s="115"/>
      <c r="D485" s="115"/>
      <c r="E485" s="115"/>
      <c r="F485" s="115"/>
      <c r="G485" s="99"/>
      <c r="H485" s="98"/>
      <c r="I485" s="100"/>
      <c r="J485" s="100"/>
      <c r="K485" s="100"/>
      <c r="L485" s="101"/>
      <c r="M485" s="101"/>
      <c r="N485" s="112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</row>
    <row r="486" spans="1:29" ht="13">
      <c r="A486" s="115"/>
      <c r="B486" s="97"/>
      <c r="C486" s="115"/>
      <c r="D486" s="115"/>
      <c r="E486" s="115"/>
      <c r="F486" s="115"/>
      <c r="G486" s="99"/>
      <c r="H486" s="98"/>
      <c r="I486" s="100"/>
      <c r="J486" s="100"/>
      <c r="K486" s="100"/>
      <c r="L486" s="101"/>
      <c r="M486" s="101"/>
      <c r="N486" s="112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</row>
    <row r="487" spans="1:29" ht="13">
      <c r="A487" s="115"/>
      <c r="B487" s="97"/>
      <c r="C487" s="115"/>
      <c r="D487" s="115"/>
      <c r="E487" s="115"/>
      <c r="F487" s="115"/>
      <c r="G487" s="99"/>
      <c r="H487" s="98"/>
      <c r="I487" s="100"/>
      <c r="J487" s="100"/>
      <c r="K487" s="100"/>
      <c r="L487" s="101"/>
      <c r="M487" s="101"/>
      <c r="N487" s="112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</row>
    <row r="488" spans="1:29" ht="13">
      <c r="A488" s="115"/>
      <c r="B488" s="97"/>
      <c r="C488" s="115"/>
      <c r="D488" s="115"/>
      <c r="E488" s="115"/>
      <c r="F488" s="115"/>
      <c r="G488" s="99"/>
      <c r="H488" s="98"/>
      <c r="I488" s="100"/>
      <c r="J488" s="100"/>
      <c r="K488" s="100"/>
      <c r="L488" s="101"/>
      <c r="M488" s="101"/>
      <c r="N488" s="112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</row>
    <row r="489" spans="1:29" ht="13">
      <c r="A489" s="115"/>
      <c r="B489" s="97"/>
      <c r="C489" s="115"/>
      <c r="D489" s="115"/>
      <c r="E489" s="115"/>
      <c r="F489" s="115"/>
      <c r="G489" s="99"/>
      <c r="H489" s="98"/>
      <c r="I489" s="100"/>
      <c r="J489" s="100"/>
      <c r="K489" s="100"/>
      <c r="L489" s="101"/>
      <c r="M489" s="101"/>
      <c r="N489" s="112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</row>
    <row r="490" spans="1:29" ht="13">
      <c r="A490" s="115"/>
      <c r="B490" s="97"/>
      <c r="C490" s="115"/>
      <c r="D490" s="115"/>
      <c r="E490" s="115"/>
      <c r="F490" s="115"/>
      <c r="G490" s="99"/>
      <c r="H490" s="98"/>
      <c r="I490" s="100"/>
      <c r="J490" s="100"/>
      <c r="K490" s="100"/>
      <c r="L490" s="101"/>
      <c r="M490" s="101"/>
      <c r="N490" s="112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</row>
    <row r="491" spans="1:29" ht="13">
      <c r="A491" s="115"/>
      <c r="B491" s="97"/>
      <c r="C491" s="115"/>
      <c r="D491" s="115"/>
      <c r="E491" s="115"/>
      <c r="F491" s="115"/>
      <c r="G491" s="99"/>
      <c r="H491" s="98"/>
      <c r="I491" s="100"/>
      <c r="J491" s="100"/>
      <c r="K491" s="100"/>
      <c r="L491" s="101"/>
      <c r="M491" s="101"/>
      <c r="N491" s="112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</row>
    <row r="492" spans="1:29" ht="13">
      <c r="A492" s="115"/>
      <c r="B492" s="97"/>
      <c r="C492" s="115"/>
      <c r="D492" s="115"/>
      <c r="E492" s="115"/>
      <c r="F492" s="115"/>
      <c r="G492" s="99"/>
      <c r="H492" s="98"/>
      <c r="I492" s="100"/>
      <c r="J492" s="100"/>
      <c r="K492" s="100"/>
      <c r="L492" s="101"/>
      <c r="M492" s="101"/>
      <c r="N492" s="112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</row>
    <row r="493" spans="1:29" ht="13">
      <c r="A493" s="115"/>
      <c r="B493" s="97"/>
      <c r="C493" s="115"/>
      <c r="D493" s="115"/>
      <c r="E493" s="115"/>
      <c r="F493" s="115"/>
      <c r="G493" s="99"/>
      <c r="H493" s="98"/>
      <c r="I493" s="100"/>
      <c r="J493" s="100"/>
      <c r="K493" s="100"/>
      <c r="L493" s="101"/>
      <c r="M493" s="101"/>
      <c r="N493" s="112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</row>
    <row r="494" spans="1:29" ht="13">
      <c r="A494" s="115"/>
      <c r="B494" s="97"/>
      <c r="C494" s="115"/>
      <c r="D494" s="115"/>
      <c r="E494" s="115"/>
      <c r="F494" s="115"/>
      <c r="G494" s="99"/>
      <c r="H494" s="98"/>
      <c r="I494" s="100"/>
      <c r="J494" s="100"/>
      <c r="K494" s="100"/>
      <c r="L494" s="101"/>
      <c r="M494" s="101"/>
      <c r="N494" s="112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</row>
    <row r="495" spans="1:29" ht="13">
      <c r="A495" s="115"/>
      <c r="B495" s="97"/>
      <c r="C495" s="115"/>
      <c r="D495" s="115"/>
      <c r="E495" s="115"/>
      <c r="F495" s="115"/>
      <c r="G495" s="99"/>
      <c r="H495" s="98"/>
      <c r="I495" s="100"/>
      <c r="J495" s="100"/>
      <c r="K495" s="100"/>
      <c r="L495" s="101"/>
      <c r="M495" s="101"/>
      <c r="N495" s="112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</row>
    <row r="496" spans="1:29" ht="13">
      <c r="A496" s="115"/>
      <c r="B496" s="97"/>
      <c r="C496" s="115"/>
      <c r="D496" s="115"/>
      <c r="E496" s="115"/>
      <c r="F496" s="115"/>
      <c r="G496" s="99"/>
      <c r="H496" s="98"/>
      <c r="I496" s="100"/>
      <c r="J496" s="100"/>
      <c r="K496" s="100"/>
      <c r="L496" s="101"/>
      <c r="M496" s="101"/>
      <c r="N496" s="112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</row>
    <row r="497" spans="1:29" ht="13">
      <c r="A497" s="115"/>
      <c r="B497" s="97"/>
      <c r="C497" s="115"/>
      <c r="D497" s="115"/>
      <c r="E497" s="115"/>
      <c r="F497" s="115"/>
      <c r="G497" s="99"/>
      <c r="H497" s="98"/>
      <c r="I497" s="100"/>
      <c r="J497" s="100"/>
      <c r="K497" s="100"/>
      <c r="L497" s="101"/>
      <c r="M497" s="101"/>
      <c r="N497" s="112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</row>
    <row r="498" spans="1:29" ht="13">
      <c r="A498" s="115"/>
      <c r="B498" s="97"/>
      <c r="C498" s="115"/>
      <c r="D498" s="115"/>
      <c r="E498" s="115"/>
      <c r="F498" s="115"/>
      <c r="G498" s="99"/>
      <c r="H498" s="98"/>
      <c r="I498" s="100"/>
      <c r="J498" s="100"/>
      <c r="K498" s="100"/>
      <c r="L498" s="101"/>
      <c r="M498" s="101"/>
      <c r="N498" s="112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</row>
    <row r="499" spans="1:29" ht="13">
      <c r="A499" s="115"/>
      <c r="B499" s="97"/>
      <c r="C499" s="115"/>
      <c r="D499" s="115"/>
      <c r="E499" s="115"/>
      <c r="F499" s="115"/>
      <c r="G499" s="99"/>
      <c r="H499" s="98"/>
      <c r="I499" s="100"/>
      <c r="J499" s="100"/>
      <c r="K499" s="100"/>
      <c r="L499" s="101"/>
      <c r="M499" s="101"/>
      <c r="N499" s="112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</row>
    <row r="500" spans="1:29" ht="13">
      <c r="A500" s="115"/>
      <c r="B500" s="97"/>
      <c r="C500" s="115"/>
      <c r="D500" s="115"/>
      <c r="E500" s="115"/>
      <c r="F500" s="115"/>
      <c r="G500" s="99"/>
      <c r="H500" s="98"/>
      <c r="I500" s="100"/>
      <c r="J500" s="100"/>
      <c r="K500" s="100"/>
      <c r="L500" s="101"/>
      <c r="M500" s="101"/>
      <c r="N500" s="112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</row>
    <row r="501" spans="1:29" ht="13">
      <c r="A501" s="115"/>
      <c r="B501" s="97"/>
      <c r="C501" s="115"/>
      <c r="D501" s="115"/>
      <c r="E501" s="115"/>
      <c r="F501" s="115"/>
      <c r="G501" s="99"/>
      <c r="H501" s="98"/>
      <c r="I501" s="100"/>
      <c r="J501" s="100"/>
      <c r="K501" s="100"/>
      <c r="L501" s="101"/>
      <c r="M501" s="101"/>
      <c r="N501" s="112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</row>
    <row r="502" spans="1:29" ht="13">
      <c r="A502" s="115"/>
      <c r="B502" s="97"/>
      <c r="C502" s="115"/>
      <c r="D502" s="115"/>
      <c r="E502" s="115"/>
      <c r="F502" s="115"/>
      <c r="G502" s="99"/>
      <c r="H502" s="98"/>
      <c r="I502" s="100"/>
      <c r="J502" s="100"/>
      <c r="K502" s="100"/>
      <c r="L502" s="101"/>
      <c r="M502" s="101"/>
      <c r="N502" s="112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</row>
    <row r="503" spans="1:29" ht="13">
      <c r="A503" s="115"/>
      <c r="B503" s="97"/>
      <c r="C503" s="115"/>
      <c r="D503" s="115"/>
      <c r="E503" s="115"/>
      <c r="F503" s="115"/>
      <c r="G503" s="99"/>
      <c r="H503" s="98"/>
      <c r="I503" s="100"/>
      <c r="J503" s="100"/>
      <c r="K503" s="100"/>
      <c r="L503" s="101"/>
      <c r="M503" s="101"/>
      <c r="N503" s="112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</row>
    <row r="504" spans="1:29" ht="13">
      <c r="A504" s="115"/>
      <c r="B504" s="97"/>
      <c r="C504" s="115"/>
      <c r="D504" s="115"/>
      <c r="E504" s="115"/>
      <c r="F504" s="115"/>
      <c r="G504" s="99"/>
      <c r="H504" s="98"/>
      <c r="I504" s="100"/>
      <c r="J504" s="100"/>
      <c r="K504" s="100"/>
      <c r="L504" s="101"/>
      <c r="M504" s="101"/>
      <c r="N504" s="112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</row>
    <row r="505" spans="1:29" ht="13">
      <c r="A505" s="115"/>
      <c r="B505" s="97"/>
      <c r="C505" s="115"/>
      <c r="D505" s="115"/>
      <c r="E505" s="115"/>
      <c r="F505" s="115"/>
      <c r="G505" s="99"/>
      <c r="H505" s="98"/>
      <c r="I505" s="100"/>
      <c r="J505" s="100"/>
      <c r="K505" s="100"/>
      <c r="L505" s="101"/>
      <c r="M505" s="101"/>
      <c r="N505" s="112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</row>
    <row r="506" spans="1:29" ht="13">
      <c r="A506" s="115"/>
      <c r="B506" s="97"/>
      <c r="C506" s="115"/>
      <c r="D506" s="115"/>
      <c r="E506" s="115"/>
      <c r="F506" s="115"/>
      <c r="G506" s="99"/>
      <c r="H506" s="98"/>
      <c r="I506" s="100"/>
      <c r="J506" s="100"/>
      <c r="K506" s="100"/>
      <c r="L506" s="101"/>
      <c r="M506" s="101"/>
      <c r="N506" s="112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</row>
    <row r="507" spans="1:29" ht="13">
      <c r="A507" s="115"/>
      <c r="B507" s="97"/>
      <c r="C507" s="115"/>
      <c r="D507" s="115"/>
      <c r="E507" s="115"/>
      <c r="F507" s="115"/>
      <c r="G507" s="99"/>
      <c r="H507" s="98"/>
      <c r="I507" s="100"/>
      <c r="J507" s="100"/>
      <c r="K507" s="100"/>
      <c r="L507" s="101"/>
      <c r="M507" s="101"/>
      <c r="N507" s="112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</row>
    <row r="508" spans="1:29" ht="13">
      <c r="A508" s="115"/>
      <c r="B508" s="97"/>
      <c r="C508" s="115"/>
      <c r="D508" s="115"/>
      <c r="E508" s="115"/>
      <c r="F508" s="115"/>
      <c r="G508" s="99"/>
      <c r="H508" s="98"/>
      <c r="I508" s="100"/>
      <c r="J508" s="100"/>
      <c r="K508" s="100"/>
      <c r="L508" s="101"/>
      <c r="M508" s="101"/>
      <c r="N508" s="112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</row>
    <row r="509" spans="1:29" ht="13">
      <c r="A509" s="115"/>
      <c r="B509" s="97"/>
      <c r="C509" s="115"/>
      <c r="D509" s="115"/>
      <c r="E509" s="115"/>
      <c r="F509" s="115"/>
      <c r="G509" s="99"/>
      <c r="H509" s="98"/>
      <c r="I509" s="100"/>
      <c r="J509" s="100"/>
      <c r="K509" s="100"/>
      <c r="L509" s="101"/>
      <c r="M509" s="101"/>
      <c r="N509" s="112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</row>
    <row r="510" spans="1:29" ht="13">
      <c r="A510" s="115"/>
      <c r="B510" s="97"/>
      <c r="C510" s="115"/>
      <c r="D510" s="115"/>
      <c r="E510" s="115"/>
      <c r="F510" s="115"/>
      <c r="G510" s="99"/>
      <c r="H510" s="98"/>
      <c r="I510" s="100"/>
      <c r="J510" s="100"/>
      <c r="K510" s="100"/>
      <c r="L510" s="101"/>
      <c r="M510" s="101"/>
      <c r="N510" s="112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</row>
    <row r="511" spans="1:29" ht="13">
      <c r="A511" s="115"/>
      <c r="B511" s="97"/>
      <c r="C511" s="115"/>
      <c r="D511" s="115"/>
      <c r="E511" s="115"/>
      <c r="F511" s="115"/>
      <c r="G511" s="99"/>
      <c r="H511" s="98"/>
      <c r="I511" s="100"/>
      <c r="J511" s="100"/>
      <c r="K511" s="100"/>
      <c r="L511" s="101"/>
      <c r="M511" s="101"/>
      <c r="N511" s="112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</row>
    <row r="512" spans="1:29" ht="13">
      <c r="A512" s="115"/>
      <c r="B512" s="97"/>
      <c r="C512" s="115"/>
      <c r="D512" s="115"/>
      <c r="E512" s="115"/>
      <c r="F512" s="115"/>
      <c r="G512" s="99"/>
      <c r="H512" s="98"/>
      <c r="I512" s="100"/>
      <c r="J512" s="100"/>
      <c r="K512" s="100"/>
      <c r="L512" s="101"/>
      <c r="M512" s="101"/>
      <c r="N512" s="112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</row>
    <row r="513" spans="1:29" ht="13">
      <c r="A513" s="115"/>
      <c r="B513" s="97"/>
      <c r="C513" s="115"/>
      <c r="D513" s="115"/>
      <c r="E513" s="115"/>
      <c r="F513" s="115"/>
      <c r="G513" s="99"/>
      <c r="H513" s="98"/>
      <c r="I513" s="100"/>
      <c r="J513" s="100"/>
      <c r="K513" s="100"/>
      <c r="L513" s="101"/>
      <c r="M513" s="101"/>
      <c r="N513" s="112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</row>
    <row r="514" spans="1:29" ht="13">
      <c r="A514" s="115"/>
      <c r="B514" s="97"/>
      <c r="C514" s="115"/>
      <c r="D514" s="115"/>
      <c r="E514" s="115"/>
      <c r="F514" s="115"/>
      <c r="G514" s="99"/>
      <c r="H514" s="98"/>
      <c r="I514" s="100"/>
      <c r="J514" s="100"/>
      <c r="K514" s="100"/>
      <c r="L514" s="101"/>
      <c r="M514" s="101"/>
      <c r="N514" s="112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</row>
    <row r="515" spans="1:29" ht="13">
      <c r="A515" s="115"/>
      <c r="B515" s="97"/>
      <c r="C515" s="115"/>
      <c r="D515" s="115"/>
      <c r="E515" s="115"/>
      <c r="F515" s="115"/>
      <c r="G515" s="99"/>
      <c r="H515" s="98"/>
      <c r="I515" s="100"/>
      <c r="J515" s="100"/>
      <c r="K515" s="100"/>
      <c r="L515" s="101"/>
      <c r="M515" s="101"/>
      <c r="N515" s="112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</row>
    <row r="516" spans="1:29" ht="13">
      <c r="A516" s="115"/>
      <c r="B516" s="97"/>
      <c r="C516" s="115"/>
      <c r="D516" s="115"/>
      <c r="E516" s="115"/>
      <c r="F516" s="115"/>
      <c r="G516" s="99"/>
      <c r="H516" s="98"/>
      <c r="I516" s="100"/>
      <c r="J516" s="100"/>
      <c r="K516" s="100"/>
      <c r="L516" s="101"/>
      <c r="M516" s="101"/>
      <c r="N516" s="112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</row>
    <row r="517" spans="1:29" ht="13">
      <c r="A517" s="115"/>
      <c r="B517" s="97"/>
      <c r="C517" s="115"/>
      <c r="D517" s="115"/>
      <c r="E517" s="115"/>
      <c r="F517" s="115"/>
      <c r="G517" s="99"/>
      <c r="H517" s="98"/>
      <c r="I517" s="100"/>
      <c r="J517" s="100"/>
      <c r="K517" s="100"/>
      <c r="L517" s="101"/>
      <c r="M517" s="101"/>
      <c r="N517" s="112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</row>
    <row r="518" spans="1:29" ht="13">
      <c r="A518" s="115"/>
      <c r="B518" s="97"/>
      <c r="C518" s="115"/>
      <c r="D518" s="115"/>
      <c r="E518" s="115"/>
      <c r="F518" s="115"/>
      <c r="G518" s="99"/>
      <c r="H518" s="98"/>
      <c r="I518" s="100"/>
      <c r="J518" s="100"/>
      <c r="K518" s="100"/>
      <c r="L518" s="101"/>
      <c r="M518" s="101"/>
      <c r="N518" s="112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</row>
    <row r="519" spans="1:29" ht="13">
      <c r="A519" s="115"/>
      <c r="B519" s="97"/>
      <c r="C519" s="115"/>
      <c r="D519" s="115"/>
      <c r="E519" s="115"/>
      <c r="F519" s="115"/>
      <c r="G519" s="99"/>
      <c r="H519" s="98"/>
      <c r="I519" s="100"/>
      <c r="J519" s="100"/>
      <c r="K519" s="100"/>
      <c r="L519" s="101"/>
      <c r="M519" s="101"/>
      <c r="N519" s="112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</row>
    <row r="520" spans="1:29" ht="13">
      <c r="A520" s="115"/>
      <c r="B520" s="97"/>
      <c r="C520" s="115"/>
      <c r="D520" s="115"/>
      <c r="E520" s="115"/>
      <c r="F520" s="115"/>
      <c r="G520" s="99"/>
      <c r="H520" s="98"/>
      <c r="I520" s="100"/>
      <c r="J520" s="100"/>
      <c r="K520" s="100"/>
      <c r="L520" s="101"/>
      <c r="M520" s="101"/>
      <c r="N520" s="112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</row>
    <row r="521" spans="1:29" ht="13">
      <c r="A521" s="115"/>
      <c r="B521" s="97"/>
      <c r="C521" s="115"/>
      <c r="D521" s="115"/>
      <c r="E521" s="115"/>
      <c r="F521" s="115"/>
      <c r="G521" s="99"/>
      <c r="H521" s="98"/>
      <c r="I521" s="100"/>
      <c r="J521" s="100"/>
      <c r="K521" s="100"/>
      <c r="L521" s="101"/>
      <c r="M521" s="101"/>
      <c r="N521" s="112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</row>
    <row r="522" spans="1:29" ht="13">
      <c r="A522" s="115"/>
      <c r="B522" s="97"/>
      <c r="C522" s="115"/>
      <c r="D522" s="115"/>
      <c r="E522" s="115"/>
      <c r="F522" s="115"/>
      <c r="G522" s="99"/>
      <c r="H522" s="98"/>
      <c r="I522" s="100"/>
      <c r="J522" s="100"/>
      <c r="K522" s="100"/>
      <c r="L522" s="101"/>
      <c r="M522" s="101"/>
      <c r="N522" s="112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</row>
    <row r="523" spans="1:29" ht="13">
      <c r="A523" s="115"/>
      <c r="B523" s="97"/>
      <c r="C523" s="115"/>
      <c r="D523" s="115"/>
      <c r="E523" s="115"/>
      <c r="F523" s="115"/>
      <c r="G523" s="99"/>
      <c r="H523" s="98"/>
      <c r="I523" s="100"/>
      <c r="J523" s="100"/>
      <c r="K523" s="100"/>
      <c r="L523" s="101"/>
      <c r="M523" s="101"/>
      <c r="N523" s="112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</row>
    <row r="524" spans="1:29" ht="13">
      <c r="A524" s="115"/>
      <c r="B524" s="97"/>
      <c r="C524" s="115"/>
      <c r="D524" s="115"/>
      <c r="E524" s="115"/>
      <c r="F524" s="115"/>
      <c r="G524" s="99"/>
      <c r="H524" s="98"/>
      <c r="I524" s="100"/>
      <c r="J524" s="100"/>
      <c r="K524" s="100"/>
      <c r="L524" s="101"/>
      <c r="M524" s="101"/>
      <c r="N524" s="112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</row>
    <row r="525" spans="1:29" ht="13">
      <c r="A525" s="115"/>
      <c r="B525" s="97"/>
      <c r="C525" s="115"/>
      <c r="D525" s="115"/>
      <c r="E525" s="115"/>
      <c r="F525" s="115"/>
      <c r="G525" s="99"/>
      <c r="H525" s="98"/>
      <c r="I525" s="100"/>
      <c r="J525" s="100"/>
      <c r="K525" s="100"/>
      <c r="L525" s="101"/>
      <c r="M525" s="101"/>
      <c r="N525" s="112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</row>
    <row r="526" spans="1:29" ht="13">
      <c r="A526" s="115"/>
      <c r="B526" s="97"/>
      <c r="C526" s="115"/>
      <c r="D526" s="115"/>
      <c r="E526" s="115"/>
      <c r="F526" s="115"/>
      <c r="G526" s="99"/>
      <c r="H526" s="98"/>
      <c r="I526" s="100"/>
      <c r="J526" s="100"/>
      <c r="K526" s="100"/>
      <c r="L526" s="101"/>
      <c r="M526" s="101"/>
      <c r="N526" s="112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</row>
    <row r="527" spans="1:29" ht="13">
      <c r="A527" s="115"/>
      <c r="B527" s="97"/>
      <c r="C527" s="115"/>
      <c r="D527" s="115"/>
      <c r="E527" s="115"/>
      <c r="F527" s="115"/>
      <c r="G527" s="99"/>
      <c r="H527" s="98"/>
      <c r="I527" s="100"/>
      <c r="J527" s="100"/>
      <c r="K527" s="100"/>
      <c r="L527" s="101"/>
      <c r="M527" s="101"/>
      <c r="N527" s="112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</row>
    <row r="528" spans="1:29" ht="13">
      <c r="A528" s="115"/>
      <c r="B528" s="97"/>
      <c r="C528" s="115"/>
      <c r="D528" s="115"/>
      <c r="E528" s="115"/>
      <c r="F528" s="115"/>
      <c r="G528" s="99"/>
      <c r="H528" s="98"/>
      <c r="I528" s="100"/>
      <c r="J528" s="100"/>
      <c r="K528" s="100"/>
      <c r="L528" s="101"/>
      <c r="M528" s="101"/>
      <c r="N528" s="112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</row>
    <row r="529" spans="1:29" ht="13">
      <c r="A529" s="115"/>
      <c r="B529" s="97"/>
      <c r="C529" s="115"/>
      <c r="D529" s="115"/>
      <c r="E529" s="115"/>
      <c r="F529" s="115"/>
      <c r="G529" s="99"/>
      <c r="H529" s="98"/>
      <c r="I529" s="100"/>
      <c r="J529" s="100"/>
      <c r="K529" s="100"/>
      <c r="L529" s="101"/>
      <c r="M529" s="101"/>
      <c r="N529" s="112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</row>
    <row r="530" spans="1:29" ht="13">
      <c r="A530" s="115"/>
      <c r="B530" s="97"/>
      <c r="C530" s="115"/>
      <c r="D530" s="115"/>
      <c r="E530" s="115"/>
      <c r="F530" s="115"/>
      <c r="G530" s="99"/>
      <c r="H530" s="98"/>
      <c r="I530" s="100"/>
      <c r="J530" s="100"/>
      <c r="K530" s="100"/>
      <c r="L530" s="101"/>
      <c r="M530" s="101"/>
      <c r="N530" s="112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</row>
    <row r="531" spans="1:29" ht="13">
      <c r="A531" s="115"/>
      <c r="B531" s="97"/>
      <c r="C531" s="115"/>
      <c r="D531" s="115"/>
      <c r="E531" s="115"/>
      <c r="F531" s="115"/>
      <c r="G531" s="99"/>
      <c r="H531" s="98"/>
      <c r="I531" s="100"/>
      <c r="J531" s="100"/>
      <c r="K531" s="100"/>
      <c r="L531" s="101"/>
      <c r="M531" s="101"/>
      <c r="N531" s="112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</row>
    <row r="532" spans="1:29" ht="13">
      <c r="A532" s="115"/>
      <c r="B532" s="97"/>
      <c r="C532" s="115"/>
      <c r="D532" s="115"/>
      <c r="E532" s="115"/>
      <c r="F532" s="115"/>
      <c r="G532" s="99"/>
      <c r="H532" s="98"/>
      <c r="I532" s="100"/>
      <c r="J532" s="100"/>
      <c r="K532" s="100"/>
      <c r="L532" s="101"/>
      <c r="M532" s="101"/>
      <c r="N532" s="112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</row>
    <row r="533" spans="1:29" ht="13">
      <c r="A533" s="115"/>
      <c r="B533" s="97"/>
      <c r="C533" s="115"/>
      <c r="D533" s="115"/>
      <c r="E533" s="115"/>
      <c r="F533" s="115"/>
      <c r="G533" s="99"/>
      <c r="H533" s="98"/>
      <c r="I533" s="100"/>
      <c r="J533" s="100"/>
      <c r="K533" s="100"/>
      <c r="L533" s="101"/>
      <c r="M533" s="101"/>
      <c r="N533" s="112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</row>
    <row r="534" spans="1:29" ht="13">
      <c r="A534" s="115"/>
      <c r="B534" s="97"/>
      <c r="C534" s="115"/>
      <c r="D534" s="115"/>
      <c r="E534" s="115"/>
      <c r="F534" s="115"/>
      <c r="G534" s="99"/>
      <c r="H534" s="98"/>
      <c r="I534" s="100"/>
      <c r="J534" s="100"/>
      <c r="K534" s="100"/>
      <c r="L534" s="101"/>
      <c r="M534" s="101"/>
      <c r="N534" s="112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</row>
    <row r="535" spans="1:29" ht="13">
      <c r="A535" s="115"/>
      <c r="B535" s="97"/>
      <c r="C535" s="115"/>
      <c r="D535" s="115"/>
      <c r="E535" s="115"/>
      <c r="F535" s="115"/>
      <c r="G535" s="99"/>
      <c r="H535" s="98"/>
      <c r="I535" s="100"/>
      <c r="J535" s="100"/>
      <c r="K535" s="100"/>
      <c r="L535" s="101"/>
      <c r="M535" s="101"/>
      <c r="N535" s="112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</row>
    <row r="536" spans="1:29" ht="13">
      <c r="A536" s="115"/>
      <c r="B536" s="97"/>
      <c r="C536" s="115"/>
      <c r="D536" s="115"/>
      <c r="E536" s="115"/>
      <c r="F536" s="115"/>
      <c r="G536" s="99"/>
      <c r="H536" s="98"/>
      <c r="I536" s="100"/>
      <c r="J536" s="100"/>
      <c r="K536" s="100"/>
      <c r="L536" s="101"/>
      <c r="M536" s="101"/>
      <c r="N536" s="112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</row>
    <row r="537" spans="1:29" ht="13">
      <c r="A537" s="115"/>
      <c r="B537" s="97"/>
      <c r="C537" s="115"/>
      <c r="D537" s="115"/>
      <c r="E537" s="115"/>
      <c r="F537" s="115"/>
      <c r="G537" s="99"/>
      <c r="H537" s="98"/>
      <c r="I537" s="100"/>
      <c r="J537" s="100"/>
      <c r="K537" s="100"/>
      <c r="L537" s="101"/>
      <c r="M537" s="101"/>
      <c r="N537" s="112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</row>
    <row r="538" spans="1:29" ht="13">
      <c r="A538" s="115"/>
      <c r="B538" s="97"/>
      <c r="C538" s="115"/>
      <c r="D538" s="115"/>
      <c r="E538" s="115"/>
      <c r="F538" s="115"/>
      <c r="G538" s="99"/>
      <c r="H538" s="98"/>
      <c r="I538" s="100"/>
      <c r="J538" s="100"/>
      <c r="K538" s="100"/>
      <c r="L538" s="101"/>
      <c r="M538" s="101"/>
      <c r="N538" s="112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</row>
    <row r="539" spans="1:29" ht="13">
      <c r="A539" s="115"/>
      <c r="B539" s="97"/>
      <c r="C539" s="115"/>
      <c r="D539" s="115"/>
      <c r="E539" s="115"/>
      <c r="F539" s="115"/>
      <c r="G539" s="99"/>
      <c r="H539" s="98"/>
      <c r="I539" s="100"/>
      <c r="J539" s="100"/>
      <c r="K539" s="100"/>
      <c r="L539" s="101"/>
      <c r="M539" s="101"/>
      <c r="N539" s="112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</row>
    <row r="540" spans="1:29" ht="13">
      <c r="A540" s="115"/>
      <c r="B540" s="97"/>
      <c r="C540" s="115"/>
      <c r="D540" s="115"/>
      <c r="E540" s="115"/>
      <c r="F540" s="115"/>
      <c r="G540" s="99"/>
      <c r="H540" s="98"/>
      <c r="I540" s="100"/>
      <c r="J540" s="100"/>
      <c r="K540" s="100"/>
      <c r="L540" s="101"/>
      <c r="M540" s="101"/>
      <c r="N540" s="112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</row>
    <row r="541" spans="1:29" ht="13">
      <c r="A541" s="115"/>
      <c r="B541" s="97"/>
      <c r="C541" s="115"/>
      <c r="D541" s="115"/>
      <c r="E541" s="115"/>
      <c r="F541" s="115"/>
      <c r="G541" s="99"/>
      <c r="H541" s="98"/>
      <c r="I541" s="100"/>
      <c r="J541" s="100"/>
      <c r="K541" s="100"/>
      <c r="L541" s="101"/>
      <c r="M541" s="101"/>
      <c r="N541" s="112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</row>
    <row r="542" spans="1:29" ht="13">
      <c r="A542" s="115"/>
      <c r="B542" s="97"/>
      <c r="C542" s="115"/>
      <c r="D542" s="115"/>
      <c r="E542" s="115"/>
      <c r="F542" s="115"/>
      <c r="G542" s="99"/>
      <c r="H542" s="98"/>
      <c r="I542" s="100"/>
      <c r="J542" s="100"/>
      <c r="K542" s="100"/>
      <c r="L542" s="101"/>
      <c r="M542" s="101"/>
      <c r="N542" s="112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</row>
    <row r="543" spans="1:29" ht="13">
      <c r="A543" s="115"/>
      <c r="B543" s="97"/>
      <c r="C543" s="115"/>
      <c r="D543" s="115"/>
      <c r="E543" s="115"/>
      <c r="F543" s="115"/>
      <c r="G543" s="99"/>
      <c r="H543" s="98"/>
      <c r="I543" s="100"/>
      <c r="J543" s="100"/>
      <c r="K543" s="100"/>
      <c r="L543" s="101"/>
      <c r="M543" s="101"/>
      <c r="N543" s="112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</row>
    <row r="544" spans="1:29" ht="13">
      <c r="A544" s="115"/>
      <c r="B544" s="97"/>
      <c r="C544" s="115"/>
      <c r="D544" s="115"/>
      <c r="E544" s="115"/>
      <c r="F544" s="115"/>
      <c r="G544" s="99"/>
      <c r="H544" s="98"/>
      <c r="I544" s="100"/>
      <c r="J544" s="100"/>
      <c r="K544" s="100"/>
      <c r="L544" s="101"/>
      <c r="M544" s="101"/>
      <c r="N544" s="112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</row>
    <row r="545" spans="1:29" ht="13">
      <c r="A545" s="115"/>
      <c r="B545" s="97"/>
      <c r="C545" s="115"/>
      <c r="D545" s="115"/>
      <c r="E545" s="115"/>
      <c r="F545" s="115"/>
      <c r="G545" s="99"/>
      <c r="H545" s="98"/>
      <c r="I545" s="100"/>
      <c r="J545" s="100"/>
      <c r="K545" s="100"/>
      <c r="L545" s="101"/>
      <c r="M545" s="101"/>
      <c r="N545" s="112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</row>
    <row r="546" spans="1:29" ht="13">
      <c r="A546" s="115"/>
      <c r="B546" s="97"/>
      <c r="C546" s="115"/>
      <c r="D546" s="115"/>
      <c r="E546" s="115"/>
      <c r="F546" s="115"/>
      <c r="G546" s="99"/>
      <c r="H546" s="98"/>
      <c r="I546" s="100"/>
      <c r="J546" s="100"/>
      <c r="K546" s="100"/>
      <c r="L546" s="101"/>
      <c r="M546" s="101"/>
      <c r="N546" s="112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</row>
    <row r="547" spans="1:29" ht="13">
      <c r="A547" s="115"/>
      <c r="B547" s="97"/>
      <c r="C547" s="115"/>
      <c r="D547" s="115"/>
      <c r="E547" s="115"/>
      <c r="F547" s="115"/>
      <c r="G547" s="99"/>
      <c r="H547" s="98"/>
      <c r="I547" s="100"/>
      <c r="J547" s="100"/>
      <c r="K547" s="100"/>
      <c r="L547" s="101"/>
      <c r="M547" s="101"/>
      <c r="N547" s="112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</row>
    <row r="548" spans="1:29" ht="13">
      <c r="A548" s="115"/>
      <c r="B548" s="97"/>
      <c r="C548" s="115"/>
      <c r="D548" s="115"/>
      <c r="E548" s="115"/>
      <c r="F548" s="115"/>
      <c r="G548" s="99"/>
      <c r="H548" s="98"/>
      <c r="I548" s="100"/>
      <c r="J548" s="100"/>
      <c r="K548" s="100"/>
      <c r="L548" s="101"/>
      <c r="M548" s="101"/>
      <c r="N548" s="112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</row>
    <row r="549" spans="1:29" ht="13">
      <c r="A549" s="115"/>
      <c r="B549" s="97"/>
      <c r="C549" s="115"/>
      <c r="D549" s="115"/>
      <c r="E549" s="115"/>
      <c r="F549" s="115"/>
      <c r="G549" s="99"/>
      <c r="H549" s="98"/>
      <c r="I549" s="100"/>
      <c r="J549" s="100"/>
      <c r="K549" s="100"/>
      <c r="L549" s="101"/>
      <c r="M549" s="101"/>
      <c r="N549" s="112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</row>
    <row r="550" spans="1:29" ht="13">
      <c r="A550" s="115"/>
      <c r="B550" s="97"/>
      <c r="C550" s="115"/>
      <c r="D550" s="115"/>
      <c r="E550" s="115"/>
      <c r="F550" s="115"/>
      <c r="G550" s="99"/>
      <c r="H550" s="98"/>
      <c r="I550" s="100"/>
      <c r="J550" s="100"/>
      <c r="K550" s="100"/>
      <c r="L550" s="101"/>
      <c r="M550" s="101"/>
      <c r="N550" s="112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</row>
    <row r="551" spans="1:29" ht="13">
      <c r="A551" s="115"/>
      <c r="B551" s="97"/>
      <c r="C551" s="115"/>
      <c r="D551" s="115"/>
      <c r="E551" s="115"/>
      <c r="F551" s="115"/>
      <c r="G551" s="99"/>
      <c r="H551" s="98"/>
      <c r="I551" s="100"/>
      <c r="J551" s="100"/>
      <c r="K551" s="100"/>
      <c r="L551" s="101"/>
      <c r="M551" s="101"/>
      <c r="N551" s="112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</row>
    <row r="552" spans="1:29" ht="13">
      <c r="A552" s="115"/>
      <c r="B552" s="97"/>
      <c r="C552" s="115"/>
      <c r="D552" s="115"/>
      <c r="E552" s="115"/>
      <c r="F552" s="115"/>
      <c r="G552" s="99"/>
      <c r="H552" s="98"/>
      <c r="I552" s="100"/>
      <c r="J552" s="100"/>
      <c r="K552" s="100"/>
      <c r="L552" s="101"/>
      <c r="M552" s="101"/>
      <c r="N552" s="112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</row>
    <row r="553" spans="1:29" ht="13">
      <c r="A553" s="115"/>
      <c r="B553" s="97"/>
      <c r="C553" s="115"/>
      <c r="D553" s="115"/>
      <c r="E553" s="115"/>
      <c r="F553" s="115"/>
      <c r="G553" s="99"/>
      <c r="H553" s="98"/>
      <c r="I553" s="100"/>
      <c r="J553" s="100"/>
      <c r="K553" s="100"/>
      <c r="L553" s="101"/>
      <c r="M553" s="101"/>
      <c r="N553" s="112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</row>
    <row r="554" spans="1:29" ht="13">
      <c r="A554" s="115"/>
      <c r="B554" s="97"/>
      <c r="C554" s="115"/>
      <c r="D554" s="115"/>
      <c r="E554" s="115"/>
      <c r="F554" s="115"/>
      <c r="G554" s="99"/>
      <c r="H554" s="98"/>
      <c r="I554" s="100"/>
      <c r="J554" s="100"/>
      <c r="K554" s="100"/>
      <c r="L554" s="101"/>
      <c r="M554" s="101"/>
      <c r="N554" s="112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</row>
    <row r="555" spans="1:29" ht="13">
      <c r="A555" s="115"/>
      <c r="B555" s="97"/>
      <c r="C555" s="115"/>
      <c r="D555" s="115"/>
      <c r="E555" s="115"/>
      <c r="F555" s="115"/>
      <c r="G555" s="99"/>
      <c r="H555" s="98"/>
      <c r="I555" s="100"/>
      <c r="J555" s="100"/>
      <c r="K555" s="100"/>
      <c r="L555" s="101"/>
      <c r="M555" s="101"/>
      <c r="N555" s="112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</row>
    <row r="556" spans="1:29" ht="13">
      <c r="A556" s="115"/>
      <c r="B556" s="97"/>
      <c r="C556" s="115"/>
      <c r="D556" s="115"/>
      <c r="E556" s="115"/>
      <c r="F556" s="115"/>
      <c r="G556" s="99"/>
      <c r="H556" s="98"/>
      <c r="I556" s="100"/>
      <c r="J556" s="100"/>
      <c r="K556" s="100"/>
      <c r="L556" s="101"/>
      <c r="M556" s="101"/>
      <c r="N556" s="112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</row>
    <row r="557" spans="1:29" ht="13">
      <c r="A557" s="115"/>
      <c r="B557" s="97"/>
      <c r="C557" s="115"/>
      <c r="D557" s="115"/>
      <c r="E557" s="115"/>
      <c r="F557" s="115"/>
      <c r="G557" s="99"/>
      <c r="H557" s="98"/>
      <c r="I557" s="100"/>
      <c r="J557" s="100"/>
      <c r="K557" s="100"/>
      <c r="L557" s="101"/>
      <c r="M557" s="101"/>
      <c r="N557" s="112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</row>
    <row r="558" spans="1:29" ht="13">
      <c r="A558" s="115"/>
      <c r="B558" s="97"/>
      <c r="C558" s="115"/>
      <c r="D558" s="115"/>
      <c r="E558" s="115"/>
      <c r="F558" s="115"/>
      <c r="G558" s="99"/>
      <c r="H558" s="98"/>
      <c r="I558" s="100"/>
      <c r="J558" s="100"/>
      <c r="K558" s="100"/>
      <c r="L558" s="101"/>
      <c r="M558" s="101"/>
      <c r="N558" s="112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</row>
    <row r="559" spans="1:29" ht="13">
      <c r="A559" s="115"/>
      <c r="B559" s="97"/>
      <c r="C559" s="115"/>
      <c r="D559" s="115"/>
      <c r="E559" s="115"/>
      <c r="F559" s="115"/>
      <c r="G559" s="99"/>
      <c r="H559" s="98"/>
      <c r="I559" s="100"/>
      <c r="J559" s="100"/>
      <c r="K559" s="100"/>
      <c r="L559" s="101"/>
      <c r="M559" s="101"/>
      <c r="N559" s="112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</row>
    <row r="560" spans="1:29" ht="13">
      <c r="A560" s="115"/>
      <c r="B560" s="97"/>
      <c r="C560" s="115"/>
      <c r="D560" s="115"/>
      <c r="E560" s="115"/>
      <c r="F560" s="115"/>
      <c r="G560" s="99"/>
      <c r="H560" s="98"/>
      <c r="I560" s="100"/>
      <c r="J560" s="100"/>
      <c r="K560" s="100"/>
      <c r="L560" s="101"/>
      <c r="M560" s="101"/>
      <c r="N560" s="112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</row>
    <row r="561" spans="1:29" ht="13">
      <c r="A561" s="115"/>
      <c r="B561" s="97"/>
      <c r="C561" s="115"/>
      <c r="D561" s="115"/>
      <c r="E561" s="115"/>
      <c r="F561" s="115"/>
      <c r="G561" s="99"/>
      <c r="H561" s="98"/>
      <c r="I561" s="100"/>
      <c r="J561" s="100"/>
      <c r="K561" s="100"/>
      <c r="L561" s="101"/>
      <c r="M561" s="101"/>
      <c r="N561" s="112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</row>
    <row r="562" spans="1:29" ht="13">
      <c r="A562" s="115"/>
      <c r="B562" s="97"/>
      <c r="C562" s="115"/>
      <c r="D562" s="115"/>
      <c r="E562" s="115"/>
      <c r="F562" s="115"/>
      <c r="G562" s="99"/>
      <c r="H562" s="98"/>
      <c r="I562" s="100"/>
      <c r="J562" s="100"/>
      <c r="K562" s="100"/>
      <c r="L562" s="101"/>
      <c r="M562" s="101"/>
      <c r="N562" s="112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</row>
    <row r="563" spans="1:29" ht="13">
      <c r="A563" s="115"/>
      <c r="B563" s="97"/>
      <c r="C563" s="115"/>
      <c r="D563" s="115"/>
      <c r="E563" s="115"/>
      <c r="F563" s="115"/>
      <c r="G563" s="99"/>
      <c r="H563" s="98"/>
      <c r="I563" s="100"/>
      <c r="J563" s="100"/>
      <c r="K563" s="100"/>
      <c r="L563" s="101"/>
      <c r="M563" s="101"/>
      <c r="N563" s="112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</row>
    <row r="564" spans="1:29" ht="13">
      <c r="A564" s="115"/>
      <c r="B564" s="97"/>
      <c r="C564" s="115"/>
      <c r="D564" s="115"/>
      <c r="E564" s="115"/>
      <c r="F564" s="115"/>
      <c r="G564" s="99"/>
      <c r="H564" s="98"/>
      <c r="I564" s="100"/>
      <c r="J564" s="100"/>
      <c r="K564" s="100"/>
      <c r="L564" s="101"/>
      <c r="M564" s="101"/>
      <c r="N564" s="112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</row>
    <row r="565" spans="1:29" ht="13">
      <c r="A565" s="115"/>
      <c r="B565" s="97"/>
      <c r="C565" s="115"/>
      <c r="D565" s="115"/>
      <c r="E565" s="115"/>
      <c r="F565" s="115"/>
      <c r="G565" s="99"/>
      <c r="H565" s="98"/>
      <c r="I565" s="100"/>
      <c r="J565" s="100"/>
      <c r="K565" s="100"/>
      <c r="L565" s="101"/>
      <c r="M565" s="101"/>
      <c r="N565" s="112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</row>
    <row r="566" spans="1:29" ht="13">
      <c r="A566" s="115"/>
      <c r="B566" s="97"/>
      <c r="C566" s="115"/>
      <c r="D566" s="115"/>
      <c r="E566" s="115"/>
      <c r="F566" s="115"/>
      <c r="G566" s="99"/>
      <c r="H566" s="98"/>
      <c r="I566" s="100"/>
      <c r="J566" s="100"/>
      <c r="K566" s="100"/>
      <c r="L566" s="101"/>
      <c r="M566" s="101"/>
      <c r="N566" s="112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</row>
    <row r="567" spans="1:29" ht="13">
      <c r="A567" s="115"/>
      <c r="B567" s="97"/>
      <c r="C567" s="115"/>
      <c r="D567" s="115"/>
      <c r="E567" s="115"/>
      <c r="F567" s="115"/>
      <c r="G567" s="99"/>
      <c r="H567" s="98"/>
      <c r="I567" s="100"/>
      <c r="J567" s="100"/>
      <c r="K567" s="100"/>
      <c r="L567" s="101"/>
      <c r="M567" s="101"/>
      <c r="N567" s="112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</row>
    <row r="568" spans="1:29" ht="13">
      <c r="A568" s="115"/>
      <c r="B568" s="97"/>
      <c r="C568" s="115"/>
      <c r="D568" s="115"/>
      <c r="E568" s="115"/>
      <c r="F568" s="115"/>
      <c r="G568" s="99"/>
      <c r="H568" s="98"/>
      <c r="I568" s="100"/>
      <c r="J568" s="100"/>
      <c r="K568" s="100"/>
      <c r="L568" s="101"/>
      <c r="M568" s="101"/>
      <c r="N568" s="112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</row>
    <row r="569" spans="1:29" ht="13">
      <c r="A569" s="115"/>
      <c r="B569" s="97"/>
      <c r="C569" s="115"/>
      <c r="D569" s="115"/>
      <c r="E569" s="115"/>
      <c r="F569" s="115"/>
      <c r="G569" s="99"/>
      <c r="H569" s="98"/>
      <c r="I569" s="100"/>
      <c r="J569" s="100"/>
      <c r="K569" s="100"/>
      <c r="L569" s="101"/>
      <c r="M569" s="101"/>
      <c r="N569" s="112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</row>
    <row r="570" spans="1:29" ht="13">
      <c r="A570" s="115"/>
      <c r="B570" s="97"/>
      <c r="C570" s="115"/>
      <c r="D570" s="115"/>
      <c r="E570" s="115"/>
      <c r="F570" s="115"/>
      <c r="G570" s="99"/>
      <c r="H570" s="98"/>
      <c r="I570" s="100"/>
      <c r="J570" s="100"/>
      <c r="K570" s="100"/>
      <c r="L570" s="101"/>
      <c r="M570" s="101"/>
      <c r="N570" s="112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</row>
    <row r="571" spans="1:29" ht="13">
      <c r="A571" s="115"/>
      <c r="B571" s="97"/>
      <c r="C571" s="115"/>
      <c r="D571" s="115"/>
      <c r="E571" s="115"/>
      <c r="F571" s="115"/>
      <c r="G571" s="99"/>
      <c r="H571" s="98"/>
      <c r="I571" s="100"/>
      <c r="J571" s="100"/>
      <c r="K571" s="100"/>
      <c r="L571" s="101"/>
      <c r="M571" s="101"/>
      <c r="N571" s="112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</row>
    <row r="572" spans="1:29" ht="13">
      <c r="A572" s="115"/>
      <c r="B572" s="97"/>
      <c r="C572" s="115"/>
      <c r="D572" s="115"/>
      <c r="E572" s="115"/>
      <c r="F572" s="115"/>
      <c r="G572" s="99"/>
      <c r="H572" s="98"/>
      <c r="I572" s="100"/>
      <c r="J572" s="100"/>
      <c r="K572" s="100"/>
      <c r="L572" s="101"/>
      <c r="M572" s="101"/>
      <c r="N572" s="112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</row>
    <row r="573" spans="1:29" ht="13">
      <c r="A573" s="115"/>
      <c r="B573" s="97"/>
      <c r="C573" s="115"/>
      <c r="D573" s="115"/>
      <c r="E573" s="115"/>
      <c r="F573" s="115"/>
      <c r="G573" s="99"/>
      <c r="H573" s="98"/>
      <c r="I573" s="100"/>
      <c r="J573" s="100"/>
      <c r="K573" s="100"/>
      <c r="L573" s="101"/>
      <c r="M573" s="101"/>
      <c r="N573" s="112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</row>
    <row r="574" spans="1:29" ht="13">
      <c r="A574" s="115"/>
      <c r="B574" s="97"/>
      <c r="C574" s="115"/>
      <c r="D574" s="115"/>
      <c r="E574" s="115"/>
      <c r="F574" s="115"/>
      <c r="G574" s="99"/>
      <c r="H574" s="98"/>
      <c r="I574" s="100"/>
      <c r="J574" s="100"/>
      <c r="K574" s="100"/>
      <c r="L574" s="101"/>
      <c r="M574" s="101"/>
      <c r="N574" s="112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</row>
    <row r="575" spans="1:29" ht="13">
      <c r="A575" s="115"/>
      <c r="B575" s="97"/>
      <c r="C575" s="115"/>
      <c r="D575" s="115"/>
      <c r="E575" s="115"/>
      <c r="F575" s="115"/>
      <c r="G575" s="99"/>
      <c r="H575" s="98"/>
      <c r="I575" s="100"/>
      <c r="J575" s="100"/>
      <c r="K575" s="100"/>
      <c r="L575" s="101"/>
      <c r="M575" s="101"/>
      <c r="N575" s="112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</row>
    <row r="576" spans="1:29" ht="13">
      <c r="A576" s="115"/>
      <c r="B576" s="97"/>
      <c r="C576" s="115"/>
      <c r="D576" s="115"/>
      <c r="E576" s="115"/>
      <c r="F576" s="115"/>
      <c r="G576" s="99"/>
      <c r="H576" s="98"/>
      <c r="I576" s="100"/>
      <c r="J576" s="100"/>
      <c r="K576" s="100"/>
      <c r="L576" s="101"/>
      <c r="M576" s="101"/>
      <c r="N576" s="112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</row>
    <row r="577" spans="1:29" ht="13">
      <c r="A577" s="115"/>
      <c r="B577" s="97"/>
      <c r="C577" s="115"/>
      <c r="D577" s="115"/>
      <c r="E577" s="115"/>
      <c r="F577" s="115"/>
      <c r="G577" s="99"/>
      <c r="H577" s="98"/>
      <c r="I577" s="100"/>
      <c r="J577" s="100"/>
      <c r="K577" s="100"/>
      <c r="L577" s="101"/>
      <c r="M577" s="101"/>
      <c r="N577" s="112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</row>
    <row r="578" spans="1:29" ht="13">
      <c r="A578" s="115"/>
      <c r="B578" s="97"/>
      <c r="C578" s="115"/>
      <c r="D578" s="115"/>
      <c r="E578" s="115"/>
      <c r="F578" s="115"/>
      <c r="G578" s="99"/>
      <c r="H578" s="98"/>
      <c r="I578" s="100"/>
      <c r="J578" s="100"/>
      <c r="K578" s="100"/>
      <c r="L578" s="101"/>
      <c r="M578" s="101"/>
      <c r="N578" s="112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</row>
    <row r="579" spans="1:29" ht="13">
      <c r="A579" s="115"/>
      <c r="B579" s="97"/>
      <c r="C579" s="115"/>
      <c r="D579" s="115"/>
      <c r="E579" s="115"/>
      <c r="F579" s="115"/>
      <c r="G579" s="99"/>
      <c r="H579" s="98"/>
      <c r="I579" s="100"/>
      <c r="J579" s="100"/>
      <c r="K579" s="100"/>
      <c r="L579" s="101"/>
      <c r="M579" s="101"/>
      <c r="N579" s="112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</row>
    <row r="580" spans="1:29" ht="13">
      <c r="A580" s="115"/>
      <c r="B580" s="97"/>
      <c r="C580" s="115"/>
      <c r="D580" s="115"/>
      <c r="E580" s="115"/>
      <c r="F580" s="115"/>
      <c r="G580" s="99"/>
      <c r="H580" s="98"/>
      <c r="I580" s="100"/>
      <c r="J580" s="100"/>
      <c r="K580" s="100"/>
      <c r="L580" s="101"/>
      <c r="M580" s="101"/>
      <c r="N580" s="112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</row>
    <row r="581" spans="1:29" ht="13">
      <c r="A581" s="115"/>
      <c r="B581" s="97"/>
      <c r="C581" s="115"/>
      <c r="D581" s="115"/>
      <c r="E581" s="115"/>
      <c r="F581" s="115"/>
      <c r="G581" s="99"/>
      <c r="H581" s="98"/>
      <c r="I581" s="100"/>
      <c r="J581" s="100"/>
      <c r="K581" s="100"/>
      <c r="L581" s="101"/>
      <c r="M581" s="101"/>
      <c r="N581" s="112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</row>
    <row r="582" spans="1:29" ht="13">
      <c r="A582" s="115"/>
      <c r="B582" s="97"/>
      <c r="C582" s="115"/>
      <c r="D582" s="115"/>
      <c r="E582" s="115"/>
      <c r="F582" s="115"/>
      <c r="G582" s="99"/>
      <c r="H582" s="98"/>
      <c r="I582" s="100"/>
      <c r="J582" s="100"/>
      <c r="K582" s="100"/>
      <c r="L582" s="101"/>
      <c r="M582" s="101"/>
      <c r="N582" s="112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</row>
    <row r="583" spans="1:29" ht="13">
      <c r="A583" s="115"/>
      <c r="B583" s="97"/>
      <c r="C583" s="115"/>
      <c r="D583" s="115"/>
      <c r="E583" s="115"/>
      <c r="F583" s="115"/>
      <c r="G583" s="99"/>
      <c r="H583" s="98"/>
      <c r="I583" s="100"/>
      <c r="J583" s="100"/>
      <c r="K583" s="100"/>
      <c r="L583" s="101"/>
      <c r="M583" s="101"/>
      <c r="N583" s="112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</row>
    <row r="584" spans="1:29" ht="13">
      <c r="A584" s="115"/>
      <c r="B584" s="97"/>
      <c r="C584" s="115"/>
      <c r="D584" s="115"/>
      <c r="E584" s="115"/>
      <c r="F584" s="115"/>
      <c r="G584" s="99"/>
      <c r="H584" s="98"/>
      <c r="I584" s="100"/>
      <c r="J584" s="100"/>
      <c r="K584" s="100"/>
      <c r="L584" s="101"/>
      <c r="M584" s="101"/>
      <c r="N584" s="112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</row>
    <row r="585" spans="1:29" ht="13">
      <c r="A585" s="115"/>
      <c r="B585" s="97"/>
      <c r="C585" s="115"/>
      <c r="D585" s="115"/>
      <c r="E585" s="115"/>
      <c r="F585" s="115"/>
      <c r="G585" s="99"/>
      <c r="H585" s="98"/>
      <c r="I585" s="100"/>
      <c r="J585" s="100"/>
      <c r="K585" s="100"/>
      <c r="L585" s="101"/>
      <c r="M585" s="101"/>
      <c r="N585" s="112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</row>
    <row r="586" spans="1:29" ht="13">
      <c r="A586" s="115"/>
      <c r="B586" s="97"/>
      <c r="C586" s="115"/>
      <c r="D586" s="115"/>
      <c r="E586" s="115"/>
      <c r="F586" s="115"/>
      <c r="G586" s="99"/>
      <c r="H586" s="98"/>
      <c r="I586" s="100"/>
      <c r="J586" s="100"/>
      <c r="K586" s="100"/>
      <c r="L586" s="101"/>
      <c r="M586" s="101"/>
      <c r="N586" s="112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</row>
    <row r="587" spans="1:29" ht="13">
      <c r="A587" s="115"/>
      <c r="B587" s="97"/>
      <c r="C587" s="115"/>
      <c r="D587" s="115"/>
      <c r="E587" s="115"/>
      <c r="F587" s="115"/>
      <c r="G587" s="99"/>
      <c r="H587" s="98"/>
      <c r="I587" s="100"/>
      <c r="J587" s="100"/>
      <c r="K587" s="100"/>
      <c r="L587" s="101"/>
      <c r="M587" s="101"/>
      <c r="N587" s="112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</row>
    <row r="588" spans="1:29" ht="13">
      <c r="A588" s="115"/>
      <c r="B588" s="97"/>
      <c r="C588" s="115"/>
      <c r="D588" s="115"/>
      <c r="E588" s="115"/>
      <c r="F588" s="115"/>
      <c r="G588" s="99"/>
      <c r="H588" s="98"/>
      <c r="I588" s="100"/>
      <c r="J588" s="100"/>
      <c r="K588" s="100"/>
      <c r="L588" s="101"/>
      <c r="M588" s="101"/>
      <c r="N588" s="112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</row>
    <row r="589" spans="1:29" ht="13">
      <c r="A589" s="115"/>
      <c r="B589" s="97"/>
      <c r="C589" s="115"/>
      <c r="D589" s="115"/>
      <c r="E589" s="115"/>
      <c r="F589" s="115"/>
      <c r="G589" s="99"/>
      <c r="H589" s="98"/>
      <c r="I589" s="100"/>
      <c r="J589" s="100"/>
      <c r="K589" s="100"/>
      <c r="L589" s="101"/>
      <c r="M589" s="101"/>
      <c r="N589" s="112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</row>
    <row r="590" spans="1:29" ht="13">
      <c r="A590" s="115"/>
      <c r="B590" s="97"/>
      <c r="C590" s="115"/>
      <c r="D590" s="115"/>
      <c r="E590" s="115"/>
      <c r="F590" s="115"/>
      <c r="G590" s="99"/>
      <c r="H590" s="98"/>
      <c r="I590" s="100"/>
      <c r="J590" s="100"/>
      <c r="K590" s="100"/>
      <c r="L590" s="101"/>
      <c r="M590" s="101"/>
      <c r="N590" s="112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</row>
    <row r="591" spans="1:29" ht="13">
      <c r="A591" s="115"/>
      <c r="B591" s="97"/>
      <c r="C591" s="115"/>
      <c r="D591" s="115"/>
      <c r="E591" s="115"/>
      <c r="F591" s="115"/>
      <c r="G591" s="99"/>
      <c r="H591" s="98"/>
      <c r="I591" s="100"/>
      <c r="J591" s="100"/>
      <c r="K591" s="100"/>
      <c r="L591" s="101"/>
      <c r="M591" s="101"/>
      <c r="N591" s="112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</row>
    <row r="592" spans="1:29" ht="13">
      <c r="A592" s="115"/>
      <c r="B592" s="97"/>
      <c r="C592" s="115"/>
      <c r="D592" s="115"/>
      <c r="E592" s="115"/>
      <c r="F592" s="115"/>
      <c r="G592" s="99"/>
      <c r="H592" s="98"/>
      <c r="I592" s="100"/>
      <c r="J592" s="100"/>
      <c r="K592" s="100"/>
      <c r="L592" s="101"/>
      <c r="M592" s="101"/>
      <c r="N592" s="112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</row>
    <row r="593" spans="1:29" ht="13">
      <c r="A593" s="115"/>
      <c r="B593" s="97"/>
      <c r="C593" s="115"/>
      <c r="D593" s="115"/>
      <c r="E593" s="115"/>
      <c r="F593" s="115"/>
      <c r="G593" s="99"/>
      <c r="H593" s="98"/>
      <c r="I593" s="100"/>
      <c r="J593" s="100"/>
      <c r="K593" s="100"/>
      <c r="L593" s="101"/>
      <c r="M593" s="101"/>
      <c r="N593" s="112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</row>
    <row r="594" spans="1:29" ht="13">
      <c r="A594" s="115"/>
      <c r="B594" s="97"/>
      <c r="C594" s="115"/>
      <c r="D594" s="115"/>
      <c r="E594" s="115"/>
      <c r="F594" s="115"/>
      <c r="G594" s="99"/>
      <c r="H594" s="98"/>
      <c r="I594" s="100"/>
      <c r="J594" s="100"/>
      <c r="K594" s="100"/>
      <c r="L594" s="101"/>
      <c r="M594" s="101"/>
      <c r="N594" s="112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</row>
    <row r="595" spans="1:29" ht="13">
      <c r="A595" s="115"/>
      <c r="B595" s="97"/>
      <c r="C595" s="115"/>
      <c r="D595" s="115"/>
      <c r="E595" s="115"/>
      <c r="F595" s="115"/>
      <c r="G595" s="99"/>
      <c r="H595" s="98"/>
      <c r="I595" s="100"/>
      <c r="J595" s="100"/>
      <c r="K595" s="100"/>
      <c r="L595" s="101"/>
      <c r="M595" s="101"/>
      <c r="N595" s="112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</row>
    <row r="596" spans="1:29" ht="13">
      <c r="A596" s="115"/>
      <c r="B596" s="97"/>
      <c r="C596" s="115"/>
      <c r="D596" s="115"/>
      <c r="E596" s="115"/>
      <c r="F596" s="115"/>
      <c r="G596" s="99"/>
      <c r="H596" s="98"/>
      <c r="I596" s="100"/>
      <c r="J596" s="100"/>
      <c r="K596" s="100"/>
      <c r="L596" s="101"/>
      <c r="M596" s="101"/>
      <c r="N596" s="112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</row>
    <row r="597" spans="1:29" ht="13">
      <c r="A597" s="115"/>
      <c r="B597" s="97"/>
      <c r="C597" s="115"/>
      <c r="D597" s="115"/>
      <c r="E597" s="115"/>
      <c r="F597" s="115"/>
      <c r="G597" s="99"/>
      <c r="H597" s="98"/>
      <c r="I597" s="100"/>
      <c r="J597" s="100"/>
      <c r="K597" s="100"/>
      <c r="L597" s="101"/>
      <c r="M597" s="101"/>
      <c r="N597" s="112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</row>
    <row r="598" spans="1:29" ht="13">
      <c r="A598" s="115"/>
      <c r="B598" s="97"/>
      <c r="C598" s="115"/>
      <c r="D598" s="115"/>
      <c r="E598" s="115"/>
      <c r="F598" s="115"/>
      <c r="G598" s="99"/>
      <c r="H598" s="98"/>
      <c r="I598" s="100"/>
      <c r="J598" s="100"/>
      <c r="K598" s="100"/>
      <c r="L598" s="101"/>
      <c r="M598" s="101"/>
      <c r="N598" s="112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</row>
    <row r="599" spans="1:29" ht="13">
      <c r="A599" s="115"/>
      <c r="B599" s="97"/>
      <c r="C599" s="115"/>
      <c r="D599" s="115"/>
      <c r="E599" s="115"/>
      <c r="F599" s="115"/>
      <c r="G599" s="99"/>
      <c r="H599" s="98"/>
      <c r="I599" s="100"/>
      <c r="J599" s="100"/>
      <c r="K599" s="100"/>
      <c r="L599" s="101"/>
      <c r="M599" s="101"/>
      <c r="N599" s="112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</row>
    <row r="600" spans="1:29" ht="13">
      <c r="A600" s="115"/>
      <c r="B600" s="97"/>
      <c r="C600" s="115"/>
      <c r="D600" s="115"/>
      <c r="E600" s="115"/>
      <c r="F600" s="115"/>
      <c r="G600" s="99"/>
      <c r="H600" s="98"/>
      <c r="I600" s="100"/>
      <c r="J600" s="100"/>
      <c r="K600" s="100"/>
      <c r="L600" s="101"/>
      <c r="M600" s="101"/>
      <c r="N600" s="112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</row>
    <row r="601" spans="1:29" ht="13">
      <c r="A601" s="115"/>
      <c r="B601" s="97"/>
      <c r="C601" s="115"/>
      <c r="D601" s="115"/>
      <c r="E601" s="115"/>
      <c r="F601" s="115"/>
      <c r="G601" s="99"/>
      <c r="H601" s="98"/>
      <c r="I601" s="100"/>
      <c r="J601" s="100"/>
      <c r="K601" s="100"/>
      <c r="L601" s="101"/>
      <c r="M601" s="101"/>
      <c r="N601" s="112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</row>
    <row r="602" spans="1:29" ht="13">
      <c r="A602" s="115"/>
      <c r="B602" s="97"/>
      <c r="C602" s="115"/>
      <c r="D602" s="115"/>
      <c r="E602" s="115"/>
      <c r="F602" s="115"/>
      <c r="G602" s="99"/>
      <c r="H602" s="98"/>
      <c r="I602" s="100"/>
      <c r="J602" s="100"/>
      <c r="K602" s="100"/>
      <c r="L602" s="101"/>
      <c r="M602" s="101"/>
      <c r="N602" s="112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</row>
    <row r="603" spans="1:29" ht="13">
      <c r="A603" s="115"/>
      <c r="B603" s="97"/>
      <c r="C603" s="115"/>
      <c r="D603" s="115"/>
      <c r="E603" s="115"/>
      <c r="F603" s="115"/>
      <c r="G603" s="99"/>
      <c r="H603" s="98"/>
      <c r="I603" s="100"/>
      <c r="J603" s="100"/>
      <c r="K603" s="100"/>
      <c r="L603" s="101"/>
      <c r="M603" s="101"/>
      <c r="N603" s="112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</row>
    <row r="604" spans="1:29" ht="13">
      <c r="A604" s="115"/>
      <c r="B604" s="97"/>
      <c r="C604" s="115"/>
      <c r="D604" s="115"/>
      <c r="E604" s="115"/>
      <c r="F604" s="115"/>
      <c r="G604" s="99"/>
      <c r="H604" s="98"/>
      <c r="I604" s="100"/>
      <c r="J604" s="100"/>
      <c r="K604" s="100"/>
      <c r="L604" s="101"/>
      <c r="M604" s="101"/>
      <c r="N604" s="112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</row>
    <row r="605" spans="1:29" ht="13">
      <c r="A605" s="115"/>
      <c r="B605" s="97"/>
      <c r="C605" s="115"/>
      <c r="D605" s="115"/>
      <c r="E605" s="115"/>
      <c r="F605" s="115"/>
      <c r="G605" s="99"/>
      <c r="H605" s="98"/>
      <c r="I605" s="100"/>
      <c r="J605" s="100"/>
      <c r="K605" s="100"/>
      <c r="L605" s="101"/>
      <c r="M605" s="101"/>
      <c r="N605" s="112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</row>
    <row r="606" spans="1:29" ht="13">
      <c r="A606" s="115"/>
      <c r="B606" s="97"/>
      <c r="C606" s="115"/>
      <c r="D606" s="115"/>
      <c r="E606" s="115"/>
      <c r="F606" s="115"/>
      <c r="G606" s="99"/>
      <c r="H606" s="98"/>
      <c r="I606" s="100"/>
      <c r="J606" s="100"/>
      <c r="K606" s="100"/>
      <c r="L606" s="101"/>
      <c r="M606" s="101"/>
      <c r="N606" s="112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</row>
    <row r="607" spans="1:29" ht="13">
      <c r="A607" s="115"/>
      <c r="B607" s="97"/>
      <c r="C607" s="115"/>
      <c r="D607" s="115"/>
      <c r="E607" s="115"/>
      <c r="F607" s="115"/>
      <c r="G607" s="99"/>
      <c r="H607" s="98"/>
      <c r="I607" s="100"/>
      <c r="J607" s="100"/>
      <c r="K607" s="100"/>
      <c r="L607" s="101"/>
      <c r="M607" s="101"/>
      <c r="N607" s="112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</row>
    <row r="608" spans="1:29" ht="13">
      <c r="A608" s="115"/>
      <c r="B608" s="97"/>
      <c r="C608" s="115"/>
      <c r="D608" s="115"/>
      <c r="E608" s="115"/>
      <c r="F608" s="115"/>
      <c r="G608" s="99"/>
      <c r="H608" s="98"/>
      <c r="I608" s="100"/>
      <c r="J608" s="100"/>
      <c r="K608" s="100"/>
      <c r="L608" s="101"/>
      <c r="M608" s="101"/>
      <c r="N608" s="112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</row>
    <row r="609" spans="1:29" ht="13">
      <c r="A609" s="115"/>
      <c r="B609" s="97"/>
      <c r="C609" s="115"/>
      <c r="D609" s="115"/>
      <c r="E609" s="115"/>
      <c r="F609" s="115"/>
      <c r="G609" s="99"/>
      <c r="H609" s="98"/>
      <c r="I609" s="100"/>
      <c r="J609" s="100"/>
      <c r="K609" s="100"/>
      <c r="L609" s="101"/>
      <c r="M609" s="101"/>
      <c r="N609" s="112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</row>
    <row r="610" spans="1:29" ht="13">
      <c r="A610" s="115"/>
      <c r="B610" s="97"/>
      <c r="C610" s="115"/>
      <c r="D610" s="115"/>
      <c r="E610" s="115"/>
      <c r="F610" s="115"/>
      <c r="G610" s="99"/>
      <c r="H610" s="98"/>
      <c r="I610" s="100"/>
      <c r="J610" s="100"/>
      <c r="K610" s="100"/>
      <c r="L610" s="101"/>
      <c r="M610" s="101"/>
      <c r="N610" s="112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</row>
    <row r="611" spans="1:29" ht="13">
      <c r="A611" s="115"/>
      <c r="B611" s="97"/>
      <c r="C611" s="115"/>
      <c r="D611" s="115"/>
      <c r="E611" s="115"/>
      <c r="F611" s="115"/>
      <c r="G611" s="99"/>
      <c r="H611" s="98"/>
      <c r="I611" s="100"/>
      <c r="J611" s="100"/>
      <c r="K611" s="100"/>
      <c r="L611" s="101"/>
      <c r="M611" s="101"/>
      <c r="N611" s="112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</row>
    <row r="612" spans="1:29" ht="13">
      <c r="A612" s="115"/>
      <c r="B612" s="97"/>
      <c r="C612" s="115"/>
      <c r="D612" s="115"/>
      <c r="E612" s="115"/>
      <c r="F612" s="115"/>
      <c r="G612" s="99"/>
      <c r="H612" s="98"/>
      <c r="I612" s="100"/>
      <c r="J612" s="100"/>
      <c r="K612" s="100"/>
      <c r="L612" s="101"/>
      <c r="M612" s="101"/>
      <c r="N612" s="112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</row>
    <row r="613" spans="1:29" ht="13">
      <c r="A613" s="115"/>
      <c r="B613" s="97"/>
      <c r="C613" s="115"/>
      <c r="D613" s="115"/>
      <c r="E613" s="115"/>
      <c r="F613" s="115"/>
      <c r="G613" s="99"/>
      <c r="H613" s="98"/>
      <c r="I613" s="100"/>
      <c r="J613" s="100"/>
      <c r="K613" s="100"/>
      <c r="L613" s="101"/>
      <c r="M613" s="101"/>
      <c r="N613" s="112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</row>
    <row r="614" spans="1:29" ht="13">
      <c r="A614" s="115"/>
      <c r="B614" s="97"/>
      <c r="C614" s="115"/>
      <c r="D614" s="115"/>
      <c r="E614" s="115"/>
      <c r="F614" s="115"/>
      <c r="G614" s="99"/>
      <c r="H614" s="98"/>
      <c r="I614" s="100"/>
      <c r="J614" s="100"/>
      <c r="K614" s="100"/>
      <c r="L614" s="101"/>
      <c r="M614" s="101"/>
      <c r="N614" s="112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</row>
    <row r="615" spans="1:29" ht="13">
      <c r="A615" s="115"/>
      <c r="B615" s="97"/>
      <c r="C615" s="115"/>
      <c r="D615" s="115"/>
      <c r="E615" s="115"/>
      <c r="F615" s="115"/>
      <c r="G615" s="99"/>
      <c r="H615" s="98"/>
      <c r="I615" s="100"/>
      <c r="J615" s="100"/>
      <c r="K615" s="100"/>
      <c r="L615" s="101"/>
      <c r="M615" s="101"/>
      <c r="N615" s="112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</row>
    <row r="616" spans="1:29" ht="13">
      <c r="A616" s="115"/>
      <c r="B616" s="97"/>
      <c r="C616" s="115"/>
      <c r="D616" s="115"/>
      <c r="E616" s="115"/>
      <c r="F616" s="115"/>
      <c r="G616" s="99"/>
      <c r="H616" s="98"/>
      <c r="I616" s="100"/>
      <c r="J616" s="100"/>
      <c r="K616" s="100"/>
      <c r="L616" s="101"/>
      <c r="M616" s="101"/>
      <c r="N616" s="112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</row>
    <row r="617" spans="1:29" ht="13">
      <c r="A617" s="115"/>
      <c r="B617" s="97"/>
      <c r="C617" s="115"/>
      <c r="D617" s="115"/>
      <c r="E617" s="115"/>
      <c r="F617" s="115"/>
      <c r="G617" s="99"/>
      <c r="H617" s="98"/>
      <c r="I617" s="100"/>
      <c r="J617" s="100"/>
      <c r="K617" s="100"/>
      <c r="L617" s="101"/>
      <c r="M617" s="101"/>
      <c r="N617" s="112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</row>
    <row r="618" spans="1:29" ht="13">
      <c r="A618" s="115"/>
      <c r="B618" s="97"/>
      <c r="C618" s="115"/>
      <c r="D618" s="115"/>
      <c r="E618" s="115"/>
      <c r="F618" s="115"/>
      <c r="G618" s="99"/>
      <c r="H618" s="98"/>
      <c r="I618" s="100"/>
      <c r="J618" s="100"/>
      <c r="K618" s="100"/>
      <c r="L618" s="101"/>
      <c r="M618" s="101"/>
      <c r="N618" s="112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</row>
    <row r="619" spans="1:29" ht="13">
      <c r="A619" s="115"/>
      <c r="B619" s="97"/>
      <c r="C619" s="115"/>
      <c r="D619" s="115"/>
      <c r="E619" s="115"/>
      <c r="F619" s="115"/>
      <c r="G619" s="99"/>
      <c r="H619" s="98"/>
      <c r="I619" s="100"/>
      <c r="J619" s="100"/>
      <c r="K619" s="100"/>
      <c r="L619" s="101"/>
      <c r="M619" s="101"/>
      <c r="N619" s="112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</row>
    <row r="620" spans="1:29" ht="13">
      <c r="A620" s="115"/>
      <c r="B620" s="97"/>
      <c r="C620" s="115"/>
      <c r="D620" s="115"/>
      <c r="E620" s="115"/>
      <c r="F620" s="115"/>
      <c r="G620" s="99"/>
      <c r="H620" s="98"/>
      <c r="I620" s="100"/>
      <c r="J620" s="100"/>
      <c r="K620" s="100"/>
      <c r="L620" s="101"/>
      <c r="M620" s="101"/>
      <c r="N620" s="112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</row>
    <row r="621" spans="1:29" ht="13">
      <c r="A621" s="115"/>
      <c r="B621" s="97"/>
      <c r="C621" s="115"/>
      <c r="D621" s="115"/>
      <c r="E621" s="115"/>
      <c r="F621" s="115"/>
      <c r="G621" s="99"/>
      <c r="H621" s="98"/>
      <c r="I621" s="100"/>
      <c r="J621" s="100"/>
      <c r="K621" s="100"/>
      <c r="L621" s="101"/>
      <c r="M621" s="101"/>
      <c r="N621" s="112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</row>
    <row r="622" spans="1:29" ht="13">
      <c r="A622" s="115"/>
      <c r="B622" s="97"/>
      <c r="C622" s="115"/>
      <c r="D622" s="115"/>
      <c r="E622" s="115"/>
      <c r="F622" s="115"/>
      <c r="G622" s="99"/>
      <c r="H622" s="98"/>
      <c r="I622" s="100"/>
      <c r="J622" s="100"/>
      <c r="K622" s="100"/>
      <c r="L622" s="101"/>
      <c r="M622" s="101"/>
      <c r="N622" s="112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</row>
    <row r="623" spans="1:29" ht="13">
      <c r="A623" s="115"/>
      <c r="B623" s="97"/>
      <c r="C623" s="115"/>
      <c r="D623" s="115"/>
      <c r="E623" s="115"/>
      <c r="F623" s="115"/>
      <c r="G623" s="99"/>
      <c r="H623" s="98"/>
      <c r="I623" s="100"/>
      <c r="J623" s="100"/>
      <c r="K623" s="100"/>
      <c r="L623" s="101"/>
      <c r="M623" s="101"/>
      <c r="N623" s="112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</row>
    <row r="624" spans="1:29" ht="13">
      <c r="A624" s="115"/>
      <c r="B624" s="97"/>
      <c r="C624" s="115"/>
      <c r="D624" s="115"/>
      <c r="E624" s="115"/>
      <c r="F624" s="115"/>
      <c r="G624" s="99"/>
      <c r="H624" s="98"/>
      <c r="I624" s="100"/>
      <c r="J624" s="100"/>
      <c r="K624" s="100"/>
      <c r="L624" s="101"/>
      <c r="M624" s="101"/>
      <c r="N624" s="112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</row>
    <row r="625" spans="1:29" ht="13">
      <c r="A625" s="115"/>
      <c r="B625" s="97"/>
      <c r="C625" s="115"/>
      <c r="D625" s="115"/>
      <c r="E625" s="115"/>
      <c r="F625" s="115"/>
      <c r="G625" s="99"/>
      <c r="H625" s="98"/>
      <c r="I625" s="100"/>
      <c r="J625" s="100"/>
      <c r="K625" s="100"/>
      <c r="L625" s="101"/>
      <c r="M625" s="101"/>
      <c r="N625" s="112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</row>
    <row r="626" spans="1:29" ht="13">
      <c r="A626" s="115"/>
      <c r="B626" s="97"/>
      <c r="C626" s="115"/>
      <c r="D626" s="115"/>
      <c r="E626" s="115"/>
      <c r="F626" s="115"/>
      <c r="G626" s="99"/>
      <c r="H626" s="98"/>
      <c r="I626" s="100"/>
      <c r="J626" s="100"/>
      <c r="K626" s="100"/>
      <c r="L626" s="101"/>
      <c r="M626" s="101"/>
      <c r="N626" s="112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</row>
    <row r="627" spans="1:29" ht="13">
      <c r="A627" s="115"/>
      <c r="B627" s="97"/>
      <c r="C627" s="115"/>
      <c r="D627" s="115"/>
      <c r="E627" s="115"/>
      <c r="F627" s="115"/>
      <c r="G627" s="99"/>
      <c r="H627" s="98"/>
      <c r="I627" s="100"/>
      <c r="J627" s="100"/>
      <c r="K627" s="100"/>
      <c r="L627" s="101"/>
      <c r="M627" s="101"/>
      <c r="N627" s="112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</row>
    <row r="628" spans="1:29" ht="13">
      <c r="A628" s="115"/>
      <c r="B628" s="97"/>
      <c r="C628" s="115"/>
      <c r="D628" s="115"/>
      <c r="E628" s="115"/>
      <c r="F628" s="115"/>
      <c r="G628" s="99"/>
      <c r="H628" s="98"/>
      <c r="I628" s="100"/>
      <c r="J628" s="100"/>
      <c r="K628" s="100"/>
      <c r="L628" s="101"/>
      <c r="M628" s="101"/>
      <c r="N628" s="112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</row>
    <row r="629" spans="1:29" ht="13">
      <c r="A629" s="115"/>
      <c r="B629" s="97"/>
      <c r="C629" s="115"/>
      <c r="D629" s="115"/>
      <c r="E629" s="115"/>
      <c r="F629" s="115"/>
      <c r="G629" s="99"/>
      <c r="H629" s="98"/>
      <c r="I629" s="100"/>
      <c r="J629" s="100"/>
      <c r="K629" s="100"/>
      <c r="L629" s="101"/>
      <c r="M629" s="101"/>
      <c r="N629" s="112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</row>
    <row r="630" spans="1:29" ht="13">
      <c r="A630" s="115"/>
      <c r="B630" s="97"/>
      <c r="C630" s="115"/>
      <c r="D630" s="115"/>
      <c r="E630" s="115"/>
      <c r="F630" s="115"/>
      <c r="G630" s="99"/>
      <c r="H630" s="98"/>
      <c r="I630" s="100"/>
      <c r="J630" s="100"/>
      <c r="K630" s="100"/>
      <c r="L630" s="101"/>
      <c r="M630" s="101"/>
      <c r="N630" s="112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</row>
    <row r="631" spans="1:29" ht="13">
      <c r="A631" s="115"/>
      <c r="B631" s="97"/>
      <c r="C631" s="115"/>
      <c r="D631" s="115"/>
      <c r="E631" s="115"/>
      <c r="F631" s="115"/>
      <c r="G631" s="99"/>
      <c r="H631" s="98"/>
      <c r="I631" s="100"/>
      <c r="J631" s="100"/>
      <c r="K631" s="100"/>
      <c r="L631" s="101"/>
      <c r="M631" s="101"/>
      <c r="N631" s="112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</row>
    <row r="632" spans="1:29" ht="13">
      <c r="A632" s="115"/>
      <c r="B632" s="97"/>
      <c r="C632" s="115"/>
      <c r="D632" s="115"/>
      <c r="E632" s="115"/>
      <c r="F632" s="115"/>
      <c r="G632" s="99"/>
      <c r="H632" s="98"/>
      <c r="I632" s="100"/>
      <c r="J632" s="100"/>
      <c r="K632" s="100"/>
      <c r="L632" s="101"/>
      <c r="M632" s="101"/>
      <c r="N632" s="112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</row>
    <row r="633" spans="1:29" ht="13">
      <c r="A633" s="115"/>
      <c r="B633" s="97"/>
      <c r="C633" s="115"/>
      <c r="D633" s="115"/>
      <c r="E633" s="115"/>
      <c r="F633" s="115"/>
      <c r="G633" s="99"/>
      <c r="H633" s="98"/>
      <c r="I633" s="100"/>
      <c r="J633" s="100"/>
      <c r="K633" s="100"/>
      <c r="L633" s="101"/>
      <c r="M633" s="101"/>
      <c r="N633" s="112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</row>
    <row r="634" spans="1:29" ht="13">
      <c r="A634" s="115"/>
      <c r="B634" s="97"/>
      <c r="C634" s="115"/>
      <c r="D634" s="115"/>
      <c r="E634" s="115"/>
      <c r="F634" s="115"/>
      <c r="G634" s="99"/>
      <c r="H634" s="98"/>
      <c r="I634" s="100"/>
      <c r="J634" s="100"/>
      <c r="K634" s="100"/>
      <c r="L634" s="101"/>
      <c r="M634" s="101"/>
      <c r="N634" s="112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</row>
    <row r="635" spans="1:29" ht="13">
      <c r="A635" s="115"/>
      <c r="B635" s="97"/>
      <c r="C635" s="115"/>
      <c r="D635" s="115"/>
      <c r="E635" s="115"/>
      <c r="F635" s="115"/>
      <c r="G635" s="99"/>
      <c r="H635" s="98"/>
      <c r="I635" s="100"/>
      <c r="J635" s="100"/>
      <c r="K635" s="100"/>
      <c r="L635" s="101"/>
      <c r="M635" s="101"/>
      <c r="N635" s="112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</row>
    <row r="636" spans="1:29" ht="13">
      <c r="A636" s="115"/>
      <c r="B636" s="97"/>
      <c r="C636" s="115"/>
      <c r="D636" s="115"/>
      <c r="E636" s="115"/>
      <c r="F636" s="115"/>
      <c r="G636" s="99"/>
      <c r="H636" s="98"/>
      <c r="I636" s="100"/>
      <c r="J636" s="100"/>
      <c r="K636" s="100"/>
      <c r="L636" s="101"/>
      <c r="M636" s="101"/>
      <c r="N636" s="112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</row>
    <row r="637" spans="1:29" ht="13">
      <c r="A637" s="115"/>
      <c r="B637" s="97"/>
      <c r="C637" s="115"/>
      <c r="D637" s="115"/>
      <c r="E637" s="115"/>
      <c r="F637" s="115"/>
      <c r="G637" s="99"/>
      <c r="H637" s="98"/>
      <c r="I637" s="100"/>
      <c r="J637" s="100"/>
      <c r="K637" s="100"/>
      <c r="L637" s="101"/>
      <c r="M637" s="101"/>
      <c r="N637" s="112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</row>
    <row r="638" spans="1:29" ht="13">
      <c r="A638" s="115"/>
      <c r="B638" s="97"/>
      <c r="C638" s="115"/>
      <c r="D638" s="115"/>
      <c r="E638" s="115"/>
      <c r="F638" s="115"/>
      <c r="G638" s="99"/>
      <c r="H638" s="98"/>
      <c r="I638" s="100"/>
      <c r="J638" s="100"/>
      <c r="K638" s="100"/>
      <c r="L638" s="101"/>
      <c r="M638" s="101"/>
      <c r="N638" s="112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</row>
    <row r="639" spans="1:29" ht="13">
      <c r="A639" s="115"/>
      <c r="B639" s="97"/>
      <c r="C639" s="115"/>
      <c r="D639" s="115"/>
      <c r="E639" s="115"/>
      <c r="F639" s="115"/>
      <c r="G639" s="99"/>
      <c r="H639" s="98"/>
      <c r="I639" s="100"/>
      <c r="J639" s="100"/>
      <c r="K639" s="100"/>
      <c r="L639" s="101"/>
      <c r="M639" s="101"/>
      <c r="N639" s="112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</row>
    <row r="640" spans="1:29" ht="13">
      <c r="A640" s="115"/>
      <c r="B640" s="97"/>
      <c r="C640" s="115"/>
      <c r="D640" s="115"/>
      <c r="E640" s="115"/>
      <c r="F640" s="115"/>
      <c r="G640" s="99"/>
      <c r="H640" s="98"/>
      <c r="I640" s="100"/>
      <c r="J640" s="100"/>
      <c r="K640" s="100"/>
      <c r="L640" s="101"/>
      <c r="M640" s="101"/>
      <c r="N640" s="112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</row>
    <row r="641" spans="1:29" ht="13">
      <c r="A641" s="115"/>
      <c r="B641" s="97"/>
      <c r="C641" s="115"/>
      <c r="D641" s="115"/>
      <c r="E641" s="115"/>
      <c r="F641" s="115"/>
      <c r="G641" s="99"/>
      <c r="H641" s="98"/>
      <c r="I641" s="100"/>
      <c r="J641" s="100"/>
      <c r="K641" s="100"/>
      <c r="L641" s="101"/>
      <c r="M641" s="101"/>
      <c r="N641" s="112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</row>
    <row r="642" spans="1:29" ht="13">
      <c r="A642" s="115"/>
      <c r="B642" s="97"/>
      <c r="C642" s="115"/>
      <c r="D642" s="115"/>
      <c r="E642" s="115"/>
      <c r="F642" s="115"/>
      <c r="G642" s="99"/>
      <c r="H642" s="98"/>
      <c r="I642" s="100"/>
      <c r="J642" s="100"/>
      <c r="K642" s="100"/>
      <c r="L642" s="101"/>
      <c r="M642" s="101"/>
      <c r="N642" s="112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</row>
    <row r="643" spans="1:29" ht="13">
      <c r="A643" s="115"/>
      <c r="B643" s="97"/>
      <c r="C643" s="115"/>
      <c r="D643" s="115"/>
      <c r="E643" s="115"/>
      <c r="F643" s="115"/>
      <c r="G643" s="99"/>
      <c r="H643" s="98"/>
      <c r="I643" s="100"/>
      <c r="J643" s="100"/>
      <c r="K643" s="100"/>
      <c r="L643" s="101"/>
      <c r="M643" s="101"/>
      <c r="N643" s="112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</row>
    <row r="644" spans="1:29" ht="13">
      <c r="A644" s="115"/>
      <c r="B644" s="97"/>
      <c r="C644" s="115"/>
      <c r="D644" s="115"/>
      <c r="E644" s="115"/>
      <c r="F644" s="115"/>
      <c r="G644" s="99"/>
      <c r="H644" s="98"/>
      <c r="I644" s="100"/>
      <c r="J644" s="100"/>
      <c r="K644" s="100"/>
      <c r="L644" s="101"/>
      <c r="M644" s="101"/>
      <c r="N644" s="112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</row>
    <row r="645" spans="1:29" ht="13">
      <c r="A645" s="115"/>
      <c r="B645" s="97"/>
      <c r="C645" s="115"/>
      <c r="D645" s="115"/>
      <c r="E645" s="115"/>
      <c r="F645" s="115"/>
      <c r="G645" s="99"/>
      <c r="H645" s="98"/>
      <c r="I645" s="100"/>
      <c r="J645" s="100"/>
      <c r="K645" s="100"/>
      <c r="L645" s="101"/>
      <c r="M645" s="101"/>
      <c r="N645" s="112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</row>
    <row r="646" spans="1:29" ht="13">
      <c r="A646" s="115"/>
      <c r="B646" s="97"/>
      <c r="C646" s="115"/>
      <c r="D646" s="115"/>
      <c r="E646" s="115"/>
      <c r="F646" s="115"/>
      <c r="G646" s="99"/>
      <c r="H646" s="98"/>
      <c r="I646" s="100"/>
      <c r="J646" s="100"/>
      <c r="K646" s="100"/>
      <c r="L646" s="101"/>
      <c r="M646" s="101"/>
      <c r="N646" s="112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</row>
    <row r="647" spans="1:29" ht="13">
      <c r="A647" s="115"/>
      <c r="B647" s="97"/>
      <c r="C647" s="115"/>
      <c r="D647" s="115"/>
      <c r="E647" s="115"/>
      <c r="F647" s="115"/>
      <c r="G647" s="99"/>
      <c r="H647" s="98"/>
      <c r="I647" s="100"/>
      <c r="J647" s="100"/>
      <c r="K647" s="100"/>
      <c r="L647" s="101"/>
      <c r="M647" s="101"/>
      <c r="N647" s="112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</row>
    <row r="648" spans="1:29" ht="13">
      <c r="A648" s="115"/>
      <c r="B648" s="97"/>
      <c r="C648" s="115"/>
      <c r="D648" s="115"/>
      <c r="E648" s="115"/>
      <c r="F648" s="115"/>
      <c r="G648" s="99"/>
      <c r="H648" s="98"/>
      <c r="I648" s="100"/>
      <c r="J648" s="100"/>
      <c r="K648" s="100"/>
      <c r="L648" s="101"/>
      <c r="M648" s="101"/>
      <c r="N648" s="112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</row>
    <row r="649" spans="1:29" ht="13">
      <c r="A649" s="115"/>
      <c r="B649" s="97"/>
      <c r="C649" s="115"/>
      <c r="D649" s="115"/>
      <c r="E649" s="115"/>
      <c r="F649" s="115"/>
      <c r="G649" s="99"/>
      <c r="H649" s="98"/>
      <c r="I649" s="100"/>
      <c r="J649" s="100"/>
      <c r="K649" s="100"/>
      <c r="L649" s="101"/>
      <c r="M649" s="101"/>
      <c r="N649" s="112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</row>
    <row r="650" spans="1:29" ht="13">
      <c r="A650" s="115"/>
      <c r="B650" s="97"/>
      <c r="C650" s="115"/>
      <c r="D650" s="115"/>
      <c r="E650" s="115"/>
      <c r="F650" s="115"/>
      <c r="G650" s="99"/>
      <c r="H650" s="98"/>
      <c r="I650" s="100"/>
      <c r="J650" s="100"/>
      <c r="K650" s="100"/>
      <c r="L650" s="101"/>
      <c r="M650" s="101"/>
      <c r="N650" s="112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</row>
    <row r="651" spans="1:29" ht="13">
      <c r="A651" s="115"/>
      <c r="B651" s="97"/>
      <c r="C651" s="115"/>
      <c r="D651" s="115"/>
      <c r="E651" s="115"/>
      <c r="F651" s="115"/>
      <c r="G651" s="99"/>
      <c r="H651" s="98"/>
      <c r="I651" s="100"/>
      <c r="J651" s="100"/>
      <c r="K651" s="100"/>
      <c r="L651" s="101"/>
      <c r="M651" s="101"/>
      <c r="N651" s="112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</row>
    <row r="652" spans="1:29" ht="13">
      <c r="A652" s="115"/>
      <c r="B652" s="97"/>
      <c r="C652" s="115"/>
      <c r="D652" s="115"/>
      <c r="E652" s="115"/>
      <c r="F652" s="115"/>
      <c r="G652" s="99"/>
      <c r="H652" s="98"/>
      <c r="I652" s="100"/>
      <c r="J652" s="100"/>
      <c r="K652" s="100"/>
      <c r="L652" s="101"/>
      <c r="M652" s="101"/>
      <c r="N652" s="112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</row>
    <row r="653" spans="1:29" ht="13">
      <c r="A653" s="115"/>
      <c r="B653" s="97"/>
      <c r="C653" s="115"/>
      <c r="D653" s="115"/>
      <c r="E653" s="115"/>
      <c r="F653" s="115"/>
      <c r="G653" s="99"/>
      <c r="H653" s="98"/>
      <c r="I653" s="100"/>
      <c r="J653" s="100"/>
      <c r="K653" s="100"/>
      <c r="L653" s="101"/>
      <c r="M653" s="101"/>
      <c r="N653" s="112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</row>
    <row r="654" spans="1:29" ht="13">
      <c r="A654" s="115"/>
      <c r="B654" s="97"/>
      <c r="C654" s="115"/>
      <c r="D654" s="115"/>
      <c r="E654" s="115"/>
      <c r="F654" s="115"/>
      <c r="G654" s="99"/>
      <c r="H654" s="98"/>
      <c r="I654" s="100"/>
      <c r="J654" s="100"/>
      <c r="K654" s="100"/>
      <c r="L654" s="101"/>
      <c r="M654" s="101"/>
      <c r="N654" s="112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</row>
    <row r="655" spans="1:29" ht="13">
      <c r="A655" s="115"/>
      <c r="B655" s="97"/>
      <c r="C655" s="115"/>
      <c r="D655" s="115"/>
      <c r="E655" s="115"/>
      <c r="F655" s="115"/>
      <c r="G655" s="99"/>
      <c r="H655" s="98"/>
      <c r="I655" s="100"/>
      <c r="J655" s="100"/>
      <c r="K655" s="100"/>
      <c r="L655" s="101"/>
      <c r="M655" s="101"/>
      <c r="N655" s="112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</row>
    <row r="656" spans="1:29" ht="13">
      <c r="A656" s="115"/>
      <c r="B656" s="97"/>
      <c r="C656" s="115"/>
      <c r="D656" s="115"/>
      <c r="E656" s="115"/>
      <c r="F656" s="115"/>
      <c r="G656" s="99"/>
      <c r="H656" s="98"/>
      <c r="I656" s="100"/>
      <c r="J656" s="100"/>
      <c r="K656" s="100"/>
      <c r="L656" s="101"/>
      <c r="M656" s="101"/>
      <c r="N656" s="112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</row>
    <row r="657" spans="1:29" ht="13">
      <c r="A657" s="115"/>
      <c r="B657" s="97"/>
      <c r="C657" s="115"/>
      <c r="D657" s="115"/>
      <c r="E657" s="115"/>
      <c r="F657" s="115"/>
      <c r="G657" s="99"/>
      <c r="H657" s="98"/>
      <c r="I657" s="100"/>
      <c r="J657" s="100"/>
      <c r="K657" s="100"/>
      <c r="L657" s="101"/>
      <c r="M657" s="101"/>
      <c r="N657" s="112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</row>
    <row r="658" spans="1:29" ht="13">
      <c r="A658" s="115"/>
      <c r="B658" s="97"/>
      <c r="C658" s="115"/>
      <c r="D658" s="115"/>
      <c r="E658" s="115"/>
      <c r="F658" s="115"/>
      <c r="G658" s="99"/>
      <c r="H658" s="98"/>
      <c r="I658" s="100"/>
      <c r="J658" s="100"/>
      <c r="K658" s="100"/>
      <c r="L658" s="101"/>
      <c r="M658" s="101"/>
      <c r="N658" s="112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</row>
    <row r="659" spans="1:29" ht="13">
      <c r="A659" s="115"/>
      <c r="B659" s="97"/>
      <c r="C659" s="115"/>
      <c r="D659" s="115"/>
      <c r="E659" s="115"/>
      <c r="F659" s="115"/>
      <c r="G659" s="99"/>
      <c r="H659" s="98"/>
      <c r="I659" s="100"/>
      <c r="J659" s="100"/>
      <c r="K659" s="100"/>
      <c r="L659" s="101"/>
      <c r="M659" s="101"/>
      <c r="N659" s="112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</row>
    <row r="660" spans="1:29" ht="13">
      <c r="A660" s="115"/>
      <c r="B660" s="97"/>
      <c r="C660" s="115"/>
      <c r="D660" s="115"/>
      <c r="E660" s="115"/>
      <c r="F660" s="115"/>
      <c r="G660" s="99"/>
      <c r="H660" s="98"/>
      <c r="I660" s="100"/>
      <c r="J660" s="100"/>
      <c r="K660" s="100"/>
      <c r="L660" s="101"/>
      <c r="M660" s="101"/>
      <c r="N660" s="112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</row>
    <row r="661" spans="1:29" ht="13">
      <c r="A661" s="115"/>
      <c r="B661" s="97"/>
      <c r="C661" s="115"/>
      <c r="D661" s="115"/>
      <c r="E661" s="115"/>
      <c r="F661" s="115"/>
      <c r="G661" s="99"/>
      <c r="H661" s="98"/>
      <c r="I661" s="100"/>
      <c r="J661" s="100"/>
      <c r="K661" s="100"/>
      <c r="L661" s="101"/>
      <c r="M661" s="101"/>
      <c r="N661" s="112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</row>
    <row r="662" spans="1:29" ht="13">
      <c r="A662" s="115"/>
      <c r="B662" s="97"/>
      <c r="C662" s="115"/>
      <c r="D662" s="115"/>
      <c r="E662" s="115"/>
      <c r="F662" s="115"/>
      <c r="G662" s="99"/>
      <c r="H662" s="98"/>
      <c r="I662" s="100"/>
      <c r="J662" s="100"/>
      <c r="K662" s="100"/>
      <c r="L662" s="101"/>
      <c r="M662" s="101"/>
      <c r="N662" s="112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</row>
    <row r="663" spans="1:29" ht="13">
      <c r="A663" s="115"/>
      <c r="B663" s="97"/>
      <c r="C663" s="115"/>
      <c r="D663" s="115"/>
      <c r="E663" s="115"/>
      <c r="F663" s="115"/>
      <c r="G663" s="99"/>
      <c r="H663" s="98"/>
      <c r="I663" s="100"/>
      <c r="J663" s="100"/>
      <c r="K663" s="100"/>
      <c r="L663" s="101"/>
      <c r="M663" s="101"/>
      <c r="N663" s="112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</row>
    <row r="664" spans="1:29" ht="13">
      <c r="A664" s="115"/>
      <c r="B664" s="97"/>
      <c r="C664" s="115"/>
      <c r="D664" s="115"/>
      <c r="E664" s="115"/>
      <c r="F664" s="115"/>
      <c r="G664" s="99"/>
      <c r="H664" s="98"/>
      <c r="I664" s="100"/>
      <c r="J664" s="100"/>
      <c r="K664" s="100"/>
      <c r="L664" s="101"/>
      <c r="M664" s="101"/>
      <c r="N664" s="112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</row>
    <row r="665" spans="1:29" ht="13">
      <c r="A665" s="115"/>
      <c r="B665" s="97"/>
      <c r="C665" s="115"/>
      <c r="D665" s="115"/>
      <c r="E665" s="115"/>
      <c r="F665" s="115"/>
      <c r="G665" s="99"/>
      <c r="H665" s="98"/>
      <c r="I665" s="100"/>
      <c r="J665" s="100"/>
      <c r="K665" s="100"/>
      <c r="L665" s="101"/>
      <c r="M665" s="101"/>
      <c r="N665" s="112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</row>
    <row r="666" spans="1:29" ht="13">
      <c r="A666" s="115"/>
      <c r="B666" s="97"/>
      <c r="C666" s="115"/>
      <c r="D666" s="115"/>
      <c r="E666" s="115"/>
      <c r="F666" s="115"/>
      <c r="G666" s="99"/>
      <c r="H666" s="98"/>
      <c r="I666" s="100"/>
      <c r="J666" s="100"/>
      <c r="K666" s="100"/>
      <c r="L666" s="101"/>
      <c r="M666" s="101"/>
      <c r="N666" s="112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</row>
    <row r="667" spans="1:29" ht="13">
      <c r="A667" s="115"/>
      <c r="B667" s="97"/>
      <c r="C667" s="115"/>
      <c r="D667" s="115"/>
      <c r="E667" s="115"/>
      <c r="F667" s="115"/>
      <c r="G667" s="99"/>
      <c r="H667" s="98"/>
      <c r="I667" s="100"/>
      <c r="J667" s="100"/>
      <c r="K667" s="100"/>
      <c r="L667" s="101"/>
      <c r="M667" s="101"/>
      <c r="N667" s="112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</row>
    <row r="668" spans="1:29" ht="13">
      <c r="A668" s="115"/>
      <c r="B668" s="97"/>
      <c r="C668" s="115"/>
      <c r="D668" s="115"/>
      <c r="E668" s="115"/>
      <c r="F668" s="115"/>
      <c r="G668" s="99"/>
      <c r="H668" s="98"/>
      <c r="I668" s="100"/>
      <c r="J668" s="100"/>
      <c r="K668" s="100"/>
      <c r="L668" s="101"/>
      <c r="M668" s="101"/>
      <c r="N668" s="112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</row>
    <row r="669" spans="1:29" ht="13">
      <c r="A669" s="115"/>
      <c r="B669" s="97"/>
      <c r="C669" s="115"/>
      <c r="D669" s="115"/>
      <c r="E669" s="115"/>
      <c r="F669" s="115"/>
      <c r="G669" s="99"/>
      <c r="H669" s="98"/>
      <c r="I669" s="100"/>
      <c r="J669" s="100"/>
      <c r="K669" s="100"/>
      <c r="L669" s="101"/>
      <c r="M669" s="101"/>
      <c r="N669" s="112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</row>
    <row r="670" spans="1:29" ht="13">
      <c r="A670" s="115"/>
      <c r="B670" s="97"/>
      <c r="C670" s="115"/>
      <c r="D670" s="115"/>
      <c r="E670" s="115"/>
      <c r="F670" s="115"/>
      <c r="G670" s="99"/>
      <c r="H670" s="98"/>
      <c r="I670" s="100"/>
      <c r="J670" s="100"/>
      <c r="K670" s="100"/>
      <c r="L670" s="101"/>
      <c r="M670" s="101"/>
      <c r="N670" s="112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</row>
    <row r="671" spans="1:29" ht="13">
      <c r="A671" s="115"/>
      <c r="B671" s="97"/>
      <c r="C671" s="115"/>
      <c r="D671" s="115"/>
      <c r="E671" s="115"/>
      <c r="F671" s="115"/>
      <c r="G671" s="99"/>
      <c r="H671" s="98"/>
      <c r="I671" s="100"/>
      <c r="J671" s="100"/>
      <c r="K671" s="100"/>
      <c r="L671" s="101"/>
      <c r="M671" s="101"/>
      <c r="N671" s="112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</row>
    <row r="672" spans="1:29" ht="13">
      <c r="A672" s="115"/>
      <c r="B672" s="97"/>
      <c r="C672" s="115"/>
      <c r="D672" s="115"/>
      <c r="E672" s="115"/>
      <c r="F672" s="115"/>
      <c r="G672" s="99"/>
      <c r="H672" s="98"/>
      <c r="I672" s="100"/>
      <c r="J672" s="100"/>
      <c r="K672" s="100"/>
      <c r="L672" s="101"/>
      <c r="M672" s="101"/>
      <c r="N672" s="112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</row>
    <row r="673" spans="1:29" ht="13">
      <c r="A673" s="115"/>
      <c r="B673" s="97"/>
      <c r="C673" s="115"/>
      <c r="D673" s="115"/>
      <c r="E673" s="115"/>
      <c r="F673" s="115"/>
      <c r="G673" s="99"/>
      <c r="H673" s="98"/>
      <c r="I673" s="100"/>
      <c r="J673" s="100"/>
      <c r="K673" s="100"/>
      <c r="L673" s="101"/>
      <c r="M673" s="101"/>
      <c r="N673" s="112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</row>
    <row r="674" spans="1:29" ht="13">
      <c r="A674" s="115"/>
      <c r="B674" s="97"/>
      <c r="C674" s="115"/>
      <c r="D674" s="115"/>
      <c r="E674" s="115"/>
      <c r="F674" s="115"/>
      <c r="G674" s="99"/>
      <c r="H674" s="98"/>
      <c r="I674" s="100"/>
      <c r="J674" s="100"/>
      <c r="K674" s="100"/>
      <c r="L674" s="101"/>
      <c r="M674" s="101"/>
      <c r="N674" s="112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</row>
    <row r="675" spans="1:29" ht="13">
      <c r="A675" s="115"/>
      <c r="B675" s="97"/>
      <c r="C675" s="115"/>
      <c r="D675" s="115"/>
      <c r="E675" s="115"/>
      <c r="F675" s="115"/>
      <c r="G675" s="99"/>
      <c r="H675" s="98"/>
      <c r="I675" s="100"/>
      <c r="J675" s="100"/>
      <c r="K675" s="100"/>
      <c r="L675" s="101"/>
      <c r="M675" s="101"/>
      <c r="N675" s="112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</row>
    <row r="676" spans="1:29" ht="13">
      <c r="A676" s="115"/>
      <c r="B676" s="97"/>
      <c r="C676" s="115"/>
      <c r="D676" s="115"/>
      <c r="E676" s="115"/>
      <c r="F676" s="115"/>
      <c r="G676" s="99"/>
      <c r="H676" s="98"/>
      <c r="I676" s="100"/>
      <c r="J676" s="100"/>
      <c r="K676" s="100"/>
      <c r="L676" s="101"/>
      <c r="M676" s="101"/>
      <c r="N676" s="112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</row>
    <row r="677" spans="1:29" ht="13">
      <c r="A677" s="115"/>
      <c r="B677" s="97"/>
      <c r="C677" s="115"/>
      <c r="D677" s="115"/>
      <c r="E677" s="115"/>
      <c r="F677" s="115"/>
      <c r="G677" s="99"/>
      <c r="H677" s="98"/>
      <c r="I677" s="100"/>
      <c r="J677" s="100"/>
      <c r="K677" s="100"/>
      <c r="L677" s="101"/>
      <c r="M677" s="101"/>
      <c r="N677" s="112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</row>
    <row r="678" spans="1:29" ht="13">
      <c r="A678" s="115"/>
      <c r="B678" s="97"/>
      <c r="C678" s="115"/>
      <c r="D678" s="115"/>
      <c r="E678" s="115"/>
      <c r="F678" s="115"/>
      <c r="G678" s="99"/>
      <c r="H678" s="98"/>
      <c r="I678" s="100"/>
      <c r="J678" s="100"/>
      <c r="K678" s="100"/>
      <c r="L678" s="101"/>
      <c r="M678" s="101"/>
      <c r="N678" s="112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</row>
    <row r="679" spans="1:29" ht="13">
      <c r="A679" s="115"/>
      <c r="B679" s="97"/>
      <c r="C679" s="115"/>
      <c r="D679" s="115"/>
      <c r="E679" s="115"/>
      <c r="F679" s="115"/>
      <c r="G679" s="99"/>
      <c r="H679" s="98"/>
      <c r="I679" s="100"/>
      <c r="J679" s="100"/>
      <c r="K679" s="100"/>
      <c r="L679" s="101"/>
      <c r="M679" s="101"/>
      <c r="N679" s="112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</row>
    <row r="680" spans="1:29" ht="13">
      <c r="A680" s="115"/>
      <c r="B680" s="97"/>
      <c r="C680" s="115"/>
      <c r="D680" s="115"/>
      <c r="E680" s="115"/>
      <c r="F680" s="115"/>
      <c r="G680" s="99"/>
      <c r="H680" s="98"/>
      <c r="I680" s="100"/>
      <c r="J680" s="100"/>
      <c r="K680" s="100"/>
      <c r="L680" s="101"/>
      <c r="M680" s="101"/>
      <c r="N680" s="112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</row>
    <row r="681" spans="1:29" ht="13">
      <c r="A681" s="115"/>
      <c r="B681" s="97"/>
      <c r="C681" s="115"/>
      <c r="D681" s="115"/>
      <c r="E681" s="115"/>
      <c r="F681" s="115"/>
      <c r="G681" s="99"/>
      <c r="H681" s="98"/>
      <c r="I681" s="100"/>
      <c r="J681" s="100"/>
      <c r="K681" s="100"/>
      <c r="L681" s="101"/>
      <c r="M681" s="101"/>
      <c r="N681" s="112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</row>
    <row r="682" spans="1:29" ht="13">
      <c r="A682" s="115"/>
      <c r="B682" s="97"/>
      <c r="C682" s="115"/>
      <c r="D682" s="115"/>
      <c r="E682" s="115"/>
      <c r="F682" s="115"/>
      <c r="G682" s="99"/>
      <c r="H682" s="98"/>
      <c r="I682" s="100"/>
      <c r="J682" s="100"/>
      <c r="K682" s="100"/>
      <c r="L682" s="101"/>
      <c r="M682" s="101"/>
      <c r="N682" s="112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</row>
    <row r="683" spans="1:29" ht="13">
      <c r="A683" s="115"/>
      <c r="B683" s="97"/>
      <c r="C683" s="115"/>
      <c r="D683" s="115"/>
      <c r="E683" s="115"/>
      <c r="F683" s="115"/>
      <c r="G683" s="99"/>
      <c r="H683" s="98"/>
      <c r="I683" s="100"/>
      <c r="J683" s="100"/>
      <c r="K683" s="100"/>
      <c r="L683" s="101"/>
      <c r="M683" s="101"/>
      <c r="N683" s="112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</row>
    <row r="684" spans="1:29" ht="13">
      <c r="A684" s="115"/>
      <c r="B684" s="97"/>
      <c r="C684" s="115"/>
      <c r="D684" s="115"/>
      <c r="E684" s="115"/>
      <c r="F684" s="115"/>
      <c r="G684" s="99"/>
      <c r="H684" s="98"/>
      <c r="I684" s="100"/>
      <c r="J684" s="100"/>
      <c r="K684" s="100"/>
      <c r="L684" s="101"/>
      <c r="M684" s="101"/>
      <c r="N684" s="112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</row>
    <row r="685" spans="1:29" ht="13">
      <c r="A685" s="115"/>
      <c r="B685" s="97"/>
      <c r="C685" s="115"/>
      <c r="D685" s="115"/>
      <c r="E685" s="115"/>
      <c r="F685" s="115"/>
      <c r="G685" s="99"/>
      <c r="H685" s="98"/>
      <c r="I685" s="100"/>
      <c r="J685" s="100"/>
      <c r="K685" s="100"/>
      <c r="L685" s="101"/>
      <c r="M685" s="101"/>
      <c r="N685" s="112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</row>
    <row r="686" spans="1:29" ht="13">
      <c r="A686" s="115"/>
      <c r="B686" s="97"/>
      <c r="C686" s="115"/>
      <c r="D686" s="115"/>
      <c r="E686" s="115"/>
      <c r="F686" s="115"/>
      <c r="G686" s="99"/>
      <c r="H686" s="98"/>
      <c r="I686" s="100"/>
      <c r="J686" s="100"/>
      <c r="K686" s="100"/>
      <c r="L686" s="101"/>
      <c r="M686" s="101"/>
      <c r="N686" s="112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</row>
    <row r="687" spans="1:29" ht="13">
      <c r="A687" s="115"/>
      <c r="B687" s="97"/>
      <c r="C687" s="115"/>
      <c r="D687" s="115"/>
      <c r="E687" s="115"/>
      <c r="F687" s="115"/>
      <c r="G687" s="99"/>
      <c r="H687" s="98"/>
      <c r="I687" s="100"/>
      <c r="J687" s="100"/>
      <c r="K687" s="100"/>
      <c r="L687" s="101"/>
      <c r="M687" s="101"/>
      <c r="N687" s="112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</row>
    <row r="688" spans="1:29" ht="13">
      <c r="A688" s="115"/>
      <c r="B688" s="97"/>
      <c r="C688" s="115"/>
      <c r="D688" s="115"/>
      <c r="E688" s="115"/>
      <c r="F688" s="115"/>
      <c r="G688" s="99"/>
      <c r="H688" s="98"/>
      <c r="I688" s="100"/>
      <c r="J688" s="100"/>
      <c r="K688" s="100"/>
      <c r="L688" s="101"/>
      <c r="M688" s="101"/>
      <c r="N688" s="112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</row>
    <row r="689" spans="1:29" ht="13">
      <c r="A689" s="115"/>
      <c r="B689" s="97"/>
      <c r="C689" s="115"/>
      <c r="D689" s="115"/>
      <c r="E689" s="115"/>
      <c r="F689" s="115"/>
      <c r="G689" s="99"/>
      <c r="H689" s="98"/>
      <c r="I689" s="100"/>
      <c r="J689" s="100"/>
      <c r="K689" s="100"/>
      <c r="L689" s="101"/>
      <c r="M689" s="101"/>
      <c r="N689" s="112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</row>
    <row r="690" spans="1:29" ht="13">
      <c r="A690" s="115"/>
      <c r="B690" s="97"/>
      <c r="C690" s="115"/>
      <c r="D690" s="115"/>
      <c r="E690" s="115"/>
      <c r="F690" s="115"/>
      <c r="G690" s="99"/>
      <c r="H690" s="98"/>
      <c r="I690" s="100"/>
      <c r="J690" s="100"/>
      <c r="K690" s="100"/>
      <c r="L690" s="101"/>
      <c r="M690" s="101"/>
      <c r="N690" s="112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</row>
    <row r="691" spans="1:29" ht="13">
      <c r="A691" s="115"/>
      <c r="B691" s="97"/>
      <c r="C691" s="115"/>
      <c r="D691" s="115"/>
      <c r="E691" s="115"/>
      <c r="F691" s="115"/>
      <c r="G691" s="99"/>
      <c r="H691" s="98"/>
      <c r="I691" s="100"/>
      <c r="J691" s="100"/>
      <c r="K691" s="100"/>
      <c r="L691" s="101"/>
      <c r="M691" s="101"/>
      <c r="N691" s="112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</row>
    <row r="692" spans="1:29" ht="13">
      <c r="A692" s="115"/>
      <c r="B692" s="97"/>
      <c r="C692" s="115"/>
      <c r="D692" s="115"/>
      <c r="E692" s="115"/>
      <c r="F692" s="115"/>
      <c r="G692" s="99"/>
      <c r="H692" s="98"/>
      <c r="I692" s="100"/>
      <c r="J692" s="100"/>
      <c r="K692" s="100"/>
      <c r="L692" s="101"/>
      <c r="M692" s="101"/>
      <c r="N692" s="112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</row>
    <row r="693" spans="1:29" ht="13">
      <c r="A693" s="115"/>
      <c r="B693" s="97"/>
      <c r="C693" s="115"/>
      <c r="D693" s="115"/>
      <c r="E693" s="115"/>
      <c r="F693" s="115"/>
      <c r="G693" s="99"/>
      <c r="H693" s="98"/>
      <c r="I693" s="100"/>
      <c r="J693" s="100"/>
      <c r="K693" s="100"/>
      <c r="L693" s="101"/>
      <c r="M693" s="101"/>
      <c r="N693" s="112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</row>
    <row r="694" spans="1:29" ht="13">
      <c r="A694" s="115"/>
      <c r="B694" s="97"/>
      <c r="C694" s="115"/>
      <c r="D694" s="115"/>
      <c r="E694" s="115"/>
      <c r="F694" s="115"/>
      <c r="G694" s="99"/>
      <c r="H694" s="98"/>
      <c r="I694" s="100"/>
      <c r="J694" s="100"/>
      <c r="K694" s="100"/>
      <c r="L694" s="101"/>
      <c r="M694" s="101"/>
      <c r="N694" s="112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</row>
    <row r="695" spans="1:29" ht="13">
      <c r="A695" s="115"/>
      <c r="B695" s="97"/>
      <c r="C695" s="115"/>
      <c r="D695" s="115"/>
      <c r="E695" s="115"/>
      <c r="F695" s="115"/>
      <c r="G695" s="99"/>
      <c r="H695" s="98"/>
      <c r="I695" s="100"/>
      <c r="J695" s="100"/>
      <c r="K695" s="100"/>
      <c r="L695" s="101"/>
      <c r="M695" s="101"/>
      <c r="N695" s="112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</row>
    <row r="696" spans="1:29" ht="13">
      <c r="A696" s="115"/>
      <c r="B696" s="97"/>
      <c r="C696" s="115"/>
      <c r="D696" s="115"/>
      <c r="E696" s="115"/>
      <c r="F696" s="115"/>
      <c r="G696" s="99"/>
      <c r="H696" s="98"/>
      <c r="I696" s="100"/>
      <c r="J696" s="100"/>
      <c r="K696" s="100"/>
      <c r="L696" s="101"/>
      <c r="M696" s="101"/>
      <c r="N696" s="112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</row>
    <row r="697" spans="1:29" ht="13">
      <c r="A697" s="115"/>
      <c r="B697" s="97"/>
      <c r="C697" s="115"/>
      <c r="D697" s="115"/>
      <c r="E697" s="115"/>
      <c r="F697" s="115"/>
      <c r="G697" s="99"/>
      <c r="H697" s="98"/>
      <c r="I697" s="100"/>
      <c r="J697" s="100"/>
      <c r="K697" s="100"/>
      <c r="L697" s="101"/>
      <c r="M697" s="101"/>
      <c r="N697" s="112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</row>
    <row r="698" spans="1:29" ht="13">
      <c r="A698" s="115"/>
      <c r="B698" s="97"/>
      <c r="C698" s="115"/>
      <c r="D698" s="115"/>
      <c r="E698" s="115"/>
      <c r="F698" s="115"/>
      <c r="G698" s="99"/>
      <c r="H698" s="98"/>
      <c r="I698" s="100"/>
      <c r="J698" s="100"/>
      <c r="K698" s="100"/>
      <c r="L698" s="101"/>
      <c r="M698" s="101"/>
      <c r="N698" s="112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</row>
    <row r="699" spans="1:29" ht="13">
      <c r="A699" s="115"/>
      <c r="B699" s="97"/>
      <c r="C699" s="115"/>
      <c r="D699" s="115"/>
      <c r="E699" s="115"/>
      <c r="F699" s="115"/>
      <c r="G699" s="99"/>
      <c r="H699" s="98"/>
      <c r="I699" s="100"/>
      <c r="J699" s="100"/>
      <c r="K699" s="100"/>
      <c r="L699" s="101"/>
      <c r="M699" s="101"/>
      <c r="N699" s="112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</row>
    <row r="700" spans="1:29" ht="13">
      <c r="A700" s="115"/>
      <c r="B700" s="97"/>
      <c r="C700" s="115"/>
      <c r="D700" s="115"/>
      <c r="E700" s="115"/>
      <c r="F700" s="115"/>
      <c r="G700" s="99"/>
      <c r="H700" s="98"/>
      <c r="I700" s="100"/>
      <c r="J700" s="100"/>
      <c r="K700" s="100"/>
      <c r="L700" s="101"/>
      <c r="M700" s="101"/>
      <c r="N700" s="112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</row>
    <row r="701" spans="1:29" ht="13">
      <c r="A701" s="115"/>
      <c r="B701" s="97"/>
      <c r="C701" s="115"/>
      <c r="D701" s="115"/>
      <c r="E701" s="115"/>
      <c r="F701" s="115"/>
      <c r="G701" s="99"/>
      <c r="H701" s="98"/>
      <c r="I701" s="100"/>
      <c r="J701" s="100"/>
      <c r="K701" s="100"/>
      <c r="L701" s="101"/>
      <c r="M701" s="101"/>
      <c r="N701" s="112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</row>
    <row r="702" spans="1:29" ht="13">
      <c r="A702" s="115"/>
      <c r="B702" s="97"/>
      <c r="C702" s="115"/>
      <c r="D702" s="115"/>
      <c r="E702" s="115"/>
      <c r="F702" s="115"/>
      <c r="G702" s="99"/>
      <c r="H702" s="98"/>
      <c r="I702" s="100"/>
      <c r="J702" s="100"/>
      <c r="K702" s="100"/>
      <c r="L702" s="101"/>
      <c r="M702" s="101"/>
      <c r="N702" s="112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</row>
    <row r="703" spans="1:29" ht="13">
      <c r="A703" s="115"/>
      <c r="B703" s="97"/>
      <c r="C703" s="115"/>
      <c r="D703" s="115"/>
      <c r="E703" s="115"/>
      <c r="F703" s="115"/>
      <c r="G703" s="99"/>
      <c r="H703" s="98"/>
      <c r="I703" s="100"/>
      <c r="J703" s="100"/>
      <c r="K703" s="100"/>
      <c r="L703" s="101"/>
      <c r="M703" s="101"/>
      <c r="N703" s="112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</row>
    <row r="704" spans="1:29" ht="13">
      <c r="A704" s="115"/>
      <c r="B704" s="97"/>
      <c r="C704" s="115"/>
      <c r="D704" s="115"/>
      <c r="E704" s="115"/>
      <c r="F704" s="115"/>
      <c r="G704" s="99"/>
      <c r="H704" s="98"/>
      <c r="I704" s="100"/>
      <c r="J704" s="100"/>
      <c r="K704" s="100"/>
      <c r="L704" s="101"/>
      <c r="M704" s="101"/>
      <c r="N704" s="112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</row>
    <row r="705" spans="1:29" ht="13">
      <c r="A705" s="115"/>
      <c r="B705" s="97"/>
      <c r="C705" s="115"/>
      <c r="D705" s="115"/>
      <c r="E705" s="115"/>
      <c r="F705" s="115"/>
      <c r="G705" s="99"/>
      <c r="H705" s="98"/>
      <c r="I705" s="100"/>
      <c r="J705" s="100"/>
      <c r="K705" s="100"/>
      <c r="L705" s="101"/>
      <c r="M705" s="101"/>
      <c r="N705" s="112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</row>
    <row r="706" spans="1:29" ht="13">
      <c r="A706" s="115"/>
      <c r="B706" s="97"/>
      <c r="C706" s="115"/>
      <c r="D706" s="115"/>
      <c r="E706" s="115"/>
      <c r="F706" s="115"/>
      <c r="G706" s="99"/>
      <c r="H706" s="98"/>
      <c r="I706" s="100"/>
      <c r="J706" s="100"/>
      <c r="K706" s="100"/>
      <c r="L706" s="101"/>
      <c r="M706" s="101"/>
      <c r="N706" s="112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</row>
    <row r="707" spans="1:29" ht="13">
      <c r="A707" s="115"/>
      <c r="B707" s="97"/>
      <c r="C707" s="115"/>
      <c r="D707" s="115"/>
      <c r="E707" s="115"/>
      <c r="F707" s="115"/>
      <c r="G707" s="99"/>
      <c r="H707" s="98"/>
      <c r="I707" s="100"/>
      <c r="J707" s="100"/>
      <c r="K707" s="100"/>
      <c r="L707" s="101"/>
      <c r="M707" s="101"/>
      <c r="N707" s="112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</row>
    <row r="708" spans="1:29" ht="13">
      <c r="A708" s="115"/>
      <c r="B708" s="97"/>
      <c r="C708" s="115"/>
      <c r="D708" s="115"/>
      <c r="E708" s="115"/>
      <c r="F708" s="115"/>
      <c r="G708" s="99"/>
      <c r="H708" s="98"/>
      <c r="I708" s="100"/>
      <c r="J708" s="100"/>
      <c r="K708" s="100"/>
      <c r="L708" s="101"/>
      <c r="M708" s="101"/>
      <c r="N708" s="112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</row>
    <row r="709" spans="1:29" ht="13">
      <c r="A709" s="115"/>
      <c r="B709" s="97"/>
      <c r="C709" s="115"/>
      <c r="D709" s="115"/>
      <c r="E709" s="115"/>
      <c r="F709" s="115"/>
      <c r="G709" s="99"/>
      <c r="H709" s="98"/>
      <c r="I709" s="100"/>
      <c r="J709" s="100"/>
      <c r="K709" s="100"/>
      <c r="L709" s="101"/>
      <c r="M709" s="101"/>
      <c r="N709" s="112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</row>
    <row r="710" spans="1:29" ht="13">
      <c r="A710" s="115"/>
      <c r="B710" s="97"/>
      <c r="C710" s="115"/>
      <c r="D710" s="115"/>
      <c r="E710" s="115"/>
      <c r="F710" s="115"/>
      <c r="G710" s="99"/>
      <c r="H710" s="98"/>
      <c r="I710" s="100"/>
      <c r="J710" s="100"/>
      <c r="K710" s="100"/>
      <c r="L710" s="101"/>
      <c r="M710" s="101"/>
      <c r="N710" s="112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</row>
    <row r="711" spans="1:29" ht="13">
      <c r="A711" s="115"/>
      <c r="B711" s="97"/>
      <c r="C711" s="115"/>
      <c r="D711" s="115"/>
      <c r="E711" s="115"/>
      <c r="F711" s="115"/>
      <c r="G711" s="99"/>
      <c r="H711" s="98"/>
      <c r="I711" s="100"/>
      <c r="J711" s="100"/>
      <c r="K711" s="100"/>
      <c r="L711" s="101"/>
      <c r="M711" s="101"/>
      <c r="N711" s="112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</row>
    <row r="712" spans="1:29" ht="13">
      <c r="A712" s="115"/>
      <c r="B712" s="97"/>
      <c r="C712" s="115"/>
      <c r="D712" s="115"/>
      <c r="E712" s="115"/>
      <c r="F712" s="115"/>
      <c r="G712" s="99"/>
      <c r="H712" s="98"/>
      <c r="I712" s="100"/>
      <c r="J712" s="100"/>
      <c r="K712" s="100"/>
      <c r="L712" s="101"/>
      <c r="M712" s="101"/>
      <c r="N712" s="112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</row>
    <row r="713" spans="1:29" ht="13">
      <c r="A713" s="115"/>
      <c r="B713" s="97"/>
      <c r="C713" s="115"/>
      <c r="D713" s="115"/>
      <c r="E713" s="115"/>
      <c r="F713" s="115"/>
      <c r="G713" s="99"/>
      <c r="H713" s="98"/>
      <c r="I713" s="100"/>
      <c r="J713" s="100"/>
      <c r="K713" s="100"/>
      <c r="L713" s="101"/>
      <c r="M713" s="101"/>
      <c r="N713" s="112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</row>
    <row r="714" spans="1:29" ht="13">
      <c r="A714" s="115"/>
      <c r="B714" s="97"/>
      <c r="C714" s="115"/>
      <c r="D714" s="115"/>
      <c r="E714" s="115"/>
      <c r="F714" s="115"/>
      <c r="G714" s="99"/>
      <c r="H714" s="98"/>
      <c r="I714" s="100"/>
      <c r="J714" s="100"/>
      <c r="K714" s="100"/>
      <c r="L714" s="101"/>
      <c r="M714" s="101"/>
      <c r="N714" s="112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</row>
    <row r="715" spans="1:29" ht="13">
      <c r="A715" s="115"/>
      <c r="B715" s="97"/>
      <c r="C715" s="115"/>
      <c r="D715" s="115"/>
      <c r="E715" s="115"/>
      <c r="F715" s="115"/>
      <c r="G715" s="99"/>
      <c r="H715" s="98"/>
      <c r="I715" s="100"/>
      <c r="J715" s="100"/>
      <c r="K715" s="100"/>
      <c r="L715" s="101"/>
      <c r="M715" s="101"/>
      <c r="N715" s="112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</row>
    <row r="716" spans="1:29" ht="13">
      <c r="A716" s="115"/>
      <c r="B716" s="97"/>
      <c r="C716" s="115"/>
      <c r="D716" s="115"/>
      <c r="E716" s="115"/>
      <c r="F716" s="115"/>
      <c r="G716" s="99"/>
      <c r="H716" s="98"/>
      <c r="I716" s="100"/>
      <c r="J716" s="100"/>
      <c r="K716" s="100"/>
      <c r="L716" s="101"/>
      <c r="M716" s="101"/>
      <c r="N716" s="112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</row>
    <row r="717" spans="1:29" ht="13">
      <c r="A717" s="115"/>
      <c r="B717" s="97"/>
      <c r="C717" s="115"/>
      <c r="D717" s="115"/>
      <c r="E717" s="115"/>
      <c r="F717" s="115"/>
      <c r="G717" s="99"/>
      <c r="H717" s="98"/>
      <c r="I717" s="100"/>
      <c r="J717" s="100"/>
      <c r="K717" s="100"/>
      <c r="L717" s="101"/>
      <c r="M717" s="101"/>
      <c r="N717" s="112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</row>
    <row r="718" spans="1:29" ht="13">
      <c r="A718" s="115"/>
      <c r="B718" s="97"/>
      <c r="C718" s="115"/>
      <c r="D718" s="115"/>
      <c r="E718" s="115"/>
      <c r="F718" s="115"/>
      <c r="G718" s="99"/>
      <c r="H718" s="98"/>
      <c r="I718" s="100"/>
      <c r="J718" s="100"/>
      <c r="K718" s="100"/>
      <c r="L718" s="101"/>
      <c r="M718" s="101"/>
      <c r="N718" s="112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</row>
    <row r="719" spans="1:29" ht="13">
      <c r="A719" s="115"/>
      <c r="B719" s="97"/>
      <c r="C719" s="115"/>
      <c r="D719" s="115"/>
      <c r="E719" s="115"/>
      <c r="F719" s="115"/>
      <c r="G719" s="99"/>
      <c r="H719" s="98"/>
      <c r="I719" s="100"/>
      <c r="J719" s="100"/>
      <c r="K719" s="100"/>
      <c r="L719" s="101"/>
      <c r="M719" s="101"/>
      <c r="N719" s="112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</row>
    <row r="720" spans="1:29" ht="13">
      <c r="A720" s="115"/>
      <c r="B720" s="97"/>
      <c r="C720" s="115"/>
      <c r="D720" s="115"/>
      <c r="E720" s="115"/>
      <c r="F720" s="115"/>
      <c r="G720" s="99"/>
      <c r="H720" s="98"/>
      <c r="I720" s="100"/>
      <c r="J720" s="100"/>
      <c r="K720" s="100"/>
      <c r="L720" s="101"/>
      <c r="M720" s="101"/>
      <c r="N720" s="112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</row>
    <row r="721" spans="1:29" ht="13">
      <c r="A721" s="115"/>
      <c r="B721" s="97"/>
      <c r="C721" s="115"/>
      <c r="D721" s="115"/>
      <c r="E721" s="115"/>
      <c r="F721" s="115"/>
      <c r="G721" s="99"/>
      <c r="H721" s="98"/>
      <c r="I721" s="100"/>
      <c r="J721" s="100"/>
      <c r="K721" s="100"/>
      <c r="L721" s="101"/>
      <c r="M721" s="101"/>
      <c r="N721" s="112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</row>
    <row r="722" spans="1:29" ht="13">
      <c r="A722" s="115"/>
      <c r="B722" s="97"/>
      <c r="C722" s="115"/>
      <c r="D722" s="115"/>
      <c r="E722" s="115"/>
      <c r="F722" s="115"/>
      <c r="G722" s="99"/>
      <c r="H722" s="98"/>
      <c r="I722" s="100"/>
      <c r="J722" s="100"/>
      <c r="K722" s="100"/>
      <c r="L722" s="101"/>
      <c r="M722" s="101"/>
      <c r="N722" s="112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</row>
    <row r="723" spans="1:29" ht="13">
      <c r="A723" s="115"/>
      <c r="B723" s="97"/>
      <c r="C723" s="115"/>
      <c r="D723" s="115"/>
      <c r="E723" s="115"/>
      <c r="F723" s="115"/>
      <c r="G723" s="99"/>
      <c r="H723" s="98"/>
      <c r="I723" s="100"/>
      <c r="J723" s="100"/>
      <c r="K723" s="100"/>
      <c r="L723" s="101"/>
      <c r="M723" s="101"/>
      <c r="N723" s="112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</row>
    <row r="724" spans="1:29" ht="13">
      <c r="A724" s="115"/>
      <c r="B724" s="97"/>
      <c r="C724" s="115"/>
      <c r="D724" s="115"/>
      <c r="E724" s="115"/>
      <c r="F724" s="115"/>
      <c r="G724" s="99"/>
      <c r="H724" s="98"/>
      <c r="I724" s="100"/>
      <c r="J724" s="100"/>
      <c r="K724" s="100"/>
      <c r="L724" s="101"/>
      <c r="M724" s="101"/>
      <c r="N724" s="112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</row>
    <row r="725" spans="1:29" ht="13">
      <c r="A725" s="115"/>
      <c r="B725" s="97"/>
      <c r="C725" s="115"/>
      <c r="D725" s="115"/>
      <c r="E725" s="115"/>
      <c r="F725" s="115"/>
      <c r="G725" s="99"/>
      <c r="H725" s="98"/>
      <c r="I725" s="100"/>
      <c r="J725" s="100"/>
      <c r="K725" s="100"/>
      <c r="L725" s="101"/>
      <c r="M725" s="101"/>
      <c r="N725" s="112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</row>
    <row r="726" spans="1:29" ht="13">
      <c r="A726" s="115"/>
      <c r="B726" s="97"/>
      <c r="C726" s="115"/>
      <c r="D726" s="115"/>
      <c r="E726" s="115"/>
      <c r="F726" s="115"/>
      <c r="G726" s="99"/>
      <c r="H726" s="98"/>
      <c r="I726" s="100"/>
      <c r="J726" s="100"/>
      <c r="K726" s="100"/>
      <c r="L726" s="101"/>
      <c r="M726" s="101"/>
      <c r="N726" s="112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</row>
    <row r="727" spans="1:29" ht="13">
      <c r="A727" s="115"/>
      <c r="B727" s="97"/>
      <c r="C727" s="115"/>
      <c r="D727" s="115"/>
      <c r="E727" s="115"/>
      <c r="F727" s="115"/>
      <c r="G727" s="99"/>
      <c r="H727" s="98"/>
      <c r="I727" s="100"/>
      <c r="J727" s="100"/>
      <c r="K727" s="100"/>
      <c r="L727" s="101"/>
      <c r="M727" s="101"/>
      <c r="N727" s="112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</row>
    <row r="728" spans="1:29" ht="13">
      <c r="A728" s="115"/>
      <c r="B728" s="97"/>
      <c r="C728" s="115"/>
      <c r="D728" s="115"/>
      <c r="E728" s="115"/>
      <c r="F728" s="115"/>
      <c r="G728" s="99"/>
      <c r="H728" s="98"/>
      <c r="I728" s="100"/>
      <c r="J728" s="100"/>
      <c r="K728" s="100"/>
      <c r="L728" s="101"/>
      <c r="M728" s="101"/>
      <c r="N728" s="112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</row>
    <row r="729" spans="1:29" ht="13">
      <c r="A729" s="115"/>
      <c r="B729" s="97"/>
      <c r="C729" s="115"/>
      <c r="D729" s="115"/>
      <c r="E729" s="115"/>
      <c r="F729" s="115"/>
      <c r="G729" s="99"/>
      <c r="H729" s="98"/>
      <c r="I729" s="100"/>
      <c r="J729" s="100"/>
      <c r="K729" s="100"/>
      <c r="L729" s="101"/>
      <c r="M729" s="101"/>
      <c r="N729" s="112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</row>
    <row r="730" spans="1:29" ht="13">
      <c r="A730" s="115"/>
      <c r="B730" s="97"/>
      <c r="C730" s="115"/>
      <c r="D730" s="115"/>
      <c r="E730" s="115"/>
      <c r="F730" s="115"/>
      <c r="G730" s="99"/>
      <c r="H730" s="98"/>
      <c r="I730" s="100"/>
      <c r="J730" s="100"/>
      <c r="K730" s="100"/>
      <c r="L730" s="101"/>
      <c r="M730" s="101"/>
      <c r="N730" s="112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</row>
    <row r="731" spans="1:29" ht="13">
      <c r="A731" s="115"/>
      <c r="B731" s="97"/>
      <c r="C731" s="115"/>
      <c r="D731" s="115"/>
      <c r="E731" s="115"/>
      <c r="F731" s="115"/>
      <c r="G731" s="99"/>
      <c r="H731" s="98"/>
      <c r="I731" s="100"/>
      <c r="J731" s="100"/>
      <c r="K731" s="100"/>
      <c r="L731" s="101"/>
      <c r="M731" s="101"/>
      <c r="N731" s="112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</row>
    <row r="732" spans="1:29" ht="13">
      <c r="A732" s="115"/>
      <c r="B732" s="97"/>
      <c r="C732" s="115"/>
      <c r="D732" s="115"/>
      <c r="E732" s="115"/>
      <c r="F732" s="115"/>
      <c r="G732" s="99"/>
      <c r="H732" s="98"/>
      <c r="I732" s="100"/>
      <c r="J732" s="100"/>
      <c r="K732" s="100"/>
      <c r="L732" s="101"/>
      <c r="M732" s="101"/>
      <c r="N732" s="112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</row>
    <row r="733" spans="1:29" ht="13">
      <c r="A733" s="115"/>
      <c r="B733" s="97"/>
      <c r="C733" s="115"/>
      <c r="D733" s="115"/>
      <c r="E733" s="115"/>
      <c r="F733" s="115"/>
      <c r="G733" s="99"/>
      <c r="H733" s="98"/>
      <c r="I733" s="100"/>
      <c r="J733" s="100"/>
      <c r="K733" s="100"/>
      <c r="L733" s="101"/>
      <c r="M733" s="101"/>
      <c r="N733" s="112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</row>
    <row r="734" spans="1:29" ht="13">
      <c r="A734" s="115"/>
      <c r="B734" s="97"/>
      <c r="C734" s="115"/>
      <c r="D734" s="115"/>
      <c r="E734" s="115"/>
      <c r="F734" s="115"/>
      <c r="G734" s="99"/>
      <c r="H734" s="98"/>
      <c r="I734" s="100"/>
      <c r="J734" s="100"/>
      <c r="K734" s="100"/>
      <c r="L734" s="101"/>
      <c r="M734" s="101"/>
      <c r="N734" s="112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</row>
    <row r="735" spans="1:29" ht="13">
      <c r="A735" s="115"/>
      <c r="B735" s="97"/>
      <c r="C735" s="115"/>
      <c r="D735" s="115"/>
      <c r="E735" s="115"/>
      <c r="F735" s="115"/>
      <c r="G735" s="99"/>
      <c r="H735" s="98"/>
      <c r="I735" s="100"/>
      <c r="J735" s="100"/>
      <c r="K735" s="100"/>
      <c r="L735" s="101"/>
      <c r="M735" s="101"/>
      <c r="N735" s="112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</row>
    <row r="736" spans="1:29" ht="13">
      <c r="A736" s="115"/>
      <c r="B736" s="97"/>
      <c r="C736" s="115"/>
      <c r="D736" s="115"/>
      <c r="E736" s="115"/>
      <c r="F736" s="115"/>
      <c r="G736" s="99"/>
      <c r="H736" s="98"/>
      <c r="I736" s="100"/>
      <c r="J736" s="100"/>
      <c r="K736" s="100"/>
      <c r="L736" s="101"/>
      <c r="M736" s="101"/>
      <c r="N736" s="112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</row>
    <row r="737" spans="1:29" ht="13">
      <c r="A737" s="115"/>
      <c r="B737" s="97"/>
      <c r="C737" s="115"/>
      <c r="D737" s="115"/>
      <c r="E737" s="115"/>
      <c r="F737" s="115"/>
      <c r="G737" s="99"/>
      <c r="H737" s="98"/>
      <c r="I737" s="100"/>
      <c r="J737" s="100"/>
      <c r="K737" s="100"/>
      <c r="L737" s="101"/>
      <c r="M737" s="101"/>
      <c r="N737" s="112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</row>
    <row r="738" spans="1:29" ht="13">
      <c r="A738" s="115"/>
      <c r="B738" s="97"/>
      <c r="C738" s="115"/>
      <c r="D738" s="115"/>
      <c r="E738" s="115"/>
      <c r="F738" s="115"/>
      <c r="G738" s="99"/>
      <c r="H738" s="98"/>
      <c r="I738" s="100"/>
      <c r="J738" s="100"/>
      <c r="K738" s="100"/>
      <c r="L738" s="101"/>
      <c r="M738" s="101"/>
      <c r="N738" s="112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</row>
    <row r="739" spans="1:29" ht="13">
      <c r="A739" s="115"/>
      <c r="B739" s="97"/>
      <c r="C739" s="115"/>
      <c r="D739" s="115"/>
      <c r="E739" s="115"/>
      <c r="F739" s="115"/>
      <c r="G739" s="99"/>
      <c r="H739" s="98"/>
      <c r="I739" s="100"/>
      <c r="J739" s="100"/>
      <c r="K739" s="100"/>
      <c r="L739" s="101"/>
      <c r="M739" s="101"/>
      <c r="N739" s="112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</row>
    <row r="740" spans="1:29" ht="13">
      <c r="A740" s="115"/>
      <c r="B740" s="97"/>
      <c r="C740" s="115"/>
      <c r="D740" s="115"/>
      <c r="E740" s="115"/>
      <c r="F740" s="115"/>
      <c r="G740" s="99"/>
      <c r="H740" s="98"/>
      <c r="I740" s="100"/>
      <c r="J740" s="100"/>
      <c r="K740" s="100"/>
      <c r="L740" s="101"/>
      <c r="M740" s="101"/>
      <c r="N740" s="112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</row>
    <row r="741" spans="1:29" ht="13">
      <c r="A741" s="115"/>
      <c r="B741" s="97"/>
      <c r="C741" s="115"/>
      <c r="D741" s="115"/>
      <c r="E741" s="115"/>
      <c r="F741" s="115"/>
      <c r="G741" s="99"/>
      <c r="H741" s="98"/>
      <c r="I741" s="100"/>
      <c r="J741" s="100"/>
      <c r="K741" s="100"/>
      <c r="L741" s="101"/>
      <c r="M741" s="101"/>
      <c r="N741" s="112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</row>
    <row r="742" spans="1:29" ht="13">
      <c r="A742" s="115"/>
      <c r="B742" s="97"/>
      <c r="C742" s="115"/>
      <c r="D742" s="115"/>
      <c r="E742" s="115"/>
      <c r="F742" s="115"/>
      <c r="G742" s="99"/>
      <c r="H742" s="98"/>
      <c r="I742" s="100"/>
      <c r="J742" s="100"/>
      <c r="K742" s="100"/>
      <c r="L742" s="101"/>
      <c r="M742" s="101"/>
      <c r="N742" s="112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</row>
    <row r="743" spans="1:29" ht="13">
      <c r="A743" s="115"/>
      <c r="B743" s="97"/>
      <c r="C743" s="115"/>
      <c r="D743" s="115"/>
      <c r="E743" s="115"/>
      <c r="F743" s="115"/>
      <c r="G743" s="99"/>
      <c r="H743" s="98"/>
      <c r="I743" s="100"/>
      <c r="J743" s="100"/>
      <c r="K743" s="100"/>
      <c r="L743" s="101"/>
      <c r="M743" s="101"/>
      <c r="N743" s="112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</row>
    <row r="744" spans="1:29" ht="13">
      <c r="A744" s="115"/>
      <c r="B744" s="97"/>
      <c r="C744" s="115"/>
      <c r="D744" s="115"/>
      <c r="E744" s="115"/>
      <c r="F744" s="115"/>
      <c r="G744" s="99"/>
      <c r="H744" s="98"/>
      <c r="I744" s="100"/>
      <c r="J744" s="100"/>
      <c r="K744" s="100"/>
      <c r="L744" s="101"/>
      <c r="M744" s="101"/>
      <c r="N744" s="112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</row>
    <row r="745" spans="1:29" ht="13">
      <c r="A745" s="115"/>
      <c r="B745" s="97"/>
      <c r="C745" s="115"/>
      <c r="D745" s="115"/>
      <c r="E745" s="115"/>
      <c r="F745" s="115"/>
      <c r="G745" s="99"/>
      <c r="H745" s="98"/>
      <c r="I745" s="100"/>
      <c r="J745" s="100"/>
      <c r="K745" s="100"/>
      <c r="L745" s="101"/>
      <c r="M745" s="101"/>
      <c r="N745" s="112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</row>
    <row r="746" spans="1:29" ht="13">
      <c r="A746" s="115"/>
      <c r="B746" s="97"/>
      <c r="C746" s="115"/>
      <c r="D746" s="115"/>
      <c r="E746" s="115"/>
      <c r="F746" s="115"/>
      <c r="G746" s="99"/>
      <c r="H746" s="98"/>
      <c r="I746" s="100"/>
      <c r="J746" s="100"/>
      <c r="K746" s="100"/>
      <c r="L746" s="101"/>
      <c r="M746" s="101"/>
      <c r="N746" s="112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</row>
    <row r="747" spans="1:29" ht="13">
      <c r="A747" s="115"/>
      <c r="B747" s="97"/>
      <c r="C747" s="115"/>
      <c r="D747" s="115"/>
      <c r="E747" s="115"/>
      <c r="F747" s="115"/>
      <c r="G747" s="99"/>
      <c r="H747" s="98"/>
      <c r="I747" s="100"/>
      <c r="J747" s="100"/>
      <c r="K747" s="100"/>
      <c r="L747" s="101"/>
      <c r="M747" s="101"/>
      <c r="N747" s="112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</row>
    <row r="748" spans="1:29" ht="13">
      <c r="A748" s="115"/>
      <c r="B748" s="97"/>
      <c r="C748" s="115"/>
      <c r="D748" s="115"/>
      <c r="E748" s="115"/>
      <c r="F748" s="115"/>
      <c r="G748" s="99"/>
      <c r="H748" s="98"/>
      <c r="I748" s="100"/>
      <c r="J748" s="100"/>
      <c r="K748" s="100"/>
      <c r="L748" s="101"/>
      <c r="M748" s="101"/>
      <c r="N748" s="112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</row>
    <row r="749" spans="1:29" ht="13">
      <c r="A749" s="115"/>
      <c r="B749" s="97"/>
      <c r="C749" s="115"/>
      <c r="D749" s="115"/>
      <c r="E749" s="115"/>
      <c r="F749" s="115"/>
      <c r="G749" s="99"/>
      <c r="H749" s="98"/>
      <c r="I749" s="100"/>
      <c r="J749" s="100"/>
      <c r="K749" s="100"/>
      <c r="L749" s="101"/>
      <c r="M749" s="101"/>
      <c r="N749" s="112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</row>
    <row r="750" spans="1:29" ht="13">
      <c r="A750" s="115"/>
      <c r="B750" s="97"/>
      <c r="C750" s="115"/>
      <c r="D750" s="115"/>
      <c r="E750" s="115"/>
      <c r="F750" s="115"/>
      <c r="G750" s="99"/>
      <c r="H750" s="98"/>
      <c r="I750" s="100"/>
      <c r="J750" s="100"/>
      <c r="K750" s="100"/>
      <c r="L750" s="101"/>
      <c r="M750" s="101"/>
      <c r="N750" s="112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</row>
    <row r="751" spans="1:29" ht="13">
      <c r="A751" s="115"/>
      <c r="B751" s="97"/>
      <c r="C751" s="115"/>
      <c r="D751" s="115"/>
      <c r="E751" s="115"/>
      <c r="F751" s="115"/>
      <c r="G751" s="99"/>
      <c r="H751" s="98"/>
      <c r="I751" s="100"/>
      <c r="J751" s="100"/>
      <c r="K751" s="100"/>
      <c r="L751" s="101"/>
      <c r="M751" s="101"/>
      <c r="N751" s="112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</row>
    <row r="752" spans="1:29" ht="13">
      <c r="A752" s="115"/>
      <c r="B752" s="97"/>
      <c r="C752" s="115"/>
      <c r="D752" s="115"/>
      <c r="E752" s="115"/>
      <c r="F752" s="115"/>
      <c r="G752" s="99"/>
      <c r="H752" s="98"/>
      <c r="I752" s="100"/>
      <c r="J752" s="100"/>
      <c r="K752" s="100"/>
      <c r="L752" s="101"/>
      <c r="M752" s="101"/>
      <c r="N752" s="112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</row>
    <row r="753" spans="1:29" ht="13">
      <c r="A753" s="115"/>
      <c r="B753" s="97"/>
      <c r="C753" s="115"/>
      <c r="D753" s="115"/>
      <c r="E753" s="115"/>
      <c r="F753" s="115"/>
      <c r="G753" s="99"/>
      <c r="H753" s="98"/>
      <c r="I753" s="100"/>
      <c r="J753" s="100"/>
      <c r="K753" s="100"/>
      <c r="L753" s="101"/>
      <c r="M753" s="101"/>
      <c r="N753" s="112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</row>
    <row r="754" spans="1:29" ht="13">
      <c r="A754" s="115"/>
      <c r="B754" s="97"/>
      <c r="C754" s="115"/>
      <c r="D754" s="115"/>
      <c r="E754" s="115"/>
      <c r="F754" s="115"/>
      <c r="G754" s="99"/>
      <c r="H754" s="98"/>
      <c r="I754" s="100"/>
      <c r="J754" s="100"/>
      <c r="K754" s="100"/>
      <c r="L754" s="101"/>
      <c r="M754" s="101"/>
      <c r="N754" s="112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</row>
    <row r="755" spans="1:29" ht="13">
      <c r="A755" s="115"/>
      <c r="B755" s="97"/>
      <c r="C755" s="115"/>
      <c r="D755" s="115"/>
      <c r="E755" s="115"/>
      <c r="F755" s="115"/>
      <c r="G755" s="99"/>
      <c r="H755" s="98"/>
      <c r="I755" s="100"/>
      <c r="J755" s="100"/>
      <c r="K755" s="100"/>
      <c r="L755" s="101"/>
      <c r="M755" s="101"/>
      <c r="N755" s="112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</row>
    <row r="756" spans="1:29" ht="13">
      <c r="A756" s="115"/>
      <c r="B756" s="97"/>
      <c r="C756" s="115"/>
      <c r="D756" s="115"/>
      <c r="E756" s="115"/>
      <c r="F756" s="115"/>
      <c r="G756" s="99"/>
      <c r="H756" s="98"/>
      <c r="I756" s="100"/>
      <c r="J756" s="100"/>
      <c r="K756" s="100"/>
      <c r="L756" s="101"/>
      <c r="M756" s="101"/>
      <c r="N756" s="112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</row>
    <row r="757" spans="1:29" ht="13">
      <c r="A757" s="115"/>
      <c r="B757" s="97"/>
      <c r="C757" s="115"/>
      <c r="D757" s="115"/>
      <c r="E757" s="115"/>
      <c r="F757" s="115"/>
      <c r="G757" s="99"/>
      <c r="H757" s="98"/>
      <c r="I757" s="100"/>
      <c r="J757" s="100"/>
      <c r="K757" s="100"/>
      <c r="L757" s="101"/>
      <c r="M757" s="101"/>
      <c r="N757" s="112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</row>
    <row r="758" spans="1:29" ht="13">
      <c r="A758" s="115"/>
      <c r="B758" s="97"/>
      <c r="C758" s="115"/>
      <c r="D758" s="115"/>
      <c r="E758" s="115"/>
      <c r="F758" s="115"/>
      <c r="G758" s="99"/>
      <c r="H758" s="98"/>
      <c r="I758" s="100"/>
      <c r="J758" s="100"/>
      <c r="K758" s="100"/>
      <c r="L758" s="101"/>
      <c r="M758" s="101"/>
      <c r="N758" s="112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</row>
    <row r="759" spans="1:29" ht="13">
      <c r="A759" s="115"/>
      <c r="B759" s="97"/>
      <c r="C759" s="115"/>
      <c r="D759" s="115"/>
      <c r="E759" s="115"/>
      <c r="F759" s="115"/>
      <c r="G759" s="99"/>
      <c r="H759" s="98"/>
      <c r="I759" s="100"/>
      <c r="J759" s="100"/>
      <c r="K759" s="100"/>
      <c r="L759" s="101"/>
      <c r="M759" s="101"/>
      <c r="N759" s="112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</row>
    <row r="760" spans="1:29" ht="13">
      <c r="A760" s="115"/>
      <c r="B760" s="97"/>
      <c r="C760" s="115"/>
      <c r="D760" s="115"/>
      <c r="E760" s="115"/>
      <c r="F760" s="115"/>
      <c r="G760" s="99"/>
      <c r="H760" s="98"/>
      <c r="I760" s="100"/>
      <c r="J760" s="100"/>
      <c r="K760" s="100"/>
      <c r="L760" s="101"/>
      <c r="M760" s="101"/>
      <c r="N760" s="112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</row>
    <row r="761" spans="1:29" ht="13">
      <c r="A761" s="115"/>
      <c r="B761" s="97"/>
      <c r="C761" s="115"/>
      <c r="D761" s="115"/>
      <c r="E761" s="115"/>
      <c r="F761" s="115"/>
      <c r="G761" s="99"/>
      <c r="H761" s="98"/>
      <c r="I761" s="100"/>
      <c r="J761" s="100"/>
      <c r="K761" s="100"/>
      <c r="L761" s="101"/>
      <c r="M761" s="101"/>
      <c r="N761" s="112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</row>
    <row r="762" spans="1:29" ht="13">
      <c r="A762" s="115"/>
      <c r="B762" s="97"/>
      <c r="C762" s="115"/>
      <c r="D762" s="115"/>
      <c r="E762" s="115"/>
      <c r="F762" s="115"/>
      <c r="G762" s="99"/>
      <c r="H762" s="98"/>
      <c r="I762" s="100"/>
      <c r="J762" s="100"/>
      <c r="K762" s="100"/>
      <c r="L762" s="101"/>
      <c r="M762" s="101"/>
      <c r="N762" s="112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</row>
    <row r="763" spans="1:29" ht="13">
      <c r="A763" s="115"/>
      <c r="B763" s="97"/>
      <c r="C763" s="115"/>
      <c r="D763" s="115"/>
      <c r="E763" s="115"/>
      <c r="F763" s="115"/>
      <c r="G763" s="99"/>
      <c r="H763" s="98"/>
      <c r="I763" s="100"/>
      <c r="J763" s="100"/>
      <c r="K763" s="100"/>
      <c r="L763" s="101"/>
      <c r="M763" s="101"/>
      <c r="N763" s="112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</row>
    <row r="764" spans="1:29" ht="13">
      <c r="A764" s="115"/>
      <c r="B764" s="97"/>
      <c r="C764" s="115"/>
      <c r="D764" s="115"/>
      <c r="E764" s="115"/>
      <c r="F764" s="115"/>
      <c r="G764" s="99"/>
      <c r="H764" s="98"/>
      <c r="I764" s="100"/>
      <c r="J764" s="100"/>
      <c r="K764" s="100"/>
      <c r="L764" s="101"/>
      <c r="M764" s="101"/>
      <c r="N764" s="112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</row>
    <row r="765" spans="1:29" ht="13">
      <c r="A765" s="115"/>
      <c r="B765" s="97"/>
      <c r="C765" s="115"/>
      <c r="D765" s="115"/>
      <c r="E765" s="115"/>
      <c r="F765" s="115"/>
      <c r="G765" s="99"/>
      <c r="H765" s="98"/>
      <c r="I765" s="100"/>
      <c r="J765" s="100"/>
      <c r="K765" s="100"/>
      <c r="L765" s="101"/>
      <c r="M765" s="101"/>
      <c r="N765" s="112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</row>
    <row r="766" spans="1:29" ht="13">
      <c r="A766" s="115"/>
      <c r="B766" s="97"/>
      <c r="C766" s="115"/>
      <c r="D766" s="115"/>
      <c r="E766" s="115"/>
      <c r="F766" s="115"/>
      <c r="G766" s="99"/>
      <c r="H766" s="98"/>
      <c r="I766" s="100"/>
      <c r="J766" s="100"/>
      <c r="K766" s="100"/>
      <c r="L766" s="101"/>
      <c r="M766" s="101"/>
      <c r="N766" s="112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</row>
    <row r="767" spans="1:29" ht="13">
      <c r="A767" s="115"/>
      <c r="B767" s="97"/>
      <c r="C767" s="115"/>
      <c r="D767" s="115"/>
      <c r="E767" s="115"/>
      <c r="F767" s="115"/>
      <c r="G767" s="99"/>
      <c r="H767" s="98"/>
      <c r="I767" s="100"/>
      <c r="J767" s="100"/>
      <c r="K767" s="100"/>
      <c r="L767" s="101"/>
      <c r="M767" s="101"/>
      <c r="N767" s="112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</row>
    <row r="768" spans="1:29" ht="13">
      <c r="A768" s="115"/>
      <c r="B768" s="97"/>
      <c r="C768" s="115"/>
      <c r="D768" s="115"/>
      <c r="E768" s="115"/>
      <c r="F768" s="115"/>
      <c r="G768" s="99"/>
      <c r="H768" s="98"/>
      <c r="I768" s="100"/>
      <c r="J768" s="100"/>
      <c r="K768" s="100"/>
      <c r="L768" s="101"/>
      <c r="M768" s="101"/>
      <c r="N768" s="112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</row>
    <row r="769" spans="1:29" ht="13">
      <c r="A769" s="115"/>
      <c r="B769" s="97"/>
      <c r="C769" s="115"/>
      <c r="D769" s="115"/>
      <c r="E769" s="115"/>
      <c r="F769" s="115"/>
      <c r="G769" s="99"/>
      <c r="H769" s="98"/>
      <c r="I769" s="100"/>
      <c r="J769" s="100"/>
      <c r="K769" s="100"/>
      <c r="L769" s="101"/>
      <c r="M769" s="101"/>
      <c r="N769" s="112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</row>
    <row r="770" spans="1:29" ht="13">
      <c r="A770" s="115"/>
      <c r="B770" s="97"/>
      <c r="C770" s="115"/>
      <c r="D770" s="115"/>
      <c r="E770" s="115"/>
      <c r="F770" s="115"/>
      <c r="G770" s="99"/>
      <c r="H770" s="98"/>
      <c r="I770" s="100"/>
      <c r="J770" s="100"/>
      <c r="K770" s="100"/>
      <c r="L770" s="101"/>
      <c r="M770" s="101"/>
      <c r="N770" s="112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</row>
    <row r="771" spans="1:29" ht="13">
      <c r="A771" s="115"/>
      <c r="B771" s="97"/>
      <c r="C771" s="115"/>
      <c r="D771" s="115"/>
      <c r="E771" s="115"/>
      <c r="F771" s="115"/>
      <c r="G771" s="99"/>
      <c r="H771" s="98"/>
      <c r="I771" s="100"/>
      <c r="J771" s="100"/>
      <c r="K771" s="100"/>
      <c r="L771" s="101"/>
      <c r="M771" s="101"/>
      <c r="N771" s="112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</row>
    <row r="772" spans="1:29" ht="13">
      <c r="A772" s="115"/>
      <c r="B772" s="97"/>
      <c r="C772" s="115"/>
      <c r="D772" s="115"/>
      <c r="E772" s="115"/>
      <c r="F772" s="115"/>
      <c r="G772" s="99"/>
      <c r="H772" s="98"/>
      <c r="I772" s="100"/>
      <c r="J772" s="100"/>
      <c r="K772" s="100"/>
      <c r="L772" s="101"/>
      <c r="M772" s="101"/>
      <c r="N772" s="112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</row>
    <row r="773" spans="1:29" ht="13">
      <c r="A773" s="115"/>
      <c r="B773" s="97"/>
      <c r="C773" s="115"/>
      <c r="D773" s="115"/>
      <c r="E773" s="115"/>
      <c r="F773" s="115"/>
      <c r="G773" s="99"/>
      <c r="H773" s="98"/>
      <c r="I773" s="100"/>
      <c r="J773" s="100"/>
      <c r="K773" s="100"/>
      <c r="L773" s="101"/>
      <c r="M773" s="101"/>
      <c r="N773" s="112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</row>
    <row r="774" spans="1:29" ht="13">
      <c r="A774" s="115"/>
      <c r="B774" s="97"/>
      <c r="C774" s="115"/>
      <c r="D774" s="115"/>
      <c r="E774" s="115"/>
      <c r="F774" s="115"/>
      <c r="G774" s="99"/>
      <c r="H774" s="98"/>
      <c r="I774" s="100"/>
      <c r="J774" s="100"/>
      <c r="K774" s="100"/>
      <c r="L774" s="101"/>
      <c r="M774" s="101"/>
      <c r="N774" s="112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</row>
    <row r="775" spans="1:29" ht="13">
      <c r="A775" s="115"/>
      <c r="B775" s="97"/>
      <c r="C775" s="115"/>
      <c r="D775" s="115"/>
      <c r="E775" s="115"/>
      <c r="F775" s="115"/>
      <c r="G775" s="99"/>
      <c r="H775" s="98"/>
      <c r="I775" s="100"/>
      <c r="J775" s="100"/>
      <c r="K775" s="100"/>
      <c r="L775" s="101"/>
      <c r="M775" s="101"/>
      <c r="N775" s="112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</row>
    <row r="776" spans="1:29" ht="13">
      <c r="A776" s="115"/>
      <c r="B776" s="97"/>
      <c r="C776" s="115"/>
      <c r="D776" s="115"/>
      <c r="E776" s="115"/>
      <c r="F776" s="115"/>
      <c r="G776" s="99"/>
      <c r="H776" s="98"/>
      <c r="I776" s="100"/>
      <c r="J776" s="100"/>
      <c r="K776" s="100"/>
      <c r="L776" s="101"/>
      <c r="M776" s="101"/>
      <c r="N776" s="112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</row>
    <row r="777" spans="1:29" ht="13">
      <c r="A777" s="115"/>
      <c r="B777" s="97"/>
      <c r="C777" s="115"/>
      <c r="D777" s="115"/>
      <c r="E777" s="115"/>
      <c r="F777" s="115"/>
      <c r="G777" s="99"/>
      <c r="H777" s="98"/>
      <c r="I777" s="100"/>
      <c r="J777" s="100"/>
      <c r="K777" s="100"/>
      <c r="L777" s="101"/>
      <c r="M777" s="101"/>
      <c r="N777" s="112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</row>
    <row r="778" spans="1:29" ht="13">
      <c r="A778" s="115"/>
      <c r="B778" s="97"/>
      <c r="C778" s="115"/>
      <c r="D778" s="115"/>
      <c r="E778" s="115"/>
      <c r="F778" s="115"/>
      <c r="G778" s="99"/>
      <c r="H778" s="98"/>
      <c r="I778" s="100"/>
      <c r="J778" s="100"/>
      <c r="K778" s="100"/>
      <c r="L778" s="101"/>
      <c r="M778" s="101"/>
      <c r="N778" s="112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</row>
    <row r="779" spans="1:29" ht="13">
      <c r="A779" s="115"/>
      <c r="B779" s="97"/>
      <c r="C779" s="115"/>
      <c r="D779" s="115"/>
      <c r="E779" s="115"/>
      <c r="F779" s="115"/>
      <c r="G779" s="99"/>
      <c r="H779" s="98"/>
      <c r="I779" s="100"/>
      <c r="J779" s="100"/>
      <c r="K779" s="100"/>
      <c r="L779" s="101"/>
      <c r="M779" s="101"/>
      <c r="N779" s="112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</row>
    <row r="780" spans="1:29" ht="13">
      <c r="A780" s="115"/>
      <c r="B780" s="97"/>
      <c r="C780" s="115"/>
      <c r="D780" s="115"/>
      <c r="E780" s="115"/>
      <c r="F780" s="115"/>
      <c r="G780" s="99"/>
      <c r="H780" s="98"/>
      <c r="I780" s="100"/>
      <c r="J780" s="100"/>
      <c r="K780" s="100"/>
      <c r="L780" s="101"/>
      <c r="M780" s="101"/>
      <c r="N780" s="112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</row>
    <row r="781" spans="1:29" ht="13">
      <c r="A781" s="115"/>
      <c r="B781" s="97"/>
      <c r="C781" s="115"/>
      <c r="D781" s="115"/>
      <c r="E781" s="115"/>
      <c r="F781" s="115"/>
      <c r="G781" s="99"/>
      <c r="H781" s="98"/>
      <c r="I781" s="100"/>
      <c r="J781" s="100"/>
      <c r="K781" s="100"/>
      <c r="L781" s="101"/>
      <c r="M781" s="101"/>
      <c r="N781" s="112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</row>
    <row r="782" spans="1:29" ht="13">
      <c r="A782" s="115"/>
      <c r="B782" s="97"/>
      <c r="C782" s="115"/>
      <c r="D782" s="115"/>
      <c r="E782" s="115"/>
      <c r="F782" s="115"/>
      <c r="G782" s="99"/>
      <c r="H782" s="98"/>
      <c r="I782" s="100"/>
      <c r="J782" s="100"/>
      <c r="K782" s="100"/>
      <c r="L782" s="101"/>
      <c r="M782" s="101"/>
      <c r="N782" s="112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</row>
    <row r="783" spans="1:29" ht="13">
      <c r="A783" s="115"/>
      <c r="B783" s="97"/>
      <c r="C783" s="115"/>
      <c r="D783" s="115"/>
      <c r="E783" s="115"/>
      <c r="F783" s="115"/>
      <c r="G783" s="99"/>
      <c r="H783" s="98"/>
      <c r="I783" s="100"/>
      <c r="J783" s="100"/>
      <c r="K783" s="100"/>
      <c r="L783" s="101"/>
      <c r="M783" s="101"/>
      <c r="N783" s="112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</row>
    <row r="784" spans="1:29" ht="13">
      <c r="A784" s="115"/>
      <c r="B784" s="97"/>
      <c r="C784" s="115"/>
      <c r="D784" s="115"/>
      <c r="E784" s="115"/>
      <c r="F784" s="115"/>
      <c r="G784" s="99"/>
      <c r="H784" s="98"/>
      <c r="I784" s="100"/>
      <c r="J784" s="100"/>
      <c r="K784" s="100"/>
      <c r="L784" s="101"/>
      <c r="M784" s="101"/>
      <c r="N784" s="112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</row>
    <row r="785" spans="1:29" ht="13">
      <c r="A785" s="115"/>
      <c r="B785" s="97"/>
      <c r="C785" s="115"/>
      <c r="D785" s="115"/>
      <c r="E785" s="115"/>
      <c r="F785" s="115"/>
      <c r="G785" s="99"/>
      <c r="H785" s="98"/>
      <c r="I785" s="100"/>
      <c r="J785" s="100"/>
      <c r="K785" s="100"/>
      <c r="L785" s="101"/>
      <c r="M785" s="101"/>
      <c r="N785" s="112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</row>
    <row r="786" spans="1:29" ht="13">
      <c r="A786" s="115"/>
      <c r="B786" s="97"/>
      <c r="C786" s="115"/>
      <c r="D786" s="115"/>
      <c r="E786" s="115"/>
      <c r="F786" s="115"/>
      <c r="G786" s="99"/>
      <c r="H786" s="98"/>
      <c r="I786" s="100"/>
      <c r="J786" s="100"/>
      <c r="K786" s="100"/>
      <c r="L786" s="101"/>
      <c r="M786" s="101"/>
      <c r="N786" s="112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</row>
    <row r="787" spans="1:29" ht="13">
      <c r="A787" s="115"/>
      <c r="B787" s="97"/>
      <c r="C787" s="115"/>
      <c r="D787" s="115"/>
      <c r="E787" s="115"/>
      <c r="F787" s="115"/>
      <c r="G787" s="99"/>
      <c r="H787" s="98"/>
      <c r="I787" s="100"/>
      <c r="J787" s="100"/>
      <c r="K787" s="100"/>
      <c r="L787" s="101"/>
      <c r="M787" s="101"/>
      <c r="N787" s="112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</row>
    <row r="788" spans="1:29" ht="13">
      <c r="A788" s="115"/>
      <c r="B788" s="97"/>
      <c r="C788" s="115"/>
      <c r="D788" s="115"/>
      <c r="E788" s="115"/>
      <c r="F788" s="115"/>
      <c r="G788" s="99"/>
      <c r="H788" s="98"/>
      <c r="I788" s="100"/>
      <c r="J788" s="100"/>
      <c r="K788" s="100"/>
      <c r="L788" s="101"/>
      <c r="M788" s="101"/>
      <c r="N788" s="112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</row>
    <row r="789" spans="1:29" ht="13">
      <c r="A789" s="115"/>
      <c r="B789" s="97"/>
      <c r="C789" s="115"/>
      <c r="D789" s="115"/>
      <c r="E789" s="115"/>
      <c r="F789" s="115"/>
      <c r="G789" s="99"/>
      <c r="H789" s="98"/>
      <c r="I789" s="100"/>
      <c r="J789" s="100"/>
      <c r="K789" s="100"/>
      <c r="L789" s="101"/>
      <c r="M789" s="101"/>
      <c r="N789" s="112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</row>
    <row r="790" spans="1:29" ht="13">
      <c r="A790" s="115"/>
      <c r="B790" s="97"/>
      <c r="C790" s="115"/>
      <c r="D790" s="115"/>
      <c r="E790" s="115"/>
      <c r="F790" s="115"/>
      <c r="G790" s="99"/>
      <c r="H790" s="98"/>
      <c r="I790" s="100"/>
      <c r="J790" s="100"/>
      <c r="K790" s="100"/>
      <c r="L790" s="101"/>
      <c r="M790" s="101"/>
      <c r="N790" s="112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</row>
    <row r="791" spans="1:29" ht="13">
      <c r="A791" s="115"/>
      <c r="B791" s="97"/>
      <c r="C791" s="115"/>
      <c r="D791" s="115"/>
      <c r="E791" s="115"/>
      <c r="F791" s="115"/>
      <c r="G791" s="99"/>
      <c r="H791" s="98"/>
      <c r="I791" s="100"/>
      <c r="J791" s="100"/>
      <c r="K791" s="100"/>
      <c r="L791" s="101"/>
      <c r="M791" s="101"/>
      <c r="N791" s="112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</row>
    <row r="792" spans="1:29" ht="13">
      <c r="A792" s="115"/>
      <c r="B792" s="97"/>
      <c r="C792" s="115"/>
      <c r="D792" s="115"/>
      <c r="E792" s="115"/>
      <c r="F792" s="115"/>
      <c r="G792" s="99"/>
      <c r="H792" s="98"/>
      <c r="I792" s="100"/>
      <c r="J792" s="100"/>
      <c r="K792" s="100"/>
      <c r="L792" s="101"/>
      <c r="M792" s="101"/>
      <c r="N792" s="112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</row>
    <row r="793" spans="1:29" ht="13">
      <c r="A793" s="115"/>
      <c r="B793" s="97"/>
      <c r="C793" s="115"/>
      <c r="D793" s="115"/>
      <c r="E793" s="115"/>
      <c r="F793" s="115"/>
      <c r="G793" s="99"/>
      <c r="H793" s="98"/>
      <c r="I793" s="100"/>
      <c r="J793" s="100"/>
      <c r="K793" s="100"/>
      <c r="L793" s="101"/>
      <c r="M793" s="101"/>
      <c r="N793" s="112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</row>
    <row r="794" spans="1:29" ht="13">
      <c r="A794" s="115"/>
      <c r="B794" s="97"/>
      <c r="C794" s="115"/>
      <c r="D794" s="115"/>
      <c r="E794" s="115"/>
      <c r="F794" s="115"/>
      <c r="G794" s="99"/>
      <c r="H794" s="98"/>
      <c r="I794" s="100"/>
      <c r="J794" s="100"/>
      <c r="K794" s="100"/>
      <c r="L794" s="101"/>
      <c r="M794" s="101"/>
      <c r="N794" s="112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</row>
    <row r="795" spans="1:29" ht="13">
      <c r="A795" s="115"/>
      <c r="B795" s="97"/>
      <c r="C795" s="115"/>
      <c r="D795" s="115"/>
      <c r="E795" s="115"/>
      <c r="F795" s="115"/>
      <c r="G795" s="99"/>
      <c r="H795" s="98"/>
      <c r="I795" s="100"/>
      <c r="J795" s="100"/>
      <c r="K795" s="100"/>
      <c r="L795" s="101"/>
      <c r="M795" s="101"/>
      <c r="N795" s="112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</row>
    <row r="796" spans="1:29" ht="13">
      <c r="A796" s="115"/>
      <c r="B796" s="97"/>
      <c r="C796" s="115"/>
      <c r="D796" s="115"/>
      <c r="E796" s="115"/>
      <c r="F796" s="115"/>
      <c r="G796" s="99"/>
      <c r="H796" s="98"/>
      <c r="I796" s="100"/>
      <c r="J796" s="100"/>
      <c r="K796" s="100"/>
      <c r="L796" s="101"/>
      <c r="M796" s="101"/>
      <c r="N796" s="112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</row>
    <row r="797" spans="1:29" ht="13">
      <c r="A797" s="115"/>
      <c r="B797" s="97"/>
      <c r="C797" s="115"/>
      <c r="D797" s="115"/>
      <c r="E797" s="115"/>
      <c r="F797" s="115"/>
      <c r="G797" s="99"/>
      <c r="H797" s="98"/>
      <c r="I797" s="100"/>
      <c r="J797" s="100"/>
      <c r="K797" s="100"/>
      <c r="L797" s="101"/>
      <c r="M797" s="101"/>
      <c r="N797" s="112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</row>
    <row r="798" spans="1:29" ht="13">
      <c r="A798" s="115"/>
      <c r="B798" s="97"/>
      <c r="C798" s="115"/>
      <c r="D798" s="115"/>
      <c r="E798" s="115"/>
      <c r="F798" s="115"/>
      <c r="G798" s="99"/>
      <c r="H798" s="98"/>
      <c r="I798" s="100"/>
      <c r="J798" s="100"/>
      <c r="K798" s="100"/>
      <c r="L798" s="101"/>
      <c r="M798" s="101"/>
      <c r="N798" s="112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</row>
    <row r="799" spans="1:29" ht="13">
      <c r="A799" s="115"/>
      <c r="B799" s="97"/>
      <c r="C799" s="115"/>
      <c r="D799" s="115"/>
      <c r="E799" s="115"/>
      <c r="F799" s="115"/>
      <c r="G799" s="99"/>
      <c r="H799" s="98"/>
      <c r="I799" s="100"/>
      <c r="J799" s="100"/>
      <c r="K799" s="100"/>
      <c r="L799" s="101"/>
      <c r="M799" s="101"/>
      <c r="N799" s="112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</row>
    <row r="800" spans="1:29" ht="13">
      <c r="A800" s="115"/>
      <c r="B800" s="97"/>
      <c r="C800" s="115"/>
      <c r="D800" s="115"/>
      <c r="E800" s="115"/>
      <c r="F800" s="115"/>
      <c r="G800" s="99"/>
      <c r="H800" s="98"/>
      <c r="I800" s="100"/>
      <c r="J800" s="100"/>
      <c r="K800" s="100"/>
      <c r="L800" s="101"/>
      <c r="M800" s="101"/>
      <c r="N800" s="112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</row>
    <row r="801" spans="1:29" ht="13">
      <c r="A801" s="115"/>
      <c r="B801" s="97"/>
      <c r="C801" s="115"/>
      <c r="D801" s="115"/>
      <c r="E801" s="115"/>
      <c r="F801" s="115"/>
      <c r="G801" s="99"/>
      <c r="H801" s="98"/>
      <c r="I801" s="100"/>
      <c r="J801" s="100"/>
      <c r="K801" s="100"/>
      <c r="L801" s="101"/>
      <c r="M801" s="101"/>
      <c r="N801" s="112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</row>
    <row r="802" spans="1:29" ht="13">
      <c r="A802" s="115"/>
      <c r="B802" s="97"/>
      <c r="C802" s="115"/>
      <c r="D802" s="115"/>
      <c r="E802" s="115"/>
      <c r="F802" s="115"/>
      <c r="G802" s="99"/>
      <c r="H802" s="98"/>
      <c r="I802" s="100"/>
      <c r="J802" s="100"/>
      <c r="K802" s="100"/>
      <c r="L802" s="101"/>
      <c r="M802" s="101"/>
      <c r="N802" s="112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</row>
    <row r="803" spans="1:29" ht="13">
      <c r="A803" s="115"/>
      <c r="B803" s="97"/>
      <c r="C803" s="115"/>
      <c r="D803" s="115"/>
      <c r="E803" s="115"/>
      <c r="F803" s="115"/>
      <c r="G803" s="99"/>
      <c r="H803" s="98"/>
      <c r="I803" s="100"/>
      <c r="J803" s="100"/>
      <c r="K803" s="100"/>
      <c r="L803" s="101"/>
      <c r="M803" s="101"/>
      <c r="N803" s="112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</row>
    <row r="804" spans="1:29" ht="13">
      <c r="A804" s="115"/>
      <c r="B804" s="97"/>
      <c r="C804" s="115"/>
      <c r="D804" s="115"/>
      <c r="E804" s="115"/>
      <c r="F804" s="115"/>
      <c r="G804" s="99"/>
      <c r="H804" s="98"/>
      <c r="I804" s="100"/>
      <c r="J804" s="100"/>
      <c r="K804" s="100"/>
      <c r="L804" s="101"/>
      <c r="M804" s="101"/>
      <c r="N804" s="112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</row>
    <row r="805" spans="1:29" ht="13">
      <c r="A805" s="115"/>
      <c r="B805" s="97"/>
      <c r="C805" s="115"/>
      <c r="D805" s="115"/>
      <c r="E805" s="115"/>
      <c r="F805" s="115"/>
      <c r="G805" s="99"/>
      <c r="H805" s="98"/>
      <c r="I805" s="100"/>
      <c r="J805" s="100"/>
      <c r="K805" s="100"/>
      <c r="L805" s="101"/>
      <c r="M805" s="101"/>
      <c r="N805" s="112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</row>
    <row r="806" spans="1:29" ht="13">
      <c r="A806" s="115"/>
      <c r="B806" s="97"/>
      <c r="C806" s="115"/>
      <c r="D806" s="115"/>
      <c r="E806" s="115"/>
      <c r="F806" s="115"/>
      <c r="G806" s="99"/>
      <c r="H806" s="98"/>
      <c r="I806" s="100"/>
      <c r="J806" s="100"/>
      <c r="K806" s="100"/>
      <c r="L806" s="101"/>
      <c r="M806" s="101"/>
      <c r="N806" s="112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</row>
    <row r="807" spans="1:29" ht="13">
      <c r="A807" s="115"/>
      <c r="B807" s="97"/>
      <c r="C807" s="115"/>
      <c r="D807" s="115"/>
      <c r="E807" s="115"/>
      <c r="F807" s="115"/>
      <c r="G807" s="99"/>
      <c r="H807" s="98"/>
      <c r="I807" s="100"/>
      <c r="J807" s="100"/>
      <c r="K807" s="100"/>
      <c r="L807" s="101"/>
      <c r="M807" s="101"/>
      <c r="N807" s="112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</row>
    <row r="808" spans="1:29" ht="13">
      <c r="A808" s="115"/>
      <c r="B808" s="97"/>
      <c r="C808" s="115"/>
      <c r="D808" s="115"/>
      <c r="E808" s="115"/>
      <c r="F808" s="115"/>
      <c r="G808" s="99"/>
      <c r="H808" s="98"/>
      <c r="I808" s="100"/>
      <c r="J808" s="100"/>
      <c r="K808" s="100"/>
      <c r="L808" s="101"/>
      <c r="M808" s="101"/>
      <c r="N808" s="112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</row>
    <row r="809" spans="1:29" ht="13">
      <c r="A809" s="115"/>
      <c r="B809" s="97"/>
      <c r="C809" s="115"/>
      <c r="D809" s="115"/>
      <c r="E809" s="115"/>
      <c r="F809" s="115"/>
      <c r="G809" s="99"/>
      <c r="H809" s="98"/>
      <c r="I809" s="100"/>
      <c r="J809" s="100"/>
      <c r="K809" s="100"/>
      <c r="L809" s="101"/>
      <c r="M809" s="101"/>
      <c r="N809" s="112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</row>
    <row r="810" spans="1:29" ht="13">
      <c r="A810" s="115"/>
      <c r="B810" s="97"/>
      <c r="C810" s="115"/>
      <c r="D810" s="115"/>
      <c r="E810" s="115"/>
      <c r="F810" s="115"/>
      <c r="G810" s="99"/>
      <c r="H810" s="98"/>
      <c r="I810" s="100"/>
      <c r="J810" s="100"/>
      <c r="K810" s="100"/>
      <c r="L810" s="101"/>
      <c r="M810" s="101"/>
      <c r="N810" s="112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</row>
    <row r="811" spans="1:29" ht="13">
      <c r="A811" s="115"/>
      <c r="B811" s="97"/>
      <c r="C811" s="115"/>
      <c r="D811" s="115"/>
      <c r="E811" s="115"/>
      <c r="F811" s="115"/>
      <c r="G811" s="99"/>
      <c r="H811" s="98"/>
      <c r="I811" s="100"/>
      <c r="J811" s="100"/>
      <c r="K811" s="100"/>
      <c r="L811" s="101"/>
      <c r="M811" s="101"/>
      <c r="N811" s="112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</row>
    <row r="812" spans="1:29" ht="13">
      <c r="A812" s="115"/>
      <c r="B812" s="97"/>
      <c r="C812" s="115"/>
      <c r="D812" s="115"/>
      <c r="E812" s="115"/>
      <c r="F812" s="115"/>
      <c r="G812" s="99"/>
      <c r="H812" s="98"/>
      <c r="I812" s="100"/>
      <c r="J812" s="100"/>
      <c r="K812" s="100"/>
      <c r="L812" s="101"/>
      <c r="M812" s="101"/>
      <c r="N812" s="112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</row>
    <row r="813" spans="1:29" ht="13">
      <c r="A813" s="115"/>
      <c r="B813" s="97"/>
      <c r="C813" s="115"/>
      <c r="D813" s="115"/>
      <c r="E813" s="115"/>
      <c r="F813" s="115"/>
      <c r="G813" s="99"/>
      <c r="H813" s="98"/>
      <c r="I813" s="100"/>
      <c r="J813" s="100"/>
      <c r="K813" s="100"/>
      <c r="L813" s="101"/>
      <c r="M813" s="101"/>
      <c r="N813" s="112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</row>
    <row r="814" spans="1:29" ht="13">
      <c r="A814" s="115"/>
      <c r="B814" s="97"/>
      <c r="C814" s="115"/>
      <c r="D814" s="115"/>
      <c r="E814" s="115"/>
      <c r="F814" s="115"/>
      <c r="G814" s="99"/>
      <c r="H814" s="98"/>
      <c r="I814" s="100"/>
      <c r="J814" s="100"/>
      <c r="K814" s="100"/>
      <c r="L814" s="101"/>
      <c r="M814" s="101"/>
      <c r="N814" s="112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</row>
    <row r="815" spans="1:29" ht="13">
      <c r="A815" s="115"/>
      <c r="B815" s="97"/>
      <c r="C815" s="115"/>
      <c r="D815" s="115"/>
      <c r="E815" s="115"/>
      <c r="F815" s="115"/>
      <c r="G815" s="99"/>
      <c r="H815" s="98"/>
      <c r="I815" s="100"/>
      <c r="J815" s="100"/>
      <c r="K815" s="100"/>
      <c r="L815" s="101"/>
      <c r="M815" s="101"/>
      <c r="N815" s="112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</row>
    <row r="816" spans="1:29" ht="13">
      <c r="A816" s="115"/>
      <c r="B816" s="97"/>
      <c r="C816" s="115"/>
      <c r="D816" s="115"/>
      <c r="E816" s="115"/>
      <c r="F816" s="115"/>
      <c r="G816" s="99"/>
      <c r="H816" s="98"/>
      <c r="I816" s="100"/>
      <c r="J816" s="100"/>
      <c r="K816" s="100"/>
      <c r="L816" s="101"/>
      <c r="M816" s="101"/>
      <c r="N816" s="112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</row>
    <row r="817" spans="1:29" ht="13">
      <c r="A817" s="115"/>
      <c r="B817" s="97"/>
      <c r="C817" s="115"/>
      <c r="D817" s="115"/>
      <c r="E817" s="115"/>
      <c r="F817" s="115"/>
      <c r="G817" s="99"/>
      <c r="H817" s="98"/>
      <c r="I817" s="100"/>
      <c r="J817" s="100"/>
      <c r="K817" s="100"/>
      <c r="L817" s="101"/>
      <c r="M817" s="101"/>
      <c r="N817" s="112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</row>
    <row r="818" spans="1:29" ht="13">
      <c r="A818" s="115"/>
      <c r="B818" s="97"/>
      <c r="C818" s="115"/>
      <c r="D818" s="115"/>
      <c r="E818" s="115"/>
      <c r="F818" s="115"/>
      <c r="G818" s="99"/>
      <c r="H818" s="98"/>
      <c r="I818" s="100"/>
      <c r="J818" s="100"/>
      <c r="K818" s="100"/>
      <c r="L818" s="101"/>
      <c r="M818" s="101"/>
      <c r="N818" s="112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</row>
    <row r="819" spans="1:29" ht="13">
      <c r="A819" s="115"/>
      <c r="B819" s="97"/>
      <c r="C819" s="115"/>
      <c r="D819" s="115"/>
      <c r="E819" s="115"/>
      <c r="F819" s="115"/>
      <c r="G819" s="99"/>
      <c r="H819" s="98"/>
      <c r="I819" s="100"/>
      <c r="J819" s="100"/>
      <c r="K819" s="100"/>
      <c r="L819" s="101"/>
      <c r="M819" s="101"/>
      <c r="N819" s="112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</row>
    <row r="820" spans="1:29" ht="13">
      <c r="A820" s="115"/>
      <c r="B820" s="97"/>
      <c r="C820" s="115"/>
      <c r="D820" s="115"/>
      <c r="E820" s="115"/>
      <c r="F820" s="115"/>
      <c r="G820" s="99"/>
      <c r="H820" s="98"/>
      <c r="I820" s="100"/>
      <c r="J820" s="100"/>
      <c r="K820" s="100"/>
      <c r="L820" s="101"/>
      <c r="M820" s="101"/>
      <c r="N820" s="112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</row>
    <row r="821" spans="1:29" ht="13">
      <c r="A821" s="115"/>
      <c r="B821" s="97"/>
      <c r="C821" s="115"/>
      <c r="D821" s="115"/>
      <c r="E821" s="115"/>
      <c r="F821" s="115"/>
      <c r="G821" s="99"/>
      <c r="H821" s="98"/>
      <c r="I821" s="100"/>
      <c r="J821" s="100"/>
      <c r="K821" s="100"/>
      <c r="L821" s="101"/>
      <c r="M821" s="101"/>
      <c r="N821" s="112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</row>
    <row r="822" spans="1:29" ht="13">
      <c r="A822" s="115"/>
      <c r="B822" s="97"/>
      <c r="C822" s="115"/>
      <c r="D822" s="115"/>
      <c r="E822" s="115"/>
      <c r="F822" s="115"/>
      <c r="G822" s="99"/>
      <c r="H822" s="98"/>
      <c r="I822" s="100"/>
      <c r="J822" s="100"/>
      <c r="K822" s="100"/>
      <c r="L822" s="101"/>
      <c r="M822" s="101"/>
      <c r="N822" s="112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</row>
    <row r="823" spans="1:29" ht="13">
      <c r="A823" s="115"/>
      <c r="B823" s="97"/>
      <c r="C823" s="115"/>
      <c r="D823" s="115"/>
      <c r="E823" s="115"/>
      <c r="F823" s="115"/>
      <c r="G823" s="99"/>
      <c r="H823" s="98"/>
      <c r="I823" s="100"/>
      <c r="J823" s="100"/>
      <c r="K823" s="100"/>
      <c r="L823" s="101"/>
      <c r="M823" s="101"/>
      <c r="N823" s="112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</row>
    <row r="824" spans="1:29" ht="13">
      <c r="A824" s="115"/>
      <c r="B824" s="97"/>
      <c r="C824" s="115"/>
      <c r="D824" s="115"/>
      <c r="E824" s="115"/>
      <c r="F824" s="115"/>
      <c r="G824" s="99"/>
      <c r="H824" s="98"/>
      <c r="I824" s="100"/>
      <c r="J824" s="100"/>
      <c r="K824" s="100"/>
      <c r="L824" s="101"/>
      <c r="M824" s="101"/>
      <c r="N824" s="112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</row>
    <row r="825" spans="1:29" ht="13">
      <c r="A825" s="115"/>
      <c r="B825" s="97"/>
      <c r="C825" s="115"/>
      <c r="D825" s="115"/>
      <c r="E825" s="115"/>
      <c r="F825" s="115"/>
      <c r="G825" s="99"/>
      <c r="H825" s="98"/>
      <c r="I825" s="100"/>
      <c r="J825" s="100"/>
      <c r="K825" s="100"/>
      <c r="L825" s="101"/>
      <c r="M825" s="101"/>
      <c r="N825" s="112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</row>
    <row r="826" spans="1:29" ht="13">
      <c r="A826" s="115"/>
      <c r="B826" s="97"/>
      <c r="C826" s="115"/>
      <c r="D826" s="115"/>
      <c r="E826" s="115"/>
      <c r="F826" s="115"/>
      <c r="G826" s="99"/>
      <c r="H826" s="98"/>
      <c r="I826" s="100"/>
      <c r="J826" s="100"/>
      <c r="K826" s="100"/>
      <c r="L826" s="101"/>
      <c r="M826" s="101"/>
      <c r="N826" s="112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</row>
    <row r="827" spans="1:29" ht="13">
      <c r="A827" s="115"/>
      <c r="B827" s="97"/>
      <c r="C827" s="115"/>
      <c r="D827" s="115"/>
      <c r="E827" s="115"/>
      <c r="F827" s="115"/>
      <c r="G827" s="99"/>
      <c r="H827" s="98"/>
      <c r="I827" s="100"/>
      <c r="J827" s="100"/>
      <c r="K827" s="100"/>
      <c r="L827" s="101"/>
      <c r="M827" s="101"/>
      <c r="N827" s="112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</row>
    <row r="828" spans="1:29" ht="13">
      <c r="A828" s="115"/>
      <c r="B828" s="97"/>
      <c r="C828" s="115"/>
      <c r="D828" s="115"/>
      <c r="E828" s="115"/>
      <c r="F828" s="115"/>
      <c r="G828" s="99"/>
      <c r="H828" s="98"/>
      <c r="I828" s="100"/>
      <c r="J828" s="100"/>
      <c r="K828" s="100"/>
      <c r="L828" s="101"/>
      <c r="M828" s="101"/>
      <c r="N828" s="112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</row>
    <row r="829" spans="1:29" ht="13">
      <c r="A829" s="115"/>
      <c r="B829" s="97"/>
      <c r="C829" s="115"/>
      <c r="D829" s="115"/>
      <c r="E829" s="115"/>
      <c r="F829" s="115"/>
      <c r="G829" s="99"/>
      <c r="H829" s="98"/>
      <c r="I829" s="100"/>
      <c r="J829" s="100"/>
      <c r="K829" s="100"/>
      <c r="L829" s="101"/>
      <c r="M829" s="101"/>
      <c r="N829" s="112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</row>
    <row r="830" spans="1:29" ht="13">
      <c r="A830" s="115"/>
      <c r="B830" s="97"/>
      <c r="C830" s="115"/>
      <c r="D830" s="115"/>
      <c r="E830" s="115"/>
      <c r="F830" s="115"/>
      <c r="G830" s="99"/>
      <c r="H830" s="98"/>
      <c r="I830" s="100"/>
      <c r="J830" s="100"/>
      <c r="K830" s="100"/>
      <c r="L830" s="101"/>
      <c r="M830" s="101"/>
      <c r="N830" s="112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</row>
    <row r="831" spans="1:29" ht="13">
      <c r="A831" s="115"/>
      <c r="B831" s="97"/>
      <c r="C831" s="115"/>
      <c r="D831" s="115"/>
      <c r="E831" s="115"/>
      <c r="F831" s="115"/>
      <c r="G831" s="99"/>
      <c r="H831" s="98"/>
      <c r="I831" s="100"/>
      <c r="J831" s="100"/>
      <c r="K831" s="100"/>
      <c r="L831" s="101"/>
      <c r="M831" s="101"/>
      <c r="N831" s="112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</row>
    <row r="832" spans="1:29" ht="13">
      <c r="A832" s="115"/>
      <c r="B832" s="97"/>
      <c r="C832" s="115"/>
      <c r="D832" s="115"/>
      <c r="E832" s="115"/>
      <c r="F832" s="115"/>
      <c r="G832" s="99"/>
      <c r="H832" s="98"/>
      <c r="I832" s="100"/>
      <c r="J832" s="100"/>
      <c r="K832" s="100"/>
      <c r="L832" s="101"/>
      <c r="M832" s="101"/>
      <c r="N832" s="112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</row>
    <row r="833" spans="1:29" ht="13">
      <c r="A833" s="115"/>
      <c r="B833" s="97"/>
      <c r="C833" s="115"/>
      <c r="D833" s="115"/>
      <c r="E833" s="115"/>
      <c r="F833" s="115"/>
      <c r="G833" s="99"/>
      <c r="H833" s="98"/>
      <c r="I833" s="100"/>
      <c r="J833" s="100"/>
      <c r="K833" s="100"/>
      <c r="L833" s="101"/>
      <c r="M833" s="101"/>
      <c r="N833" s="112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</row>
    <row r="834" spans="1:29" ht="13">
      <c r="A834" s="115"/>
      <c r="B834" s="97"/>
      <c r="C834" s="115"/>
      <c r="D834" s="115"/>
      <c r="E834" s="115"/>
      <c r="F834" s="115"/>
      <c r="G834" s="99"/>
      <c r="H834" s="98"/>
      <c r="I834" s="100"/>
      <c r="J834" s="100"/>
      <c r="K834" s="100"/>
      <c r="L834" s="101"/>
      <c r="M834" s="101"/>
      <c r="N834" s="112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</row>
    <row r="835" spans="1:29" ht="13">
      <c r="A835" s="115"/>
      <c r="B835" s="97"/>
      <c r="C835" s="115"/>
      <c r="D835" s="115"/>
      <c r="E835" s="115"/>
      <c r="F835" s="115"/>
      <c r="G835" s="99"/>
      <c r="H835" s="98"/>
      <c r="I835" s="100"/>
      <c r="J835" s="100"/>
      <c r="K835" s="100"/>
      <c r="L835" s="101"/>
      <c r="M835" s="101"/>
      <c r="N835" s="112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</row>
    <row r="836" spans="1:29" ht="13">
      <c r="A836" s="115"/>
      <c r="B836" s="97"/>
      <c r="C836" s="115"/>
      <c r="D836" s="115"/>
      <c r="E836" s="115"/>
      <c r="F836" s="115"/>
      <c r="G836" s="99"/>
      <c r="H836" s="98"/>
      <c r="I836" s="100"/>
      <c r="J836" s="100"/>
      <c r="K836" s="100"/>
      <c r="L836" s="101"/>
      <c r="M836" s="101"/>
      <c r="N836" s="112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</row>
    <row r="837" spans="1:29" ht="13">
      <c r="A837" s="115"/>
      <c r="B837" s="97"/>
      <c r="C837" s="115"/>
      <c r="D837" s="115"/>
      <c r="E837" s="115"/>
      <c r="F837" s="115"/>
      <c r="G837" s="99"/>
      <c r="H837" s="98"/>
      <c r="I837" s="100"/>
      <c r="J837" s="100"/>
      <c r="K837" s="100"/>
      <c r="L837" s="101"/>
      <c r="M837" s="101"/>
      <c r="N837" s="112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</row>
    <row r="838" spans="1:29" ht="13">
      <c r="A838" s="115"/>
      <c r="B838" s="97"/>
      <c r="C838" s="115"/>
      <c r="D838" s="115"/>
      <c r="E838" s="115"/>
      <c r="F838" s="115"/>
      <c r="G838" s="99"/>
      <c r="H838" s="98"/>
      <c r="I838" s="100"/>
      <c r="J838" s="100"/>
      <c r="K838" s="100"/>
      <c r="L838" s="101"/>
      <c r="M838" s="101"/>
      <c r="N838" s="112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</row>
    <row r="839" spans="1:29" ht="13">
      <c r="A839" s="115"/>
      <c r="B839" s="97"/>
      <c r="C839" s="115"/>
      <c r="D839" s="115"/>
      <c r="E839" s="115"/>
      <c r="F839" s="115"/>
      <c r="G839" s="99"/>
      <c r="H839" s="98"/>
      <c r="I839" s="100"/>
      <c r="J839" s="100"/>
      <c r="K839" s="100"/>
      <c r="L839" s="101"/>
      <c r="M839" s="101"/>
      <c r="N839" s="112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</row>
    <row r="840" spans="1:29" ht="13">
      <c r="A840" s="115"/>
      <c r="B840" s="97"/>
      <c r="C840" s="115"/>
      <c r="D840" s="115"/>
      <c r="E840" s="115"/>
      <c r="F840" s="115"/>
      <c r="G840" s="99"/>
      <c r="H840" s="98"/>
      <c r="I840" s="100"/>
      <c r="J840" s="100"/>
      <c r="K840" s="100"/>
      <c r="L840" s="101"/>
      <c r="M840" s="101"/>
      <c r="N840" s="112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</row>
    <row r="841" spans="1:29" ht="13">
      <c r="A841" s="115"/>
      <c r="B841" s="97"/>
      <c r="C841" s="115"/>
      <c r="D841" s="115"/>
      <c r="E841" s="115"/>
      <c r="F841" s="115"/>
      <c r="G841" s="99"/>
      <c r="H841" s="98"/>
      <c r="I841" s="100"/>
      <c r="J841" s="100"/>
      <c r="K841" s="100"/>
      <c r="L841" s="101"/>
      <c r="M841" s="101"/>
      <c r="N841" s="112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</row>
    <row r="842" spans="1:29" ht="13">
      <c r="A842" s="115"/>
      <c r="B842" s="97"/>
      <c r="C842" s="115"/>
      <c r="D842" s="115"/>
      <c r="E842" s="115"/>
      <c r="F842" s="115"/>
      <c r="G842" s="99"/>
      <c r="H842" s="98"/>
      <c r="I842" s="100"/>
      <c r="J842" s="100"/>
      <c r="K842" s="100"/>
      <c r="L842" s="101"/>
      <c r="M842" s="101"/>
      <c r="N842" s="112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</row>
    <row r="843" spans="1:29" ht="13">
      <c r="A843" s="115"/>
      <c r="B843" s="97"/>
      <c r="C843" s="115"/>
      <c r="D843" s="115"/>
      <c r="E843" s="115"/>
      <c r="F843" s="115"/>
      <c r="G843" s="99"/>
      <c r="H843" s="98"/>
      <c r="I843" s="100"/>
      <c r="J843" s="100"/>
      <c r="K843" s="100"/>
      <c r="L843" s="101"/>
      <c r="M843" s="101"/>
      <c r="N843" s="112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</row>
    <row r="844" spans="1:29" ht="13">
      <c r="A844" s="115"/>
      <c r="B844" s="97"/>
      <c r="C844" s="115"/>
      <c r="D844" s="115"/>
      <c r="E844" s="115"/>
      <c r="F844" s="115"/>
      <c r="G844" s="99"/>
      <c r="H844" s="98"/>
      <c r="I844" s="100"/>
      <c r="J844" s="100"/>
      <c r="K844" s="100"/>
      <c r="L844" s="101"/>
      <c r="M844" s="101"/>
      <c r="N844" s="112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</row>
    <row r="845" spans="1:29" ht="13">
      <c r="A845" s="115"/>
      <c r="B845" s="97"/>
      <c r="C845" s="115"/>
      <c r="D845" s="115"/>
      <c r="E845" s="115"/>
      <c r="F845" s="115"/>
      <c r="G845" s="99"/>
      <c r="H845" s="98"/>
      <c r="I845" s="100"/>
      <c r="J845" s="100"/>
      <c r="K845" s="100"/>
      <c r="L845" s="101"/>
      <c r="M845" s="101"/>
      <c r="N845" s="112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</row>
    <row r="846" spans="1:29" ht="13">
      <c r="A846" s="115"/>
      <c r="B846" s="97"/>
      <c r="C846" s="115"/>
      <c r="D846" s="115"/>
      <c r="E846" s="115"/>
      <c r="F846" s="115"/>
      <c r="G846" s="99"/>
      <c r="H846" s="98"/>
      <c r="I846" s="100"/>
      <c r="J846" s="100"/>
      <c r="K846" s="100"/>
      <c r="L846" s="101"/>
      <c r="M846" s="101"/>
      <c r="N846" s="112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</row>
    <row r="847" spans="1:29" ht="13">
      <c r="A847" s="115"/>
      <c r="B847" s="97"/>
      <c r="C847" s="115"/>
      <c r="D847" s="115"/>
      <c r="E847" s="115"/>
      <c r="F847" s="115"/>
      <c r="G847" s="99"/>
      <c r="H847" s="98"/>
      <c r="I847" s="100"/>
      <c r="J847" s="100"/>
      <c r="K847" s="100"/>
      <c r="L847" s="101"/>
      <c r="M847" s="101"/>
      <c r="N847" s="112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</row>
    <row r="848" spans="1:29" ht="13">
      <c r="A848" s="115"/>
      <c r="B848" s="97"/>
      <c r="C848" s="115"/>
      <c r="D848" s="115"/>
      <c r="E848" s="115"/>
      <c r="F848" s="115"/>
      <c r="G848" s="99"/>
      <c r="H848" s="98"/>
      <c r="I848" s="100"/>
      <c r="J848" s="100"/>
      <c r="K848" s="100"/>
      <c r="L848" s="101"/>
      <c r="M848" s="101"/>
      <c r="N848" s="112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</row>
    <row r="849" spans="1:29" ht="13">
      <c r="A849" s="115"/>
      <c r="B849" s="97"/>
      <c r="C849" s="115"/>
      <c r="D849" s="115"/>
      <c r="E849" s="115"/>
      <c r="F849" s="115"/>
      <c r="G849" s="99"/>
      <c r="H849" s="98"/>
      <c r="I849" s="100"/>
      <c r="J849" s="100"/>
      <c r="K849" s="100"/>
      <c r="L849" s="101"/>
      <c r="M849" s="101"/>
      <c r="N849" s="112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</row>
    <row r="850" spans="1:29" ht="13">
      <c r="A850" s="115"/>
      <c r="B850" s="97"/>
      <c r="C850" s="115"/>
      <c r="D850" s="115"/>
      <c r="E850" s="115"/>
      <c r="F850" s="115"/>
      <c r="G850" s="99"/>
      <c r="H850" s="98"/>
      <c r="I850" s="100"/>
      <c r="J850" s="100"/>
      <c r="K850" s="100"/>
      <c r="L850" s="101"/>
      <c r="M850" s="101"/>
      <c r="N850" s="112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</row>
    <row r="851" spans="1:29" ht="13">
      <c r="A851" s="115"/>
      <c r="B851" s="97"/>
      <c r="C851" s="115"/>
      <c r="D851" s="115"/>
      <c r="E851" s="115"/>
      <c r="F851" s="115"/>
      <c r="G851" s="99"/>
      <c r="H851" s="98"/>
      <c r="I851" s="100"/>
      <c r="J851" s="100"/>
      <c r="K851" s="100"/>
      <c r="L851" s="101"/>
      <c r="M851" s="101"/>
      <c r="N851" s="112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</row>
    <row r="852" spans="1:29" ht="13">
      <c r="A852" s="115"/>
      <c r="B852" s="97"/>
      <c r="C852" s="115"/>
      <c r="D852" s="115"/>
      <c r="E852" s="115"/>
      <c r="F852" s="115"/>
      <c r="G852" s="99"/>
      <c r="H852" s="98"/>
      <c r="I852" s="100"/>
      <c r="J852" s="100"/>
      <c r="K852" s="100"/>
      <c r="L852" s="101"/>
      <c r="M852" s="101"/>
      <c r="N852" s="112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</row>
    <row r="853" spans="1:29" ht="13">
      <c r="A853" s="115"/>
      <c r="B853" s="97"/>
      <c r="C853" s="115"/>
      <c r="D853" s="115"/>
      <c r="E853" s="115"/>
      <c r="F853" s="115"/>
      <c r="G853" s="99"/>
      <c r="H853" s="98"/>
      <c r="I853" s="100"/>
      <c r="J853" s="100"/>
      <c r="K853" s="100"/>
      <c r="L853" s="101"/>
      <c r="M853" s="101"/>
      <c r="N853" s="112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</row>
    <row r="854" spans="1:29" ht="13">
      <c r="A854" s="115"/>
      <c r="B854" s="97"/>
      <c r="C854" s="115"/>
      <c r="D854" s="115"/>
      <c r="E854" s="115"/>
      <c r="F854" s="115"/>
      <c r="G854" s="99"/>
      <c r="H854" s="98"/>
      <c r="I854" s="100"/>
      <c r="J854" s="100"/>
      <c r="K854" s="100"/>
      <c r="L854" s="101"/>
      <c r="M854" s="101"/>
      <c r="N854" s="112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</row>
    <row r="855" spans="1:29" ht="13">
      <c r="A855" s="115"/>
      <c r="B855" s="97"/>
      <c r="C855" s="115"/>
      <c r="D855" s="115"/>
      <c r="E855" s="115"/>
      <c r="F855" s="115"/>
      <c r="G855" s="99"/>
      <c r="H855" s="98"/>
      <c r="I855" s="100"/>
      <c r="J855" s="100"/>
      <c r="K855" s="100"/>
      <c r="L855" s="101"/>
      <c r="M855" s="101"/>
      <c r="N855" s="112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</row>
    <row r="856" spans="1:29" ht="13">
      <c r="A856" s="115"/>
      <c r="B856" s="97"/>
      <c r="C856" s="115"/>
      <c r="D856" s="115"/>
      <c r="E856" s="115"/>
      <c r="F856" s="115"/>
      <c r="G856" s="99"/>
      <c r="H856" s="98"/>
      <c r="I856" s="100"/>
      <c r="J856" s="100"/>
      <c r="K856" s="100"/>
      <c r="L856" s="101"/>
      <c r="M856" s="101"/>
      <c r="N856" s="112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</row>
    <row r="857" spans="1:29" ht="13">
      <c r="A857" s="115"/>
      <c r="B857" s="97"/>
      <c r="C857" s="115"/>
      <c r="D857" s="115"/>
      <c r="E857" s="115"/>
      <c r="F857" s="115"/>
      <c r="G857" s="99"/>
      <c r="H857" s="98"/>
      <c r="I857" s="100"/>
      <c r="J857" s="100"/>
      <c r="K857" s="100"/>
      <c r="L857" s="101"/>
      <c r="M857" s="101"/>
      <c r="N857" s="112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</row>
    <row r="858" spans="1:29" ht="13">
      <c r="A858" s="115"/>
      <c r="B858" s="97"/>
      <c r="C858" s="115"/>
      <c r="D858" s="115"/>
      <c r="E858" s="115"/>
      <c r="F858" s="115"/>
      <c r="G858" s="99"/>
      <c r="H858" s="98"/>
      <c r="I858" s="100"/>
      <c r="J858" s="100"/>
      <c r="K858" s="100"/>
      <c r="L858" s="101"/>
      <c r="M858" s="101"/>
      <c r="N858" s="112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</row>
    <row r="859" spans="1:29" ht="13">
      <c r="A859" s="115"/>
      <c r="B859" s="97"/>
      <c r="C859" s="115"/>
      <c r="D859" s="115"/>
      <c r="E859" s="115"/>
      <c r="F859" s="115"/>
      <c r="G859" s="99"/>
      <c r="H859" s="98"/>
      <c r="I859" s="100"/>
      <c r="J859" s="100"/>
      <c r="K859" s="100"/>
      <c r="L859" s="101"/>
      <c r="M859" s="101"/>
      <c r="N859" s="112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</row>
    <row r="860" spans="1:29" ht="13">
      <c r="A860" s="115"/>
      <c r="B860" s="97"/>
      <c r="C860" s="115"/>
      <c r="D860" s="115"/>
      <c r="E860" s="115"/>
      <c r="F860" s="115"/>
      <c r="G860" s="99"/>
      <c r="H860" s="98"/>
      <c r="I860" s="100"/>
      <c r="J860" s="100"/>
      <c r="K860" s="100"/>
      <c r="L860" s="101"/>
      <c r="M860" s="101"/>
      <c r="N860" s="112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</row>
    <row r="861" spans="1:29" ht="13">
      <c r="A861" s="115"/>
      <c r="B861" s="97"/>
      <c r="C861" s="115"/>
      <c r="D861" s="115"/>
      <c r="E861" s="115"/>
      <c r="F861" s="115"/>
      <c r="G861" s="99"/>
      <c r="H861" s="98"/>
      <c r="I861" s="100"/>
      <c r="J861" s="100"/>
      <c r="K861" s="100"/>
      <c r="L861" s="101"/>
      <c r="M861" s="101"/>
      <c r="N861" s="112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</row>
    <row r="862" spans="1:29" ht="13">
      <c r="A862" s="115"/>
      <c r="B862" s="97"/>
      <c r="C862" s="115"/>
      <c r="D862" s="115"/>
      <c r="E862" s="115"/>
      <c r="F862" s="115"/>
      <c r="G862" s="99"/>
      <c r="H862" s="98"/>
      <c r="I862" s="100"/>
      <c r="J862" s="100"/>
      <c r="K862" s="100"/>
      <c r="L862" s="101"/>
      <c r="M862" s="101"/>
      <c r="N862" s="112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</row>
    <row r="863" spans="1:29" ht="13">
      <c r="A863" s="115"/>
      <c r="B863" s="97"/>
      <c r="C863" s="115"/>
      <c r="D863" s="115"/>
      <c r="E863" s="115"/>
      <c r="F863" s="115"/>
      <c r="G863" s="99"/>
      <c r="H863" s="98"/>
      <c r="I863" s="100"/>
      <c r="J863" s="100"/>
      <c r="K863" s="100"/>
      <c r="L863" s="101"/>
      <c r="M863" s="101"/>
      <c r="N863" s="112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</row>
    <row r="864" spans="1:29" ht="13">
      <c r="A864" s="115"/>
      <c r="B864" s="97"/>
      <c r="C864" s="115"/>
      <c r="D864" s="115"/>
      <c r="E864" s="115"/>
      <c r="F864" s="115"/>
      <c r="G864" s="99"/>
      <c r="H864" s="98"/>
      <c r="I864" s="100"/>
      <c r="J864" s="100"/>
      <c r="K864" s="100"/>
      <c r="L864" s="101"/>
      <c r="M864" s="101"/>
      <c r="N864" s="112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</row>
    <row r="865" spans="1:29" ht="13">
      <c r="A865" s="115"/>
      <c r="B865" s="97"/>
      <c r="C865" s="115"/>
      <c r="D865" s="115"/>
      <c r="E865" s="115"/>
      <c r="F865" s="115"/>
      <c r="G865" s="99"/>
      <c r="H865" s="98"/>
      <c r="I865" s="100"/>
      <c r="J865" s="100"/>
      <c r="K865" s="100"/>
      <c r="L865" s="101"/>
      <c r="M865" s="101"/>
      <c r="N865" s="112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</row>
    <row r="866" spans="1:29" ht="13">
      <c r="A866" s="115"/>
      <c r="B866" s="97"/>
      <c r="C866" s="115"/>
      <c r="D866" s="115"/>
      <c r="E866" s="115"/>
      <c r="F866" s="115"/>
      <c r="G866" s="99"/>
      <c r="H866" s="98"/>
      <c r="I866" s="100"/>
      <c r="J866" s="100"/>
      <c r="K866" s="100"/>
      <c r="L866" s="101"/>
      <c r="M866" s="101"/>
      <c r="N866" s="112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</row>
    <row r="867" spans="1:29" ht="13">
      <c r="A867" s="115"/>
      <c r="B867" s="97"/>
      <c r="C867" s="115"/>
      <c r="D867" s="115"/>
      <c r="E867" s="115"/>
      <c r="F867" s="115"/>
      <c r="G867" s="99"/>
      <c r="H867" s="98"/>
      <c r="I867" s="100"/>
      <c r="J867" s="100"/>
      <c r="K867" s="100"/>
      <c r="L867" s="101"/>
      <c r="M867" s="101"/>
      <c r="N867" s="112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</row>
    <row r="868" spans="1:29" ht="13">
      <c r="A868" s="115"/>
      <c r="B868" s="97"/>
      <c r="C868" s="115"/>
      <c r="D868" s="115"/>
      <c r="E868" s="115"/>
      <c r="F868" s="115"/>
      <c r="G868" s="99"/>
      <c r="H868" s="98"/>
      <c r="I868" s="100"/>
      <c r="J868" s="100"/>
      <c r="K868" s="100"/>
      <c r="L868" s="101"/>
      <c r="M868" s="101"/>
      <c r="N868" s="112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</row>
    <row r="869" spans="1:29" ht="13">
      <c r="A869" s="115"/>
      <c r="B869" s="97"/>
      <c r="C869" s="115"/>
      <c r="D869" s="115"/>
      <c r="E869" s="115"/>
      <c r="F869" s="115"/>
      <c r="G869" s="99"/>
      <c r="H869" s="98"/>
      <c r="I869" s="100"/>
      <c r="J869" s="100"/>
      <c r="K869" s="100"/>
      <c r="L869" s="101"/>
      <c r="M869" s="101"/>
      <c r="N869" s="112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</row>
    <row r="870" spans="1:29" ht="13">
      <c r="A870" s="115"/>
      <c r="B870" s="97"/>
      <c r="C870" s="115"/>
      <c r="D870" s="115"/>
      <c r="E870" s="115"/>
      <c r="F870" s="115"/>
      <c r="G870" s="99"/>
      <c r="H870" s="98"/>
      <c r="I870" s="100"/>
      <c r="J870" s="100"/>
      <c r="K870" s="100"/>
      <c r="L870" s="101"/>
      <c r="M870" s="101"/>
      <c r="N870" s="112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</row>
    <row r="871" spans="1:29" ht="13">
      <c r="A871" s="115"/>
      <c r="B871" s="97"/>
      <c r="C871" s="115"/>
      <c r="D871" s="115"/>
      <c r="E871" s="115"/>
      <c r="F871" s="115"/>
      <c r="G871" s="99"/>
      <c r="H871" s="98"/>
      <c r="I871" s="100"/>
      <c r="J871" s="100"/>
      <c r="K871" s="100"/>
      <c r="L871" s="101"/>
      <c r="M871" s="101"/>
      <c r="N871" s="112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</row>
    <row r="872" spans="1:29" ht="13">
      <c r="A872" s="115"/>
      <c r="B872" s="97"/>
      <c r="C872" s="115"/>
      <c r="D872" s="115"/>
      <c r="E872" s="115"/>
      <c r="F872" s="115"/>
      <c r="G872" s="99"/>
      <c r="H872" s="98"/>
      <c r="I872" s="100"/>
      <c r="J872" s="100"/>
      <c r="K872" s="100"/>
      <c r="L872" s="101"/>
      <c r="M872" s="101"/>
      <c r="N872" s="112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</row>
    <row r="873" spans="1:29" ht="13">
      <c r="A873" s="115"/>
      <c r="B873" s="97"/>
      <c r="C873" s="115"/>
      <c r="D873" s="115"/>
      <c r="E873" s="115"/>
      <c r="F873" s="115"/>
      <c r="G873" s="99"/>
      <c r="H873" s="98"/>
      <c r="I873" s="100"/>
      <c r="J873" s="100"/>
      <c r="K873" s="100"/>
      <c r="L873" s="101"/>
      <c r="M873" s="101"/>
      <c r="N873" s="112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</row>
    <row r="874" spans="1:29" ht="13">
      <c r="A874" s="115"/>
      <c r="B874" s="97"/>
      <c r="C874" s="115"/>
      <c r="D874" s="115"/>
      <c r="E874" s="115"/>
      <c r="F874" s="115"/>
      <c r="G874" s="99"/>
      <c r="H874" s="98"/>
      <c r="I874" s="100"/>
      <c r="J874" s="100"/>
      <c r="K874" s="100"/>
      <c r="L874" s="101"/>
      <c r="M874" s="101"/>
      <c r="N874" s="112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</row>
    <row r="875" spans="1:29" ht="13">
      <c r="A875" s="115"/>
      <c r="B875" s="97"/>
      <c r="C875" s="115"/>
      <c r="D875" s="115"/>
      <c r="E875" s="115"/>
      <c r="F875" s="115"/>
      <c r="G875" s="99"/>
      <c r="H875" s="98"/>
      <c r="I875" s="100"/>
      <c r="J875" s="100"/>
      <c r="K875" s="100"/>
      <c r="L875" s="101"/>
      <c r="M875" s="101"/>
      <c r="N875" s="112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</row>
    <row r="876" spans="1:29" ht="13">
      <c r="A876" s="115"/>
      <c r="B876" s="97"/>
      <c r="C876" s="115"/>
      <c r="D876" s="115"/>
      <c r="E876" s="115"/>
      <c r="F876" s="115"/>
      <c r="G876" s="99"/>
      <c r="H876" s="98"/>
      <c r="I876" s="100"/>
      <c r="J876" s="100"/>
      <c r="K876" s="100"/>
      <c r="L876" s="101"/>
      <c r="M876" s="101"/>
      <c r="N876" s="112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</row>
    <row r="877" spans="1:29" ht="13">
      <c r="A877" s="115"/>
      <c r="B877" s="97"/>
      <c r="C877" s="115"/>
      <c r="D877" s="115"/>
      <c r="E877" s="115"/>
      <c r="F877" s="115"/>
      <c r="G877" s="99"/>
      <c r="H877" s="98"/>
      <c r="I877" s="100"/>
      <c r="J877" s="100"/>
      <c r="K877" s="100"/>
      <c r="L877" s="101"/>
      <c r="M877" s="101"/>
      <c r="N877" s="112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</row>
    <row r="878" spans="1:29" ht="13">
      <c r="A878" s="115"/>
      <c r="B878" s="97"/>
      <c r="C878" s="115"/>
      <c r="D878" s="115"/>
      <c r="E878" s="115"/>
      <c r="F878" s="115"/>
      <c r="G878" s="99"/>
      <c r="H878" s="98"/>
      <c r="I878" s="100"/>
      <c r="J878" s="100"/>
      <c r="K878" s="100"/>
      <c r="L878" s="101"/>
      <c r="M878" s="101"/>
      <c r="N878" s="112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</row>
    <row r="879" spans="1:29" ht="13">
      <c r="A879" s="115"/>
      <c r="B879" s="97"/>
      <c r="C879" s="115"/>
      <c r="D879" s="115"/>
      <c r="E879" s="115"/>
      <c r="F879" s="115"/>
      <c r="G879" s="99"/>
      <c r="H879" s="98"/>
      <c r="I879" s="100"/>
      <c r="J879" s="100"/>
      <c r="K879" s="100"/>
      <c r="L879" s="101"/>
      <c r="M879" s="101"/>
      <c r="N879" s="112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</row>
    <row r="880" spans="1:29" ht="13">
      <c r="A880" s="115"/>
      <c r="B880" s="97"/>
      <c r="C880" s="115"/>
      <c r="D880" s="115"/>
      <c r="E880" s="115"/>
      <c r="F880" s="115"/>
      <c r="G880" s="99"/>
      <c r="H880" s="98"/>
      <c r="I880" s="100"/>
      <c r="J880" s="100"/>
      <c r="K880" s="100"/>
      <c r="L880" s="101"/>
      <c r="M880" s="101"/>
      <c r="N880" s="112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</row>
    <row r="881" spans="1:29" ht="13">
      <c r="A881" s="115"/>
      <c r="B881" s="97"/>
      <c r="C881" s="115"/>
      <c r="D881" s="115"/>
      <c r="E881" s="115"/>
      <c r="F881" s="115"/>
      <c r="G881" s="99"/>
      <c r="H881" s="98"/>
      <c r="I881" s="100"/>
      <c r="J881" s="100"/>
      <c r="K881" s="100"/>
      <c r="L881" s="101"/>
      <c r="M881" s="101"/>
      <c r="N881" s="112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</row>
    <row r="882" spans="1:29" ht="13">
      <c r="A882" s="115"/>
      <c r="B882" s="97"/>
      <c r="C882" s="115"/>
      <c r="D882" s="115"/>
      <c r="E882" s="115"/>
      <c r="F882" s="115"/>
      <c r="G882" s="99"/>
      <c r="H882" s="98"/>
      <c r="I882" s="100"/>
      <c r="J882" s="100"/>
      <c r="K882" s="100"/>
      <c r="L882" s="101"/>
      <c r="M882" s="101"/>
      <c r="N882" s="112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</row>
    <row r="883" spans="1:29" ht="13">
      <c r="A883" s="115"/>
      <c r="B883" s="97"/>
      <c r="C883" s="115"/>
      <c r="D883" s="115"/>
      <c r="E883" s="115"/>
      <c r="F883" s="115"/>
      <c r="G883" s="99"/>
      <c r="H883" s="98"/>
      <c r="I883" s="100"/>
      <c r="J883" s="100"/>
      <c r="K883" s="100"/>
      <c r="L883" s="101"/>
      <c r="M883" s="101"/>
      <c r="N883" s="112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</row>
    <row r="884" spans="1:29" ht="13">
      <c r="A884" s="115"/>
      <c r="B884" s="97"/>
      <c r="C884" s="115"/>
      <c r="D884" s="115"/>
      <c r="E884" s="115"/>
      <c r="F884" s="115"/>
      <c r="G884" s="99"/>
      <c r="H884" s="98"/>
      <c r="I884" s="100"/>
      <c r="J884" s="100"/>
      <c r="K884" s="100"/>
      <c r="L884" s="101"/>
      <c r="M884" s="101"/>
      <c r="N884" s="112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</row>
    <row r="885" spans="1:29" ht="13">
      <c r="A885" s="115"/>
      <c r="B885" s="97"/>
      <c r="C885" s="115"/>
      <c r="D885" s="115"/>
      <c r="E885" s="115"/>
      <c r="F885" s="115"/>
      <c r="G885" s="99"/>
      <c r="H885" s="98"/>
      <c r="I885" s="100"/>
      <c r="J885" s="100"/>
      <c r="K885" s="100"/>
      <c r="L885" s="101"/>
      <c r="M885" s="101"/>
      <c r="N885" s="112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</row>
    <row r="886" spans="1:29" ht="13">
      <c r="A886" s="115"/>
      <c r="B886" s="97"/>
      <c r="C886" s="115"/>
      <c r="D886" s="115"/>
      <c r="E886" s="115"/>
      <c r="F886" s="115"/>
      <c r="G886" s="99"/>
      <c r="H886" s="98"/>
      <c r="I886" s="100"/>
      <c r="J886" s="100"/>
      <c r="K886" s="100"/>
      <c r="L886" s="101"/>
      <c r="M886" s="101"/>
      <c r="N886" s="112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</row>
    <row r="887" spans="1:29" ht="13">
      <c r="A887" s="115"/>
      <c r="B887" s="97"/>
      <c r="C887" s="115"/>
      <c r="D887" s="115"/>
      <c r="E887" s="115"/>
      <c r="F887" s="115"/>
      <c r="G887" s="99"/>
      <c r="H887" s="98"/>
      <c r="I887" s="100"/>
      <c r="J887" s="100"/>
      <c r="K887" s="100"/>
      <c r="L887" s="101"/>
      <c r="M887" s="101"/>
      <c r="N887" s="112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</row>
    <row r="888" spans="1:29" ht="13">
      <c r="A888" s="115"/>
      <c r="B888" s="97"/>
      <c r="C888" s="115"/>
      <c r="D888" s="115"/>
      <c r="E888" s="115"/>
      <c r="F888" s="115"/>
      <c r="G888" s="99"/>
      <c r="H888" s="98"/>
      <c r="I888" s="100"/>
      <c r="J888" s="100"/>
      <c r="K888" s="100"/>
      <c r="L888" s="101"/>
      <c r="M888" s="101"/>
      <c r="N888" s="112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</row>
    <row r="889" spans="1:29" ht="13">
      <c r="A889" s="115"/>
      <c r="B889" s="97"/>
      <c r="C889" s="115"/>
      <c r="D889" s="115"/>
      <c r="E889" s="115"/>
      <c r="F889" s="115"/>
      <c r="G889" s="99"/>
      <c r="H889" s="98"/>
      <c r="I889" s="100"/>
      <c r="J889" s="100"/>
      <c r="K889" s="100"/>
      <c r="L889" s="101"/>
      <c r="M889" s="101"/>
      <c r="N889" s="112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</row>
    <row r="890" spans="1:29" ht="13">
      <c r="A890" s="115"/>
      <c r="B890" s="97"/>
      <c r="C890" s="115"/>
      <c r="D890" s="115"/>
      <c r="E890" s="115"/>
      <c r="F890" s="115"/>
      <c r="G890" s="99"/>
      <c r="H890" s="98"/>
      <c r="I890" s="100"/>
      <c r="J890" s="100"/>
      <c r="K890" s="100"/>
      <c r="L890" s="101"/>
      <c r="M890" s="101"/>
      <c r="N890" s="112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</row>
    <row r="891" spans="1:29" ht="13">
      <c r="A891" s="115"/>
      <c r="B891" s="97"/>
      <c r="C891" s="115"/>
      <c r="D891" s="115"/>
      <c r="E891" s="115"/>
      <c r="F891" s="115"/>
      <c r="G891" s="99"/>
      <c r="H891" s="98"/>
      <c r="I891" s="100"/>
      <c r="J891" s="100"/>
      <c r="K891" s="100"/>
      <c r="L891" s="101"/>
      <c r="M891" s="101"/>
      <c r="N891" s="112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</row>
    <row r="892" spans="1:29" ht="13">
      <c r="A892" s="115"/>
      <c r="B892" s="97"/>
      <c r="C892" s="115"/>
      <c r="D892" s="115"/>
      <c r="E892" s="115"/>
      <c r="F892" s="115"/>
      <c r="G892" s="99"/>
      <c r="H892" s="98"/>
      <c r="I892" s="100"/>
      <c r="J892" s="100"/>
      <c r="K892" s="100"/>
      <c r="L892" s="101"/>
      <c r="M892" s="101"/>
      <c r="N892" s="112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</row>
    <row r="893" spans="1:29" ht="13">
      <c r="A893" s="115"/>
      <c r="B893" s="97"/>
      <c r="C893" s="115"/>
      <c r="D893" s="115"/>
      <c r="E893" s="115"/>
      <c r="F893" s="115"/>
      <c r="G893" s="99"/>
      <c r="H893" s="98"/>
      <c r="I893" s="100"/>
      <c r="J893" s="100"/>
      <c r="K893" s="100"/>
      <c r="L893" s="101"/>
      <c r="M893" s="101"/>
      <c r="N893" s="112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</row>
    <row r="894" spans="1:29" ht="13">
      <c r="A894" s="115"/>
      <c r="B894" s="97"/>
      <c r="C894" s="115"/>
      <c r="D894" s="115"/>
      <c r="E894" s="115"/>
      <c r="F894" s="115"/>
      <c r="G894" s="99"/>
      <c r="H894" s="98"/>
      <c r="I894" s="100"/>
      <c r="J894" s="100"/>
      <c r="K894" s="100"/>
      <c r="L894" s="101"/>
      <c r="M894" s="101"/>
      <c r="N894" s="112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</row>
    <row r="895" spans="1:29" ht="13">
      <c r="A895" s="115"/>
      <c r="B895" s="97"/>
      <c r="C895" s="115"/>
      <c r="D895" s="115"/>
      <c r="E895" s="115"/>
      <c r="F895" s="115"/>
      <c r="G895" s="99"/>
      <c r="H895" s="98"/>
      <c r="I895" s="100"/>
      <c r="J895" s="100"/>
      <c r="K895" s="100"/>
      <c r="L895" s="101"/>
      <c r="M895" s="101"/>
      <c r="N895" s="112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</row>
    <row r="896" spans="1:29" ht="13">
      <c r="A896" s="115"/>
      <c r="B896" s="97"/>
      <c r="C896" s="115"/>
      <c r="D896" s="115"/>
      <c r="E896" s="115"/>
      <c r="F896" s="115"/>
      <c r="G896" s="99"/>
      <c r="H896" s="98"/>
      <c r="I896" s="100"/>
      <c r="J896" s="100"/>
      <c r="K896" s="100"/>
      <c r="L896" s="101"/>
      <c r="M896" s="101"/>
      <c r="N896" s="112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</row>
    <row r="897" spans="1:29" ht="13">
      <c r="A897" s="115"/>
      <c r="B897" s="97"/>
      <c r="C897" s="115"/>
      <c r="D897" s="115"/>
      <c r="E897" s="115"/>
      <c r="F897" s="115"/>
      <c r="G897" s="99"/>
      <c r="H897" s="98"/>
      <c r="I897" s="100"/>
      <c r="J897" s="100"/>
      <c r="K897" s="100"/>
      <c r="L897" s="101"/>
      <c r="M897" s="101"/>
      <c r="N897" s="112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</row>
    <row r="898" spans="1:29" ht="13">
      <c r="A898" s="115"/>
      <c r="B898" s="97"/>
      <c r="C898" s="115"/>
      <c r="D898" s="115"/>
      <c r="E898" s="115"/>
      <c r="F898" s="115"/>
      <c r="G898" s="99"/>
      <c r="H898" s="98"/>
      <c r="I898" s="100"/>
      <c r="J898" s="100"/>
      <c r="K898" s="100"/>
      <c r="L898" s="101"/>
      <c r="M898" s="101"/>
      <c r="N898" s="112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</row>
    <row r="899" spans="1:29" ht="13">
      <c r="A899" s="115"/>
      <c r="B899" s="97"/>
      <c r="C899" s="115"/>
      <c r="D899" s="115"/>
      <c r="E899" s="115"/>
      <c r="F899" s="115"/>
      <c r="G899" s="99"/>
      <c r="H899" s="98"/>
      <c r="I899" s="100"/>
      <c r="J899" s="100"/>
      <c r="K899" s="100"/>
      <c r="L899" s="101"/>
      <c r="M899" s="101"/>
      <c r="N899" s="112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</row>
    <row r="900" spans="1:29" ht="13">
      <c r="A900" s="115"/>
      <c r="B900" s="97"/>
      <c r="C900" s="115"/>
      <c r="D900" s="115"/>
      <c r="E900" s="115"/>
      <c r="F900" s="115"/>
      <c r="G900" s="99"/>
      <c r="H900" s="98"/>
      <c r="I900" s="100"/>
      <c r="J900" s="100"/>
      <c r="K900" s="100"/>
      <c r="L900" s="101"/>
      <c r="M900" s="101"/>
      <c r="N900" s="112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</row>
    <row r="901" spans="1:29" ht="13">
      <c r="A901" s="115"/>
      <c r="B901" s="97"/>
      <c r="C901" s="115"/>
      <c r="D901" s="115"/>
      <c r="E901" s="115"/>
      <c r="F901" s="115"/>
      <c r="G901" s="99"/>
      <c r="H901" s="98"/>
      <c r="I901" s="100"/>
      <c r="J901" s="100"/>
      <c r="K901" s="100"/>
      <c r="L901" s="101"/>
      <c r="M901" s="101"/>
      <c r="N901" s="112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</row>
    <row r="902" spans="1:29" ht="13">
      <c r="A902" s="115"/>
      <c r="B902" s="97"/>
      <c r="C902" s="115"/>
      <c r="D902" s="115"/>
      <c r="E902" s="115"/>
      <c r="F902" s="115"/>
      <c r="G902" s="99"/>
      <c r="H902" s="98"/>
      <c r="I902" s="100"/>
      <c r="J902" s="100"/>
      <c r="K902" s="100"/>
      <c r="L902" s="101"/>
      <c r="M902" s="101"/>
      <c r="N902" s="112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</row>
    <row r="903" spans="1:29" ht="13">
      <c r="A903" s="115"/>
      <c r="B903" s="97"/>
      <c r="C903" s="115"/>
      <c r="D903" s="115"/>
      <c r="E903" s="115"/>
      <c r="F903" s="115"/>
      <c r="G903" s="99"/>
      <c r="H903" s="98"/>
      <c r="I903" s="100"/>
      <c r="J903" s="100"/>
      <c r="K903" s="100"/>
      <c r="L903" s="101"/>
      <c r="M903" s="101"/>
      <c r="N903" s="112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</row>
    <row r="904" spans="1:29" ht="13">
      <c r="A904" s="115"/>
      <c r="B904" s="97"/>
      <c r="C904" s="115"/>
      <c r="D904" s="115"/>
      <c r="E904" s="115"/>
      <c r="F904" s="115"/>
      <c r="G904" s="99"/>
      <c r="H904" s="98"/>
      <c r="I904" s="100"/>
      <c r="J904" s="100"/>
      <c r="K904" s="100"/>
      <c r="L904" s="101"/>
      <c r="M904" s="101"/>
      <c r="N904" s="112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</row>
    <row r="905" spans="1:29" ht="13">
      <c r="A905" s="115"/>
      <c r="B905" s="97"/>
      <c r="C905" s="115"/>
      <c r="D905" s="115"/>
      <c r="E905" s="115"/>
      <c r="F905" s="115"/>
      <c r="G905" s="99"/>
      <c r="H905" s="98"/>
      <c r="I905" s="100"/>
      <c r="J905" s="100"/>
      <c r="K905" s="100"/>
      <c r="L905" s="101"/>
      <c r="M905" s="101"/>
      <c r="N905" s="112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</row>
    <row r="906" spans="1:29" ht="13">
      <c r="A906" s="115"/>
      <c r="B906" s="97"/>
      <c r="C906" s="115"/>
      <c r="D906" s="115"/>
      <c r="E906" s="115"/>
      <c r="F906" s="115"/>
      <c r="G906" s="99"/>
      <c r="H906" s="98"/>
      <c r="I906" s="100"/>
      <c r="J906" s="100"/>
      <c r="K906" s="100"/>
      <c r="L906" s="101"/>
      <c r="M906" s="101"/>
      <c r="N906" s="112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</row>
    <row r="907" spans="1:29" ht="13">
      <c r="A907" s="115"/>
      <c r="B907" s="97"/>
      <c r="C907" s="115"/>
      <c r="D907" s="115"/>
      <c r="E907" s="115"/>
      <c r="F907" s="115"/>
      <c r="G907" s="99"/>
      <c r="H907" s="98"/>
      <c r="I907" s="100"/>
      <c r="J907" s="100"/>
      <c r="K907" s="100"/>
      <c r="L907" s="101"/>
      <c r="M907" s="101"/>
      <c r="N907" s="112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</row>
    <row r="908" spans="1:29" ht="13">
      <c r="A908" s="115"/>
      <c r="B908" s="97"/>
      <c r="C908" s="115"/>
      <c r="D908" s="115"/>
      <c r="E908" s="115"/>
      <c r="F908" s="115"/>
      <c r="G908" s="99"/>
      <c r="H908" s="98"/>
      <c r="I908" s="100"/>
      <c r="J908" s="100"/>
      <c r="K908" s="100"/>
      <c r="L908" s="101"/>
      <c r="M908" s="101"/>
      <c r="N908" s="112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</row>
    <row r="909" spans="1:29" ht="13">
      <c r="A909" s="115"/>
      <c r="B909" s="97"/>
      <c r="C909" s="115"/>
      <c r="D909" s="115"/>
      <c r="E909" s="115"/>
      <c r="F909" s="115"/>
      <c r="G909" s="99"/>
      <c r="H909" s="98"/>
      <c r="I909" s="100"/>
      <c r="J909" s="100"/>
      <c r="K909" s="100"/>
      <c r="L909" s="101"/>
      <c r="M909" s="101"/>
      <c r="N909" s="112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</row>
    <row r="910" spans="1:29" ht="13">
      <c r="A910" s="115"/>
      <c r="B910" s="97"/>
      <c r="C910" s="115"/>
      <c r="D910" s="115"/>
      <c r="E910" s="115"/>
      <c r="F910" s="115"/>
      <c r="G910" s="99"/>
      <c r="H910" s="98"/>
      <c r="I910" s="100"/>
      <c r="J910" s="100"/>
      <c r="K910" s="100"/>
      <c r="L910" s="101"/>
      <c r="M910" s="101"/>
      <c r="N910" s="112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</row>
    <row r="911" spans="1:29" ht="13">
      <c r="A911" s="115"/>
      <c r="B911" s="97"/>
      <c r="C911" s="115"/>
      <c r="D911" s="115"/>
      <c r="E911" s="115"/>
      <c r="F911" s="115"/>
      <c r="G911" s="99"/>
      <c r="H911" s="98"/>
      <c r="I911" s="100"/>
      <c r="J911" s="100"/>
      <c r="K911" s="100"/>
      <c r="L911" s="101"/>
      <c r="M911" s="101"/>
      <c r="N911" s="112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</row>
    <row r="912" spans="1:29" ht="13">
      <c r="A912" s="115"/>
      <c r="B912" s="97"/>
      <c r="C912" s="115"/>
      <c r="D912" s="115"/>
      <c r="E912" s="115"/>
      <c r="F912" s="115"/>
      <c r="G912" s="99"/>
      <c r="H912" s="98"/>
      <c r="I912" s="100"/>
      <c r="J912" s="100"/>
      <c r="K912" s="100"/>
      <c r="L912" s="101"/>
      <c r="M912" s="101"/>
      <c r="N912" s="112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</row>
    <row r="913" spans="1:29" ht="13">
      <c r="A913" s="115"/>
      <c r="B913" s="97"/>
      <c r="C913" s="115"/>
      <c r="D913" s="115"/>
      <c r="E913" s="115"/>
      <c r="F913" s="115"/>
      <c r="G913" s="99"/>
      <c r="H913" s="98"/>
      <c r="I913" s="100"/>
      <c r="J913" s="100"/>
      <c r="K913" s="100"/>
      <c r="L913" s="101"/>
      <c r="M913" s="101"/>
      <c r="N913" s="112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</row>
    <row r="914" spans="1:29" ht="13">
      <c r="A914" s="115"/>
      <c r="B914" s="97"/>
      <c r="C914" s="115"/>
      <c r="D914" s="115"/>
      <c r="E914" s="115"/>
      <c r="F914" s="115"/>
      <c r="G914" s="99"/>
      <c r="H914" s="98"/>
      <c r="I914" s="100"/>
      <c r="J914" s="100"/>
      <c r="K914" s="100"/>
      <c r="L914" s="101"/>
      <c r="M914" s="101"/>
      <c r="N914" s="112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</row>
    <row r="915" spans="1:29" ht="13">
      <c r="A915" s="115"/>
      <c r="B915" s="97"/>
      <c r="C915" s="115"/>
      <c r="D915" s="115"/>
      <c r="E915" s="115"/>
      <c r="F915" s="115"/>
      <c r="G915" s="99"/>
      <c r="H915" s="98"/>
      <c r="I915" s="100"/>
      <c r="J915" s="100"/>
      <c r="K915" s="100"/>
      <c r="L915" s="101"/>
      <c r="M915" s="101"/>
      <c r="N915" s="112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</row>
    <row r="916" spans="1:29" ht="13">
      <c r="A916" s="115"/>
      <c r="B916" s="97"/>
      <c r="C916" s="115"/>
      <c r="D916" s="115"/>
      <c r="E916" s="115"/>
      <c r="F916" s="115"/>
      <c r="G916" s="99"/>
      <c r="H916" s="98"/>
      <c r="I916" s="100"/>
      <c r="J916" s="100"/>
      <c r="K916" s="100"/>
      <c r="L916" s="101"/>
      <c r="M916" s="101"/>
      <c r="N916" s="112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</row>
    <row r="917" spans="1:29" ht="13">
      <c r="A917" s="115"/>
      <c r="B917" s="97"/>
      <c r="C917" s="115"/>
      <c r="D917" s="115"/>
      <c r="E917" s="115"/>
      <c r="F917" s="115"/>
      <c r="G917" s="99"/>
      <c r="H917" s="98"/>
      <c r="I917" s="100"/>
      <c r="J917" s="100"/>
      <c r="K917" s="100"/>
      <c r="L917" s="101"/>
      <c r="M917" s="101"/>
      <c r="N917" s="112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</row>
    <row r="918" spans="1:29" ht="13">
      <c r="A918" s="115"/>
      <c r="B918" s="97"/>
      <c r="C918" s="115"/>
      <c r="D918" s="115"/>
      <c r="E918" s="115"/>
      <c r="F918" s="115"/>
      <c r="G918" s="99"/>
      <c r="H918" s="98"/>
      <c r="I918" s="100"/>
      <c r="J918" s="100"/>
      <c r="K918" s="100"/>
      <c r="L918" s="101"/>
      <c r="M918" s="101"/>
      <c r="N918" s="112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</row>
    <row r="919" spans="1:29" ht="13">
      <c r="A919" s="115"/>
      <c r="B919" s="97"/>
      <c r="C919" s="115"/>
      <c r="D919" s="115"/>
      <c r="E919" s="115"/>
      <c r="F919" s="115"/>
      <c r="G919" s="99"/>
      <c r="H919" s="98"/>
      <c r="I919" s="100"/>
      <c r="J919" s="100"/>
      <c r="K919" s="100"/>
      <c r="L919" s="101"/>
      <c r="M919" s="101"/>
      <c r="N919" s="112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</row>
    <row r="920" spans="1:29" ht="13">
      <c r="A920" s="115"/>
      <c r="B920" s="97"/>
      <c r="C920" s="115"/>
      <c r="D920" s="115"/>
      <c r="E920" s="115"/>
      <c r="F920" s="115"/>
      <c r="G920" s="99"/>
      <c r="H920" s="98"/>
      <c r="I920" s="100"/>
      <c r="J920" s="100"/>
      <c r="K920" s="100"/>
      <c r="L920" s="101"/>
      <c r="M920" s="101"/>
      <c r="N920" s="112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</row>
    <row r="921" spans="1:29" ht="13">
      <c r="A921" s="115"/>
      <c r="B921" s="97"/>
      <c r="C921" s="115"/>
      <c r="D921" s="115"/>
      <c r="E921" s="115"/>
      <c r="F921" s="115"/>
      <c r="G921" s="99"/>
      <c r="H921" s="98"/>
      <c r="I921" s="100"/>
      <c r="J921" s="100"/>
      <c r="K921" s="100"/>
      <c r="L921" s="101"/>
      <c r="M921" s="101"/>
      <c r="N921" s="112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</row>
    <row r="922" spans="1:29" ht="13">
      <c r="A922" s="115"/>
      <c r="B922" s="97"/>
      <c r="C922" s="115"/>
      <c r="D922" s="115"/>
      <c r="E922" s="115"/>
      <c r="F922" s="115"/>
      <c r="G922" s="99"/>
      <c r="H922" s="98"/>
      <c r="I922" s="100"/>
      <c r="J922" s="100"/>
      <c r="K922" s="100"/>
      <c r="L922" s="101"/>
      <c r="M922" s="101"/>
      <c r="N922" s="112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</row>
    <row r="923" spans="1:29" ht="13">
      <c r="A923" s="115"/>
      <c r="B923" s="97"/>
      <c r="C923" s="115"/>
      <c r="D923" s="115"/>
      <c r="E923" s="115"/>
      <c r="F923" s="115"/>
      <c r="G923" s="99"/>
      <c r="H923" s="98"/>
      <c r="I923" s="100"/>
      <c r="J923" s="100"/>
      <c r="K923" s="100"/>
      <c r="L923" s="101"/>
      <c r="M923" s="101"/>
      <c r="N923" s="112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</row>
    <row r="924" spans="1:29" ht="13">
      <c r="A924" s="115"/>
      <c r="B924" s="97"/>
      <c r="C924" s="115"/>
      <c r="D924" s="115"/>
      <c r="E924" s="115"/>
      <c r="F924" s="115"/>
      <c r="G924" s="99"/>
      <c r="H924" s="98"/>
      <c r="I924" s="100"/>
      <c r="J924" s="100"/>
      <c r="K924" s="100"/>
      <c r="L924" s="101"/>
      <c r="M924" s="101"/>
      <c r="N924" s="112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</row>
    <row r="925" spans="1:29" ht="13">
      <c r="A925" s="115"/>
      <c r="B925" s="97"/>
      <c r="C925" s="115"/>
      <c r="D925" s="115"/>
      <c r="E925" s="115"/>
      <c r="F925" s="115"/>
      <c r="G925" s="99"/>
      <c r="H925" s="98"/>
      <c r="I925" s="100"/>
      <c r="J925" s="100"/>
      <c r="K925" s="100"/>
      <c r="L925" s="101"/>
      <c r="M925" s="101"/>
      <c r="N925" s="112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</row>
    <row r="926" spans="1:29" ht="13">
      <c r="A926" s="115"/>
      <c r="B926" s="97"/>
      <c r="C926" s="115"/>
      <c r="D926" s="115"/>
      <c r="E926" s="115"/>
      <c r="F926" s="115"/>
      <c r="G926" s="99"/>
      <c r="H926" s="98"/>
      <c r="I926" s="100"/>
      <c r="J926" s="100"/>
      <c r="K926" s="100"/>
      <c r="L926" s="101"/>
      <c r="M926" s="101"/>
      <c r="N926" s="112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</row>
    <row r="927" spans="1:29" ht="13">
      <c r="A927" s="115"/>
      <c r="B927" s="97"/>
      <c r="C927" s="115"/>
      <c r="D927" s="115"/>
      <c r="E927" s="115"/>
      <c r="F927" s="115"/>
      <c r="G927" s="99"/>
      <c r="H927" s="98"/>
      <c r="I927" s="100"/>
      <c r="J927" s="100"/>
      <c r="K927" s="100"/>
      <c r="L927" s="101"/>
      <c r="M927" s="101"/>
      <c r="N927" s="112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</row>
    <row r="928" spans="1:29" ht="13">
      <c r="A928" s="115"/>
      <c r="B928" s="97"/>
      <c r="C928" s="115"/>
      <c r="D928" s="115"/>
      <c r="E928" s="115"/>
      <c r="F928" s="115"/>
      <c r="G928" s="99"/>
      <c r="H928" s="98"/>
      <c r="I928" s="100"/>
      <c r="J928" s="100"/>
      <c r="K928" s="100"/>
      <c r="L928" s="101"/>
      <c r="M928" s="101"/>
      <c r="N928" s="112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</row>
    <row r="929" spans="1:29" ht="13">
      <c r="A929" s="115"/>
      <c r="B929" s="97"/>
      <c r="C929" s="115"/>
      <c r="D929" s="115"/>
      <c r="E929" s="115"/>
      <c r="F929" s="115"/>
      <c r="G929" s="99"/>
      <c r="H929" s="98"/>
      <c r="I929" s="100"/>
      <c r="J929" s="100"/>
      <c r="K929" s="100"/>
      <c r="L929" s="101"/>
      <c r="M929" s="101"/>
      <c r="N929" s="112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</row>
    <row r="930" spans="1:29" ht="13">
      <c r="A930" s="115"/>
      <c r="B930" s="97"/>
      <c r="C930" s="115"/>
      <c r="D930" s="115"/>
      <c r="E930" s="115"/>
      <c r="F930" s="115"/>
      <c r="G930" s="99"/>
      <c r="H930" s="98"/>
      <c r="I930" s="100"/>
      <c r="J930" s="100"/>
      <c r="K930" s="100"/>
      <c r="L930" s="101"/>
      <c r="M930" s="101"/>
      <c r="N930" s="112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</row>
    <row r="931" spans="1:29" ht="13">
      <c r="A931" s="115"/>
      <c r="B931" s="97"/>
      <c r="C931" s="115"/>
      <c r="D931" s="115"/>
      <c r="E931" s="115"/>
      <c r="F931" s="115"/>
      <c r="G931" s="99"/>
      <c r="H931" s="98"/>
      <c r="I931" s="100"/>
      <c r="J931" s="100"/>
      <c r="K931" s="100"/>
      <c r="L931" s="101"/>
      <c r="M931" s="101"/>
      <c r="N931" s="112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</row>
    <row r="932" spans="1:29" ht="13">
      <c r="A932" s="115"/>
      <c r="B932" s="97"/>
      <c r="C932" s="115"/>
      <c r="D932" s="115"/>
      <c r="E932" s="115"/>
      <c r="F932" s="115"/>
      <c r="G932" s="99"/>
      <c r="H932" s="98"/>
      <c r="I932" s="100"/>
      <c r="J932" s="100"/>
      <c r="K932" s="100"/>
      <c r="L932" s="101"/>
      <c r="M932" s="101"/>
      <c r="N932" s="112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</row>
    <row r="933" spans="1:29" ht="13">
      <c r="A933" s="115"/>
      <c r="B933" s="97"/>
      <c r="C933" s="115"/>
      <c r="D933" s="115"/>
      <c r="E933" s="115"/>
      <c r="F933" s="115"/>
      <c r="G933" s="99"/>
      <c r="H933" s="98"/>
      <c r="I933" s="100"/>
      <c r="J933" s="100"/>
      <c r="K933" s="100"/>
      <c r="L933" s="101"/>
      <c r="M933" s="101"/>
      <c r="N933" s="112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</row>
    <row r="934" spans="1:29" ht="13">
      <c r="A934" s="115"/>
      <c r="B934" s="97"/>
      <c r="C934" s="115"/>
      <c r="D934" s="115"/>
      <c r="E934" s="115"/>
      <c r="F934" s="115"/>
      <c r="G934" s="99"/>
      <c r="H934" s="98"/>
      <c r="I934" s="100"/>
      <c r="J934" s="100"/>
      <c r="K934" s="100"/>
      <c r="L934" s="101"/>
      <c r="M934" s="101"/>
      <c r="N934" s="112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</row>
    <row r="935" spans="1:29" ht="13">
      <c r="A935" s="115"/>
      <c r="B935" s="97"/>
      <c r="C935" s="115"/>
      <c r="D935" s="115"/>
      <c r="E935" s="115"/>
      <c r="F935" s="115"/>
      <c r="G935" s="99"/>
      <c r="H935" s="98"/>
      <c r="I935" s="100"/>
      <c r="J935" s="100"/>
      <c r="K935" s="100"/>
      <c r="L935" s="101"/>
      <c r="M935" s="101"/>
      <c r="N935" s="112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</row>
    <row r="936" spans="1:29" ht="13">
      <c r="A936" s="115"/>
      <c r="B936" s="97"/>
      <c r="C936" s="115"/>
      <c r="D936" s="115"/>
      <c r="E936" s="115"/>
      <c r="F936" s="115"/>
      <c r="G936" s="99"/>
      <c r="H936" s="98"/>
      <c r="I936" s="100"/>
      <c r="J936" s="100"/>
      <c r="K936" s="100"/>
      <c r="L936" s="101"/>
      <c r="M936" s="101"/>
      <c r="N936" s="112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</row>
    <row r="937" spans="1:29" ht="13">
      <c r="A937" s="115"/>
      <c r="B937" s="97"/>
      <c r="C937" s="115"/>
      <c r="D937" s="115"/>
      <c r="E937" s="115"/>
      <c r="F937" s="115"/>
      <c r="G937" s="99"/>
      <c r="H937" s="98"/>
      <c r="I937" s="100"/>
      <c r="J937" s="100"/>
      <c r="K937" s="100"/>
      <c r="L937" s="101"/>
      <c r="M937" s="101"/>
      <c r="N937" s="112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</row>
    <row r="938" spans="1:29" ht="13">
      <c r="A938" s="115"/>
      <c r="B938" s="97"/>
      <c r="C938" s="115"/>
      <c r="D938" s="115"/>
      <c r="E938" s="115"/>
      <c r="F938" s="115"/>
      <c r="G938" s="99"/>
      <c r="H938" s="98"/>
      <c r="I938" s="100"/>
      <c r="J938" s="100"/>
      <c r="K938" s="100"/>
      <c r="L938" s="101"/>
      <c r="M938" s="101"/>
      <c r="N938" s="112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</row>
    <row r="939" spans="1:29" ht="13">
      <c r="A939" s="115"/>
      <c r="B939" s="97"/>
      <c r="C939" s="115"/>
      <c r="D939" s="115"/>
      <c r="E939" s="115"/>
      <c r="F939" s="115"/>
      <c r="G939" s="99"/>
      <c r="H939" s="98"/>
      <c r="I939" s="100"/>
      <c r="J939" s="100"/>
      <c r="K939" s="100"/>
      <c r="L939" s="101"/>
      <c r="M939" s="101"/>
      <c r="N939" s="112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</row>
    <row r="940" spans="1:29" ht="13">
      <c r="A940" s="115"/>
      <c r="B940" s="97"/>
      <c r="C940" s="115"/>
      <c r="D940" s="115"/>
      <c r="E940" s="115"/>
      <c r="F940" s="115"/>
      <c r="G940" s="99"/>
      <c r="H940" s="98"/>
      <c r="I940" s="100"/>
      <c r="J940" s="100"/>
      <c r="K940" s="100"/>
      <c r="L940" s="101"/>
      <c r="M940" s="101"/>
      <c r="N940" s="112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</row>
    <row r="941" spans="1:29" ht="13">
      <c r="A941" s="115"/>
      <c r="B941" s="97"/>
      <c r="C941" s="115"/>
      <c r="D941" s="115"/>
      <c r="E941" s="115"/>
      <c r="F941" s="115"/>
      <c r="G941" s="99"/>
      <c r="H941" s="98"/>
      <c r="I941" s="100"/>
      <c r="J941" s="100"/>
      <c r="K941" s="100"/>
      <c r="L941" s="101"/>
      <c r="M941" s="101"/>
      <c r="N941" s="112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</row>
    <row r="942" spans="1:29" ht="13">
      <c r="A942" s="115"/>
      <c r="B942" s="97"/>
      <c r="C942" s="115"/>
      <c r="D942" s="115"/>
      <c r="E942" s="115"/>
      <c r="F942" s="115"/>
      <c r="G942" s="99"/>
      <c r="H942" s="98"/>
      <c r="I942" s="100"/>
      <c r="J942" s="100"/>
      <c r="K942" s="100"/>
      <c r="L942" s="101"/>
      <c r="M942" s="101"/>
      <c r="N942" s="112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</row>
    <row r="943" spans="1:29" ht="13">
      <c r="A943" s="115"/>
      <c r="B943" s="97"/>
      <c r="C943" s="115"/>
      <c r="D943" s="115"/>
      <c r="E943" s="115"/>
      <c r="F943" s="115"/>
      <c r="G943" s="99"/>
      <c r="H943" s="98"/>
      <c r="I943" s="100"/>
      <c r="J943" s="100"/>
      <c r="K943" s="100"/>
      <c r="L943" s="101"/>
      <c r="M943" s="101"/>
      <c r="N943" s="112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</row>
    <row r="944" spans="1:29" ht="13">
      <c r="A944" s="115"/>
      <c r="B944" s="97"/>
      <c r="C944" s="115"/>
      <c r="D944" s="115"/>
      <c r="E944" s="115"/>
      <c r="F944" s="115"/>
      <c r="G944" s="99"/>
      <c r="H944" s="98"/>
      <c r="I944" s="100"/>
      <c r="J944" s="100"/>
      <c r="K944" s="100"/>
      <c r="L944" s="101"/>
      <c r="M944" s="101"/>
      <c r="N944" s="112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</row>
    <row r="945" spans="1:29" ht="13">
      <c r="A945" s="115"/>
      <c r="B945" s="97"/>
      <c r="C945" s="115"/>
      <c r="D945" s="115"/>
      <c r="E945" s="115"/>
      <c r="F945" s="115"/>
      <c r="G945" s="99"/>
      <c r="H945" s="98"/>
      <c r="I945" s="100"/>
      <c r="J945" s="100"/>
      <c r="K945" s="100"/>
      <c r="L945" s="101"/>
      <c r="M945" s="101"/>
      <c r="N945" s="112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</row>
    <row r="946" spans="1:29" ht="13">
      <c r="A946" s="115"/>
      <c r="B946" s="97"/>
      <c r="C946" s="115"/>
      <c r="D946" s="115"/>
      <c r="E946" s="115"/>
      <c r="F946" s="115"/>
      <c r="G946" s="99"/>
      <c r="H946" s="98"/>
      <c r="I946" s="100"/>
      <c r="J946" s="100"/>
      <c r="K946" s="100"/>
      <c r="L946" s="101"/>
      <c r="M946" s="101"/>
      <c r="N946" s="112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</row>
    <row r="947" spans="1:29" ht="13">
      <c r="A947" s="115"/>
      <c r="B947" s="97"/>
      <c r="C947" s="115"/>
      <c r="D947" s="115"/>
      <c r="E947" s="115"/>
      <c r="F947" s="115"/>
      <c r="G947" s="99"/>
      <c r="H947" s="98"/>
      <c r="I947" s="100"/>
      <c r="J947" s="100"/>
      <c r="K947" s="100"/>
      <c r="L947" s="101"/>
      <c r="M947" s="101"/>
      <c r="N947" s="112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</row>
    <row r="948" spans="1:29" ht="13">
      <c r="A948" s="115"/>
      <c r="B948" s="97"/>
      <c r="C948" s="115"/>
      <c r="D948" s="115"/>
      <c r="E948" s="115"/>
      <c r="F948" s="115"/>
      <c r="G948" s="99"/>
      <c r="H948" s="98"/>
      <c r="I948" s="100"/>
      <c r="J948" s="100"/>
      <c r="K948" s="100"/>
      <c r="L948" s="101"/>
      <c r="M948" s="101"/>
      <c r="N948" s="112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</row>
    <row r="949" spans="1:29" ht="13">
      <c r="A949" s="115"/>
      <c r="B949" s="97"/>
      <c r="C949" s="115"/>
      <c r="D949" s="115"/>
      <c r="E949" s="115"/>
      <c r="F949" s="115"/>
      <c r="G949" s="99"/>
      <c r="H949" s="98"/>
      <c r="I949" s="100"/>
      <c r="J949" s="100"/>
      <c r="K949" s="100"/>
      <c r="L949" s="101"/>
      <c r="M949" s="101"/>
      <c r="N949" s="112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</row>
    <row r="950" spans="1:29" ht="13">
      <c r="A950" s="115"/>
      <c r="B950" s="97"/>
      <c r="C950" s="115"/>
      <c r="D950" s="115"/>
      <c r="E950" s="115"/>
      <c r="F950" s="115"/>
      <c r="G950" s="99"/>
      <c r="H950" s="98"/>
      <c r="I950" s="100"/>
      <c r="J950" s="100"/>
      <c r="K950" s="100"/>
      <c r="L950" s="101"/>
      <c r="M950" s="101"/>
      <c r="N950" s="112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</row>
    <row r="951" spans="1:29" ht="13">
      <c r="A951" s="115"/>
      <c r="B951" s="97"/>
      <c r="C951" s="115"/>
      <c r="D951" s="115"/>
      <c r="E951" s="115"/>
      <c r="F951" s="115"/>
      <c r="G951" s="99"/>
      <c r="H951" s="98"/>
      <c r="I951" s="100"/>
      <c r="J951" s="100"/>
      <c r="K951" s="100"/>
      <c r="L951" s="101"/>
      <c r="M951" s="101"/>
      <c r="N951" s="112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1"/>
      <c r="AC951" s="101"/>
    </row>
    <row r="952" spans="1:29" ht="13">
      <c r="A952" s="115"/>
      <c r="B952" s="97"/>
      <c r="C952" s="115"/>
      <c r="D952" s="115"/>
      <c r="E952" s="115"/>
      <c r="F952" s="115"/>
      <c r="G952" s="99"/>
      <c r="H952" s="98"/>
      <c r="I952" s="100"/>
      <c r="J952" s="100"/>
      <c r="K952" s="100"/>
      <c r="L952" s="101"/>
      <c r="M952" s="101"/>
      <c r="N952" s="112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1"/>
      <c r="AC952" s="101"/>
    </row>
    <row r="953" spans="1:29" ht="13">
      <c r="A953" s="115"/>
      <c r="B953" s="97"/>
      <c r="C953" s="115"/>
      <c r="D953" s="115"/>
      <c r="E953" s="115"/>
      <c r="F953" s="115"/>
      <c r="G953" s="99"/>
      <c r="H953" s="98"/>
      <c r="I953" s="100"/>
      <c r="J953" s="100"/>
      <c r="K953" s="100"/>
      <c r="L953" s="101"/>
      <c r="M953" s="101"/>
      <c r="N953" s="112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</row>
    <row r="954" spans="1:29" ht="13">
      <c r="A954" s="115"/>
      <c r="B954" s="97"/>
      <c r="C954" s="115"/>
      <c r="D954" s="115"/>
      <c r="E954" s="115"/>
      <c r="F954" s="115"/>
      <c r="G954" s="99"/>
      <c r="H954" s="98"/>
      <c r="I954" s="100"/>
      <c r="J954" s="100"/>
      <c r="K954" s="100"/>
      <c r="L954" s="101"/>
      <c r="M954" s="101"/>
      <c r="N954" s="112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  <c r="AA954" s="101"/>
      <c r="AB954" s="101"/>
      <c r="AC954" s="101"/>
    </row>
    <row r="955" spans="1:29" ht="13">
      <c r="A955" s="115"/>
      <c r="B955" s="97"/>
      <c r="C955" s="115"/>
      <c r="D955" s="115"/>
      <c r="E955" s="115"/>
      <c r="F955" s="115"/>
      <c r="G955" s="99"/>
      <c r="H955" s="98"/>
      <c r="I955" s="100"/>
      <c r="J955" s="100"/>
      <c r="K955" s="100"/>
      <c r="L955" s="101"/>
      <c r="M955" s="101"/>
      <c r="N955" s="112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  <c r="AA955" s="101"/>
      <c r="AB955" s="101"/>
      <c r="AC955" s="101"/>
    </row>
    <row r="956" spans="1:29" ht="13">
      <c r="A956" s="115"/>
      <c r="B956" s="97"/>
      <c r="C956" s="115"/>
      <c r="D956" s="115"/>
      <c r="E956" s="115"/>
      <c r="F956" s="115"/>
      <c r="G956" s="99"/>
      <c r="H956" s="98"/>
      <c r="I956" s="100"/>
      <c r="J956" s="100"/>
      <c r="K956" s="100"/>
      <c r="L956" s="101"/>
      <c r="M956" s="101"/>
      <c r="N956" s="112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1"/>
      <c r="AC956" s="101"/>
    </row>
    <row r="957" spans="1:29" ht="13">
      <c r="A957" s="115"/>
      <c r="B957" s="97"/>
      <c r="C957" s="115"/>
      <c r="D957" s="115"/>
      <c r="E957" s="115"/>
      <c r="F957" s="115"/>
      <c r="G957" s="99"/>
      <c r="H957" s="98"/>
      <c r="I957" s="100"/>
      <c r="J957" s="100"/>
      <c r="K957" s="100"/>
      <c r="L957" s="101"/>
      <c r="M957" s="101"/>
      <c r="N957" s="112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  <c r="AA957" s="101"/>
      <c r="AB957" s="101"/>
      <c r="AC957" s="101"/>
    </row>
    <row r="958" spans="1:29" ht="13">
      <c r="A958" s="115"/>
      <c r="B958" s="97"/>
      <c r="C958" s="115"/>
      <c r="D958" s="115"/>
      <c r="E958" s="115"/>
      <c r="F958" s="115"/>
      <c r="G958" s="99"/>
      <c r="H958" s="98"/>
      <c r="I958" s="100"/>
      <c r="J958" s="100"/>
      <c r="K958" s="100"/>
      <c r="L958" s="101"/>
      <c r="M958" s="101"/>
      <c r="N958" s="112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  <c r="AA958" s="101"/>
      <c r="AB958" s="101"/>
      <c r="AC958" s="101"/>
    </row>
    <row r="959" spans="1:29" ht="13">
      <c r="A959" s="115"/>
      <c r="B959" s="97"/>
      <c r="C959" s="115"/>
      <c r="D959" s="115"/>
      <c r="E959" s="115"/>
      <c r="F959" s="115"/>
      <c r="G959" s="99"/>
      <c r="H959" s="98"/>
      <c r="I959" s="100"/>
      <c r="J959" s="100"/>
      <c r="K959" s="100"/>
      <c r="L959" s="101"/>
      <c r="M959" s="101"/>
      <c r="N959" s="112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  <c r="AA959" s="101"/>
      <c r="AB959" s="101"/>
      <c r="AC959" s="101"/>
    </row>
    <row r="960" spans="1:29" ht="13">
      <c r="A960" s="115"/>
      <c r="B960" s="97"/>
      <c r="C960" s="115"/>
      <c r="D960" s="115"/>
      <c r="E960" s="115"/>
      <c r="F960" s="115"/>
      <c r="G960" s="99"/>
      <c r="H960" s="98"/>
      <c r="I960" s="100"/>
      <c r="J960" s="100"/>
      <c r="K960" s="100"/>
      <c r="L960" s="101"/>
      <c r="M960" s="101"/>
      <c r="N960" s="112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  <c r="AA960" s="101"/>
      <c r="AB960" s="101"/>
      <c r="AC960" s="101"/>
    </row>
    <row r="961" spans="1:29" ht="13">
      <c r="A961" s="115"/>
      <c r="B961" s="97"/>
      <c r="C961" s="115"/>
      <c r="D961" s="115"/>
      <c r="E961" s="115"/>
      <c r="F961" s="115"/>
      <c r="G961" s="99"/>
      <c r="H961" s="98"/>
      <c r="I961" s="100"/>
      <c r="J961" s="100"/>
      <c r="K961" s="100"/>
      <c r="L961" s="101"/>
      <c r="M961" s="101"/>
      <c r="N961" s="112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  <c r="AA961" s="101"/>
      <c r="AB961" s="101"/>
      <c r="AC961" s="101"/>
    </row>
    <row r="962" spans="1:29" ht="13">
      <c r="A962" s="115"/>
      <c r="B962" s="97"/>
      <c r="C962" s="115"/>
      <c r="D962" s="115"/>
      <c r="E962" s="115"/>
      <c r="F962" s="115"/>
      <c r="G962" s="99"/>
      <c r="H962" s="98"/>
      <c r="I962" s="100"/>
      <c r="J962" s="100"/>
      <c r="K962" s="100"/>
      <c r="L962" s="101"/>
      <c r="M962" s="101"/>
      <c r="N962" s="112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  <c r="AA962" s="101"/>
      <c r="AB962" s="101"/>
      <c r="AC962" s="101"/>
    </row>
    <row r="963" spans="1:29" ht="13">
      <c r="A963" s="115"/>
      <c r="B963" s="97"/>
      <c r="C963" s="115"/>
      <c r="D963" s="115"/>
      <c r="E963" s="115"/>
      <c r="F963" s="115"/>
      <c r="G963" s="99"/>
      <c r="H963" s="98"/>
      <c r="I963" s="100"/>
      <c r="J963" s="100"/>
      <c r="K963" s="100"/>
      <c r="L963" s="101"/>
      <c r="M963" s="101"/>
      <c r="N963" s="112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  <c r="AA963" s="101"/>
      <c r="AB963" s="101"/>
      <c r="AC963" s="101"/>
    </row>
    <row r="964" spans="1:29" ht="13">
      <c r="A964" s="115"/>
      <c r="B964" s="97"/>
      <c r="C964" s="115"/>
      <c r="D964" s="115"/>
      <c r="E964" s="115"/>
      <c r="F964" s="115"/>
      <c r="G964" s="99"/>
      <c r="H964" s="98"/>
      <c r="I964" s="100"/>
      <c r="J964" s="100"/>
      <c r="K964" s="100"/>
      <c r="L964" s="101"/>
      <c r="M964" s="101"/>
      <c r="N964" s="112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  <c r="AA964" s="101"/>
      <c r="AB964" s="101"/>
      <c r="AC964" s="101"/>
    </row>
    <row r="965" spans="1:29" ht="13">
      <c r="A965" s="115"/>
      <c r="B965" s="97"/>
      <c r="C965" s="115"/>
      <c r="D965" s="115"/>
      <c r="E965" s="115"/>
      <c r="F965" s="115"/>
      <c r="G965" s="99"/>
      <c r="H965" s="98"/>
      <c r="I965" s="100"/>
      <c r="J965" s="100"/>
      <c r="K965" s="100"/>
      <c r="L965" s="101"/>
      <c r="M965" s="101"/>
      <c r="N965" s="112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  <c r="AA965" s="101"/>
      <c r="AB965" s="101"/>
      <c r="AC965" s="101"/>
    </row>
    <row r="966" spans="1:29" ht="13">
      <c r="A966" s="115"/>
      <c r="B966" s="97"/>
      <c r="C966" s="115"/>
      <c r="D966" s="115"/>
      <c r="E966" s="115"/>
      <c r="F966" s="115"/>
      <c r="G966" s="99"/>
      <c r="H966" s="98"/>
      <c r="I966" s="100"/>
      <c r="J966" s="100"/>
      <c r="K966" s="100"/>
      <c r="L966" s="101"/>
      <c r="M966" s="101"/>
      <c r="N966" s="112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  <c r="AA966" s="101"/>
      <c r="AB966" s="101"/>
      <c r="AC966" s="101"/>
    </row>
    <row r="967" spans="1:29" ht="13">
      <c r="A967" s="115"/>
      <c r="B967" s="97"/>
      <c r="C967" s="115"/>
      <c r="D967" s="115"/>
      <c r="E967" s="115"/>
      <c r="F967" s="115"/>
      <c r="G967" s="99"/>
      <c r="H967" s="98"/>
      <c r="I967" s="100"/>
      <c r="J967" s="100"/>
      <c r="K967" s="100"/>
      <c r="L967" s="101"/>
      <c r="M967" s="101"/>
      <c r="N967" s="112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  <c r="AA967" s="101"/>
      <c r="AB967" s="101"/>
      <c r="AC967" s="101"/>
    </row>
    <row r="968" spans="1:29" ht="13">
      <c r="A968" s="115"/>
      <c r="B968" s="97"/>
      <c r="C968" s="115"/>
      <c r="D968" s="115"/>
      <c r="E968" s="115"/>
      <c r="F968" s="115"/>
      <c r="G968" s="99"/>
      <c r="H968" s="98"/>
      <c r="I968" s="100"/>
      <c r="J968" s="100"/>
      <c r="K968" s="100"/>
      <c r="L968" s="101"/>
      <c r="M968" s="101"/>
      <c r="N968" s="112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  <c r="AA968" s="101"/>
      <c r="AB968" s="101"/>
      <c r="AC968" s="101"/>
    </row>
    <row r="969" spans="1:29" ht="13">
      <c r="A969" s="115"/>
      <c r="B969" s="97"/>
      <c r="C969" s="115"/>
      <c r="D969" s="115"/>
      <c r="E969" s="115"/>
      <c r="F969" s="115"/>
      <c r="G969" s="99"/>
      <c r="H969" s="98"/>
      <c r="I969" s="100"/>
      <c r="J969" s="100"/>
      <c r="K969" s="100"/>
      <c r="L969" s="101"/>
      <c r="M969" s="101"/>
      <c r="N969" s="112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  <c r="AA969" s="101"/>
      <c r="AB969" s="101"/>
      <c r="AC969" s="101"/>
    </row>
    <row r="970" spans="1:29" ht="13">
      <c r="A970" s="115"/>
      <c r="B970" s="97"/>
      <c r="C970" s="115"/>
      <c r="D970" s="115"/>
      <c r="E970" s="115"/>
      <c r="F970" s="115"/>
      <c r="G970" s="99"/>
      <c r="H970" s="98"/>
      <c r="I970" s="100"/>
      <c r="J970" s="100"/>
      <c r="K970" s="100"/>
      <c r="L970" s="101"/>
      <c r="M970" s="101"/>
      <c r="N970" s="112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  <c r="AA970" s="101"/>
      <c r="AB970" s="101"/>
      <c r="AC970" s="101"/>
    </row>
    <row r="971" spans="1:29" ht="13">
      <c r="A971" s="115"/>
      <c r="B971" s="97"/>
      <c r="C971" s="115"/>
      <c r="D971" s="115"/>
      <c r="E971" s="115"/>
      <c r="F971" s="115"/>
      <c r="G971" s="99"/>
      <c r="H971" s="98"/>
      <c r="I971" s="100"/>
      <c r="J971" s="100"/>
      <c r="K971" s="100"/>
      <c r="L971" s="101"/>
      <c r="M971" s="101"/>
      <c r="N971" s="112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  <c r="AA971" s="101"/>
      <c r="AB971" s="101"/>
      <c r="AC971" s="101"/>
    </row>
    <row r="972" spans="1:29" ht="13">
      <c r="A972" s="115"/>
      <c r="B972" s="97"/>
      <c r="C972" s="115"/>
      <c r="D972" s="115"/>
      <c r="E972" s="115"/>
      <c r="F972" s="115"/>
      <c r="G972" s="99"/>
      <c r="H972" s="98"/>
      <c r="I972" s="100"/>
      <c r="J972" s="100"/>
      <c r="K972" s="100"/>
      <c r="L972" s="101"/>
      <c r="M972" s="101"/>
      <c r="N972" s="112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  <c r="AA972" s="101"/>
      <c r="AB972" s="101"/>
      <c r="AC972" s="101"/>
    </row>
    <row r="973" spans="1:29" ht="13">
      <c r="A973" s="115"/>
      <c r="B973" s="97"/>
      <c r="C973" s="115"/>
      <c r="D973" s="115"/>
      <c r="E973" s="115"/>
      <c r="F973" s="115"/>
      <c r="G973" s="99"/>
      <c r="H973" s="98"/>
      <c r="I973" s="100"/>
      <c r="J973" s="100"/>
      <c r="K973" s="100"/>
      <c r="L973" s="101"/>
      <c r="M973" s="101"/>
      <c r="N973" s="112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  <c r="AA973" s="101"/>
      <c r="AB973" s="101"/>
      <c r="AC973" s="101"/>
    </row>
    <row r="974" spans="1:29" ht="13">
      <c r="A974" s="115"/>
      <c r="B974" s="97"/>
      <c r="C974" s="115"/>
      <c r="D974" s="115"/>
      <c r="E974" s="115"/>
      <c r="F974" s="115"/>
      <c r="G974" s="99"/>
      <c r="H974" s="98"/>
      <c r="I974" s="100"/>
      <c r="J974" s="100"/>
      <c r="K974" s="100"/>
      <c r="L974" s="101"/>
      <c r="M974" s="101"/>
      <c r="N974" s="112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  <c r="AA974" s="101"/>
      <c r="AB974" s="101"/>
      <c r="AC974" s="101"/>
    </row>
    <row r="975" spans="1:29" ht="13">
      <c r="A975" s="115"/>
      <c r="B975" s="97"/>
      <c r="C975" s="115"/>
      <c r="D975" s="115"/>
      <c r="E975" s="115"/>
      <c r="F975" s="115"/>
      <c r="G975" s="99"/>
      <c r="H975" s="98"/>
      <c r="I975" s="100"/>
      <c r="J975" s="100"/>
      <c r="K975" s="100"/>
      <c r="L975" s="101"/>
      <c r="M975" s="101"/>
      <c r="N975" s="112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  <c r="AA975" s="101"/>
      <c r="AB975" s="101"/>
      <c r="AC975" s="101"/>
    </row>
    <row r="976" spans="1:29" ht="13">
      <c r="A976" s="115"/>
      <c r="B976" s="97"/>
      <c r="C976" s="115"/>
      <c r="D976" s="115"/>
      <c r="E976" s="115"/>
      <c r="F976" s="115"/>
      <c r="G976" s="99"/>
      <c r="H976" s="98"/>
      <c r="I976" s="100"/>
      <c r="J976" s="100"/>
      <c r="K976" s="100"/>
      <c r="L976" s="101"/>
      <c r="M976" s="101"/>
      <c r="N976" s="112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  <c r="AA976" s="101"/>
      <c r="AB976" s="101"/>
      <c r="AC976" s="101"/>
    </row>
    <row r="977" spans="1:29" ht="13">
      <c r="A977" s="115"/>
      <c r="B977" s="97"/>
      <c r="C977" s="115"/>
      <c r="D977" s="115"/>
      <c r="E977" s="115"/>
      <c r="F977" s="115"/>
      <c r="G977" s="99"/>
      <c r="H977" s="98"/>
      <c r="I977" s="100"/>
      <c r="J977" s="100"/>
      <c r="K977" s="100"/>
      <c r="L977" s="101"/>
      <c r="M977" s="101"/>
      <c r="N977" s="112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  <c r="AA977" s="101"/>
      <c r="AB977" s="101"/>
      <c r="AC977" s="101"/>
    </row>
    <row r="978" spans="1:29" ht="13">
      <c r="A978" s="115"/>
      <c r="B978" s="97"/>
      <c r="C978" s="115"/>
      <c r="D978" s="115"/>
      <c r="E978" s="115"/>
      <c r="F978" s="115"/>
      <c r="G978" s="99"/>
      <c r="H978" s="98"/>
      <c r="I978" s="100"/>
      <c r="J978" s="100"/>
      <c r="K978" s="100"/>
      <c r="L978" s="101"/>
      <c r="M978" s="101"/>
      <c r="N978" s="112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  <c r="AA978" s="101"/>
      <c r="AB978" s="101"/>
      <c r="AC978" s="101"/>
    </row>
    <row r="979" spans="1:29" ht="13">
      <c r="A979" s="115"/>
      <c r="B979" s="97"/>
      <c r="C979" s="115"/>
      <c r="D979" s="115"/>
      <c r="E979" s="115"/>
      <c r="F979" s="115"/>
      <c r="G979" s="99"/>
      <c r="H979" s="98"/>
      <c r="I979" s="100"/>
      <c r="J979" s="100"/>
      <c r="K979" s="100"/>
      <c r="L979" s="101"/>
      <c r="M979" s="101"/>
      <c r="N979" s="112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  <c r="AA979" s="101"/>
      <c r="AB979" s="101"/>
      <c r="AC979" s="101"/>
    </row>
    <row r="980" spans="1:29" ht="13">
      <c r="A980" s="115"/>
      <c r="B980" s="97"/>
      <c r="C980" s="115"/>
      <c r="D980" s="115"/>
      <c r="E980" s="115"/>
      <c r="F980" s="115"/>
      <c r="G980" s="99"/>
      <c r="H980" s="98"/>
      <c r="I980" s="100"/>
      <c r="J980" s="100"/>
      <c r="K980" s="100"/>
      <c r="L980" s="101"/>
      <c r="M980" s="101"/>
      <c r="N980" s="112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  <c r="AA980" s="101"/>
      <c r="AB980" s="101"/>
      <c r="AC980" s="101"/>
    </row>
    <row r="981" spans="1:29" ht="13">
      <c r="A981" s="115"/>
      <c r="B981" s="97"/>
      <c r="C981" s="115"/>
      <c r="D981" s="115"/>
      <c r="E981" s="115"/>
      <c r="F981" s="115"/>
      <c r="G981" s="99"/>
      <c r="H981" s="98"/>
      <c r="I981" s="100"/>
      <c r="J981" s="100"/>
      <c r="K981" s="100"/>
      <c r="L981" s="101"/>
      <c r="M981" s="101"/>
      <c r="N981" s="112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  <c r="AA981" s="101"/>
      <c r="AB981" s="101"/>
      <c r="AC981" s="101"/>
    </row>
    <row r="982" spans="1:29" ht="13">
      <c r="A982" s="115"/>
      <c r="B982" s="97"/>
      <c r="C982" s="115"/>
      <c r="D982" s="115"/>
      <c r="E982" s="115"/>
      <c r="F982" s="115"/>
      <c r="G982" s="99"/>
      <c r="H982" s="98"/>
      <c r="I982" s="100"/>
      <c r="J982" s="100"/>
      <c r="K982" s="100"/>
      <c r="L982" s="101"/>
      <c r="M982" s="101"/>
      <c r="N982" s="112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  <c r="AA982" s="101"/>
      <c r="AB982" s="101"/>
      <c r="AC982" s="101"/>
    </row>
    <row r="983" spans="1:29" ht="13">
      <c r="A983" s="115"/>
      <c r="B983" s="97"/>
      <c r="C983" s="115"/>
      <c r="D983" s="115"/>
      <c r="E983" s="115"/>
      <c r="F983" s="115"/>
      <c r="G983" s="99"/>
      <c r="H983" s="98"/>
      <c r="I983" s="100"/>
      <c r="J983" s="100"/>
      <c r="K983" s="100"/>
      <c r="L983" s="101"/>
      <c r="M983" s="101"/>
      <c r="N983" s="112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  <c r="AA983" s="101"/>
      <c r="AB983" s="101"/>
      <c r="AC983" s="101"/>
    </row>
    <row r="984" spans="1:29" ht="13">
      <c r="A984" s="115"/>
      <c r="B984" s="97"/>
      <c r="C984" s="115"/>
      <c r="D984" s="115"/>
      <c r="E984" s="115"/>
      <c r="F984" s="115"/>
      <c r="G984" s="99"/>
      <c r="H984" s="98"/>
      <c r="I984" s="100"/>
      <c r="J984" s="100"/>
      <c r="K984" s="100"/>
      <c r="L984" s="101"/>
      <c r="M984" s="101"/>
      <c r="N984" s="112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  <c r="AA984" s="101"/>
      <c r="AB984" s="101"/>
      <c r="AC984" s="101"/>
    </row>
    <row r="985" spans="1:29" ht="13">
      <c r="A985" s="115"/>
      <c r="B985" s="97"/>
      <c r="C985" s="115"/>
      <c r="D985" s="115"/>
      <c r="E985" s="115"/>
      <c r="F985" s="115"/>
      <c r="G985" s="99"/>
      <c r="H985" s="98"/>
      <c r="I985" s="100"/>
      <c r="J985" s="100"/>
      <c r="K985" s="100"/>
      <c r="L985" s="101"/>
      <c r="M985" s="101"/>
      <c r="N985" s="112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  <c r="AA985" s="101"/>
      <c r="AB985" s="101"/>
      <c r="AC985" s="101"/>
    </row>
    <row r="986" spans="1:29" ht="13">
      <c r="A986" s="115"/>
      <c r="B986" s="97"/>
      <c r="C986" s="115"/>
      <c r="D986" s="115"/>
      <c r="E986" s="115"/>
      <c r="F986" s="115"/>
      <c r="G986" s="99"/>
      <c r="H986" s="98"/>
      <c r="I986" s="100"/>
      <c r="J986" s="100"/>
      <c r="K986" s="100"/>
      <c r="L986" s="101"/>
      <c r="M986" s="101"/>
      <c r="N986" s="112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  <c r="AA986" s="101"/>
      <c r="AB986" s="101"/>
      <c r="AC986" s="101"/>
    </row>
    <row r="987" spans="1:29" ht="13">
      <c r="A987" s="115"/>
      <c r="B987" s="97"/>
      <c r="C987" s="115"/>
      <c r="D987" s="115"/>
      <c r="E987" s="115"/>
      <c r="F987" s="115"/>
      <c r="G987" s="99"/>
      <c r="H987" s="98"/>
      <c r="I987" s="100"/>
      <c r="J987" s="100"/>
      <c r="K987" s="100"/>
      <c r="L987" s="101"/>
      <c r="M987" s="101"/>
      <c r="N987" s="112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  <c r="AA987" s="101"/>
      <c r="AB987" s="101"/>
      <c r="AC987" s="101"/>
    </row>
    <row r="988" spans="1:29" ht="13">
      <c r="A988" s="115"/>
      <c r="B988" s="97"/>
      <c r="C988" s="115"/>
      <c r="D988" s="115"/>
      <c r="E988" s="115"/>
      <c r="F988" s="115"/>
      <c r="G988" s="99"/>
      <c r="H988" s="98"/>
      <c r="I988" s="100"/>
      <c r="J988" s="100"/>
      <c r="K988" s="100"/>
      <c r="L988" s="101"/>
      <c r="M988" s="101"/>
      <c r="N988" s="112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  <c r="AA988" s="101"/>
      <c r="AB988" s="101"/>
      <c r="AC988" s="101"/>
    </row>
    <row r="989" spans="1:29" ht="13">
      <c r="A989" s="115"/>
      <c r="B989" s="97"/>
      <c r="C989" s="115"/>
      <c r="D989" s="115"/>
      <c r="E989" s="115"/>
      <c r="F989" s="115"/>
      <c r="G989" s="99"/>
      <c r="H989" s="98"/>
      <c r="I989" s="100"/>
      <c r="J989" s="100"/>
      <c r="K989" s="100"/>
      <c r="L989" s="101"/>
      <c r="M989" s="101"/>
      <c r="N989" s="112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  <c r="AA989" s="101"/>
      <c r="AB989" s="101"/>
      <c r="AC989" s="101"/>
    </row>
    <row r="990" spans="1:29" ht="13">
      <c r="A990" s="115"/>
      <c r="B990" s="97"/>
      <c r="C990" s="115"/>
      <c r="D990" s="115"/>
      <c r="E990" s="115"/>
      <c r="F990" s="115"/>
      <c r="G990" s="99"/>
      <c r="H990" s="98"/>
      <c r="I990" s="100"/>
      <c r="J990" s="100"/>
      <c r="K990" s="100"/>
      <c r="L990" s="101"/>
      <c r="M990" s="101"/>
      <c r="N990" s="112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  <c r="AA990" s="101"/>
      <c r="AB990" s="101"/>
      <c r="AC990" s="101"/>
    </row>
    <row r="991" spans="1:29" ht="13">
      <c r="A991" s="115"/>
      <c r="B991" s="97"/>
      <c r="C991" s="115"/>
      <c r="D991" s="115"/>
      <c r="E991" s="115"/>
      <c r="F991" s="115"/>
      <c r="G991" s="99"/>
      <c r="H991" s="98"/>
      <c r="I991" s="100"/>
      <c r="J991" s="100"/>
      <c r="K991" s="100"/>
      <c r="L991" s="101"/>
      <c r="M991" s="101"/>
      <c r="N991" s="112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  <c r="AA991" s="101"/>
      <c r="AB991" s="101"/>
      <c r="AC991" s="101"/>
    </row>
    <row r="992" spans="1:29" ht="13">
      <c r="A992" s="115"/>
      <c r="B992" s="97"/>
      <c r="C992" s="115"/>
      <c r="D992" s="115"/>
      <c r="E992" s="115"/>
      <c r="F992" s="115"/>
      <c r="G992" s="99"/>
      <c r="H992" s="98"/>
      <c r="I992" s="100"/>
      <c r="J992" s="100"/>
      <c r="K992" s="100"/>
      <c r="L992" s="101"/>
      <c r="M992" s="101"/>
      <c r="N992" s="112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  <c r="AA992" s="101"/>
      <c r="AB992" s="101"/>
      <c r="AC992" s="101"/>
    </row>
    <row r="993" spans="1:29" ht="13">
      <c r="A993" s="115"/>
      <c r="B993" s="97"/>
      <c r="C993" s="115"/>
      <c r="D993" s="115"/>
      <c r="E993" s="115"/>
      <c r="F993" s="115"/>
      <c r="G993" s="99"/>
      <c r="H993" s="98"/>
      <c r="I993" s="100"/>
      <c r="J993" s="100"/>
      <c r="K993" s="100"/>
      <c r="L993" s="101"/>
      <c r="M993" s="101"/>
      <c r="N993" s="112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  <c r="AA993" s="101"/>
      <c r="AB993" s="101"/>
      <c r="AC993" s="101"/>
    </row>
    <row r="994" spans="1:29" ht="13">
      <c r="A994" s="115"/>
      <c r="B994" s="97"/>
      <c r="C994" s="115"/>
      <c r="D994" s="115"/>
      <c r="E994" s="115"/>
      <c r="F994" s="115"/>
      <c r="G994" s="99"/>
      <c r="H994" s="98"/>
      <c r="I994" s="100"/>
      <c r="J994" s="100"/>
      <c r="K994" s="100"/>
      <c r="L994" s="101"/>
      <c r="M994" s="101"/>
      <c r="N994" s="112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  <c r="AA994" s="101"/>
      <c r="AB994" s="101"/>
      <c r="AC994" s="101"/>
    </row>
    <row r="995" spans="1:29" ht="13">
      <c r="A995" s="115"/>
      <c r="B995" s="97"/>
      <c r="C995" s="115"/>
      <c r="D995" s="115"/>
      <c r="E995" s="115"/>
      <c r="F995" s="115"/>
      <c r="G995" s="99"/>
      <c r="H995" s="98"/>
      <c r="I995" s="100"/>
      <c r="J995" s="100"/>
      <c r="K995" s="100"/>
      <c r="L995" s="101"/>
      <c r="M995" s="101"/>
      <c r="N995" s="112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  <c r="AA995" s="101"/>
      <c r="AB995" s="101"/>
      <c r="AC995" s="101"/>
    </row>
    <row r="996" spans="1:29" ht="13">
      <c r="A996" s="115"/>
      <c r="B996" s="97"/>
      <c r="C996" s="115"/>
      <c r="D996" s="115"/>
      <c r="E996" s="115"/>
      <c r="F996" s="115"/>
      <c r="G996" s="99"/>
      <c r="H996" s="98"/>
      <c r="I996" s="100"/>
      <c r="J996" s="100"/>
      <c r="K996" s="100"/>
      <c r="L996" s="101"/>
      <c r="M996" s="101"/>
      <c r="N996" s="112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  <c r="AA996" s="101"/>
      <c r="AB996" s="101"/>
      <c r="AC996" s="101"/>
    </row>
    <row r="997" spans="1:29" ht="13">
      <c r="A997" s="115"/>
      <c r="B997" s="97"/>
      <c r="C997" s="115"/>
      <c r="D997" s="115"/>
      <c r="E997" s="115"/>
      <c r="F997" s="115"/>
      <c r="G997" s="99"/>
      <c r="H997" s="98"/>
      <c r="I997" s="100"/>
      <c r="J997" s="100"/>
      <c r="K997" s="100"/>
      <c r="L997" s="101"/>
      <c r="M997" s="101"/>
      <c r="N997" s="112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  <c r="AA997" s="101"/>
      <c r="AB997" s="101"/>
      <c r="AC997" s="101"/>
    </row>
    <row r="998" spans="1:29" ht="13">
      <c r="A998" s="115"/>
      <c r="B998" s="97"/>
      <c r="C998" s="115"/>
      <c r="D998" s="115"/>
      <c r="E998" s="115"/>
      <c r="F998" s="115"/>
      <c r="G998" s="99"/>
      <c r="H998" s="98"/>
      <c r="I998" s="100"/>
      <c r="J998" s="100"/>
      <c r="K998" s="100"/>
      <c r="L998" s="101"/>
      <c r="M998" s="101"/>
      <c r="N998" s="112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  <c r="AA998" s="101"/>
      <c r="AB998" s="101"/>
      <c r="AC998" s="101"/>
    </row>
    <row r="999" spans="1:29" ht="13">
      <c r="A999" s="115"/>
      <c r="B999" s="97"/>
      <c r="C999" s="115"/>
      <c r="D999" s="115"/>
      <c r="E999" s="115"/>
      <c r="F999" s="115"/>
      <c r="G999" s="99"/>
      <c r="H999" s="98"/>
      <c r="I999" s="100"/>
      <c r="J999" s="100"/>
      <c r="K999" s="100"/>
      <c r="L999" s="101"/>
      <c r="M999" s="101"/>
      <c r="N999" s="112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  <c r="AA999" s="101"/>
      <c r="AB999" s="101"/>
      <c r="AC999" s="101"/>
    </row>
    <row r="1000" spans="1:29" ht="13">
      <c r="A1000" s="115"/>
      <c r="B1000" s="97"/>
      <c r="C1000" s="115"/>
      <c r="D1000" s="115"/>
      <c r="E1000" s="115"/>
      <c r="F1000" s="115"/>
      <c r="G1000" s="99"/>
      <c r="H1000" s="98"/>
      <c r="I1000" s="100"/>
      <c r="J1000" s="100"/>
      <c r="K1000" s="100"/>
      <c r="L1000" s="101"/>
      <c r="M1000" s="101"/>
      <c r="N1000" s="112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  <c r="AA1000" s="101"/>
      <c r="AB1000" s="101"/>
      <c r="AC1000" s="101"/>
    </row>
    <row r="1001" spans="1:29" ht="13">
      <c r="A1001" s="115"/>
      <c r="B1001" s="97"/>
      <c r="C1001" s="115"/>
      <c r="D1001" s="115"/>
      <c r="E1001" s="115"/>
      <c r="F1001" s="115"/>
      <c r="G1001" s="99"/>
      <c r="H1001" s="98"/>
      <c r="I1001" s="100"/>
      <c r="J1001" s="100"/>
      <c r="K1001" s="100"/>
      <c r="L1001" s="101"/>
      <c r="M1001" s="101"/>
      <c r="N1001" s="112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1"/>
      <c r="Y1001" s="101"/>
      <c r="Z1001" s="101"/>
      <c r="AA1001" s="101"/>
      <c r="AB1001" s="101"/>
      <c r="AC1001" s="101"/>
    </row>
  </sheetData>
  <mergeCells count="1">
    <mergeCell ref="M1:N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9DAF8"/>
    <outlinePr summaryBelow="0" summaryRight="0"/>
    <pageSetUpPr fitToPage="1"/>
  </sheetPr>
  <dimension ref="A1:Z1006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7.26953125" customWidth="1"/>
    <col min="2" max="3" width="5.453125" customWidth="1"/>
    <col min="4" max="4" width="7.08984375" customWidth="1"/>
    <col min="5" max="5" width="22.7265625" hidden="1" customWidth="1"/>
    <col min="6" max="6" width="13.453125" hidden="1" customWidth="1"/>
    <col min="7" max="7" width="56.54296875" customWidth="1"/>
    <col min="8" max="8" width="25.81640625" hidden="1" customWidth="1"/>
    <col min="9" max="10" width="12.7265625" hidden="1" customWidth="1"/>
    <col min="11" max="11" width="7.453125" hidden="1" customWidth="1"/>
    <col min="12" max="12" width="13.7265625" hidden="1" customWidth="1"/>
    <col min="13" max="13" width="7.453125" hidden="1" customWidth="1"/>
    <col min="14" max="14" width="12.7265625" hidden="1" customWidth="1"/>
    <col min="15" max="15" width="9.54296875" hidden="1" customWidth="1"/>
    <col min="16" max="16" width="27" hidden="1" customWidth="1"/>
    <col min="17" max="17" width="11.54296875" customWidth="1"/>
    <col min="18" max="18" width="8.453125" customWidth="1"/>
    <col min="19" max="19" width="7.453125" hidden="1" customWidth="1"/>
    <col min="20" max="20" width="10.54296875" hidden="1" customWidth="1"/>
    <col min="21" max="21" width="10.54296875" customWidth="1"/>
    <col min="22" max="23" width="10.54296875" hidden="1" customWidth="1"/>
    <col min="24" max="24" width="11.54296875" hidden="1" customWidth="1"/>
    <col min="25" max="25" width="13.54296875" hidden="1" customWidth="1"/>
    <col min="26" max="26" width="28.453125" customWidth="1"/>
  </cols>
  <sheetData>
    <row r="1" spans="1:26" ht="15.75" customHeight="1">
      <c r="A1" s="37" t="s">
        <v>537</v>
      </c>
      <c r="B1" s="38"/>
      <c r="C1" s="39"/>
      <c r="D1" s="40"/>
      <c r="E1" s="40"/>
      <c r="F1" s="40"/>
      <c r="G1" s="41"/>
      <c r="H1" s="40"/>
      <c r="I1" s="40"/>
      <c r="J1" s="40"/>
      <c r="K1" s="40"/>
      <c r="L1" s="40"/>
      <c r="M1" s="40"/>
      <c r="N1" s="40"/>
      <c r="O1" s="40"/>
      <c r="P1" s="42"/>
      <c r="Q1" s="43"/>
      <c r="R1" s="43"/>
      <c r="S1" s="43"/>
      <c r="T1" s="43"/>
      <c r="U1" s="44"/>
      <c r="V1" s="40"/>
      <c r="W1" s="40"/>
      <c r="X1" s="40"/>
      <c r="Y1" s="40"/>
      <c r="Z1" s="40"/>
    </row>
    <row r="2" spans="1:26" ht="26">
      <c r="A2" s="46" t="s">
        <v>36</v>
      </c>
      <c r="B2" s="47" t="s">
        <v>95</v>
      </c>
      <c r="C2" s="47" t="s">
        <v>38</v>
      </c>
      <c r="D2" s="48" t="s">
        <v>40</v>
      </c>
      <c r="E2" s="49" t="s">
        <v>43</v>
      </c>
      <c r="F2" s="50" t="s">
        <v>45</v>
      </c>
      <c r="G2" s="47" t="s">
        <v>96</v>
      </c>
      <c r="H2" s="50" t="s">
        <v>97</v>
      </c>
      <c r="I2" s="50" t="s">
        <v>98</v>
      </c>
      <c r="J2" s="50" t="s">
        <v>99</v>
      </c>
      <c r="K2" s="48" t="s">
        <v>100</v>
      </c>
      <c r="L2" s="50" t="s">
        <v>101</v>
      </c>
      <c r="M2" s="48" t="s">
        <v>102</v>
      </c>
      <c r="N2" s="50" t="s">
        <v>103</v>
      </c>
      <c r="O2" s="48" t="s">
        <v>104</v>
      </c>
      <c r="P2" s="51" t="s">
        <v>105</v>
      </c>
      <c r="Q2" s="52" t="s">
        <v>63</v>
      </c>
      <c r="R2" s="52" t="s">
        <v>65</v>
      </c>
      <c r="S2" s="52" t="s">
        <v>67</v>
      </c>
      <c r="T2" s="52" t="s">
        <v>69</v>
      </c>
      <c r="U2" s="53" t="s">
        <v>71</v>
      </c>
      <c r="V2" s="54" t="s">
        <v>106</v>
      </c>
      <c r="W2" s="54" t="s">
        <v>107</v>
      </c>
      <c r="X2" s="54" t="s">
        <v>108</v>
      </c>
      <c r="Y2" s="54" t="s">
        <v>73</v>
      </c>
      <c r="Z2" s="55" t="s">
        <v>109</v>
      </c>
    </row>
    <row r="3" spans="1:26" ht="15.75" customHeight="1">
      <c r="A3" s="56" t="str">
        <f t="shared" ref="A3:A142" si="0">CONCATENATE("E",B3,C3)</f>
        <v>E0NE</v>
      </c>
      <c r="B3" s="57">
        <v>0</v>
      </c>
      <c r="C3" s="58" t="s">
        <v>110</v>
      </c>
      <c r="D3" s="59">
        <f t="shared" ref="D3:D142" si="1">B3*200+200</f>
        <v>200</v>
      </c>
      <c r="E3" s="60" t="s">
        <v>538</v>
      </c>
      <c r="F3" s="60">
        <v>1103124226</v>
      </c>
      <c r="G3" s="58" t="s">
        <v>539</v>
      </c>
      <c r="H3" s="60" t="s">
        <v>540</v>
      </c>
      <c r="I3" s="60">
        <v>114.1583588</v>
      </c>
      <c r="J3" s="60">
        <v>22.283442170000001</v>
      </c>
      <c r="K3" s="61">
        <v>3.6</v>
      </c>
      <c r="L3" s="60" t="s">
        <v>126</v>
      </c>
      <c r="M3" s="61">
        <v>185.9</v>
      </c>
      <c r="N3" s="60" t="s">
        <v>115</v>
      </c>
      <c r="O3" s="61">
        <v>182.3</v>
      </c>
      <c r="P3" s="62"/>
      <c r="Q3" s="43" t="b">
        <v>0</v>
      </c>
      <c r="R3" s="43" t="b">
        <v>0</v>
      </c>
      <c r="S3" s="43" t="b">
        <v>0</v>
      </c>
      <c r="T3" s="63" t="b">
        <f ca="1">AND(U3&lt;&gt;"",OR(U3&gt;(VLOOKUP(B3,E_analysis!$A$2:$K$36,5,FALSE)+2*VLOOKUP(B3,E_analysis!$A$2:$K$36,6,FALSE)),U3&lt;(VLOOKUP(B3,E_analysis!$A$2:$K$36,5,FALSE)-2*VLOOKUP(B3,E_analysis!$A$2:$K$36,6,FALSE))))</f>
        <v>0</v>
      </c>
      <c r="U3" s="64">
        <f>IFERROR(VLOOKUP($F3,NE_bmis!$A:$K,6,FALSE),"")</f>
        <v>50</v>
      </c>
      <c r="V3" s="60">
        <f>IFERROR(VLOOKUP($F3,NE_bmis!$A:$K,7,FALSE),"")</f>
        <v>0</v>
      </c>
      <c r="W3" s="59">
        <f>IFERROR(VLOOKUP($F3,NE_bmis!$A:$K,8,FALSE),"")</f>
        <v>100</v>
      </c>
      <c r="X3" s="60">
        <f>IFERROR(VLOOKUP($F3,NE_bmis!$A:$K,9,FALSE),"")</f>
        <v>1984</v>
      </c>
      <c r="Y3" s="65" t="str">
        <f>IFERROR(VLOOKUP($F3,NE_bmis!$A:$K,11,FALSE),"")</f>
        <v>BMIS_auto</v>
      </c>
      <c r="Z3" s="66" t="s">
        <v>1761</v>
      </c>
    </row>
    <row r="4" spans="1:26" ht="15.75" customHeight="1">
      <c r="A4" s="56" t="str">
        <f t="shared" si="0"/>
        <v>E0SE</v>
      </c>
      <c r="B4" s="57">
        <v>0</v>
      </c>
      <c r="C4" s="58" t="s">
        <v>116</v>
      </c>
      <c r="D4" s="59">
        <f t="shared" si="1"/>
        <v>200</v>
      </c>
      <c r="E4" s="60" t="s">
        <v>541</v>
      </c>
      <c r="F4" s="60">
        <v>1103123008</v>
      </c>
      <c r="G4" s="58" t="s">
        <v>542</v>
      </c>
      <c r="H4" s="60" t="s">
        <v>543</v>
      </c>
      <c r="I4" s="60">
        <v>114.15816770000001</v>
      </c>
      <c r="J4" s="60">
        <v>22.284623549999999</v>
      </c>
      <c r="K4" s="61">
        <v>3.8</v>
      </c>
      <c r="L4" s="60" t="s">
        <v>115</v>
      </c>
      <c r="M4" s="61">
        <v>34.4</v>
      </c>
      <c r="N4" s="60" t="s">
        <v>115</v>
      </c>
      <c r="O4" s="61">
        <v>30.6</v>
      </c>
      <c r="P4" s="67" t="s">
        <v>544</v>
      </c>
      <c r="Q4" s="43" t="b">
        <v>0</v>
      </c>
      <c r="R4" s="43" t="b">
        <v>1</v>
      </c>
      <c r="S4" s="43" t="b">
        <v>0</v>
      </c>
      <c r="T4" s="63" t="b">
        <f ca="1">AND(U4&lt;&gt;"",OR(U4&gt;(VLOOKUP(B4,E_analysis!$A$2:$K$36,5,FALSE)+2*VLOOKUP(B4,E_analysis!$A$2:$K$36,6,FALSE)),U4&lt;(VLOOKUP(B4,E_analysis!$A$2:$K$36,5,FALSE)-2*VLOOKUP(B4,E_analysis!$A$2:$K$36,6,FALSE))))</f>
        <v>1</v>
      </c>
      <c r="U4" s="68">
        <v>4</v>
      </c>
      <c r="V4" s="60" t="str">
        <f>IFERROR(VLOOKUP($F4,NE_bmis!$A:$K,7,FALSE),"")</f>
        <v/>
      </c>
      <c r="W4" s="59" t="str">
        <f>IFERROR(VLOOKUP($F4,NE_bmis!$A:$K,8,FALSE),"")</f>
        <v/>
      </c>
      <c r="X4" s="60" t="str">
        <f>IFERROR(VLOOKUP($F4,NE_bmis!$A:$K,9,FALSE),"")</f>
        <v/>
      </c>
      <c r="Y4" s="60" t="s">
        <v>227</v>
      </c>
      <c r="Z4" s="66" t="s">
        <v>1763</v>
      </c>
    </row>
    <row r="5" spans="1:26" ht="15.75" customHeight="1">
      <c r="A5" s="56" t="str">
        <f t="shared" si="0"/>
        <v>E0SW</v>
      </c>
      <c r="B5" s="57">
        <v>0</v>
      </c>
      <c r="C5" s="58" t="s">
        <v>121</v>
      </c>
      <c r="D5" s="59">
        <f t="shared" si="1"/>
        <v>200</v>
      </c>
      <c r="E5" s="60" t="s">
        <v>545</v>
      </c>
      <c r="F5" s="60">
        <v>1103124028</v>
      </c>
      <c r="G5" s="58" t="s">
        <v>546</v>
      </c>
      <c r="H5" s="60" t="s">
        <v>547</v>
      </c>
      <c r="I5" s="60">
        <v>114.15954379999999</v>
      </c>
      <c r="J5" s="60">
        <v>22.283562939999999</v>
      </c>
      <c r="K5" s="61">
        <v>3.9</v>
      </c>
      <c r="L5" s="60" t="s">
        <v>115</v>
      </c>
      <c r="M5" s="61">
        <v>30.1</v>
      </c>
      <c r="N5" s="60" t="s">
        <v>115</v>
      </c>
      <c r="O5" s="61">
        <v>26.2</v>
      </c>
      <c r="P5" s="67" t="s">
        <v>548</v>
      </c>
      <c r="Q5" s="43" t="b">
        <v>0</v>
      </c>
      <c r="R5" s="43" t="b">
        <v>1</v>
      </c>
      <c r="S5" s="43" t="b">
        <v>0</v>
      </c>
      <c r="T5" s="63" t="b">
        <f ca="1">AND(U5&lt;&gt;"",OR(U5&gt;(VLOOKUP(B5,E_analysis!$A$2:$K$36,5,FALSE)+2*VLOOKUP(B5,E_analysis!$A$2:$K$36,6,FALSE)),U5&lt;(VLOOKUP(B5,E_analysis!$A$2:$K$36,5,FALSE)-2*VLOOKUP(B5,E_analysis!$A$2:$K$36,6,FALSE))))</f>
        <v>1</v>
      </c>
      <c r="U5" s="68">
        <v>3</v>
      </c>
      <c r="V5" s="65" t="str">
        <f>IFERROR(VLOOKUP($F5,NE_bmis!$A:$K,7,FALSE),"")</f>
        <v/>
      </c>
      <c r="W5" s="66" t="str">
        <f>IFERROR(VLOOKUP($F5,NE_bmis!$A:$K,8,FALSE),"")</f>
        <v/>
      </c>
      <c r="X5" s="65" t="str">
        <f>IFERROR(VLOOKUP($F5,NE_bmis!$A:$K,9,FALSE),"")</f>
        <v/>
      </c>
      <c r="Y5" s="60" t="s">
        <v>227</v>
      </c>
      <c r="Z5" s="66" t="s">
        <v>1765</v>
      </c>
    </row>
    <row r="6" spans="1:26" ht="15.75" customHeight="1">
      <c r="A6" s="56" t="str">
        <f t="shared" si="0"/>
        <v>E0NW</v>
      </c>
      <c r="B6" s="57">
        <v>0</v>
      </c>
      <c r="C6" s="58" t="s">
        <v>127</v>
      </c>
      <c r="D6" s="59">
        <f t="shared" si="1"/>
        <v>200</v>
      </c>
      <c r="E6" s="60" t="s">
        <v>549</v>
      </c>
      <c r="F6" s="60">
        <v>1103124531</v>
      </c>
      <c r="G6" s="58" t="s">
        <v>550</v>
      </c>
      <c r="H6" s="60" t="s">
        <v>551</v>
      </c>
      <c r="I6" s="60">
        <v>114.15915529999999</v>
      </c>
      <c r="J6" s="60">
        <v>22.28300407</v>
      </c>
      <c r="K6" s="61">
        <v>3.7</v>
      </c>
      <c r="L6" s="60" t="s">
        <v>115</v>
      </c>
      <c r="M6" s="61">
        <v>182</v>
      </c>
      <c r="N6" s="60" t="s">
        <v>115</v>
      </c>
      <c r="O6" s="61">
        <v>178.3</v>
      </c>
      <c r="P6" s="62"/>
      <c r="Q6" s="43" t="b">
        <v>0</v>
      </c>
      <c r="R6" s="43" t="b">
        <v>0</v>
      </c>
      <c r="S6" s="43" t="b">
        <v>0</v>
      </c>
      <c r="T6" s="63" t="b">
        <f ca="1">AND(U6&lt;&gt;"",OR(U6&gt;(VLOOKUP(B6,E_analysis!$A$2:$K$36,5,FALSE)+2*VLOOKUP(B6,E_analysis!$A$2:$K$36,6,FALSE)),U6&lt;(VLOOKUP(B6,E_analysis!$A$2:$K$36,5,FALSE)-2*VLOOKUP(B6,E_analysis!$A$2:$K$36,6,FALSE))))</f>
        <v>0</v>
      </c>
      <c r="U6" s="64">
        <f>IFERROR(VLOOKUP($F6,NE_bmis!$A:$K,6,FALSE),"")</f>
        <v>48</v>
      </c>
      <c r="V6" s="60">
        <f>IFERROR(VLOOKUP($F6,NE_bmis!$A:$K,7,FALSE),"")</f>
        <v>1</v>
      </c>
      <c r="W6" s="59">
        <f>IFERROR(VLOOKUP($F6,NE_bmis!$A:$K,8,FALSE),"")</f>
        <v>108</v>
      </c>
      <c r="X6" s="60">
        <f>IFERROR(VLOOKUP($F6,NE_bmis!$A:$K,9,FALSE),"")</f>
        <v>1972</v>
      </c>
      <c r="Y6" s="65" t="str">
        <f>IFERROR(VLOOKUP($F6,NE_bmis!$A:$K,11,FALSE),"")</f>
        <v>BMIS_auto</v>
      </c>
      <c r="Z6" s="66" t="s">
        <v>1767</v>
      </c>
    </row>
    <row r="7" spans="1:26" ht="15.75" customHeight="1">
      <c r="A7" s="56" t="str">
        <f t="shared" si="0"/>
        <v>E1NE</v>
      </c>
      <c r="B7" s="57">
        <v>1</v>
      </c>
      <c r="C7" s="58" t="s">
        <v>110</v>
      </c>
      <c r="D7" s="59">
        <f t="shared" si="1"/>
        <v>400</v>
      </c>
      <c r="E7" s="60" t="s">
        <v>552</v>
      </c>
      <c r="F7" s="60">
        <v>1103124903</v>
      </c>
      <c r="G7" s="58" t="s">
        <v>553</v>
      </c>
      <c r="H7" s="60" t="s">
        <v>554</v>
      </c>
      <c r="I7" s="60">
        <v>114.1577892</v>
      </c>
      <c r="J7" s="60">
        <v>22.282554059999999</v>
      </c>
      <c r="K7" s="61">
        <v>3.7</v>
      </c>
      <c r="L7" s="60" t="s">
        <v>115</v>
      </c>
      <c r="M7" s="61">
        <v>109</v>
      </c>
      <c r="N7" s="60">
        <v>3</v>
      </c>
      <c r="O7" s="61">
        <v>105.3</v>
      </c>
      <c r="P7" s="62"/>
      <c r="Q7" s="43" t="b">
        <v>0</v>
      </c>
      <c r="R7" s="43" t="b">
        <v>0</v>
      </c>
      <c r="S7" s="43" t="b">
        <v>0</v>
      </c>
      <c r="T7" s="63" t="b">
        <f ca="1">AND(U7&lt;&gt;"",OR(U7&gt;(VLOOKUP(B7,E_analysis!$A$2:$K$36,5,FALSE)+2*VLOOKUP(B7,E_analysis!$A$2:$K$36,6,FALSE)),U7&lt;(VLOOKUP(B7,E_analysis!$A$2:$K$36,5,FALSE)-2*VLOOKUP(B7,E_analysis!$A$2:$K$36,6,FALSE))))</f>
        <v>0</v>
      </c>
      <c r="U7" s="68">
        <f>IFERROR(VLOOKUP($F7,NE_bmis!$A:$K,6,FALSE),"")</f>
        <v>27</v>
      </c>
      <c r="V7" s="60">
        <f>IFERROR(VLOOKUP($F7,NE_bmis!$A:$K,7,FALSE),"")</f>
        <v>0</v>
      </c>
      <c r="W7" s="59">
        <f>IFERROR(VLOOKUP($F7,NE_bmis!$A:$K,8,FALSE),"")</f>
        <v>363</v>
      </c>
      <c r="X7" s="60">
        <f>IFERROR(VLOOKUP($F7,NE_bmis!$A:$K,9,FALSE),"")</f>
        <v>1980</v>
      </c>
      <c r="Y7" s="60" t="str">
        <f>IFERROR(VLOOKUP($F7,NE_bmis!$A:$K,11,FALSE),"")</f>
        <v>BMIS_auto</v>
      </c>
      <c r="Z7" s="66" t="s">
        <v>1769</v>
      </c>
    </row>
    <row r="8" spans="1:26" ht="15.75" customHeight="1">
      <c r="A8" s="56" t="str">
        <f t="shared" si="0"/>
        <v>E1SE</v>
      </c>
      <c r="B8" s="57">
        <v>1</v>
      </c>
      <c r="C8" s="58" t="s">
        <v>116</v>
      </c>
      <c r="D8" s="59">
        <f t="shared" si="1"/>
        <v>400</v>
      </c>
      <c r="E8" s="60"/>
      <c r="F8" s="60"/>
      <c r="G8" s="58" t="s">
        <v>555</v>
      </c>
      <c r="H8" s="60" t="s">
        <v>556</v>
      </c>
      <c r="I8" s="60" t="s">
        <v>556</v>
      </c>
      <c r="J8" s="60" t="s">
        <v>556</v>
      </c>
      <c r="K8" s="61" t="s">
        <v>556</v>
      </c>
      <c r="L8" s="60" t="s">
        <v>556</v>
      </c>
      <c r="M8" s="61" t="s">
        <v>556</v>
      </c>
      <c r="N8" s="60" t="s">
        <v>556</v>
      </c>
      <c r="O8" s="61" t="s">
        <v>556</v>
      </c>
      <c r="P8" s="69" t="s">
        <v>557</v>
      </c>
      <c r="Q8" s="43" t="b">
        <v>1</v>
      </c>
      <c r="R8" s="43" t="b">
        <v>1</v>
      </c>
      <c r="S8" s="43" t="b">
        <v>0</v>
      </c>
      <c r="T8" s="63" t="b">
        <f ca="1">AND(U8&lt;&gt;"",OR(U8&gt;(VLOOKUP(B8,E_analysis!$A$2:$K$36,5,FALSE)+2*VLOOKUP(B8,E_analysis!$A$2:$K$36,6,FALSE)),U8&lt;(VLOOKUP(B8,E_analysis!$A$2:$K$36,5,FALSE)-2*VLOOKUP(B8,E_analysis!$A$2:$K$36,6,FALSE))))</f>
        <v>1</v>
      </c>
      <c r="U8" s="64">
        <v>0</v>
      </c>
      <c r="V8" s="65" t="str">
        <f>IFERROR(VLOOKUP($F8,NE_bmis!$A:$K,7,FALSE),"")</f>
        <v/>
      </c>
      <c r="W8" s="66" t="str">
        <f>IFERROR(VLOOKUP($F8,NE_bmis!$A:$K,8,FALSE),"")</f>
        <v/>
      </c>
      <c r="X8" s="65" t="str">
        <f>IFERROR(VLOOKUP($F8,NE_bmis!$A:$K,9,FALSE),"")</f>
        <v/>
      </c>
      <c r="Y8" s="60" t="str">
        <f>IFERROR(VLOOKUP($F8,NE_bmis!$A:$K,11,FALSE),"")</f>
        <v/>
      </c>
      <c r="Z8" s="66" t="s">
        <v>556</v>
      </c>
    </row>
    <row r="9" spans="1:26" ht="15.75" customHeight="1">
      <c r="A9" s="56" t="str">
        <f t="shared" si="0"/>
        <v>E1SW</v>
      </c>
      <c r="B9" s="57">
        <v>1</v>
      </c>
      <c r="C9" s="58" t="s">
        <v>121</v>
      </c>
      <c r="D9" s="59">
        <f t="shared" si="1"/>
        <v>400</v>
      </c>
      <c r="E9" s="60"/>
      <c r="F9" s="60"/>
      <c r="G9" s="58" t="s">
        <v>555</v>
      </c>
      <c r="H9" s="60" t="s">
        <v>556</v>
      </c>
      <c r="I9" s="60" t="s">
        <v>556</v>
      </c>
      <c r="J9" s="60" t="s">
        <v>556</v>
      </c>
      <c r="K9" s="61" t="s">
        <v>556</v>
      </c>
      <c r="L9" s="60" t="s">
        <v>556</v>
      </c>
      <c r="M9" s="61" t="s">
        <v>556</v>
      </c>
      <c r="N9" s="60" t="s">
        <v>556</v>
      </c>
      <c r="O9" s="61" t="s">
        <v>556</v>
      </c>
      <c r="P9" s="69" t="s">
        <v>557</v>
      </c>
      <c r="Q9" s="43" t="b">
        <v>1</v>
      </c>
      <c r="R9" s="43" t="b">
        <v>1</v>
      </c>
      <c r="S9" s="43" t="b">
        <v>0</v>
      </c>
      <c r="T9" s="63" t="b">
        <f ca="1">AND(U9&lt;&gt;"",OR(U9&gt;(VLOOKUP(B9,E_analysis!$A$2:$K$36,5,FALSE)+2*VLOOKUP(B9,E_analysis!$A$2:$K$36,6,FALSE)),U9&lt;(VLOOKUP(B9,E_analysis!$A$2:$K$36,5,FALSE)-2*VLOOKUP(B9,E_analysis!$A$2:$K$36,6,FALSE))))</f>
        <v>1</v>
      </c>
      <c r="U9" s="64">
        <v>0</v>
      </c>
      <c r="V9" s="65" t="str">
        <f>IFERROR(VLOOKUP($F9,NE_bmis!$A:$K,7,FALSE),"")</f>
        <v/>
      </c>
      <c r="W9" s="66" t="str">
        <f>IFERROR(VLOOKUP($F9,NE_bmis!$A:$K,8,FALSE),"")</f>
        <v/>
      </c>
      <c r="X9" s="65" t="str">
        <f>IFERROR(VLOOKUP($F9,NE_bmis!$A:$K,9,FALSE),"")</f>
        <v/>
      </c>
      <c r="Y9" s="60" t="str">
        <f>IFERROR(VLOOKUP($F9,NE_bmis!$A:$K,11,FALSE),"")</f>
        <v/>
      </c>
      <c r="Z9" s="66" t="s">
        <v>556</v>
      </c>
    </row>
    <row r="10" spans="1:26" ht="15.75" customHeight="1">
      <c r="A10" s="56" t="str">
        <f t="shared" si="0"/>
        <v>E1NW</v>
      </c>
      <c r="B10" s="57">
        <v>1</v>
      </c>
      <c r="C10" s="58" t="s">
        <v>127</v>
      </c>
      <c r="D10" s="59">
        <f t="shared" si="1"/>
        <v>400</v>
      </c>
      <c r="E10" s="60" t="s">
        <v>558</v>
      </c>
      <c r="F10" s="60">
        <v>1103125246</v>
      </c>
      <c r="G10" s="58" t="s">
        <v>559</v>
      </c>
      <c r="H10" s="60" t="s">
        <v>560</v>
      </c>
      <c r="I10" s="60">
        <v>114.1584381</v>
      </c>
      <c r="J10" s="60">
        <v>22.282230460000001</v>
      </c>
      <c r="K10" s="61">
        <v>3.7</v>
      </c>
      <c r="L10" s="60" t="s">
        <v>115</v>
      </c>
      <c r="M10" s="61">
        <v>127.5</v>
      </c>
      <c r="N10" s="60" t="s">
        <v>115</v>
      </c>
      <c r="O10" s="61">
        <v>123.8</v>
      </c>
      <c r="P10" s="62"/>
      <c r="Q10" s="43" t="b">
        <v>0</v>
      </c>
      <c r="R10" s="43" t="b">
        <v>0</v>
      </c>
      <c r="S10" s="43" t="b">
        <v>0</v>
      </c>
      <c r="T10" s="63" t="b">
        <f ca="1">AND(U10&lt;&gt;"",OR(U10&gt;(VLOOKUP(B10,E_analysis!$A$2:$K$36,5,FALSE)+2*VLOOKUP(B10,E_analysis!$A$2:$K$36,6,FALSE)),U10&lt;(VLOOKUP(B10,E_analysis!$A$2:$K$36,5,FALSE)-2*VLOOKUP(B10,E_analysis!$A$2:$K$36,6,FALSE))))</f>
        <v>0</v>
      </c>
      <c r="U10" s="68">
        <f>IFERROR(VLOOKUP($F10,NE_bmis!$A:$K,6,FALSE),"")</f>
        <v>31</v>
      </c>
      <c r="V10" s="60">
        <f>IFERROR(VLOOKUP($F10,NE_bmis!$A:$K,7,FALSE),"")</f>
        <v>3</v>
      </c>
      <c r="W10" s="59">
        <f>IFERROR(VLOOKUP($F10,NE_bmis!$A:$K,8,FALSE),"")</f>
        <v>31</v>
      </c>
      <c r="X10" s="60">
        <f>IFERROR(VLOOKUP($F10,NE_bmis!$A:$K,9,FALSE),"")</f>
        <v>2002</v>
      </c>
      <c r="Y10" s="60" t="str">
        <f>IFERROR(VLOOKUP($F10,NE_bmis!$A:$K,11,FALSE),"")</f>
        <v>BMIS_auto</v>
      </c>
      <c r="Z10" s="66" t="s">
        <v>1773</v>
      </c>
    </row>
    <row r="11" spans="1:26" ht="15.75" customHeight="1">
      <c r="A11" s="56" t="str">
        <f t="shared" si="0"/>
        <v>E2NE</v>
      </c>
      <c r="B11" s="57">
        <v>2</v>
      </c>
      <c r="C11" s="58" t="s">
        <v>110</v>
      </c>
      <c r="D11" s="59">
        <f t="shared" si="1"/>
        <v>600</v>
      </c>
      <c r="E11" s="60"/>
      <c r="F11" s="60"/>
      <c r="G11" s="58" t="s">
        <v>94</v>
      </c>
      <c r="H11" s="60" t="s">
        <v>556</v>
      </c>
      <c r="I11" s="60" t="s">
        <v>556</v>
      </c>
      <c r="J11" s="60" t="s">
        <v>556</v>
      </c>
      <c r="K11" s="61" t="s">
        <v>556</v>
      </c>
      <c r="L11" s="60" t="s">
        <v>556</v>
      </c>
      <c r="M11" s="61" t="s">
        <v>556</v>
      </c>
      <c r="N11" s="60" t="s">
        <v>556</v>
      </c>
      <c r="O11" s="61" t="s">
        <v>556</v>
      </c>
      <c r="P11" s="69" t="s">
        <v>557</v>
      </c>
      <c r="Q11" s="43" t="b">
        <v>1</v>
      </c>
      <c r="R11" s="43" t="b">
        <v>1</v>
      </c>
      <c r="S11" s="43" t="b">
        <v>0</v>
      </c>
      <c r="T11" s="63" t="b">
        <f ca="1">AND(U11&lt;&gt;"",OR(U11&gt;(VLOOKUP(B11,E_analysis!$A$2:$K$36,5,FALSE)+2*VLOOKUP(B11,E_analysis!$A$2:$K$36,6,FALSE)),U11&lt;(VLOOKUP(B11,E_analysis!$A$2:$K$36,5,FALSE)-2*VLOOKUP(B11,E_analysis!$A$2:$K$36,6,FALSE))))</f>
        <v>1</v>
      </c>
      <c r="U11" s="64">
        <v>0</v>
      </c>
      <c r="V11" s="65" t="str">
        <f>IFERROR(VLOOKUP($F11,NE_bmis!$A:$K,7,FALSE),"")</f>
        <v/>
      </c>
      <c r="W11" s="66" t="str">
        <f>IFERROR(VLOOKUP($F11,NE_bmis!$A:$K,8,FALSE),"")</f>
        <v/>
      </c>
      <c r="X11" s="65" t="str">
        <f>IFERROR(VLOOKUP($F11,NE_bmis!$A:$K,9,FALSE),"")</f>
        <v/>
      </c>
      <c r="Y11" s="60" t="str">
        <f>IFERROR(VLOOKUP($F11,NE_bmis!$A:$K,11,FALSE),"")</f>
        <v/>
      </c>
      <c r="Z11" s="66" t="s">
        <v>556</v>
      </c>
    </row>
    <row r="12" spans="1:26" ht="15.75" customHeight="1">
      <c r="A12" s="56" t="str">
        <f t="shared" si="0"/>
        <v>E2SE</v>
      </c>
      <c r="B12" s="57">
        <v>2</v>
      </c>
      <c r="C12" s="58" t="s">
        <v>116</v>
      </c>
      <c r="D12" s="59">
        <f t="shared" si="1"/>
        <v>600</v>
      </c>
      <c r="E12" s="60" t="s">
        <v>561</v>
      </c>
      <c r="F12" s="60">
        <v>1103125983</v>
      </c>
      <c r="G12" s="58" t="s">
        <v>562</v>
      </c>
      <c r="H12" s="60" t="s">
        <v>563</v>
      </c>
      <c r="I12" s="60">
        <v>114.1591631</v>
      </c>
      <c r="J12" s="60">
        <v>22.281224989999998</v>
      </c>
      <c r="K12" s="61">
        <v>3.7</v>
      </c>
      <c r="L12" s="60" t="s">
        <v>115</v>
      </c>
      <c r="M12" s="61">
        <v>84.1</v>
      </c>
      <c r="N12" s="60">
        <v>3</v>
      </c>
      <c r="O12" s="61">
        <v>80.400000000000006</v>
      </c>
      <c r="P12" s="62"/>
      <c r="Q12" s="43" t="b">
        <v>0</v>
      </c>
      <c r="R12" s="43" t="b">
        <v>0</v>
      </c>
      <c r="S12" s="43" t="b">
        <v>0</v>
      </c>
      <c r="T12" s="63" t="b">
        <f ca="1">AND(U12&lt;&gt;"",OR(U12&gt;(VLOOKUP(B12,E_analysis!$A$2:$K$36,5,FALSE)+2*VLOOKUP(B12,E_analysis!$A$2:$K$36,6,FALSE)),U12&lt;(VLOOKUP(B12,E_analysis!$A$2:$K$36,5,FALSE)-2*VLOOKUP(B12,E_analysis!$A$2:$K$36,6,FALSE))))</f>
        <v>0</v>
      </c>
      <c r="U12" s="64">
        <f>IFERROR(VLOOKUP($F12,NE_bmis!$A:$K,6,FALSE),"")</f>
        <v>26</v>
      </c>
      <c r="V12" s="60">
        <f>IFERROR(VLOOKUP($F12,NE_bmis!$A:$K,7,FALSE),"")</f>
        <v>1</v>
      </c>
      <c r="W12" s="59">
        <f>IFERROR(VLOOKUP($F12,NE_bmis!$A:$K,8,FALSE),"")</f>
        <v>229</v>
      </c>
      <c r="X12" s="65">
        <f>IFERROR(VLOOKUP($F12,NE_bmis!$A:$K,9,FALSE),"")</f>
        <v>1965</v>
      </c>
      <c r="Y12" s="65" t="str">
        <f>IFERROR(VLOOKUP($F12,NE_bmis!$A:$K,11,FALSE),"")</f>
        <v>BMIS_auto</v>
      </c>
      <c r="Z12" s="66" t="s">
        <v>1780</v>
      </c>
    </row>
    <row r="13" spans="1:26" ht="15.75" customHeight="1">
      <c r="A13" s="56" t="str">
        <f t="shared" si="0"/>
        <v>E2SW</v>
      </c>
      <c r="B13" s="57">
        <v>2</v>
      </c>
      <c r="C13" s="58" t="s">
        <v>121</v>
      </c>
      <c r="D13" s="59">
        <f t="shared" si="1"/>
        <v>600</v>
      </c>
      <c r="E13" s="60" t="s">
        <v>564</v>
      </c>
      <c r="F13" s="60">
        <v>1103125448</v>
      </c>
      <c r="G13" s="58" t="s">
        <v>565</v>
      </c>
      <c r="H13" s="60" t="s">
        <v>566</v>
      </c>
      <c r="I13" s="60">
        <v>114.1593912</v>
      </c>
      <c r="J13" s="60">
        <v>22.281936040000001</v>
      </c>
      <c r="K13" s="61">
        <v>3.7</v>
      </c>
      <c r="L13" s="60" t="s">
        <v>115</v>
      </c>
      <c r="M13" s="61">
        <v>83.4</v>
      </c>
      <c r="N13" s="60" t="s">
        <v>115</v>
      </c>
      <c r="O13" s="61">
        <v>79.7</v>
      </c>
      <c r="P13" s="62"/>
      <c r="Q13" s="43" t="b">
        <v>0</v>
      </c>
      <c r="R13" s="43" t="b">
        <v>0</v>
      </c>
      <c r="S13" s="43" t="b">
        <v>0</v>
      </c>
      <c r="T13" s="63" t="b">
        <f ca="1">AND(U13&lt;&gt;"",OR(U13&gt;(VLOOKUP(B13,E_analysis!$A$2:$K$36,5,FALSE)+2*VLOOKUP(B13,E_analysis!$A$2:$K$36,6,FALSE)),U13&lt;(VLOOKUP(B13,E_analysis!$A$2:$K$36,5,FALSE)-2*VLOOKUP(B13,E_analysis!$A$2:$K$36,6,FALSE))))</f>
        <v>0</v>
      </c>
      <c r="U13" s="68">
        <v>25</v>
      </c>
      <c r="V13" s="65">
        <v>0</v>
      </c>
      <c r="W13" s="66">
        <v>501</v>
      </c>
      <c r="X13" s="65">
        <v>1963</v>
      </c>
      <c r="Y13" s="60" t="s">
        <v>567</v>
      </c>
      <c r="Z13" s="66" t="s">
        <v>1782</v>
      </c>
    </row>
    <row r="14" spans="1:26" ht="15.75" customHeight="1">
      <c r="A14" s="56" t="str">
        <f t="shared" si="0"/>
        <v>E2NW</v>
      </c>
      <c r="B14" s="57">
        <v>2</v>
      </c>
      <c r="C14" s="58" t="s">
        <v>127</v>
      </c>
      <c r="D14" s="59">
        <f t="shared" si="1"/>
        <v>600</v>
      </c>
      <c r="E14" s="60"/>
      <c r="F14" s="60"/>
      <c r="G14" s="58" t="s">
        <v>568</v>
      </c>
      <c r="H14" s="60" t="s">
        <v>556</v>
      </c>
      <c r="I14" s="60" t="s">
        <v>556</v>
      </c>
      <c r="J14" s="60" t="s">
        <v>556</v>
      </c>
      <c r="K14" s="61" t="s">
        <v>556</v>
      </c>
      <c r="L14" s="60" t="s">
        <v>556</v>
      </c>
      <c r="M14" s="61" t="s">
        <v>556</v>
      </c>
      <c r="N14" s="60" t="s">
        <v>556</v>
      </c>
      <c r="O14" s="61" t="s">
        <v>556</v>
      </c>
      <c r="P14" s="69" t="s">
        <v>557</v>
      </c>
      <c r="Q14" s="43" t="b">
        <v>1</v>
      </c>
      <c r="R14" s="43" t="b">
        <v>1</v>
      </c>
      <c r="S14" s="43" t="b">
        <v>0</v>
      </c>
      <c r="T14" s="63" t="b">
        <f ca="1">AND(U14&lt;&gt;"",OR(U14&gt;(VLOOKUP(B14,E_analysis!$A$2:$K$36,5,FALSE)+2*VLOOKUP(B14,E_analysis!$A$2:$K$36,6,FALSE)),U14&lt;(VLOOKUP(B14,E_analysis!$A$2:$K$36,5,FALSE)-2*VLOOKUP(B14,E_analysis!$A$2:$K$36,6,FALSE))))</f>
        <v>1</v>
      </c>
      <c r="U14" s="64">
        <v>0</v>
      </c>
      <c r="V14" s="65" t="str">
        <f>IFERROR(VLOOKUP($F14,NE_bmis!$A:$K,7,FALSE),"")</f>
        <v/>
      </c>
      <c r="W14" s="66" t="str">
        <f>IFERROR(VLOOKUP($F14,NE_bmis!$A:$K,8,FALSE),"")</f>
        <v/>
      </c>
      <c r="X14" s="65" t="str">
        <f>IFERROR(VLOOKUP($F14,NE_bmis!$A:$K,9,FALSE),"")</f>
        <v/>
      </c>
      <c r="Y14" s="60" t="str">
        <f>IFERROR(VLOOKUP($F14,NE_bmis!$A:$K,11,FALSE),"")</f>
        <v/>
      </c>
      <c r="Z14" s="66" t="s">
        <v>556</v>
      </c>
    </row>
    <row r="15" spans="1:26" ht="15.75" customHeight="1">
      <c r="A15" s="56" t="str">
        <f t="shared" si="0"/>
        <v>E3NE</v>
      </c>
      <c r="B15" s="57">
        <v>3</v>
      </c>
      <c r="C15" s="58" t="s">
        <v>110</v>
      </c>
      <c r="D15" s="59">
        <f t="shared" si="1"/>
        <v>800</v>
      </c>
      <c r="E15" s="60"/>
      <c r="F15" s="60"/>
      <c r="G15" s="58" t="s">
        <v>569</v>
      </c>
      <c r="H15" s="60" t="s">
        <v>556</v>
      </c>
      <c r="I15" s="60" t="s">
        <v>556</v>
      </c>
      <c r="J15" s="60" t="s">
        <v>556</v>
      </c>
      <c r="K15" s="61" t="s">
        <v>556</v>
      </c>
      <c r="L15" s="60" t="s">
        <v>556</v>
      </c>
      <c r="M15" s="61" t="s">
        <v>556</v>
      </c>
      <c r="N15" s="60" t="s">
        <v>556</v>
      </c>
      <c r="O15" s="61" t="s">
        <v>556</v>
      </c>
      <c r="P15" s="69" t="s">
        <v>557</v>
      </c>
      <c r="Q15" s="43" t="b">
        <v>1</v>
      </c>
      <c r="R15" s="43" t="b">
        <v>1</v>
      </c>
      <c r="S15" s="43" t="b">
        <v>0</v>
      </c>
      <c r="T15" s="63" t="b">
        <f ca="1">AND(U15&lt;&gt;"",OR(U15&gt;(VLOOKUP(B15,E_analysis!$A$2:$K$36,5,FALSE)+2*VLOOKUP(B15,E_analysis!$A$2:$K$36,6,FALSE)),U15&lt;(VLOOKUP(B15,E_analysis!$A$2:$K$36,5,FALSE)-2*VLOOKUP(B15,E_analysis!$A$2:$K$36,6,FALSE))))</f>
        <v>1</v>
      </c>
      <c r="U15" s="64">
        <v>0</v>
      </c>
      <c r="V15" s="65" t="str">
        <f>IFERROR(VLOOKUP($F15,NE_bmis!$A:$K,7,FALSE),"")</f>
        <v/>
      </c>
      <c r="W15" s="66" t="str">
        <f>IFERROR(VLOOKUP($F15,NE_bmis!$A:$K,8,FALSE),"")</f>
        <v/>
      </c>
      <c r="X15" s="65" t="str">
        <f>IFERROR(VLOOKUP($F15,NE_bmis!$A:$K,9,FALSE),"")</f>
        <v/>
      </c>
      <c r="Y15" s="65" t="str">
        <f>IFERROR(VLOOKUP($F15,NE_bmis!$A:$K,11,FALSE),"")</f>
        <v/>
      </c>
      <c r="Z15" s="66" t="s">
        <v>556</v>
      </c>
    </row>
    <row r="16" spans="1:26" ht="15.75" customHeight="1">
      <c r="A16" s="56" t="str">
        <f t="shared" si="0"/>
        <v>E3SE</v>
      </c>
      <c r="B16" s="57">
        <v>3</v>
      </c>
      <c r="C16" s="58" t="s">
        <v>116</v>
      </c>
      <c r="D16" s="59">
        <f t="shared" si="1"/>
        <v>800</v>
      </c>
      <c r="E16" s="60"/>
      <c r="F16" s="60"/>
      <c r="G16" s="58" t="s">
        <v>569</v>
      </c>
      <c r="H16" s="60" t="s">
        <v>556</v>
      </c>
      <c r="I16" s="60" t="s">
        <v>556</v>
      </c>
      <c r="J16" s="60" t="s">
        <v>556</v>
      </c>
      <c r="K16" s="61" t="s">
        <v>556</v>
      </c>
      <c r="L16" s="60" t="s">
        <v>556</v>
      </c>
      <c r="M16" s="61" t="s">
        <v>556</v>
      </c>
      <c r="N16" s="60" t="s">
        <v>556</v>
      </c>
      <c r="O16" s="61" t="s">
        <v>556</v>
      </c>
      <c r="P16" s="69" t="s">
        <v>557</v>
      </c>
      <c r="Q16" s="43" t="b">
        <v>1</v>
      </c>
      <c r="R16" s="43" t="b">
        <v>1</v>
      </c>
      <c r="S16" s="43" t="b">
        <v>0</v>
      </c>
      <c r="T16" s="63" t="b">
        <f ca="1">AND(U16&lt;&gt;"",OR(U16&gt;(VLOOKUP(B16,E_analysis!$A$2:$K$36,5,FALSE)+2*VLOOKUP(B16,E_analysis!$A$2:$K$36,6,FALSE)),U16&lt;(VLOOKUP(B16,E_analysis!$A$2:$K$36,5,FALSE)-2*VLOOKUP(B16,E_analysis!$A$2:$K$36,6,FALSE))))</f>
        <v>1</v>
      </c>
      <c r="U16" s="64">
        <v>0</v>
      </c>
      <c r="V16" s="65" t="str">
        <f>IFERROR(VLOOKUP($F16,NE_bmis!$A:$K,7,FALSE),"")</f>
        <v/>
      </c>
      <c r="W16" s="66" t="str">
        <f>IFERROR(VLOOKUP($F16,NE_bmis!$A:$K,8,FALSE),"")</f>
        <v/>
      </c>
      <c r="X16" s="65" t="str">
        <f>IFERROR(VLOOKUP($F16,NE_bmis!$A:$K,9,FALSE),"")</f>
        <v/>
      </c>
      <c r="Y16" s="70" t="str">
        <f>IFERROR(VLOOKUP($F16,NE_bmis!$A:$K,11,FALSE),"")</f>
        <v/>
      </c>
      <c r="Z16" s="66" t="s">
        <v>556</v>
      </c>
    </row>
    <row r="17" spans="1:26" ht="15.75" customHeight="1">
      <c r="A17" s="56" t="str">
        <f t="shared" si="0"/>
        <v>E3SW</v>
      </c>
      <c r="B17" s="57">
        <v>3</v>
      </c>
      <c r="C17" s="58" t="s">
        <v>121</v>
      </c>
      <c r="D17" s="59">
        <f t="shared" si="1"/>
        <v>800</v>
      </c>
      <c r="E17" s="60" t="s">
        <v>570</v>
      </c>
      <c r="F17" s="60">
        <v>1810094197</v>
      </c>
      <c r="G17" s="58" t="s">
        <v>571</v>
      </c>
      <c r="H17" s="60" t="s">
        <v>572</v>
      </c>
      <c r="I17" s="60">
        <v>114.1614723</v>
      </c>
      <c r="J17" s="60">
        <v>22.281403109999999</v>
      </c>
      <c r="K17" s="61">
        <v>44.2</v>
      </c>
      <c r="L17" s="60" t="s">
        <v>194</v>
      </c>
      <c r="M17" s="61">
        <v>137.19999999999999</v>
      </c>
      <c r="N17" s="60" t="s">
        <v>194</v>
      </c>
      <c r="O17" s="61">
        <v>93</v>
      </c>
      <c r="P17" s="62"/>
      <c r="Q17" s="43" t="b">
        <v>0</v>
      </c>
      <c r="R17" s="43" t="b">
        <v>0</v>
      </c>
      <c r="S17" s="43" t="b">
        <v>0</v>
      </c>
      <c r="T17" s="63" t="b">
        <f ca="1">AND(U17&lt;&gt;"",OR(U17&gt;(VLOOKUP(B17,E_analysis!$A$2:$K$36,5,FALSE)+2*VLOOKUP(B17,E_analysis!$A$2:$K$36,6,FALSE)),U17&lt;(VLOOKUP(B17,E_analysis!$A$2:$K$36,5,FALSE)-2*VLOOKUP(B17,E_analysis!$A$2:$K$36,6,FALSE))))</f>
        <v>0</v>
      </c>
      <c r="U17" s="68">
        <f>IFERROR(VLOOKUP($F17,NE_bmis!$A:$K,6,FALSE),"")</f>
        <v>27</v>
      </c>
      <c r="V17" s="60">
        <f>IFERROR(VLOOKUP($F17,NE_bmis!$A:$K,7,FALSE),"")</f>
        <v>4</v>
      </c>
      <c r="W17" s="59">
        <f>IFERROR(VLOOKUP($F17,NE_bmis!$A:$K,8,FALSE),"")</f>
        <v>0</v>
      </c>
      <c r="X17" s="60">
        <f>IFERROR(VLOOKUP($F17,NE_bmis!$A:$K,9,FALSE),"")</f>
        <v>2012</v>
      </c>
      <c r="Y17" s="60" t="str">
        <f>IFERROR(VLOOKUP($F17,NE_bmis!$A:$K,11,FALSE),"")</f>
        <v>BMIS_auto</v>
      </c>
      <c r="Z17" s="66" t="s">
        <v>1794</v>
      </c>
    </row>
    <row r="18" spans="1:26" ht="15.75" customHeight="1">
      <c r="A18" s="56" t="str">
        <f t="shared" si="0"/>
        <v>E3NW</v>
      </c>
      <c r="B18" s="57">
        <v>3</v>
      </c>
      <c r="C18" s="58" t="s">
        <v>127</v>
      </c>
      <c r="D18" s="59">
        <f t="shared" si="1"/>
        <v>800</v>
      </c>
      <c r="E18" s="60" t="s">
        <v>573</v>
      </c>
      <c r="F18" s="60">
        <v>1103126040</v>
      </c>
      <c r="G18" s="58" t="s">
        <v>574</v>
      </c>
      <c r="H18" s="60" t="s">
        <v>575</v>
      </c>
      <c r="I18" s="60">
        <v>114.16183100000001</v>
      </c>
      <c r="J18" s="60">
        <v>22.28130955</v>
      </c>
      <c r="K18" s="61">
        <v>4.7</v>
      </c>
      <c r="L18" s="60" t="s">
        <v>115</v>
      </c>
      <c r="M18" s="61">
        <v>173.6</v>
      </c>
      <c r="N18" s="60" t="s">
        <v>115</v>
      </c>
      <c r="O18" s="61">
        <v>168.9</v>
      </c>
      <c r="P18" s="62"/>
      <c r="Q18" s="43" t="b">
        <v>0</v>
      </c>
      <c r="R18" s="43" t="b">
        <v>0</v>
      </c>
      <c r="S18" s="43" t="b">
        <v>0</v>
      </c>
      <c r="T18" s="63" t="b">
        <f ca="1">AND(U18&lt;&gt;"",OR(U18&gt;(VLOOKUP(B18,E_analysis!$A$2:$K$36,5,FALSE)+2*VLOOKUP(B18,E_analysis!$A$2:$K$36,6,FALSE)),U18&lt;(VLOOKUP(B18,E_analysis!$A$2:$K$36,5,FALSE)-2*VLOOKUP(B18,E_analysis!$A$2:$K$36,6,FALSE))))</f>
        <v>0</v>
      </c>
      <c r="U18" s="68">
        <f>IFERROR(VLOOKUP($F18,NE_bmis!$A:$K,6,FALSE),"")</f>
        <v>38</v>
      </c>
      <c r="V18" s="60">
        <f>IFERROR(VLOOKUP($F18,NE_bmis!$A:$K,7,FALSE),"")</f>
        <v>0</v>
      </c>
      <c r="W18" s="59">
        <f>IFERROR(VLOOKUP($F18,NE_bmis!$A:$K,8,FALSE),"")</f>
        <v>234</v>
      </c>
      <c r="X18" s="60">
        <f>IFERROR(VLOOKUP($F18,NE_bmis!$A:$K,9,FALSE),"")</f>
        <v>2005</v>
      </c>
      <c r="Y18" s="60" t="str">
        <f>IFERROR(VLOOKUP($F18,NE_bmis!$A:$K,11,FALSE),"")</f>
        <v>BMIS_auto</v>
      </c>
      <c r="Z18" s="66" t="s">
        <v>1796</v>
      </c>
    </row>
    <row r="19" spans="1:26" ht="15.75" customHeight="1">
      <c r="A19" s="56" t="str">
        <f t="shared" si="0"/>
        <v>E4NE</v>
      </c>
      <c r="B19" s="57">
        <v>4</v>
      </c>
      <c r="C19" s="58" t="s">
        <v>110</v>
      </c>
      <c r="D19" s="59">
        <f t="shared" si="1"/>
        <v>1000</v>
      </c>
      <c r="E19" s="60"/>
      <c r="F19" s="60"/>
      <c r="G19" s="58" t="s">
        <v>576</v>
      </c>
      <c r="H19" s="60" t="s">
        <v>556</v>
      </c>
      <c r="I19" s="60" t="s">
        <v>556</v>
      </c>
      <c r="J19" s="60" t="s">
        <v>556</v>
      </c>
      <c r="K19" s="61" t="s">
        <v>556</v>
      </c>
      <c r="L19" s="60" t="s">
        <v>556</v>
      </c>
      <c r="M19" s="61" t="s">
        <v>556</v>
      </c>
      <c r="N19" s="60" t="s">
        <v>556</v>
      </c>
      <c r="O19" s="61" t="s">
        <v>556</v>
      </c>
      <c r="P19" s="69" t="s">
        <v>557</v>
      </c>
      <c r="Q19" s="43" t="b">
        <v>1</v>
      </c>
      <c r="R19" s="43" t="b">
        <v>1</v>
      </c>
      <c r="S19" s="43" t="b">
        <v>0</v>
      </c>
      <c r="T19" s="63" t="e">
        <f ca="1">AND(U19&lt;&gt;"",OR(U19&gt;(VLOOKUP(B19,E_analysis!$A$2:$K$36,5,FALSE)+2*VLOOKUP(B19,E_analysis!$A$2:$K$36,6,FALSE)),U19&lt;(VLOOKUP(B19,E_analysis!$A$2:$K$36,5,FALSE)-2*VLOOKUP(B19,E_analysis!$A$2:$K$36,6,FALSE))))</f>
        <v>#VALUE!</v>
      </c>
      <c r="U19" s="64">
        <v>0</v>
      </c>
      <c r="V19" s="65" t="str">
        <f>IFERROR(VLOOKUP($F19,NE_bmis!$A:$K,7,FALSE),"")</f>
        <v/>
      </c>
      <c r="W19" s="66" t="str">
        <f>IFERROR(VLOOKUP($F19,NE_bmis!$A:$K,8,FALSE),"")</f>
        <v/>
      </c>
      <c r="X19" s="65" t="str">
        <f>IFERROR(VLOOKUP($F19,NE_bmis!$A:$K,9,FALSE),"")</f>
        <v/>
      </c>
      <c r="Y19" s="60" t="str">
        <f>IFERROR(VLOOKUP($F19,NE_bmis!$A:$K,11,FALSE),"")</f>
        <v/>
      </c>
      <c r="Z19" s="66" t="s">
        <v>556</v>
      </c>
    </row>
    <row r="20" spans="1:26" ht="15.75" customHeight="1">
      <c r="A20" s="56" t="str">
        <f t="shared" si="0"/>
        <v>E4SE</v>
      </c>
      <c r="B20" s="57">
        <v>4</v>
      </c>
      <c r="C20" s="58" t="s">
        <v>116</v>
      </c>
      <c r="D20" s="59">
        <f t="shared" si="1"/>
        <v>1000</v>
      </c>
      <c r="E20" s="60" t="s">
        <v>577</v>
      </c>
      <c r="F20" s="60">
        <v>1103127344</v>
      </c>
      <c r="G20" s="58" t="s">
        <v>578</v>
      </c>
      <c r="H20" s="60" t="s">
        <v>579</v>
      </c>
      <c r="I20" s="60">
        <v>114.16157130000001</v>
      </c>
      <c r="J20" s="60">
        <v>22.27927815</v>
      </c>
      <c r="K20" s="61">
        <v>7</v>
      </c>
      <c r="L20" s="60" t="s">
        <v>126</v>
      </c>
      <c r="M20" s="61">
        <v>310.3</v>
      </c>
      <c r="N20" s="60" t="s">
        <v>115</v>
      </c>
      <c r="O20" s="61">
        <v>303.3</v>
      </c>
      <c r="P20" s="62"/>
      <c r="Q20" s="43" t="b">
        <v>0</v>
      </c>
      <c r="R20" s="43" t="b">
        <v>0</v>
      </c>
      <c r="S20" s="43" t="b">
        <v>0</v>
      </c>
      <c r="T20" s="63" t="e">
        <f ca="1">AND(U20&lt;&gt;"",OR(U20&gt;(VLOOKUP(B20,E_analysis!$A$2:$K$36,5,FALSE)+2*VLOOKUP(B20,E_analysis!$A$2:$K$36,6,FALSE)),U20&lt;(VLOOKUP(B20,E_analysis!$A$2:$K$36,5,FALSE)-2*VLOOKUP(B20,E_analysis!$A$2:$K$36,6,FALSE))))</f>
        <v>#VALUE!</v>
      </c>
      <c r="U20" s="68">
        <v>72</v>
      </c>
      <c r="V20" s="60">
        <f>IFERROR(VLOOKUP($F20,NE_bmis!$A:$K,7,FALSE),"")</f>
        <v>0</v>
      </c>
      <c r="W20" s="59">
        <f>IFERROR(VLOOKUP($F20,NE_bmis!$A:$K,8,FALSE),"")</f>
        <v>65</v>
      </c>
      <c r="X20" s="60">
        <f>IFERROR(VLOOKUP($F20,NE_bmis!$A:$K,9,FALSE),"")</f>
        <v>1989</v>
      </c>
      <c r="Y20" s="60" t="s">
        <v>265</v>
      </c>
      <c r="Z20" s="66" t="s">
        <v>1807</v>
      </c>
    </row>
    <row r="21" spans="1:26" ht="15.75" customHeight="1">
      <c r="A21" s="56" t="str">
        <f t="shared" si="0"/>
        <v>E4SW</v>
      </c>
      <c r="B21" s="57">
        <v>4</v>
      </c>
      <c r="C21" s="58" t="s">
        <v>121</v>
      </c>
      <c r="D21" s="59">
        <f t="shared" si="1"/>
        <v>1000</v>
      </c>
      <c r="E21" s="60"/>
      <c r="F21" s="60"/>
      <c r="G21" s="58" t="s">
        <v>569</v>
      </c>
      <c r="H21" s="60" t="s">
        <v>556</v>
      </c>
      <c r="I21" s="60" t="s">
        <v>556</v>
      </c>
      <c r="J21" s="60" t="s">
        <v>556</v>
      </c>
      <c r="K21" s="61" t="s">
        <v>556</v>
      </c>
      <c r="L21" s="60" t="s">
        <v>556</v>
      </c>
      <c r="M21" s="61" t="s">
        <v>556</v>
      </c>
      <c r="N21" s="60" t="s">
        <v>556</v>
      </c>
      <c r="O21" s="61" t="s">
        <v>556</v>
      </c>
      <c r="P21" s="69" t="s">
        <v>557</v>
      </c>
      <c r="Q21" s="43" t="b">
        <v>1</v>
      </c>
      <c r="R21" s="43" t="b">
        <v>1</v>
      </c>
      <c r="S21" s="43" t="b">
        <v>0</v>
      </c>
      <c r="T21" s="63" t="e">
        <f ca="1">AND(U21&lt;&gt;"",OR(U21&gt;(VLOOKUP(B21,E_analysis!$A$2:$K$36,5,FALSE)+2*VLOOKUP(B21,E_analysis!$A$2:$K$36,6,FALSE)),U21&lt;(VLOOKUP(B21,E_analysis!$A$2:$K$36,5,FALSE)-2*VLOOKUP(B21,E_analysis!$A$2:$K$36,6,FALSE))))</f>
        <v>#VALUE!</v>
      </c>
      <c r="U21" s="64">
        <v>0</v>
      </c>
      <c r="V21" s="65" t="str">
        <f>IFERROR(VLOOKUP($F21,NE_bmis!$A:$K,7,FALSE),"")</f>
        <v/>
      </c>
      <c r="W21" s="66" t="str">
        <f>IFERROR(VLOOKUP($F21,NE_bmis!$A:$K,8,FALSE),"")</f>
        <v/>
      </c>
      <c r="X21" s="65" t="str">
        <f>IFERROR(VLOOKUP($F21,NE_bmis!$A:$K,9,FALSE),"")</f>
        <v/>
      </c>
      <c r="Y21" s="60" t="str">
        <f>IFERROR(VLOOKUP($F21,NE_bmis!$A:$K,11,FALSE),"")</f>
        <v/>
      </c>
      <c r="Z21" s="66" t="s">
        <v>556</v>
      </c>
    </row>
    <row r="22" spans="1:26" ht="15.75" customHeight="1">
      <c r="A22" s="56" t="str">
        <f t="shared" si="0"/>
        <v>E4NW</v>
      </c>
      <c r="B22" s="57">
        <v>4</v>
      </c>
      <c r="C22" s="58" t="s">
        <v>127</v>
      </c>
      <c r="D22" s="59">
        <f t="shared" si="1"/>
        <v>1000</v>
      </c>
      <c r="E22" s="60"/>
      <c r="F22" s="60"/>
      <c r="G22" s="58" t="s">
        <v>580</v>
      </c>
      <c r="H22" s="60" t="s">
        <v>556</v>
      </c>
      <c r="I22" s="60" t="s">
        <v>556</v>
      </c>
      <c r="J22" s="60" t="s">
        <v>556</v>
      </c>
      <c r="K22" s="61" t="s">
        <v>556</v>
      </c>
      <c r="L22" s="60" t="s">
        <v>556</v>
      </c>
      <c r="M22" s="61" t="s">
        <v>556</v>
      </c>
      <c r="N22" s="60" t="s">
        <v>556</v>
      </c>
      <c r="O22" s="61" t="s">
        <v>556</v>
      </c>
      <c r="P22" s="69" t="s">
        <v>557</v>
      </c>
      <c r="Q22" s="43" t="b">
        <v>1</v>
      </c>
      <c r="R22" s="43" t="b">
        <v>1</v>
      </c>
      <c r="S22" s="43" t="b">
        <v>0</v>
      </c>
      <c r="T22" s="63" t="e">
        <f ca="1">AND(U22&lt;&gt;"",OR(U22&gt;(VLOOKUP(B22,E_analysis!$A$2:$K$36,5,FALSE)+2*VLOOKUP(B22,E_analysis!$A$2:$K$36,6,FALSE)),U22&lt;(VLOOKUP(B22,E_analysis!$A$2:$K$36,5,FALSE)-2*VLOOKUP(B22,E_analysis!$A$2:$K$36,6,FALSE))))</f>
        <v>#VALUE!</v>
      </c>
      <c r="U22" s="64">
        <v>0</v>
      </c>
      <c r="V22" s="65" t="str">
        <f>IFERROR(VLOOKUP($F22,NE_bmis!$A:$K,7,FALSE),"")</f>
        <v/>
      </c>
      <c r="W22" s="66" t="str">
        <f>IFERROR(VLOOKUP($F22,NE_bmis!$A:$K,8,FALSE),"")</f>
        <v/>
      </c>
      <c r="X22" s="65" t="str">
        <f>IFERROR(VLOOKUP($F22,NE_bmis!$A:$K,9,FALSE),"")</f>
        <v/>
      </c>
      <c r="Y22" s="60" t="str">
        <f>IFERROR(VLOOKUP($F22,NE_bmis!$A:$K,11,FALSE),"")</f>
        <v/>
      </c>
      <c r="Z22" s="66" t="s">
        <v>556</v>
      </c>
    </row>
    <row r="23" spans="1:26" ht="15.75" customHeight="1">
      <c r="A23" s="56" t="str">
        <f t="shared" si="0"/>
        <v>E5NE</v>
      </c>
      <c r="B23" s="57">
        <v>5</v>
      </c>
      <c r="C23" s="58" t="s">
        <v>110</v>
      </c>
      <c r="D23" s="59">
        <f t="shared" si="1"/>
        <v>1200</v>
      </c>
      <c r="E23" s="60" t="s">
        <v>581</v>
      </c>
      <c r="F23" s="60">
        <v>1103127939</v>
      </c>
      <c r="G23" s="58" t="s">
        <v>582</v>
      </c>
      <c r="H23" s="60" t="s">
        <v>583</v>
      </c>
      <c r="I23" s="60">
        <v>114.1633293</v>
      </c>
      <c r="J23" s="60">
        <v>22.278376919999999</v>
      </c>
      <c r="K23" s="61">
        <v>14</v>
      </c>
      <c r="L23" s="60" t="s">
        <v>115</v>
      </c>
      <c r="M23" s="61">
        <v>106.4</v>
      </c>
      <c r="N23" s="60" t="s">
        <v>115</v>
      </c>
      <c r="O23" s="61">
        <v>92.4</v>
      </c>
      <c r="P23" s="67" t="s">
        <v>548</v>
      </c>
      <c r="Q23" s="43" t="b">
        <v>0</v>
      </c>
      <c r="R23" s="43" t="b">
        <v>1</v>
      </c>
      <c r="S23" s="43" t="b">
        <v>0</v>
      </c>
      <c r="T23" s="63" t="b">
        <f ca="1">AND(U23&lt;&gt;"",OR(U23&gt;(VLOOKUP(B23,E_analysis!$A$2:$K$36,5,FALSE)+2*VLOOKUP(B23,E_analysis!$A$2:$K$36,6,FALSE)),U23&lt;(VLOOKUP(B23,E_analysis!$A$2:$K$36,5,FALSE)-2*VLOOKUP(B23,E_analysis!$A$2:$K$36,6,FALSE))))</f>
        <v>1</v>
      </c>
      <c r="U23" s="68">
        <v>20</v>
      </c>
      <c r="V23" s="65" t="str">
        <f>IFERROR(VLOOKUP($F23,NE_bmis!$A:$K,7,FALSE),"")</f>
        <v/>
      </c>
      <c r="W23" s="66" t="str">
        <f>IFERROR(VLOOKUP($F23,NE_bmis!$A:$K,8,FALSE),"")</f>
        <v/>
      </c>
      <c r="X23" s="65">
        <v>1985</v>
      </c>
      <c r="Y23" s="60" t="s">
        <v>584</v>
      </c>
      <c r="Z23" s="66" t="s">
        <v>1816</v>
      </c>
    </row>
    <row r="24" spans="1:26" ht="15.75" customHeight="1">
      <c r="A24" s="56" t="str">
        <f t="shared" si="0"/>
        <v>E5SE</v>
      </c>
      <c r="B24" s="57">
        <v>5</v>
      </c>
      <c r="C24" s="58" t="s">
        <v>116</v>
      </c>
      <c r="D24" s="59">
        <f t="shared" si="1"/>
        <v>1200</v>
      </c>
      <c r="E24" s="60"/>
      <c r="F24" s="60"/>
      <c r="G24" s="58" t="s">
        <v>585</v>
      </c>
      <c r="H24" s="60" t="s">
        <v>556</v>
      </c>
      <c r="I24" s="60" t="s">
        <v>556</v>
      </c>
      <c r="J24" s="60" t="s">
        <v>556</v>
      </c>
      <c r="K24" s="61" t="s">
        <v>556</v>
      </c>
      <c r="L24" s="60" t="s">
        <v>556</v>
      </c>
      <c r="M24" s="61" t="s">
        <v>556</v>
      </c>
      <c r="N24" s="60" t="s">
        <v>556</v>
      </c>
      <c r="O24" s="61" t="s">
        <v>556</v>
      </c>
      <c r="P24" s="69" t="s">
        <v>557</v>
      </c>
      <c r="Q24" s="43" t="b">
        <v>1</v>
      </c>
      <c r="R24" s="43" t="b">
        <v>1</v>
      </c>
      <c r="S24" s="43" t="b">
        <v>0</v>
      </c>
      <c r="T24" s="63" t="b">
        <f ca="1">AND(U24&lt;&gt;"",OR(U24&gt;(VLOOKUP(B24,E_analysis!$A$2:$K$36,5,FALSE)+2*VLOOKUP(B24,E_analysis!$A$2:$K$36,6,FALSE)),U24&lt;(VLOOKUP(B24,E_analysis!$A$2:$K$36,5,FALSE)-2*VLOOKUP(B24,E_analysis!$A$2:$K$36,6,FALSE))))</f>
        <v>1</v>
      </c>
      <c r="U24" s="64">
        <v>0</v>
      </c>
      <c r="V24" s="65" t="str">
        <f>IFERROR(VLOOKUP($F24,NE_bmis!$A:$K,7,FALSE),"")</f>
        <v/>
      </c>
      <c r="W24" s="66" t="str">
        <f>IFERROR(VLOOKUP($F24,NE_bmis!$A:$K,8,FALSE),"")</f>
        <v/>
      </c>
      <c r="X24" s="65" t="str">
        <f>IFERROR(VLOOKUP($F24,NE_bmis!$A:$K,9,FALSE),"")</f>
        <v/>
      </c>
      <c r="Y24" s="60" t="str">
        <f>IFERROR(VLOOKUP($F24,NE_bmis!$A:$K,11,FALSE),"")</f>
        <v/>
      </c>
      <c r="Z24" s="66" t="s">
        <v>556</v>
      </c>
    </row>
    <row r="25" spans="1:26" ht="15.75" customHeight="1">
      <c r="A25" s="56" t="str">
        <f t="shared" si="0"/>
        <v>E5SW</v>
      </c>
      <c r="B25" s="57">
        <v>5</v>
      </c>
      <c r="C25" s="58" t="s">
        <v>121</v>
      </c>
      <c r="D25" s="59">
        <f t="shared" si="1"/>
        <v>1200</v>
      </c>
      <c r="E25" s="60" t="s">
        <v>586</v>
      </c>
      <c r="F25" s="60">
        <v>1103127279</v>
      </c>
      <c r="G25" s="58" t="s">
        <v>587</v>
      </c>
      <c r="H25" s="60" t="s">
        <v>588</v>
      </c>
      <c r="I25" s="60">
        <v>114.16331649999999</v>
      </c>
      <c r="J25" s="60">
        <v>22.279490030000002</v>
      </c>
      <c r="K25" s="61">
        <v>16.5</v>
      </c>
      <c r="L25" s="60" t="s">
        <v>115</v>
      </c>
      <c r="M25" s="61">
        <v>173.4</v>
      </c>
      <c r="N25" s="60">
        <v>3</v>
      </c>
      <c r="O25" s="61">
        <v>156.9</v>
      </c>
      <c r="P25" s="62"/>
      <c r="Q25" s="43" t="b">
        <v>0</v>
      </c>
      <c r="R25" s="43" t="b">
        <v>0</v>
      </c>
      <c r="S25" s="43" t="b">
        <v>0</v>
      </c>
      <c r="T25" s="63" t="b">
        <f ca="1">AND(U25&lt;&gt;"",OR(U25&gt;(VLOOKUP(B25,E_analysis!$A$2:$K$36,5,FALSE)+2*VLOOKUP(B25,E_analysis!$A$2:$K$36,6,FALSE)),U25&lt;(VLOOKUP(B25,E_analysis!$A$2:$K$36,5,FALSE)-2*VLOOKUP(B25,E_analysis!$A$2:$K$36,6,FALSE))))</f>
        <v>0</v>
      </c>
      <c r="U25" s="68">
        <f>IFERROR(VLOOKUP($F25,NE_bmis!$A:$K,6,FALSE),"")</f>
        <v>42</v>
      </c>
      <c r="V25" s="60">
        <f>IFERROR(VLOOKUP($F25,NE_bmis!$A:$K,7,FALSE),"")</f>
        <v>0</v>
      </c>
      <c r="W25" s="59">
        <f>IFERROR(VLOOKUP($F25,NE_bmis!$A:$K,8,FALSE),"")</f>
        <v>218</v>
      </c>
      <c r="X25" s="60">
        <f>IFERROR(VLOOKUP($F25,NE_bmis!$A:$K,9,FALSE),"")</f>
        <v>1987</v>
      </c>
      <c r="Y25" s="60" t="str">
        <f>IFERROR(VLOOKUP($F25,NE_bmis!$A:$K,11,FALSE),"")</f>
        <v>BMIS_auto</v>
      </c>
      <c r="Z25" s="66" t="s">
        <v>1819</v>
      </c>
    </row>
    <row r="26" spans="1:26" ht="15.75" customHeight="1">
      <c r="A26" s="56" t="str">
        <f t="shared" si="0"/>
        <v>E5NW</v>
      </c>
      <c r="B26" s="57">
        <v>5</v>
      </c>
      <c r="C26" s="58" t="s">
        <v>127</v>
      </c>
      <c r="D26" s="59">
        <f t="shared" si="1"/>
        <v>1200</v>
      </c>
      <c r="E26" s="60" t="s">
        <v>589</v>
      </c>
      <c r="F26" s="60">
        <v>1103127459</v>
      </c>
      <c r="G26" s="58" t="s">
        <v>590</v>
      </c>
      <c r="H26" s="60" t="s">
        <v>591</v>
      </c>
      <c r="I26" s="60">
        <v>114.1636883</v>
      </c>
      <c r="J26" s="60">
        <v>22.27920391</v>
      </c>
      <c r="K26" s="61">
        <v>16.5</v>
      </c>
      <c r="L26" s="60" t="s">
        <v>115</v>
      </c>
      <c r="M26" s="61">
        <v>187.3</v>
      </c>
      <c r="N26" s="60">
        <v>3</v>
      </c>
      <c r="O26" s="61">
        <v>170.8</v>
      </c>
      <c r="P26" s="62"/>
      <c r="Q26" s="43" t="b">
        <v>0</v>
      </c>
      <c r="R26" s="43" t="b">
        <v>0</v>
      </c>
      <c r="S26" s="43" t="b">
        <v>0</v>
      </c>
      <c r="T26" s="63" t="b">
        <f ca="1">AND(U26&lt;&gt;"",OR(U26&gt;(VLOOKUP(B26,E_analysis!$A$2:$K$36,5,FALSE)+2*VLOOKUP(B26,E_analysis!$A$2:$K$36,6,FALSE)),U26&lt;(VLOOKUP(B26,E_analysis!$A$2:$K$36,5,FALSE)-2*VLOOKUP(B26,E_analysis!$A$2:$K$36,6,FALSE))))</f>
        <v>0</v>
      </c>
      <c r="U26" s="68">
        <f>IFERROR(VLOOKUP($F26,NE_bmis!$A:$K,6,FALSE),"")</f>
        <v>46</v>
      </c>
      <c r="V26" s="60">
        <f>IFERROR(VLOOKUP($F26,NE_bmis!$A:$K,7,FALSE),"")</f>
        <v>0</v>
      </c>
      <c r="W26" s="59">
        <f>IFERROR(VLOOKUP($F26,NE_bmis!$A:$K,8,FALSE),"")</f>
        <v>240</v>
      </c>
      <c r="X26" s="60">
        <f>IFERROR(VLOOKUP($F26,NE_bmis!$A:$K,9,FALSE),"")</f>
        <v>1987</v>
      </c>
      <c r="Y26" s="60" t="str">
        <f>IFERROR(VLOOKUP($F26,NE_bmis!$A:$K,11,FALSE),"")</f>
        <v>BMIS_auto</v>
      </c>
      <c r="Z26" s="66" t="s">
        <v>1819</v>
      </c>
    </row>
    <row r="27" spans="1:26" ht="15.75" customHeight="1">
      <c r="A27" s="56" t="str">
        <f t="shared" si="0"/>
        <v>E6NE</v>
      </c>
      <c r="B27" s="57">
        <v>6</v>
      </c>
      <c r="C27" s="58" t="s">
        <v>110</v>
      </c>
      <c r="D27" s="59">
        <f t="shared" si="1"/>
        <v>1400</v>
      </c>
      <c r="E27" s="60" t="s">
        <v>592</v>
      </c>
      <c r="F27" s="60">
        <v>1103128541</v>
      </c>
      <c r="G27" s="58" t="s">
        <v>593</v>
      </c>
      <c r="H27" s="60" t="s">
        <v>594</v>
      </c>
      <c r="I27" s="60">
        <v>114.1654027</v>
      </c>
      <c r="J27" s="60">
        <v>22.277744519999999</v>
      </c>
      <c r="K27" s="61">
        <v>22</v>
      </c>
      <c r="L27" s="60" t="s">
        <v>115</v>
      </c>
      <c r="M27" s="61">
        <v>164.3</v>
      </c>
      <c r="N27" s="60" t="s">
        <v>115</v>
      </c>
      <c r="O27" s="61">
        <v>142.30000000000001</v>
      </c>
      <c r="P27" s="62"/>
      <c r="Q27" s="43" t="b">
        <v>0</v>
      </c>
      <c r="R27" s="43" t="b">
        <v>0</v>
      </c>
      <c r="S27" s="43" t="b">
        <v>0</v>
      </c>
      <c r="T27" s="63" t="b">
        <f ca="1">AND(U27&lt;&gt;"",OR(U27&gt;(VLOOKUP(B27,E_analysis!$A$2:$K$36,5,FALSE)+2*VLOOKUP(B27,E_analysis!$A$2:$K$36,6,FALSE)),U27&lt;(VLOOKUP(B27,E_analysis!$A$2:$K$36,5,FALSE)-2*VLOOKUP(B27,E_analysis!$A$2:$K$36,6,FALSE))))</f>
        <v>0</v>
      </c>
      <c r="U27" s="68">
        <f>IFERROR(VLOOKUP($F27,NE_bmis!$A:$K,6,FALSE),"")</f>
        <v>46</v>
      </c>
      <c r="V27" s="60">
        <f>IFERROR(VLOOKUP($F27,NE_bmis!$A:$K,7,FALSE),"")</f>
        <v>0</v>
      </c>
      <c r="W27" s="59">
        <f>IFERROR(VLOOKUP($F27,NE_bmis!$A:$K,8,FALSE),"")</f>
        <v>73</v>
      </c>
      <c r="X27" s="60">
        <f>IFERROR(VLOOKUP($F27,NE_bmis!$A:$K,9,FALSE),"")</f>
        <v>1990</v>
      </c>
      <c r="Y27" s="60" t="str">
        <f>IFERROR(VLOOKUP($F27,NE_bmis!$A:$K,11,FALSE),"")</f>
        <v>BMIS_auto</v>
      </c>
      <c r="Z27" s="66" t="s">
        <v>1830</v>
      </c>
    </row>
    <row r="28" spans="1:26" ht="15.75" customHeight="1">
      <c r="A28" s="56" t="str">
        <f t="shared" si="0"/>
        <v>E6SE</v>
      </c>
      <c r="B28" s="57">
        <v>6</v>
      </c>
      <c r="C28" s="58" t="s">
        <v>116</v>
      </c>
      <c r="D28" s="59">
        <f t="shared" si="1"/>
        <v>1400</v>
      </c>
      <c r="E28" s="60"/>
      <c r="F28" s="60"/>
      <c r="G28" s="58" t="s">
        <v>576</v>
      </c>
      <c r="H28" s="60" t="s">
        <v>556</v>
      </c>
      <c r="I28" s="60" t="s">
        <v>556</v>
      </c>
      <c r="J28" s="60" t="s">
        <v>556</v>
      </c>
      <c r="K28" s="61" t="s">
        <v>556</v>
      </c>
      <c r="L28" s="60" t="s">
        <v>556</v>
      </c>
      <c r="M28" s="61" t="s">
        <v>556</v>
      </c>
      <c r="N28" s="60" t="s">
        <v>556</v>
      </c>
      <c r="O28" s="61" t="s">
        <v>556</v>
      </c>
      <c r="P28" s="69" t="s">
        <v>557</v>
      </c>
      <c r="Q28" s="43" t="b">
        <v>1</v>
      </c>
      <c r="R28" s="43" t="b">
        <v>1</v>
      </c>
      <c r="S28" s="43" t="b">
        <v>0</v>
      </c>
      <c r="T28" s="63" t="b">
        <f ca="1">AND(U28&lt;&gt;"",OR(U28&gt;(VLOOKUP(B28,E_analysis!$A$2:$K$36,5,FALSE)+2*VLOOKUP(B28,E_analysis!$A$2:$K$36,6,FALSE)),U28&lt;(VLOOKUP(B28,E_analysis!$A$2:$K$36,5,FALSE)-2*VLOOKUP(B28,E_analysis!$A$2:$K$36,6,FALSE))))</f>
        <v>1</v>
      </c>
      <c r="U28" s="64">
        <v>0</v>
      </c>
      <c r="V28" s="65" t="str">
        <f>IFERROR(VLOOKUP($F28,NE_bmis!$A:$K,7,FALSE),"")</f>
        <v/>
      </c>
      <c r="W28" s="66" t="str">
        <f>IFERROR(VLOOKUP($F28,NE_bmis!$A:$K,8,FALSE),"")</f>
        <v/>
      </c>
      <c r="X28" s="65" t="str">
        <f>IFERROR(VLOOKUP($F28,NE_bmis!$A:$K,9,FALSE),"")</f>
        <v/>
      </c>
      <c r="Y28" s="65" t="str">
        <f>IFERROR(VLOOKUP($F28,NE_bmis!$A:$K,11,FALSE),"")</f>
        <v/>
      </c>
      <c r="Z28" s="66" t="s">
        <v>556</v>
      </c>
    </row>
    <row r="29" spans="1:26" ht="15.75" customHeight="1">
      <c r="A29" s="56" t="str">
        <f t="shared" si="0"/>
        <v>E6SW</v>
      </c>
      <c r="B29" s="57">
        <v>6</v>
      </c>
      <c r="C29" s="58" t="s">
        <v>121</v>
      </c>
      <c r="D29" s="59">
        <f t="shared" si="1"/>
        <v>1400</v>
      </c>
      <c r="E29" s="60" t="s">
        <v>595</v>
      </c>
      <c r="F29" s="60">
        <v>1103127899</v>
      </c>
      <c r="G29" s="58" t="s">
        <v>596</v>
      </c>
      <c r="H29" s="60" t="s">
        <v>597</v>
      </c>
      <c r="I29" s="60">
        <v>114.1652376</v>
      </c>
      <c r="J29" s="60">
        <v>22.278564429999999</v>
      </c>
      <c r="K29" s="61">
        <v>22.9</v>
      </c>
      <c r="L29" s="60" t="s">
        <v>115</v>
      </c>
      <c r="M29" s="61">
        <v>140.4</v>
      </c>
      <c r="N29" s="60">
        <v>3</v>
      </c>
      <c r="O29" s="61">
        <v>117.5</v>
      </c>
      <c r="P29" s="62"/>
      <c r="Q29" s="43" t="b">
        <v>0</v>
      </c>
      <c r="R29" s="43" t="b">
        <v>0</v>
      </c>
      <c r="S29" s="43" t="b">
        <v>0</v>
      </c>
      <c r="T29" s="63" t="b">
        <f ca="1">AND(U29&lt;&gt;"",OR(U29&gt;(VLOOKUP(B29,E_analysis!$A$2:$K$36,5,FALSE)+2*VLOOKUP(B29,E_analysis!$A$2:$K$36,6,FALSE)),U29&lt;(VLOOKUP(B29,E_analysis!$A$2:$K$36,5,FALSE)-2*VLOOKUP(B29,E_analysis!$A$2:$K$36,6,FALSE))))</f>
        <v>0</v>
      </c>
      <c r="U29" s="64">
        <f>IFERROR(VLOOKUP($F29,NE_bmis!$A:$K,6,FALSE),"")</f>
        <v>35</v>
      </c>
      <c r="V29" s="60">
        <f>IFERROR(VLOOKUP($F29,NE_bmis!$A:$K,7,FALSE),"")</f>
        <v>0</v>
      </c>
      <c r="W29" s="59">
        <f>IFERROR(VLOOKUP($F29,NE_bmis!$A:$K,8,FALSE),"")</f>
        <v>130</v>
      </c>
      <c r="X29" s="60">
        <f>IFERROR(VLOOKUP($F29,NE_bmis!$A:$K,9,FALSE),"")</f>
        <v>1981</v>
      </c>
      <c r="Y29" s="65" t="str">
        <f>IFERROR(VLOOKUP($F29,NE_bmis!$A:$K,11,FALSE),"")</f>
        <v>BMIS_auto</v>
      </c>
      <c r="Z29" s="66" t="s">
        <v>1833</v>
      </c>
    </row>
    <row r="30" spans="1:26" ht="15.75" customHeight="1">
      <c r="A30" s="56" t="str">
        <f t="shared" si="0"/>
        <v>E6NW</v>
      </c>
      <c r="B30" s="57">
        <v>6</v>
      </c>
      <c r="C30" s="58" t="s">
        <v>127</v>
      </c>
      <c r="D30" s="59">
        <f t="shared" si="1"/>
        <v>1400</v>
      </c>
      <c r="E30" s="60"/>
      <c r="F30" s="60"/>
      <c r="G30" s="58" t="s">
        <v>598</v>
      </c>
      <c r="H30" s="60" t="s">
        <v>556</v>
      </c>
      <c r="I30" s="60" t="s">
        <v>556</v>
      </c>
      <c r="J30" s="60" t="s">
        <v>556</v>
      </c>
      <c r="K30" s="61" t="s">
        <v>556</v>
      </c>
      <c r="L30" s="60" t="s">
        <v>556</v>
      </c>
      <c r="M30" s="61" t="s">
        <v>556</v>
      </c>
      <c r="N30" s="60" t="s">
        <v>556</v>
      </c>
      <c r="O30" s="61" t="s">
        <v>556</v>
      </c>
      <c r="P30" s="69" t="s">
        <v>557</v>
      </c>
      <c r="Q30" s="43" t="b">
        <v>1</v>
      </c>
      <c r="R30" s="43" t="b">
        <v>1</v>
      </c>
      <c r="S30" s="43" t="b">
        <v>0</v>
      </c>
      <c r="T30" s="63" t="b">
        <f ca="1">AND(U30&lt;&gt;"",OR(U30&gt;(VLOOKUP(B30,E_analysis!$A$2:$K$36,5,FALSE)+2*VLOOKUP(B30,E_analysis!$A$2:$K$36,6,FALSE)),U30&lt;(VLOOKUP(B30,E_analysis!$A$2:$K$36,5,FALSE)-2*VLOOKUP(B30,E_analysis!$A$2:$K$36,6,FALSE))))</f>
        <v>1</v>
      </c>
      <c r="U30" s="64">
        <v>0</v>
      </c>
      <c r="V30" s="65" t="str">
        <f>IFERROR(VLOOKUP($F30,NE_bmis!$A:$K,7,FALSE),"")</f>
        <v/>
      </c>
      <c r="W30" s="66" t="str">
        <f>IFERROR(VLOOKUP($F30,NE_bmis!$A:$K,8,FALSE),"")</f>
        <v/>
      </c>
      <c r="X30" s="65" t="str">
        <f>IFERROR(VLOOKUP($F30,NE_bmis!$A:$K,9,FALSE),"")</f>
        <v/>
      </c>
      <c r="Y30" s="65" t="str">
        <f>IFERROR(VLOOKUP($F30,NE_bmis!$A:$K,11,FALSE),"")</f>
        <v/>
      </c>
      <c r="Z30" s="66" t="s">
        <v>556</v>
      </c>
    </row>
    <row r="31" spans="1:26" ht="15.75" customHeight="1">
      <c r="A31" s="56" t="str">
        <f t="shared" si="0"/>
        <v>E7NE</v>
      </c>
      <c r="B31" s="57">
        <v>7</v>
      </c>
      <c r="C31" s="58" t="s">
        <v>110</v>
      </c>
      <c r="D31" s="59">
        <f t="shared" si="1"/>
        <v>1600</v>
      </c>
      <c r="E31" s="60"/>
      <c r="F31" s="60"/>
      <c r="G31" s="58" t="s">
        <v>599</v>
      </c>
      <c r="H31" s="60" t="s">
        <v>556</v>
      </c>
      <c r="I31" s="60" t="s">
        <v>556</v>
      </c>
      <c r="J31" s="60" t="s">
        <v>556</v>
      </c>
      <c r="K31" s="61" t="s">
        <v>556</v>
      </c>
      <c r="L31" s="60" t="s">
        <v>556</v>
      </c>
      <c r="M31" s="61" t="s">
        <v>556</v>
      </c>
      <c r="N31" s="60" t="s">
        <v>556</v>
      </c>
      <c r="O31" s="61" t="s">
        <v>556</v>
      </c>
      <c r="P31" s="69" t="s">
        <v>557</v>
      </c>
      <c r="Q31" s="43" t="b">
        <v>1</v>
      </c>
      <c r="R31" s="43" t="b">
        <v>1</v>
      </c>
      <c r="S31" s="43" t="b">
        <v>0</v>
      </c>
      <c r="T31" s="63" t="e">
        <f ca="1">AND(U31&lt;&gt;"",OR(U31&gt;(VLOOKUP(B31,E_analysis!$A$2:$K$36,5,FALSE)+2*VLOOKUP(B31,E_analysis!$A$2:$K$36,6,FALSE)),U31&lt;(VLOOKUP(B31,E_analysis!$A$2:$K$36,5,FALSE)-2*VLOOKUP(B31,E_analysis!$A$2:$K$36,6,FALSE))))</f>
        <v>#VALUE!</v>
      </c>
      <c r="U31" s="64">
        <v>0</v>
      </c>
      <c r="V31" s="65" t="str">
        <f>IFERROR(VLOOKUP($F31,NE_bmis!$A:$K,7,FALSE),"")</f>
        <v/>
      </c>
      <c r="W31" s="66" t="str">
        <f>IFERROR(VLOOKUP($F31,NE_bmis!$A:$K,8,FALSE),"")</f>
        <v/>
      </c>
      <c r="X31" s="65" t="str">
        <f>IFERROR(VLOOKUP($F31,NE_bmis!$A:$K,9,FALSE),"")</f>
        <v/>
      </c>
      <c r="Y31" s="60" t="str">
        <f>IFERROR(VLOOKUP($F31,NE_bmis!$A:$K,11,FALSE),"")</f>
        <v/>
      </c>
      <c r="Z31" s="66" t="s">
        <v>556</v>
      </c>
    </row>
    <row r="32" spans="1:26" ht="15.75" customHeight="1">
      <c r="A32" s="56" t="str">
        <f t="shared" si="0"/>
        <v>E7SE</v>
      </c>
      <c r="B32" s="57">
        <v>7</v>
      </c>
      <c r="C32" s="58" t="s">
        <v>116</v>
      </c>
      <c r="D32" s="59">
        <f t="shared" si="1"/>
        <v>1600</v>
      </c>
      <c r="E32" s="60" t="s">
        <v>600</v>
      </c>
      <c r="F32" s="60">
        <v>1103128710</v>
      </c>
      <c r="G32" s="58" t="s">
        <v>601</v>
      </c>
      <c r="H32" s="60" t="s">
        <v>602</v>
      </c>
      <c r="I32" s="60">
        <v>114.1663348</v>
      </c>
      <c r="J32" s="60">
        <v>22.277500490000001</v>
      </c>
      <c r="K32" s="61">
        <v>34.1</v>
      </c>
      <c r="L32" s="60" t="s">
        <v>115</v>
      </c>
      <c r="M32" s="61">
        <v>160.69999999999999</v>
      </c>
      <c r="N32" s="60" t="s">
        <v>115</v>
      </c>
      <c r="O32" s="61">
        <v>126.6</v>
      </c>
      <c r="P32" s="62"/>
      <c r="Q32" s="43" t="b">
        <v>0</v>
      </c>
      <c r="R32" s="43" t="b">
        <v>0</v>
      </c>
      <c r="S32" s="43" t="b">
        <v>0</v>
      </c>
      <c r="T32" s="63" t="e">
        <f ca="1">AND(U32&lt;&gt;"",OR(U32&gt;(VLOOKUP(B32,E_analysis!$A$2:$K$36,5,FALSE)+2*VLOOKUP(B32,E_analysis!$A$2:$K$36,6,FALSE)),U32&lt;(VLOOKUP(B32,E_analysis!$A$2:$K$36,5,FALSE)-2*VLOOKUP(B32,E_analysis!$A$2:$K$36,6,FALSE))))</f>
        <v>#VALUE!</v>
      </c>
      <c r="U32" s="68">
        <v>35</v>
      </c>
      <c r="V32" s="65">
        <v>0</v>
      </c>
      <c r="W32" s="66">
        <v>602</v>
      </c>
      <c r="X32" s="65">
        <v>1989</v>
      </c>
      <c r="Y32" s="60" t="s">
        <v>603</v>
      </c>
      <c r="Z32" s="66" t="s">
        <v>1830</v>
      </c>
    </row>
    <row r="33" spans="1:26" ht="15.75" customHeight="1">
      <c r="A33" s="56" t="str">
        <f t="shared" si="0"/>
        <v>E7SW</v>
      </c>
      <c r="B33" s="57">
        <v>7</v>
      </c>
      <c r="C33" s="58" t="s">
        <v>121</v>
      </c>
      <c r="D33" s="59">
        <f t="shared" si="1"/>
        <v>1600</v>
      </c>
      <c r="E33" s="60"/>
      <c r="F33" s="60"/>
      <c r="G33" s="58" t="s">
        <v>599</v>
      </c>
      <c r="H33" s="60" t="s">
        <v>556</v>
      </c>
      <c r="I33" s="60" t="s">
        <v>556</v>
      </c>
      <c r="J33" s="60" t="s">
        <v>556</v>
      </c>
      <c r="K33" s="61" t="s">
        <v>556</v>
      </c>
      <c r="L33" s="60" t="s">
        <v>556</v>
      </c>
      <c r="M33" s="61" t="s">
        <v>556</v>
      </c>
      <c r="N33" s="60" t="s">
        <v>556</v>
      </c>
      <c r="O33" s="61" t="s">
        <v>556</v>
      </c>
      <c r="P33" s="69" t="s">
        <v>557</v>
      </c>
      <c r="Q33" s="43" t="b">
        <v>1</v>
      </c>
      <c r="R33" s="43" t="b">
        <v>1</v>
      </c>
      <c r="S33" s="43" t="b">
        <v>0</v>
      </c>
      <c r="T33" s="63" t="e">
        <f ca="1">AND(U33&lt;&gt;"",OR(U33&gt;(VLOOKUP(B33,E_analysis!$A$2:$K$36,5,FALSE)+2*VLOOKUP(B33,E_analysis!$A$2:$K$36,6,FALSE)),U33&lt;(VLOOKUP(B33,E_analysis!$A$2:$K$36,5,FALSE)-2*VLOOKUP(B33,E_analysis!$A$2:$K$36,6,FALSE))))</f>
        <v>#VALUE!</v>
      </c>
      <c r="U33" s="64">
        <v>0</v>
      </c>
      <c r="V33" s="65" t="str">
        <f>IFERROR(VLOOKUP($F33,NE_bmis!$A:$K,7,FALSE),"")</f>
        <v/>
      </c>
      <c r="W33" s="66" t="str">
        <f>IFERROR(VLOOKUP($F33,NE_bmis!$A:$K,8,FALSE),"")</f>
        <v/>
      </c>
      <c r="X33" s="65" t="str">
        <f>IFERROR(VLOOKUP($F33,NE_bmis!$A:$K,9,FALSE),"")</f>
        <v/>
      </c>
      <c r="Y33" s="60" t="str">
        <f>IFERROR(VLOOKUP($F33,NE_bmis!$A:$K,11,FALSE),"")</f>
        <v/>
      </c>
      <c r="Z33" s="66" t="s">
        <v>556</v>
      </c>
    </row>
    <row r="34" spans="1:26" ht="15.75" customHeight="1">
      <c r="A34" s="56" t="str">
        <f t="shared" si="0"/>
        <v>E7NW</v>
      </c>
      <c r="B34" s="57">
        <v>7</v>
      </c>
      <c r="C34" s="58" t="s">
        <v>127</v>
      </c>
      <c r="D34" s="59">
        <f t="shared" si="1"/>
        <v>1600</v>
      </c>
      <c r="E34" s="60" t="s">
        <v>604</v>
      </c>
      <c r="F34" s="60">
        <v>1103128050</v>
      </c>
      <c r="G34" s="58" t="s">
        <v>605</v>
      </c>
      <c r="H34" s="60" t="s">
        <v>606</v>
      </c>
      <c r="I34" s="60">
        <v>114.167421</v>
      </c>
      <c r="J34" s="60">
        <v>22.2783826</v>
      </c>
      <c r="K34" s="61">
        <v>4</v>
      </c>
      <c r="L34" s="60" t="s">
        <v>126</v>
      </c>
      <c r="M34" s="61">
        <v>129.9</v>
      </c>
      <c r="N34" s="60" t="s">
        <v>315</v>
      </c>
      <c r="O34" s="61">
        <v>125.9</v>
      </c>
      <c r="P34" s="67" t="s">
        <v>607</v>
      </c>
      <c r="Q34" s="43" t="b">
        <v>0</v>
      </c>
      <c r="R34" s="43" t="b">
        <v>1</v>
      </c>
      <c r="S34" s="43" t="b">
        <v>0</v>
      </c>
      <c r="T34" s="63" t="e">
        <f ca="1">AND(U34&lt;&gt;"",OR(U34&gt;(VLOOKUP(B34,E_analysis!$A$2:$K$36,5,FALSE)+2*VLOOKUP(B34,E_analysis!$A$2:$K$36,6,FALSE)),U34&lt;(VLOOKUP(B34,E_analysis!$A$2:$K$36,5,FALSE)-2*VLOOKUP(B34,E_analysis!$A$2:$K$36,6,FALSE))))</f>
        <v>#VALUE!</v>
      </c>
      <c r="U34" s="68">
        <v>35</v>
      </c>
      <c r="V34" s="60" t="str">
        <f>IFERROR(VLOOKUP($F34,NE_bmis!$A:$K,7,FALSE),"")</f>
        <v/>
      </c>
      <c r="W34" s="59" t="str">
        <f>IFERROR(VLOOKUP($F34,NE_bmis!$A:$K,8,FALSE),"")</f>
        <v/>
      </c>
      <c r="X34" s="65">
        <v>1996</v>
      </c>
      <c r="Y34" s="60" t="s">
        <v>608</v>
      </c>
      <c r="Z34" s="66" t="s">
        <v>1843</v>
      </c>
    </row>
    <row r="35" spans="1:26" ht="15.75" customHeight="1">
      <c r="A35" s="56" t="str">
        <f t="shared" si="0"/>
        <v>E8NE</v>
      </c>
      <c r="B35" s="57">
        <v>8</v>
      </c>
      <c r="C35" s="58" t="s">
        <v>110</v>
      </c>
      <c r="D35" s="59">
        <f t="shared" si="1"/>
        <v>1800</v>
      </c>
      <c r="E35" s="60" t="s">
        <v>609</v>
      </c>
      <c r="F35" s="60">
        <v>1103128761</v>
      </c>
      <c r="G35" s="58" t="s">
        <v>610</v>
      </c>
      <c r="H35" s="60" t="s">
        <v>611</v>
      </c>
      <c r="I35" s="60">
        <v>114.1689259</v>
      </c>
      <c r="J35" s="60">
        <v>22.27747922</v>
      </c>
      <c r="K35" s="61">
        <v>19.5</v>
      </c>
      <c r="L35" s="60" t="s">
        <v>115</v>
      </c>
      <c r="M35" s="61">
        <v>75.7</v>
      </c>
      <c r="N35" s="60" t="s">
        <v>115</v>
      </c>
      <c r="O35" s="61">
        <v>56.2</v>
      </c>
      <c r="P35" s="69"/>
      <c r="Q35" s="43" t="b">
        <v>0</v>
      </c>
      <c r="R35" s="43" t="b">
        <v>0</v>
      </c>
      <c r="S35" s="43" t="b">
        <v>0</v>
      </c>
      <c r="T35" s="63" t="b">
        <f ca="1">AND(U35&lt;&gt;"",OR(U35&gt;(VLOOKUP(B35,E_analysis!$A$2:$K$36,5,FALSE)+2*VLOOKUP(B35,E_analysis!$A$2:$K$36,6,FALSE)),U35&lt;(VLOOKUP(B35,E_analysis!$A$2:$K$36,5,FALSE)-2*VLOOKUP(B35,E_analysis!$A$2:$K$36,6,FALSE))))</f>
        <v>0</v>
      </c>
      <c r="U35" s="68">
        <v>21</v>
      </c>
      <c r="V35" s="60" t="str">
        <f>IFERROR(VLOOKUP($F35,NE_bmis!$A:$K,7,FALSE),"")</f>
        <v/>
      </c>
      <c r="W35" s="66">
        <v>251</v>
      </c>
      <c r="X35" s="65">
        <v>2013</v>
      </c>
      <c r="Y35" s="60" t="s">
        <v>612</v>
      </c>
      <c r="Z35" s="66" t="s">
        <v>1856</v>
      </c>
    </row>
    <row r="36" spans="1:26" ht="15.75" customHeight="1">
      <c r="A36" s="56" t="str">
        <f t="shared" si="0"/>
        <v>E8SE</v>
      </c>
      <c r="B36" s="57">
        <v>8</v>
      </c>
      <c r="C36" s="58" t="s">
        <v>116</v>
      </c>
      <c r="D36" s="59">
        <f t="shared" si="1"/>
        <v>1800</v>
      </c>
      <c r="E36" s="60" t="s">
        <v>613</v>
      </c>
      <c r="F36" s="60">
        <v>1103128744</v>
      </c>
      <c r="G36" s="58" t="s">
        <v>614</v>
      </c>
      <c r="H36" s="60" t="s">
        <v>615</v>
      </c>
      <c r="I36" s="60">
        <v>114.1686577</v>
      </c>
      <c r="J36" s="60">
        <v>22.277579280000001</v>
      </c>
      <c r="K36" s="61">
        <v>8.8000000000000007</v>
      </c>
      <c r="L36" s="60" t="s">
        <v>115</v>
      </c>
      <c r="M36" s="61">
        <v>114.2</v>
      </c>
      <c r="N36" s="60" t="s">
        <v>115</v>
      </c>
      <c r="O36" s="61">
        <v>105.4</v>
      </c>
      <c r="P36" s="62"/>
      <c r="Q36" s="43" t="b">
        <v>0</v>
      </c>
      <c r="R36" s="43" t="b">
        <v>0</v>
      </c>
      <c r="S36" s="43" t="b">
        <v>0</v>
      </c>
      <c r="T36" s="63" t="b">
        <f ca="1">AND(U36&lt;&gt;"",OR(U36&gt;(VLOOKUP(B36,E_analysis!$A$2:$K$36,5,FALSE)+2*VLOOKUP(B36,E_analysis!$A$2:$K$36,6,FALSE)),U36&lt;(VLOOKUP(B36,E_analysis!$A$2:$K$36,5,FALSE)-2*VLOOKUP(B36,E_analysis!$A$2:$K$36,6,FALSE))))</f>
        <v>0</v>
      </c>
      <c r="U36" s="68">
        <f>IFERROR(VLOOKUP($F36,NE_bmis!$A:$K,6,FALSE),"")</f>
        <v>25</v>
      </c>
      <c r="V36" s="60">
        <f>IFERROR(VLOOKUP($F36,NE_bmis!$A:$K,7,FALSE),"")</f>
        <v>0</v>
      </c>
      <c r="W36" s="59">
        <f>IFERROR(VLOOKUP($F36,NE_bmis!$A:$K,8,FALSE),"")</f>
        <v>254</v>
      </c>
      <c r="X36" s="60">
        <f>IFERROR(VLOOKUP($F36,NE_bmis!$A:$K,9,FALSE),"")</f>
        <v>1996</v>
      </c>
      <c r="Y36" s="60" t="str">
        <f>IFERROR(VLOOKUP($F36,NE_bmis!$A:$K,11,FALSE),"")</f>
        <v>BMIS_auto</v>
      </c>
      <c r="Z36" s="66" t="s">
        <v>1858</v>
      </c>
    </row>
    <row r="37" spans="1:26" ht="15.75" customHeight="1">
      <c r="A37" s="56" t="str">
        <f t="shared" si="0"/>
        <v>E8SW</v>
      </c>
      <c r="B37" s="57">
        <v>8</v>
      </c>
      <c r="C37" s="58" t="s">
        <v>121</v>
      </c>
      <c r="D37" s="59">
        <f t="shared" si="1"/>
        <v>1800</v>
      </c>
      <c r="E37" s="60" t="s">
        <v>616</v>
      </c>
      <c r="F37" s="60">
        <v>1810183790</v>
      </c>
      <c r="G37" s="58" t="s">
        <v>617</v>
      </c>
      <c r="H37" s="60"/>
      <c r="I37" s="60">
        <v>114.1688911</v>
      </c>
      <c r="J37" s="60">
        <v>22.278081570000001</v>
      </c>
      <c r="K37" s="61">
        <v>18.899999999999999</v>
      </c>
      <c r="L37" s="60" t="s">
        <v>194</v>
      </c>
      <c r="M37" s="61">
        <v>152.80000000000001</v>
      </c>
      <c r="N37" s="60" t="s">
        <v>194</v>
      </c>
      <c r="O37" s="61">
        <v>133.9</v>
      </c>
      <c r="P37" s="62"/>
      <c r="Q37" s="43" t="b">
        <v>0</v>
      </c>
      <c r="R37" s="43" t="b">
        <v>0</v>
      </c>
      <c r="S37" s="43" t="b">
        <v>0</v>
      </c>
      <c r="T37" s="63" t="b">
        <f ca="1">AND(U37&lt;&gt;"",OR(U37&gt;(VLOOKUP(B37,E_analysis!$A$2:$K$36,5,FALSE)+2*VLOOKUP(B37,E_analysis!$A$2:$K$36,6,FALSE)),U37&lt;(VLOOKUP(B37,E_analysis!$A$2:$K$36,5,FALSE)-2*VLOOKUP(B37,E_analysis!$A$2:$K$36,6,FALSE))))</f>
        <v>0</v>
      </c>
      <c r="U37" s="68">
        <f>IFERROR(VLOOKUP($F37,NE_bmis!$A:$K,6,FALSE),"")</f>
        <v>22</v>
      </c>
      <c r="V37" s="60">
        <f>IFERROR(VLOOKUP($F37,NE_bmis!$A:$K,7,FALSE),"")</f>
        <v>1</v>
      </c>
      <c r="W37" s="59">
        <f>IFERROR(VLOOKUP($F37,NE_bmis!$A:$K,8,FALSE),"")</f>
        <v>0</v>
      </c>
      <c r="X37" s="60">
        <f>IFERROR(VLOOKUP($F37,NE_bmis!$A:$K,9,FALSE),"")</f>
        <v>1972</v>
      </c>
      <c r="Y37" s="60" t="str">
        <f>IFERROR(VLOOKUP($F37,NE_bmis!$A:$K,11,FALSE),"")</f>
        <v>BMIS_auto</v>
      </c>
      <c r="Z37" s="66" t="s">
        <v>1860</v>
      </c>
    </row>
    <row r="38" spans="1:26" ht="15.75" customHeight="1">
      <c r="A38" s="56" t="str">
        <f t="shared" si="0"/>
        <v>E8NW</v>
      </c>
      <c r="B38" s="57">
        <v>8</v>
      </c>
      <c r="C38" s="58" t="s">
        <v>127</v>
      </c>
      <c r="D38" s="59">
        <f t="shared" si="1"/>
        <v>1800</v>
      </c>
      <c r="E38" s="60" t="s">
        <v>618</v>
      </c>
      <c r="F38" s="60">
        <v>1103128356</v>
      </c>
      <c r="G38" s="58" t="s">
        <v>619</v>
      </c>
      <c r="H38" s="60"/>
      <c r="I38" s="60">
        <v>114.169337</v>
      </c>
      <c r="J38" s="60">
        <v>22.27803261</v>
      </c>
      <c r="K38" s="61">
        <v>19.100000000000001</v>
      </c>
      <c r="L38" s="60" t="s">
        <v>115</v>
      </c>
      <c r="M38" s="61">
        <v>81.900000000000006</v>
      </c>
      <c r="N38" s="60" t="s">
        <v>115</v>
      </c>
      <c r="O38" s="61">
        <v>62.8</v>
      </c>
      <c r="P38" s="71"/>
      <c r="Q38" s="43" t="b">
        <v>0</v>
      </c>
      <c r="R38" s="43" t="b">
        <v>0</v>
      </c>
      <c r="S38" s="43" t="b">
        <v>0</v>
      </c>
      <c r="T38" s="63" t="b">
        <f ca="1">AND(U38&lt;&gt;"",OR(U38&gt;(VLOOKUP(B38,E_analysis!$A$2:$K$36,5,FALSE)+2*VLOOKUP(B38,E_analysis!$A$2:$K$36,6,FALSE)),U38&lt;(VLOOKUP(B38,E_analysis!$A$2:$K$36,5,FALSE)-2*VLOOKUP(B38,E_analysis!$A$2:$K$36,6,FALSE))))</f>
        <v>0</v>
      </c>
      <c r="U38" s="68">
        <v>19</v>
      </c>
      <c r="V38" s="65" t="str">
        <f>IFERROR(VLOOKUP($F38,NE_bmis!$A:$K,7,FALSE),"")</f>
        <v/>
      </c>
      <c r="W38" s="66" t="str">
        <f>IFERROR(VLOOKUP($F38,NE_bmis!$A:$K,8,FALSE),"")</f>
        <v/>
      </c>
      <c r="X38" s="65" t="str">
        <f>IFERROR(VLOOKUP($F38,NE_bmis!$A:$K,9,FALSE),"")</f>
        <v/>
      </c>
      <c r="Y38" s="60" t="s">
        <v>152</v>
      </c>
      <c r="Z38" s="66" t="s">
        <v>1862</v>
      </c>
    </row>
    <row r="39" spans="1:26" ht="15.75" customHeight="1">
      <c r="A39" s="56" t="str">
        <f t="shared" si="0"/>
        <v>E9NE</v>
      </c>
      <c r="B39" s="57">
        <v>9</v>
      </c>
      <c r="C39" s="58" t="s">
        <v>110</v>
      </c>
      <c r="D39" s="59">
        <f t="shared" si="1"/>
        <v>2000</v>
      </c>
      <c r="E39" s="60" t="s">
        <v>620</v>
      </c>
      <c r="F39" s="60">
        <v>1103128895</v>
      </c>
      <c r="G39" s="58" t="s">
        <v>621</v>
      </c>
      <c r="H39" s="60" t="s">
        <v>622</v>
      </c>
      <c r="I39" s="60">
        <v>114.17119510000001</v>
      </c>
      <c r="J39" s="60">
        <v>22.277359749999999</v>
      </c>
      <c r="K39" s="61">
        <v>3.5</v>
      </c>
      <c r="L39" s="60" t="s">
        <v>126</v>
      </c>
      <c r="M39" s="61">
        <v>54.4</v>
      </c>
      <c r="N39" s="60" t="s">
        <v>115</v>
      </c>
      <c r="O39" s="61">
        <v>50.9</v>
      </c>
      <c r="P39" s="62"/>
      <c r="Q39" s="43" t="b">
        <v>0</v>
      </c>
      <c r="R39" s="43" t="b">
        <v>0</v>
      </c>
      <c r="S39" s="43" t="b">
        <v>0</v>
      </c>
      <c r="T39" s="63" t="b">
        <f ca="1">AND(U39&lt;&gt;"",OR(U39&gt;(VLOOKUP(B39,E_analysis!$A$2:$K$36,5,FALSE)+2*VLOOKUP(B39,E_analysis!$A$2:$K$36,6,FALSE)),U39&lt;(VLOOKUP(B39,E_analysis!$A$2:$K$36,5,FALSE)-2*VLOOKUP(B39,E_analysis!$A$2:$K$36,6,FALSE))))</f>
        <v>0</v>
      </c>
      <c r="U39" s="68">
        <f>IFERROR(VLOOKUP($F39,NE_bmis!$A:$K,6,FALSE),"")</f>
        <v>17</v>
      </c>
      <c r="V39" s="60">
        <f>IFERROR(VLOOKUP($F39,NE_bmis!$A:$K,7,FALSE),"")</f>
        <v>0</v>
      </c>
      <c r="W39" s="59">
        <f>IFERROR(VLOOKUP($F39,NE_bmis!$A:$K,8,FALSE),"")</f>
        <v>102</v>
      </c>
      <c r="X39" s="60">
        <f>IFERROR(VLOOKUP($F39,NE_bmis!$A:$K,9,FALSE),"")</f>
        <v>1965</v>
      </c>
      <c r="Y39" s="60" t="str">
        <f>IFERROR(VLOOKUP($F39,NE_bmis!$A:$K,11,FALSE),"")</f>
        <v>BMIS_auto</v>
      </c>
      <c r="Z39" s="66" t="s">
        <v>1875</v>
      </c>
    </row>
    <row r="40" spans="1:26" ht="15.75" customHeight="1">
      <c r="A40" s="56" t="str">
        <f t="shared" si="0"/>
        <v>E9SE</v>
      </c>
      <c r="B40" s="57">
        <v>9</v>
      </c>
      <c r="C40" s="58" t="s">
        <v>116</v>
      </c>
      <c r="D40" s="59">
        <f t="shared" si="1"/>
        <v>2000</v>
      </c>
      <c r="E40" s="60" t="s">
        <v>623</v>
      </c>
      <c r="F40" s="60">
        <v>1103128896</v>
      </c>
      <c r="G40" s="58" t="s">
        <v>624</v>
      </c>
      <c r="H40" s="60" t="s">
        <v>625</v>
      </c>
      <c r="I40" s="60">
        <v>114.1708586</v>
      </c>
      <c r="J40" s="60">
        <v>22.277364599999999</v>
      </c>
      <c r="K40" s="61">
        <v>18.7</v>
      </c>
      <c r="L40" s="60" t="s">
        <v>115</v>
      </c>
      <c r="M40" s="61">
        <v>88.1</v>
      </c>
      <c r="N40" s="60" t="s">
        <v>115</v>
      </c>
      <c r="O40" s="61">
        <v>69.400000000000006</v>
      </c>
      <c r="P40" s="69"/>
      <c r="Q40" s="43" t="b">
        <v>0</v>
      </c>
      <c r="R40" s="43" t="b">
        <v>0</v>
      </c>
      <c r="S40" s="43" t="b">
        <v>0</v>
      </c>
      <c r="T40" s="63" t="b">
        <f ca="1">AND(U40&lt;&gt;"",OR(U40&gt;(VLOOKUP(B40,E_analysis!$A$2:$K$36,5,FALSE)+2*VLOOKUP(B40,E_analysis!$A$2:$K$36,6,FALSE)),U40&lt;(VLOOKUP(B40,E_analysis!$A$2:$K$36,5,FALSE)-2*VLOOKUP(B40,E_analysis!$A$2:$K$36,6,FALSE))))</f>
        <v>0</v>
      </c>
      <c r="U40" s="68">
        <f>IFERROR(VLOOKUP($F40,NE_bmis!$A:$K,6,FALSE),"")</f>
        <v>28</v>
      </c>
      <c r="V40" s="60">
        <f>IFERROR(VLOOKUP($F40,NE_bmis!$A:$K,7,FALSE),"")</f>
        <v>0</v>
      </c>
      <c r="W40" s="59">
        <f>IFERROR(VLOOKUP($F40,NE_bmis!$A:$K,8,FALSE),"")</f>
        <v>56</v>
      </c>
      <c r="X40" s="60">
        <f>IFERROR(VLOOKUP($F40,NE_bmis!$A:$K,9,FALSE),"")</f>
        <v>1977</v>
      </c>
      <c r="Y40" s="60" t="str">
        <f>IFERROR(VLOOKUP($F40,NE_bmis!$A:$K,11,FALSE),"")</f>
        <v>BMIS_auto</v>
      </c>
      <c r="Z40" s="66" t="s">
        <v>1877</v>
      </c>
    </row>
    <row r="41" spans="1:26" ht="15.75" customHeight="1">
      <c r="A41" s="56" t="str">
        <f t="shared" si="0"/>
        <v>E9SW</v>
      </c>
      <c r="B41" s="58">
        <v>9</v>
      </c>
      <c r="C41" s="58" t="s">
        <v>121</v>
      </c>
      <c r="D41" s="59">
        <f t="shared" si="1"/>
        <v>2000</v>
      </c>
      <c r="E41" s="60" t="s">
        <v>626</v>
      </c>
      <c r="F41" s="60">
        <v>1103128580</v>
      </c>
      <c r="G41" s="58" t="s">
        <v>627</v>
      </c>
      <c r="H41" s="60" t="s">
        <v>628</v>
      </c>
      <c r="I41" s="60">
        <v>114.1709477</v>
      </c>
      <c r="J41" s="60">
        <v>22.277804830000001</v>
      </c>
      <c r="K41" s="61">
        <v>3.3</v>
      </c>
      <c r="L41" s="60" t="s">
        <v>126</v>
      </c>
      <c r="M41" s="61">
        <v>52.3</v>
      </c>
      <c r="N41" s="60" t="s">
        <v>115</v>
      </c>
      <c r="O41" s="61">
        <v>49</v>
      </c>
      <c r="P41" s="62"/>
      <c r="Q41" s="43" t="b">
        <v>0</v>
      </c>
      <c r="R41" s="43" t="b">
        <v>0</v>
      </c>
      <c r="S41" s="43" t="b">
        <v>0</v>
      </c>
      <c r="T41" s="63" t="b">
        <f ca="1">AND(U41&lt;&gt;"",OR(U41&gt;(VLOOKUP(B41,E_analysis!$A$2:$K$36,5,FALSE)+2*VLOOKUP(B41,E_analysis!$A$2:$K$36,6,FALSE)),U41&lt;(VLOOKUP(B41,E_analysis!$A$2:$K$36,5,FALSE)-2*VLOOKUP(B41,E_analysis!$A$2:$K$36,6,FALSE))))</f>
        <v>0</v>
      </c>
      <c r="U41" s="68">
        <v>16</v>
      </c>
      <c r="V41" s="65">
        <v>0</v>
      </c>
      <c r="W41" s="66">
        <v>64</v>
      </c>
      <c r="X41" s="65">
        <v>1966</v>
      </c>
      <c r="Y41" s="60" t="s">
        <v>173</v>
      </c>
      <c r="Z41" s="66" t="s">
        <v>1879</v>
      </c>
    </row>
    <row r="42" spans="1:26" ht="15.75" customHeight="1">
      <c r="A42" s="56" t="str">
        <f t="shared" si="0"/>
        <v>E9NW</v>
      </c>
      <c r="B42" s="58">
        <v>9</v>
      </c>
      <c r="C42" s="58" t="s">
        <v>127</v>
      </c>
      <c r="D42" s="59">
        <f t="shared" si="1"/>
        <v>2000</v>
      </c>
      <c r="E42" s="60" t="s">
        <v>629</v>
      </c>
      <c r="F42" s="60">
        <v>1103128583</v>
      </c>
      <c r="G42" s="58" t="s">
        <v>630</v>
      </c>
      <c r="H42" s="60" t="s">
        <v>631</v>
      </c>
      <c r="I42" s="60">
        <v>114.1712295</v>
      </c>
      <c r="J42" s="60">
        <v>22.277788770000001</v>
      </c>
      <c r="K42" s="61">
        <v>16.8</v>
      </c>
      <c r="L42" s="60" t="s">
        <v>115</v>
      </c>
      <c r="M42" s="61">
        <v>76.900000000000006</v>
      </c>
      <c r="N42" s="60">
        <v>3</v>
      </c>
      <c r="O42" s="61">
        <v>60.1</v>
      </c>
      <c r="P42" s="62"/>
      <c r="Q42" s="43" t="b">
        <v>0</v>
      </c>
      <c r="R42" s="43" t="b">
        <v>0</v>
      </c>
      <c r="S42" s="43" t="b">
        <v>0</v>
      </c>
      <c r="T42" s="63" t="b">
        <f ca="1">AND(U42&lt;&gt;"",OR(U42&gt;(VLOOKUP(B42,E_analysis!$A$2:$K$36,5,FALSE)+2*VLOOKUP(B42,E_analysis!$A$2:$K$36,6,FALSE)),U42&lt;(VLOOKUP(B42,E_analysis!$A$2:$K$36,5,FALSE)-2*VLOOKUP(B42,E_analysis!$A$2:$K$36,6,FALSE))))</f>
        <v>0</v>
      </c>
      <c r="U42" s="64">
        <f>IFERROR(VLOOKUP($F42,NE_bmis!$A:$K,6,FALSE),"")</f>
        <v>22</v>
      </c>
      <c r="V42" s="65">
        <f>IFERROR(VLOOKUP($F42,NE_bmis!$A:$K,7,FALSE),"")</f>
        <v>0</v>
      </c>
      <c r="W42" s="66">
        <f>IFERROR(VLOOKUP($F42,NE_bmis!$A:$K,8,FALSE),"")</f>
        <v>280</v>
      </c>
      <c r="X42" s="65">
        <f>IFERROR(VLOOKUP($F42,NE_bmis!$A:$K,9,FALSE),"")</f>
        <v>1979</v>
      </c>
      <c r="Y42" s="65" t="str">
        <f>IFERROR(VLOOKUP($F42,NE_bmis!$A:$K,11,FALSE),"")</f>
        <v>BMIS_auto</v>
      </c>
      <c r="Z42" s="66" t="s">
        <v>1881</v>
      </c>
    </row>
    <row r="43" spans="1:26" ht="15.75" customHeight="1">
      <c r="A43" s="56" t="str">
        <f t="shared" si="0"/>
        <v>E10NE</v>
      </c>
      <c r="B43" s="58">
        <v>10</v>
      </c>
      <c r="C43" s="58" t="s">
        <v>110</v>
      </c>
      <c r="D43" s="59">
        <f t="shared" si="1"/>
        <v>2200</v>
      </c>
      <c r="E43" s="60" t="s">
        <v>632</v>
      </c>
      <c r="F43" s="60">
        <v>1103128909</v>
      </c>
      <c r="G43" s="58" t="s">
        <v>633</v>
      </c>
      <c r="H43" s="60" t="s">
        <v>634</v>
      </c>
      <c r="I43" s="60">
        <v>114.17310000000001</v>
      </c>
      <c r="J43" s="60">
        <v>22.277236590000001</v>
      </c>
      <c r="K43" s="61">
        <v>17.100000000000001</v>
      </c>
      <c r="L43" s="60" t="s">
        <v>115</v>
      </c>
      <c r="M43" s="61">
        <v>128.19999999999999</v>
      </c>
      <c r="N43" s="60" t="s">
        <v>115</v>
      </c>
      <c r="O43" s="61">
        <v>111.1</v>
      </c>
      <c r="P43" s="62"/>
      <c r="Q43" s="43" t="b">
        <v>0</v>
      </c>
      <c r="R43" s="43" t="b">
        <v>0</v>
      </c>
      <c r="S43" s="43" t="b">
        <v>0</v>
      </c>
      <c r="T43" s="63" t="b">
        <f ca="1">AND(U43&lt;&gt;"",OR(U43&gt;(VLOOKUP(B43,E_analysis!$A$2:$K$36,5,FALSE)+2*VLOOKUP(B43,E_analysis!$A$2:$K$36,6,FALSE)),U43&lt;(VLOOKUP(B43,E_analysis!$A$2:$K$36,5,FALSE)-2*VLOOKUP(B43,E_analysis!$A$2:$K$36,6,FALSE))))</f>
        <v>0</v>
      </c>
      <c r="U43" s="68">
        <f>IFERROR(VLOOKUP($F43,NE_bmis!$A:$K,6,FALSE),"")</f>
        <v>40</v>
      </c>
      <c r="V43" s="60">
        <f>IFERROR(VLOOKUP($F43,NE_bmis!$A:$K,7,FALSE),"")</f>
        <v>0</v>
      </c>
      <c r="W43" s="59">
        <f>IFERROR(VLOOKUP($F43,NE_bmis!$A:$K,8,FALSE),"")</f>
        <v>480</v>
      </c>
      <c r="X43" s="60">
        <f>IFERROR(VLOOKUP($F43,NE_bmis!$A:$K,9,FALSE),"")</f>
        <v>1988</v>
      </c>
      <c r="Y43" s="60" t="str">
        <f>IFERROR(VLOOKUP($F43,NE_bmis!$A:$K,11,FALSE),"")</f>
        <v>BMIS_auto</v>
      </c>
      <c r="Z43" s="66" t="s">
        <v>1895</v>
      </c>
    </row>
    <row r="44" spans="1:26" ht="15.75" customHeight="1">
      <c r="A44" s="56" t="str">
        <f t="shared" si="0"/>
        <v>E10SE</v>
      </c>
      <c r="B44" s="58">
        <v>10</v>
      </c>
      <c r="C44" s="58" t="s">
        <v>116</v>
      </c>
      <c r="D44" s="59">
        <f t="shared" si="1"/>
        <v>2200</v>
      </c>
      <c r="E44" s="60" t="s">
        <v>635</v>
      </c>
      <c r="F44" s="60">
        <v>1103128900</v>
      </c>
      <c r="G44" s="58" t="s">
        <v>636</v>
      </c>
      <c r="H44" s="60" t="s">
        <v>637</v>
      </c>
      <c r="I44" s="60">
        <v>114.17280150000001</v>
      </c>
      <c r="J44" s="60">
        <v>22.277163940000001</v>
      </c>
      <c r="K44" s="61">
        <v>3.8</v>
      </c>
      <c r="L44" s="60" t="s">
        <v>126</v>
      </c>
      <c r="M44" s="61">
        <v>118.9</v>
      </c>
      <c r="N44" s="60" t="s">
        <v>115</v>
      </c>
      <c r="O44" s="61">
        <v>115.1</v>
      </c>
      <c r="P44" s="62"/>
      <c r="Q44" s="43" t="b">
        <v>0</v>
      </c>
      <c r="R44" s="43" t="b">
        <v>0</v>
      </c>
      <c r="S44" s="43" t="b">
        <v>0</v>
      </c>
      <c r="T44" s="63" t="b">
        <f ca="1">AND(U44&lt;&gt;"",OR(U44&gt;(VLOOKUP(B44,E_analysis!$A$2:$K$36,5,FALSE)+2*VLOOKUP(B44,E_analysis!$A$2:$K$36,6,FALSE)),U44&lt;(VLOOKUP(B44,E_analysis!$A$2:$K$36,5,FALSE)-2*VLOOKUP(B44,E_analysis!$A$2:$K$36,6,FALSE))))</f>
        <v>0</v>
      </c>
      <c r="U44" s="68">
        <f>IFERROR(VLOOKUP($F44,NE_bmis!$A:$K,6,FALSE),"")</f>
        <v>32</v>
      </c>
      <c r="V44" s="60">
        <f>IFERROR(VLOOKUP($F44,NE_bmis!$A:$K,7,FALSE),"")</f>
        <v>2</v>
      </c>
      <c r="W44" s="59">
        <f>IFERROR(VLOOKUP($F44,NE_bmis!$A:$K,8,FALSE),"")</f>
        <v>32</v>
      </c>
      <c r="X44" s="60">
        <f>IFERROR(VLOOKUP($F44,NE_bmis!$A:$K,9,FALSE),"")</f>
        <v>1988</v>
      </c>
      <c r="Y44" s="60" t="str">
        <f>IFERROR(VLOOKUP($F44,NE_bmis!$A:$K,11,FALSE),"")</f>
        <v>BMIS_auto</v>
      </c>
      <c r="Z44" s="66" t="s">
        <v>1897</v>
      </c>
    </row>
    <row r="45" spans="1:26" ht="15.75" customHeight="1">
      <c r="A45" s="56" t="str">
        <f t="shared" si="0"/>
        <v>E10SW</v>
      </c>
      <c r="B45" s="58">
        <v>10</v>
      </c>
      <c r="C45" s="58" t="s">
        <v>121</v>
      </c>
      <c r="D45" s="59">
        <f t="shared" si="1"/>
        <v>2200</v>
      </c>
      <c r="E45" s="60" t="s">
        <v>638</v>
      </c>
      <c r="F45" s="60">
        <v>1103128579</v>
      </c>
      <c r="G45" s="58" t="s">
        <v>639</v>
      </c>
      <c r="H45" s="60" t="s">
        <v>640</v>
      </c>
      <c r="I45" s="60">
        <v>114.1727793</v>
      </c>
      <c r="J45" s="60">
        <v>22.27779288</v>
      </c>
      <c r="K45" s="61">
        <v>18.2</v>
      </c>
      <c r="L45" s="60" t="s">
        <v>115</v>
      </c>
      <c r="M45" s="61">
        <v>112.5</v>
      </c>
      <c r="N45" s="60">
        <v>3</v>
      </c>
      <c r="O45" s="61">
        <v>94.3</v>
      </c>
      <c r="P45" s="62"/>
      <c r="Q45" s="43" t="b">
        <v>0</v>
      </c>
      <c r="R45" s="43" t="b">
        <v>0</v>
      </c>
      <c r="S45" s="43" t="b">
        <v>0</v>
      </c>
      <c r="T45" s="63" t="b">
        <f ca="1">AND(U45&lt;&gt;"",OR(U45&gt;(VLOOKUP(B45,E_analysis!$A$2:$K$36,5,FALSE)+2*VLOOKUP(B45,E_analysis!$A$2:$K$36,6,FALSE)),U45&lt;(VLOOKUP(B45,E_analysis!$A$2:$K$36,5,FALSE)-2*VLOOKUP(B45,E_analysis!$A$2:$K$36,6,FALSE))))</f>
        <v>0</v>
      </c>
      <c r="U45" s="68">
        <f>IFERROR(VLOOKUP($F45,NE_bmis!$A:$K,6,FALSE),"")</f>
        <v>30</v>
      </c>
      <c r="V45" s="60">
        <f>IFERROR(VLOOKUP($F45,NE_bmis!$A:$K,7,FALSE),"")</f>
        <v>0</v>
      </c>
      <c r="W45" s="59">
        <f>IFERROR(VLOOKUP($F45,NE_bmis!$A:$K,8,FALSE),"")</f>
        <v>60</v>
      </c>
      <c r="X45" s="60">
        <f>IFERROR(VLOOKUP($F45,NE_bmis!$A:$K,9,FALSE),"")</f>
        <v>1991</v>
      </c>
      <c r="Y45" s="60" t="str">
        <f>IFERROR(VLOOKUP($F45,NE_bmis!$A:$K,11,FALSE),"")</f>
        <v>BMIS_auto</v>
      </c>
      <c r="Z45" s="66" t="s">
        <v>1899</v>
      </c>
    </row>
    <row r="46" spans="1:26" ht="15.75" customHeight="1">
      <c r="A46" s="56" t="str">
        <f t="shared" si="0"/>
        <v>E10NW</v>
      </c>
      <c r="B46" s="58">
        <v>10</v>
      </c>
      <c r="C46" s="58" t="s">
        <v>127</v>
      </c>
      <c r="D46" s="59">
        <f t="shared" si="1"/>
        <v>2200</v>
      </c>
      <c r="E46" s="60" t="s">
        <v>641</v>
      </c>
      <c r="F46" s="60">
        <v>1103128578</v>
      </c>
      <c r="G46" s="58" t="s">
        <v>642</v>
      </c>
      <c r="H46" s="60" t="s">
        <v>643</v>
      </c>
      <c r="I46" s="60">
        <v>114.1730654</v>
      </c>
      <c r="J46" s="60">
        <v>22.277838299999999</v>
      </c>
      <c r="K46" s="61">
        <v>18.3</v>
      </c>
      <c r="L46" s="60" t="s">
        <v>115</v>
      </c>
      <c r="M46" s="61">
        <v>80.099999999999994</v>
      </c>
      <c r="N46" s="60">
        <v>3</v>
      </c>
      <c r="O46" s="61">
        <v>61.8</v>
      </c>
      <c r="P46" s="62"/>
      <c r="Q46" s="43" t="b">
        <v>0</v>
      </c>
      <c r="R46" s="43" t="b">
        <v>0</v>
      </c>
      <c r="S46" s="43" t="b">
        <v>0</v>
      </c>
      <c r="T46" s="63" t="b">
        <f ca="1">AND(U46&lt;&gt;"",OR(U46&gt;(VLOOKUP(B46,E_analysis!$A$2:$K$36,5,FALSE)+2*VLOOKUP(B46,E_analysis!$A$2:$K$36,6,FALSE)),U46&lt;(VLOOKUP(B46,E_analysis!$A$2:$K$36,5,FALSE)-2*VLOOKUP(B46,E_analysis!$A$2:$K$36,6,FALSE))))</f>
        <v>0</v>
      </c>
      <c r="U46" s="68">
        <f>IFERROR(VLOOKUP($F46,NE_bmis!$A:$K,6,FALSE),"")</f>
        <v>24</v>
      </c>
      <c r="V46" s="60">
        <f>IFERROR(VLOOKUP($F46,NE_bmis!$A:$K,7,FALSE),"")</f>
        <v>0</v>
      </c>
      <c r="W46" s="59">
        <f>IFERROR(VLOOKUP($F46,NE_bmis!$A:$K,8,FALSE),"")</f>
        <v>56</v>
      </c>
      <c r="X46" s="60">
        <f>IFERROR(VLOOKUP($F46,NE_bmis!$A:$K,9,FALSE),"")</f>
        <v>1987</v>
      </c>
      <c r="Y46" s="60" t="str">
        <f>IFERROR(VLOOKUP($F46,NE_bmis!$A:$K,11,FALSE),"")</f>
        <v>BMIS_auto</v>
      </c>
      <c r="Z46" s="66" t="s">
        <v>1901</v>
      </c>
    </row>
    <row r="47" spans="1:26" ht="15.75" customHeight="1">
      <c r="A47" s="56" t="str">
        <f t="shared" si="0"/>
        <v>E11NE</v>
      </c>
      <c r="B47" s="58">
        <v>11</v>
      </c>
      <c r="C47" s="58" t="s">
        <v>110</v>
      </c>
      <c r="D47" s="59">
        <f t="shared" si="1"/>
        <v>2400</v>
      </c>
      <c r="E47" s="60" t="s">
        <v>644</v>
      </c>
      <c r="F47" s="60">
        <v>1103128735</v>
      </c>
      <c r="G47" s="58" t="s">
        <v>645</v>
      </c>
      <c r="H47" s="60" t="s">
        <v>646</v>
      </c>
      <c r="I47" s="60">
        <v>114.1749674</v>
      </c>
      <c r="J47" s="60">
        <v>22.277576580000002</v>
      </c>
      <c r="K47" s="61">
        <v>3.5</v>
      </c>
      <c r="L47" s="60" t="s">
        <v>126</v>
      </c>
      <c r="M47" s="61">
        <v>55</v>
      </c>
      <c r="N47" s="60" t="s">
        <v>115</v>
      </c>
      <c r="O47" s="61">
        <v>51.5</v>
      </c>
      <c r="P47" s="62"/>
      <c r="Q47" s="43" t="b">
        <v>0</v>
      </c>
      <c r="R47" s="43" t="b">
        <v>0</v>
      </c>
      <c r="S47" s="43" t="b">
        <v>0</v>
      </c>
      <c r="T47" s="63" t="b">
        <f ca="1">AND(U47&lt;&gt;"",OR(U47&gt;(VLOOKUP(B47,E_analysis!$A$2:$K$36,5,FALSE)+2*VLOOKUP(B47,E_analysis!$A$2:$K$36,6,FALSE)),U47&lt;(VLOOKUP(B47,E_analysis!$A$2:$K$36,5,FALSE)-2*VLOOKUP(B47,E_analysis!$A$2:$K$36,6,FALSE))))</f>
        <v>0</v>
      </c>
      <c r="U47" s="68">
        <f>IFERROR(VLOOKUP($F47,NE_bmis!$A:$K,6,FALSE),"")</f>
        <v>16</v>
      </c>
      <c r="V47" s="60">
        <f>IFERROR(VLOOKUP($F47,NE_bmis!$A:$K,7,FALSE),"")</f>
        <v>0</v>
      </c>
      <c r="W47" s="59">
        <f>IFERROR(VLOOKUP($F47,NE_bmis!$A:$K,8,FALSE),"")</f>
        <v>80</v>
      </c>
      <c r="X47" s="60">
        <f>IFERROR(VLOOKUP($F47,NE_bmis!$A:$K,9,FALSE),"")</f>
        <v>1968</v>
      </c>
      <c r="Y47" s="60" t="str">
        <f>IFERROR(VLOOKUP($F47,NE_bmis!$A:$K,11,FALSE),"")</f>
        <v>BMIS_auto</v>
      </c>
      <c r="Z47" s="66" t="s">
        <v>1914</v>
      </c>
    </row>
    <row r="48" spans="1:26" ht="15.75" customHeight="1">
      <c r="A48" s="56" t="str">
        <f t="shared" si="0"/>
        <v>E11SE</v>
      </c>
      <c r="B48" s="58">
        <v>11</v>
      </c>
      <c r="C48" s="58" t="s">
        <v>116</v>
      </c>
      <c r="D48" s="59">
        <f t="shared" si="1"/>
        <v>2400</v>
      </c>
      <c r="E48" s="60" t="s">
        <v>647</v>
      </c>
      <c r="F48" s="60">
        <v>1103128834</v>
      </c>
      <c r="G48" s="58" t="s">
        <v>648</v>
      </c>
      <c r="H48" s="60" t="s">
        <v>649</v>
      </c>
      <c r="I48" s="60">
        <v>114.1745561</v>
      </c>
      <c r="J48" s="60">
        <v>22.27738587</v>
      </c>
      <c r="K48" s="61">
        <v>18.600000000000001</v>
      </c>
      <c r="L48" s="60" t="s">
        <v>114</v>
      </c>
      <c r="M48" s="61">
        <v>123.2</v>
      </c>
      <c r="N48" s="60">
        <v>3</v>
      </c>
      <c r="O48" s="61">
        <v>104.6</v>
      </c>
      <c r="P48" s="62"/>
      <c r="Q48" s="43" t="b">
        <v>0</v>
      </c>
      <c r="R48" s="43" t="b">
        <v>0</v>
      </c>
      <c r="S48" s="43" t="b">
        <v>0</v>
      </c>
      <c r="T48" s="63" t="b">
        <f ca="1">AND(U48&lt;&gt;"",OR(U48&gt;(VLOOKUP(B48,E_analysis!$A$2:$K$36,5,FALSE)+2*VLOOKUP(B48,E_analysis!$A$2:$K$36,6,FALSE)),U48&lt;(VLOOKUP(B48,E_analysis!$A$2:$K$36,5,FALSE)-2*VLOOKUP(B48,E_analysis!$A$2:$K$36,6,FALSE))))</f>
        <v>0</v>
      </c>
      <c r="U48" s="68">
        <f>IFERROR(VLOOKUP($F48,NE_bmis!$A:$K,6,FALSE),"")</f>
        <v>30</v>
      </c>
      <c r="V48" s="60">
        <f>IFERROR(VLOOKUP($F48,NE_bmis!$A:$K,7,FALSE),"")</f>
        <v>0</v>
      </c>
      <c r="W48" s="59">
        <f>IFERROR(VLOOKUP($F48,NE_bmis!$A:$K,8,FALSE),"")</f>
        <v>0</v>
      </c>
      <c r="X48" s="60">
        <f>IFERROR(VLOOKUP($F48,NE_bmis!$A:$K,9,FALSE),"")</f>
        <v>1972</v>
      </c>
      <c r="Y48" s="60" t="str">
        <f>IFERROR(VLOOKUP($F48,NE_bmis!$A:$K,11,FALSE),"")</f>
        <v>BMIS_auto</v>
      </c>
      <c r="Z48" s="66" t="s">
        <v>1916</v>
      </c>
    </row>
    <row r="49" spans="1:26" ht="15.75" customHeight="1">
      <c r="A49" s="56" t="str">
        <f t="shared" si="0"/>
        <v>E11SW</v>
      </c>
      <c r="B49" s="58">
        <v>11</v>
      </c>
      <c r="C49" s="58" t="s">
        <v>121</v>
      </c>
      <c r="D49" s="59">
        <f t="shared" si="1"/>
        <v>2400</v>
      </c>
      <c r="E49" s="60" t="s">
        <v>650</v>
      </c>
      <c r="F49" s="60">
        <v>1103128465</v>
      </c>
      <c r="G49" s="58" t="s">
        <v>651</v>
      </c>
      <c r="H49" s="60" t="s">
        <v>652</v>
      </c>
      <c r="I49" s="60">
        <v>114.1745385</v>
      </c>
      <c r="J49" s="60">
        <v>22.277971319999999</v>
      </c>
      <c r="K49" s="61">
        <v>3.5</v>
      </c>
      <c r="L49" s="60" t="s">
        <v>126</v>
      </c>
      <c r="M49" s="61">
        <v>68.2</v>
      </c>
      <c r="N49" s="60">
        <v>3</v>
      </c>
      <c r="O49" s="61">
        <v>64.7</v>
      </c>
      <c r="P49" s="62"/>
      <c r="Q49" s="43" t="b">
        <v>0</v>
      </c>
      <c r="R49" s="43" t="b">
        <v>0</v>
      </c>
      <c r="S49" s="43" t="b">
        <v>0</v>
      </c>
      <c r="T49" s="63" t="b">
        <f ca="1">AND(U49&lt;&gt;"",OR(U49&gt;(VLOOKUP(B49,E_analysis!$A$2:$K$36,5,FALSE)+2*VLOOKUP(B49,E_analysis!$A$2:$K$36,6,FALSE)),U49&lt;(VLOOKUP(B49,E_analysis!$A$2:$K$36,5,FALSE)-2*VLOOKUP(B49,E_analysis!$A$2:$K$36,6,FALSE))))</f>
        <v>0</v>
      </c>
      <c r="U49" s="68">
        <f>IFERROR(VLOOKUP($F49,NE_bmis!$A:$K,6,FALSE),"")</f>
        <v>21</v>
      </c>
      <c r="V49" s="60">
        <f>IFERROR(VLOOKUP($F49,NE_bmis!$A:$K,7,FALSE),"")</f>
        <v>0</v>
      </c>
      <c r="W49" s="59">
        <f>IFERROR(VLOOKUP($F49,NE_bmis!$A:$K,8,FALSE),"")</f>
        <v>105</v>
      </c>
      <c r="X49" s="60">
        <f>IFERROR(VLOOKUP($F49,NE_bmis!$A:$K,9,FALSE),"")</f>
        <v>1967</v>
      </c>
      <c r="Y49" s="60" t="str">
        <f>IFERROR(VLOOKUP($F49,NE_bmis!$A:$K,11,FALSE),"")</f>
        <v>BMIS_auto</v>
      </c>
      <c r="Z49" s="66" t="s">
        <v>1918</v>
      </c>
    </row>
    <row r="50" spans="1:26" ht="15.75" customHeight="1">
      <c r="A50" s="56" t="str">
        <f t="shared" si="0"/>
        <v>E11NW</v>
      </c>
      <c r="B50" s="58">
        <v>11</v>
      </c>
      <c r="C50" s="58" t="s">
        <v>127</v>
      </c>
      <c r="D50" s="59">
        <f t="shared" si="1"/>
        <v>2400</v>
      </c>
      <c r="E50" s="60" t="s">
        <v>653</v>
      </c>
      <c r="F50" s="60">
        <v>1103128444</v>
      </c>
      <c r="G50" s="58" t="s">
        <v>654</v>
      </c>
      <c r="H50" s="60" t="s">
        <v>655</v>
      </c>
      <c r="I50" s="60">
        <v>114.17489070000001</v>
      </c>
      <c r="J50" s="60">
        <v>22.278004509999999</v>
      </c>
      <c r="K50" s="61">
        <v>3.7</v>
      </c>
      <c r="L50" s="60" t="s">
        <v>126</v>
      </c>
      <c r="M50" s="61">
        <v>47</v>
      </c>
      <c r="N50" s="60" t="s">
        <v>115</v>
      </c>
      <c r="O50" s="61">
        <v>43.3</v>
      </c>
      <c r="P50" s="62"/>
      <c r="Q50" s="43" t="b">
        <v>0</v>
      </c>
      <c r="R50" s="43" t="b">
        <v>0</v>
      </c>
      <c r="S50" s="43" t="b">
        <v>0</v>
      </c>
      <c r="T50" s="63" t="b">
        <f ca="1">AND(U50&lt;&gt;"",OR(U50&gt;(VLOOKUP(B50,E_analysis!$A$2:$K$36,5,FALSE)+2*VLOOKUP(B50,E_analysis!$A$2:$K$36,6,FALSE)),U50&lt;(VLOOKUP(B50,E_analysis!$A$2:$K$36,5,FALSE)-2*VLOOKUP(B50,E_analysis!$A$2:$K$36,6,FALSE))))</f>
        <v>0</v>
      </c>
      <c r="U50" s="68">
        <f>IFERROR(VLOOKUP($F50,NE_bmis!$A:$K,6,FALSE),"")</f>
        <v>14</v>
      </c>
      <c r="V50" s="60">
        <f>IFERROR(VLOOKUP($F50,NE_bmis!$A:$K,7,FALSE),"")</f>
        <v>0</v>
      </c>
      <c r="W50" s="59">
        <f>IFERROR(VLOOKUP($F50,NE_bmis!$A:$K,8,FALSE),"")</f>
        <v>37</v>
      </c>
      <c r="X50" s="60">
        <f>IFERROR(VLOOKUP($F50,NE_bmis!$A:$K,9,FALSE),"")</f>
        <v>1967</v>
      </c>
      <c r="Y50" s="60" t="str">
        <f>IFERROR(VLOOKUP($F50,NE_bmis!$A:$K,11,FALSE),"")</f>
        <v>BMIS_auto</v>
      </c>
      <c r="Z50" s="66" t="s">
        <v>1920</v>
      </c>
    </row>
    <row r="51" spans="1:26" ht="15.75" customHeight="1">
      <c r="A51" s="56" t="str">
        <f t="shared" si="0"/>
        <v>E12NE</v>
      </c>
      <c r="B51" s="58">
        <v>12</v>
      </c>
      <c r="C51" s="58" t="s">
        <v>110</v>
      </c>
      <c r="D51" s="59">
        <f t="shared" si="1"/>
        <v>2600</v>
      </c>
      <c r="E51" s="60" t="s">
        <v>656</v>
      </c>
      <c r="F51" s="60">
        <v>1103128615</v>
      </c>
      <c r="G51" s="58" t="s">
        <v>657</v>
      </c>
      <c r="H51" s="60" t="s">
        <v>658</v>
      </c>
      <c r="I51" s="60">
        <v>114.1768876</v>
      </c>
      <c r="J51" s="60">
        <v>22.27763002</v>
      </c>
      <c r="K51" s="61">
        <v>17</v>
      </c>
      <c r="L51" s="60" t="s">
        <v>115</v>
      </c>
      <c r="M51" s="61">
        <v>105.7</v>
      </c>
      <c r="N51" s="60">
        <v>3</v>
      </c>
      <c r="O51" s="61">
        <v>88.7</v>
      </c>
      <c r="P51" s="62"/>
      <c r="Q51" s="43" t="b">
        <v>0</v>
      </c>
      <c r="R51" s="43" t="b">
        <v>0</v>
      </c>
      <c r="S51" s="43" t="b">
        <v>0</v>
      </c>
      <c r="T51" s="63" t="b">
        <f ca="1">AND(U51&lt;&gt;"",OR(U51&gt;(VLOOKUP(B51,E_analysis!$A$2:$K$36,5,FALSE)+2*VLOOKUP(B51,E_analysis!$A$2:$K$36,6,FALSE)),U51&lt;(VLOOKUP(B51,E_analysis!$A$2:$K$36,5,FALSE)-2*VLOOKUP(B51,E_analysis!$A$2:$K$36,6,FALSE))))</f>
        <v>0</v>
      </c>
      <c r="U51" s="68">
        <f>IFERROR(VLOOKUP($F51,NE_bmis!$A:$K,6,FALSE),"")</f>
        <v>30</v>
      </c>
      <c r="V51" s="60">
        <f>IFERROR(VLOOKUP($F51,NE_bmis!$A:$K,7,FALSE),"")</f>
        <v>0</v>
      </c>
      <c r="W51" s="59">
        <f>IFERROR(VLOOKUP($F51,NE_bmis!$A:$K,8,FALSE),"")</f>
        <v>40</v>
      </c>
      <c r="X51" s="60">
        <f>IFERROR(VLOOKUP($F51,NE_bmis!$A:$K,9,FALSE),"")</f>
        <v>1994</v>
      </c>
      <c r="Y51" s="60" t="str">
        <f>IFERROR(VLOOKUP($F51,NE_bmis!$A:$K,11,FALSE),"")</f>
        <v>BMIS_auto</v>
      </c>
      <c r="Z51" s="66" t="s">
        <v>1934</v>
      </c>
    </row>
    <row r="52" spans="1:26" ht="15.75" customHeight="1">
      <c r="A52" s="56" t="str">
        <f t="shared" si="0"/>
        <v>E12SE</v>
      </c>
      <c r="B52" s="58">
        <v>12</v>
      </c>
      <c r="C52" s="58" t="s">
        <v>116</v>
      </c>
      <c r="D52" s="59">
        <f t="shared" si="1"/>
        <v>2600</v>
      </c>
      <c r="E52" s="60" t="s">
        <v>659</v>
      </c>
      <c r="F52" s="60">
        <v>1103128646</v>
      </c>
      <c r="G52" s="58" t="s">
        <v>660</v>
      </c>
      <c r="H52" s="60" t="s">
        <v>661</v>
      </c>
      <c r="I52" s="60">
        <v>114.1762751</v>
      </c>
      <c r="J52" s="60">
        <v>22.2777396</v>
      </c>
      <c r="K52" s="61">
        <v>19</v>
      </c>
      <c r="L52" s="60" t="s">
        <v>115</v>
      </c>
      <c r="M52" s="61">
        <v>72.5</v>
      </c>
      <c r="N52" s="60">
        <v>3</v>
      </c>
      <c r="O52" s="61">
        <v>53.5</v>
      </c>
      <c r="P52" s="69"/>
      <c r="Q52" s="43" t="b">
        <v>0</v>
      </c>
      <c r="R52" s="43" t="b">
        <v>0</v>
      </c>
      <c r="S52" s="43" t="b">
        <v>0</v>
      </c>
      <c r="T52" s="63" t="b">
        <f ca="1">AND(U52&lt;&gt;"",OR(U52&gt;(VLOOKUP(B52,E_analysis!$A$2:$K$36,5,FALSE)+2*VLOOKUP(B52,E_analysis!$A$2:$K$36,6,FALSE)),U52&lt;(VLOOKUP(B52,E_analysis!$A$2:$K$36,5,FALSE)-2*VLOOKUP(B52,E_analysis!$A$2:$K$36,6,FALSE))))</f>
        <v>0</v>
      </c>
      <c r="U52" s="68">
        <v>21</v>
      </c>
      <c r="V52" s="65">
        <v>0</v>
      </c>
      <c r="W52" s="66">
        <v>21</v>
      </c>
      <c r="X52" s="65">
        <v>1975</v>
      </c>
      <c r="Y52" s="60" t="s">
        <v>173</v>
      </c>
      <c r="Z52" s="66" t="s">
        <v>1936</v>
      </c>
    </row>
    <row r="53" spans="1:26" ht="20.25" customHeight="1">
      <c r="A53" s="56" t="str">
        <f t="shared" si="0"/>
        <v>E12SW</v>
      </c>
      <c r="B53" s="58">
        <v>12</v>
      </c>
      <c r="C53" s="58" t="s">
        <v>121</v>
      </c>
      <c r="D53" s="59">
        <f t="shared" si="1"/>
        <v>2600</v>
      </c>
      <c r="E53" s="60" t="s">
        <v>662</v>
      </c>
      <c r="F53" s="60">
        <v>1103128311</v>
      </c>
      <c r="G53" s="58" t="s">
        <v>663</v>
      </c>
      <c r="H53" s="60" t="s">
        <v>664</v>
      </c>
      <c r="I53" s="60">
        <v>114.1764179</v>
      </c>
      <c r="J53" s="60">
        <v>22.278167570000001</v>
      </c>
      <c r="K53" s="61">
        <v>3.5</v>
      </c>
      <c r="L53" s="60" t="s">
        <v>126</v>
      </c>
      <c r="M53" s="61">
        <v>54.3</v>
      </c>
      <c r="N53" s="60" t="s">
        <v>115</v>
      </c>
      <c r="O53" s="61">
        <v>50.8</v>
      </c>
      <c r="P53" s="62"/>
      <c r="Q53" s="43" t="b">
        <v>0</v>
      </c>
      <c r="R53" s="43" t="b">
        <v>0</v>
      </c>
      <c r="S53" s="43" t="b">
        <v>0</v>
      </c>
      <c r="T53" s="63" t="b">
        <f ca="1">AND(U53&lt;&gt;"",OR(U53&gt;(VLOOKUP(B53,E_analysis!$A$2:$K$36,5,FALSE)+2*VLOOKUP(B53,E_analysis!$A$2:$K$36,6,FALSE)),U53&lt;(VLOOKUP(B53,E_analysis!$A$2:$K$36,5,FALSE)-2*VLOOKUP(B53,E_analysis!$A$2:$K$36,6,FALSE))))</f>
        <v>0</v>
      </c>
      <c r="U53" s="68">
        <f>IFERROR(VLOOKUP($F53,NE_bmis!$A:$K,6,FALSE),"")</f>
        <v>22</v>
      </c>
      <c r="V53" s="60">
        <f>IFERROR(VLOOKUP($F53,NE_bmis!$A:$K,7,FALSE),"")</f>
        <v>0</v>
      </c>
      <c r="W53" s="59">
        <f>IFERROR(VLOOKUP($F53,NE_bmis!$A:$K,8,FALSE),"")</f>
        <v>104</v>
      </c>
      <c r="X53" s="60">
        <f>IFERROR(VLOOKUP($F53,NE_bmis!$A:$K,9,FALSE),"")</f>
        <v>1977</v>
      </c>
      <c r="Y53" s="60" t="str">
        <f>IFERROR(VLOOKUP($F53,NE_bmis!$A:$K,11,FALSE),"")</f>
        <v>BMIS_auto</v>
      </c>
      <c r="Z53" s="66" t="s">
        <v>1938</v>
      </c>
    </row>
    <row r="54" spans="1:26" ht="15.75" customHeight="1">
      <c r="A54" s="56" t="str">
        <f t="shared" si="0"/>
        <v>E12NW</v>
      </c>
      <c r="B54" s="58">
        <v>12</v>
      </c>
      <c r="C54" s="58" t="s">
        <v>127</v>
      </c>
      <c r="D54" s="59">
        <f t="shared" si="1"/>
        <v>2600</v>
      </c>
      <c r="E54" s="60" t="s">
        <v>665</v>
      </c>
      <c r="F54" s="60">
        <v>1103128259</v>
      </c>
      <c r="G54" s="58" t="s">
        <v>666</v>
      </c>
      <c r="H54" s="60" t="s">
        <v>667</v>
      </c>
      <c r="I54" s="60">
        <v>114.17697699999999</v>
      </c>
      <c r="J54" s="60">
        <v>22.2782281</v>
      </c>
      <c r="K54" s="61">
        <v>3.6</v>
      </c>
      <c r="L54" s="60" t="s">
        <v>126</v>
      </c>
      <c r="M54" s="61">
        <v>58.7</v>
      </c>
      <c r="N54" s="60" t="s">
        <v>115</v>
      </c>
      <c r="O54" s="61">
        <v>55.1</v>
      </c>
      <c r="P54" s="62"/>
      <c r="Q54" s="43" t="b">
        <v>0</v>
      </c>
      <c r="R54" s="43" t="b">
        <v>0</v>
      </c>
      <c r="S54" s="43" t="b">
        <v>0</v>
      </c>
      <c r="T54" s="63" t="b">
        <f ca="1">AND(U54&lt;&gt;"",OR(U54&gt;(VLOOKUP(B54,E_analysis!$A$2:$K$36,5,FALSE)+2*VLOOKUP(B54,E_analysis!$A$2:$K$36,6,FALSE)),U54&lt;(VLOOKUP(B54,E_analysis!$A$2:$K$36,5,FALSE)-2*VLOOKUP(B54,E_analysis!$A$2:$K$36,6,FALSE))))</f>
        <v>0</v>
      </c>
      <c r="U54" s="68">
        <f>IFERROR(VLOOKUP($F54,NE_bmis!$A:$K,6,FALSE),"")</f>
        <v>17</v>
      </c>
      <c r="V54" s="60">
        <f>IFERROR(VLOOKUP($F54,NE_bmis!$A:$K,7,FALSE),"")</f>
        <v>0</v>
      </c>
      <c r="W54" s="59">
        <f>IFERROR(VLOOKUP($F54,NE_bmis!$A:$K,8,FALSE),"")</f>
        <v>72</v>
      </c>
      <c r="X54" s="60">
        <f>IFERROR(VLOOKUP($F54,NE_bmis!$A:$K,9,FALSE),"")</f>
        <v>1964</v>
      </c>
      <c r="Y54" s="60" t="str">
        <f>IFERROR(VLOOKUP($F54,NE_bmis!$A:$K,11,FALSE),"")</f>
        <v>BMIS_auto</v>
      </c>
      <c r="Z54" s="66" t="s">
        <v>1940</v>
      </c>
    </row>
    <row r="55" spans="1:26" ht="15.75" customHeight="1">
      <c r="A55" s="56" t="str">
        <f t="shared" si="0"/>
        <v>E13NE</v>
      </c>
      <c r="B55" s="58">
        <v>13</v>
      </c>
      <c r="C55" s="58" t="s">
        <v>110</v>
      </c>
      <c r="D55" s="59">
        <f t="shared" si="1"/>
        <v>2800</v>
      </c>
      <c r="E55" s="60" t="s">
        <v>668</v>
      </c>
      <c r="F55" s="60">
        <v>1103128154</v>
      </c>
      <c r="G55" s="58" t="s">
        <v>669</v>
      </c>
      <c r="H55" s="60" t="s">
        <v>670</v>
      </c>
      <c r="I55" s="60">
        <v>114.1789903</v>
      </c>
      <c r="J55" s="60">
        <v>22.27833304</v>
      </c>
      <c r="K55" s="61">
        <v>3.8</v>
      </c>
      <c r="L55" s="60" t="s">
        <v>126</v>
      </c>
      <c r="M55" s="61">
        <v>57</v>
      </c>
      <c r="N55" s="60" t="s">
        <v>115</v>
      </c>
      <c r="O55" s="61">
        <v>53.2</v>
      </c>
      <c r="P55" s="62"/>
      <c r="Q55" s="43" t="b">
        <v>0</v>
      </c>
      <c r="R55" s="43" t="b">
        <v>0</v>
      </c>
      <c r="S55" s="43" t="b">
        <v>0</v>
      </c>
      <c r="T55" s="63" t="b">
        <f ca="1">AND(U55&lt;&gt;"",OR(U55&gt;(VLOOKUP(B55,E_analysis!$A$2:$K$36,5,FALSE)+2*VLOOKUP(B55,E_analysis!$A$2:$K$36,6,FALSE)),U55&lt;(VLOOKUP(B55,E_analysis!$A$2:$K$36,5,FALSE)-2*VLOOKUP(B55,E_analysis!$A$2:$K$36,6,FALSE))))</f>
        <v>0</v>
      </c>
      <c r="U55" s="68">
        <f>IFERROR(VLOOKUP($F55,NE_bmis!$A:$K,6,FALSE),"")</f>
        <v>16</v>
      </c>
      <c r="V55" s="60">
        <f>IFERROR(VLOOKUP($F55,NE_bmis!$A:$K,7,FALSE),"")</f>
        <v>0</v>
      </c>
      <c r="W55" s="59">
        <f>IFERROR(VLOOKUP($F55,NE_bmis!$A:$K,8,FALSE),"")</f>
        <v>16</v>
      </c>
      <c r="X55" s="60">
        <f>IFERROR(VLOOKUP($F55,NE_bmis!$A:$K,9,FALSE),"")</f>
        <v>1962</v>
      </c>
      <c r="Y55" s="60" t="str">
        <f>IFERROR(VLOOKUP($F55,NE_bmis!$A:$K,11,FALSE),"")</f>
        <v>BMIS_auto</v>
      </c>
      <c r="Z55" s="66" t="s">
        <v>1954</v>
      </c>
    </row>
    <row r="56" spans="1:26" ht="15.75" customHeight="1">
      <c r="A56" s="56" t="str">
        <f t="shared" si="0"/>
        <v>E13SE</v>
      </c>
      <c r="B56" s="58">
        <v>13</v>
      </c>
      <c r="C56" s="58" t="s">
        <v>116</v>
      </c>
      <c r="D56" s="59">
        <f t="shared" si="1"/>
        <v>2800</v>
      </c>
      <c r="E56" s="60" t="s">
        <v>671</v>
      </c>
      <c r="F56" s="60">
        <v>1103128290</v>
      </c>
      <c r="G56" s="58" t="s">
        <v>672</v>
      </c>
      <c r="H56" s="60"/>
      <c r="I56" s="60">
        <v>114.1783751</v>
      </c>
      <c r="J56" s="60">
        <v>22.278154170000001</v>
      </c>
      <c r="K56" s="61">
        <v>19.8</v>
      </c>
      <c r="L56" s="60" t="s">
        <v>115</v>
      </c>
      <c r="M56" s="61">
        <v>94.2</v>
      </c>
      <c r="N56" s="60">
        <v>3</v>
      </c>
      <c r="O56" s="61">
        <v>74.400000000000006</v>
      </c>
      <c r="P56" s="62"/>
      <c r="Q56" s="43" t="b">
        <v>0</v>
      </c>
      <c r="R56" s="43" t="b">
        <v>0</v>
      </c>
      <c r="S56" s="43" t="b">
        <v>0</v>
      </c>
      <c r="T56" s="63" t="b">
        <f ca="1">AND(U56&lt;&gt;"",OR(U56&gt;(VLOOKUP(B56,E_analysis!$A$2:$K$36,5,FALSE)+2*VLOOKUP(B56,E_analysis!$A$2:$K$36,6,FALSE)),U56&lt;(VLOOKUP(B56,E_analysis!$A$2:$K$36,5,FALSE)-2*VLOOKUP(B56,E_analysis!$A$2:$K$36,6,FALSE))))</f>
        <v>0</v>
      </c>
      <c r="U56" s="68">
        <f>IFERROR(VLOOKUP($F56,NE_bmis!$A:$K,6,FALSE),"")</f>
        <v>23</v>
      </c>
      <c r="V56" s="60">
        <f>IFERROR(VLOOKUP($F56,NE_bmis!$A:$K,7,FALSE),"")</f>
        <v>0</v>
      </c>
      <c r="W56" s="59">
        <f>IFERROR(VLOOKUP($F56,NE_bmis!$A:$K,8,FALSE),"")</f>
        <v>23</v>
      </c>
      <c r="X56" s="60">
        <f>IFERROR(VLOOKUP($F56,NE_bmis!$A:$K,9,FALSE),"")</f>
        <v>1978</v>
      </c>
      <c r="Y56" s="60" t="str">
        <f>IFERROR(VLOOKUP($F56,NE_bmis!$A:$K,11,FALSE),"")</f>
        <v>BMIS_auto</v>
      </c>
      <c r="Z56" s="66" t="s">
        <v>1956</v>
      </c>
    </row>
    <row r="57" spans="1:26" ht="15.75" customHeight="1">
      <c r="A57" s="56" t="str">
        <f t="shared" si="0"/>
        <v>E13SW</v>
      </c>
      <c r="B57" s="58">
        <v>13</v>
      </c>
      <c r="C57" s="58" t="s">
        <v>121</v>
      </c>
      <c r="D57" s="59">
        <f t="shared" si="1"/>
        <v>2800</v>
      </c>
      <c r="E57" s="60" t="s">
        <v>673</v>
      </c>
      <c r="F57" s="60">
        <v>1109346356</v>
      </c>
      <c r="G57" s="58" t="s">
        <v>674</v>
      </c>
      <c r="H57" s="60" t="s">
        <v>675</v>
      </c>
      <c r="I57" s="60">
        <v>114.17838209999999</v>
      </c>
      <c r="J57" s="60">
        <v>22.278622259999999</v>
      </c>
      <c r="K57" s="61">
        <v>3.8</v>
      </c>
      <c r="L57" s="60" t="s">
        <v>126</v>
      </c>
      <c r="M57" s="61">
        <v>42.8</v>
      </c>
      <c r="N57" s="60" t="s">
        <v>315</v>
      </c>
      <c r="O57" s="61">
        <v>39</v>
      </c>
      <c r="P57" s="62"/>
      <c r="Q57" s="43" t="b">
        <v>0</v>
      </c>
      <c r="R57" s="43" t="b">
        <v>0</v>
      </c>
      <c r="S57" s="43" t="b">
        <v>0</v>
      </c>
      <c r="T57" s="63" t="b">
        <f ca="1">AND(U57&lt;&gt;"",OR(U57&gt;(VLOOKUP(B57,E_analysis!$A$2:$K$36,5,FALSE)+2*VLOOKUP(B57,E_analysis!$A$2:$K$36,6,FALSE)),U57&lt;(VLOOKUP(B57,E_analysis!$A$2:$K$36,5,FALSE)-2*VLOOKUP(B57,E_analysis!$A$2:$K$36,6,FALSE))))</f>
        <v>0</v>
      </c>
      <c r="U57" s="68">
        <f>IFERROR(VLOOKUP($F57,NE_bmis!$A:$K,6,FALSE),"")</f>
        <v>12</v>
      </c>
      <c r="V57" s="60">
        <f>IFERROR(VLOOKUP($F57,NE_bmis!$A:$K,7,FALSE),"")</f>
        <v>0</v>
      </c>
      <c r="W57" s="59">
        <f>IFERROR(VLOOKUP($F57,NE_bmis!$A:$K,8,FALSE),"")</f>
        <v>39</v>
      </c>
      <c r="X57" s="60">
        <f>IFERROR(VLOOKUP($F57,NE_bmis!$A:$K,9,FALSE),"")</f>
        <v>1965</v>
      </c>
      <c r="Y57" s="60" t="str">
        <f>IFERROR(VLOOKUP($F57,NE_bmis!$A:$K,11,FALSE),"")</f>
        <v>BMIS_auto</v>
      </c>
      <c r="Z57" s="66" t="s">
        <v>1958</v>
      </c>
    </row>
    <row r="58" spans="1:26" ht="15.75" customHeight="1">
      <c r="A58" s="56" t="str">
        <f t="shared" si="0"/>
        <v>E13NW</v>
      </c>
      <c r="B58" s="58">
        <v>13</v>
      </c>
      <c r="C58" s="58" t="s">
        <v>127</v>
      </c>
      <c r="D58" s="59">
        <f t="shared" si="1"/>
        <v>2800</v>
      </c>
      <c r="E58" s="60" t="s">
        <v>676</v>
      </c>
      <c r="F58" s="60">
        <v>1109346361</v>
      </c>
      <c r="G58" s="58" t="s">
        <v>677</v>
      </c>
      <c r="H58" s="60" t="s">
        <v>678</v>
      </c>
      <c r="I58" s="60">
        <v>114.17879360000001</v>
      </c>
      <c r="J58" s="60">
        <v>22.27874315</v>
      </c>
      <c r="K58" s="61">
        <v>3.8</v>
      </c>
      <c r="L58" s="60" t="s">
        <v>126</v>
      </c>
      <c r="M58" s="61">
        <v>44.2</v>
      </c>
      <c r="N58" s="60" t="s">
        <v>115</v>
      </c>
      <c r="O58" s="61">
        <v>40.4</v>
      </c>
      <c r="P58" s="62"/>
      <c r="Q58" s="43" t="b">
        <v>0</v>
      </c>
      <c r="R58" s="43" t="b">
        <v>0</v>
      </c>
      <c r="S58" s="43" t="b">
        <v>0</v>
      </c>
      <c r="T58" s="63" t="b">
        <f ca="1">AND(U58&lt;&gt;"",OR(U58&gt;(VLOOKUP(B58,E_analysis!$A$2:$K$36,5,FALSE)+2*VLOOKUP(B58,E_analysis!$A$2:$K$36,6,FALSE)),U58&lt;(VLOOKUP(B58,E_analysis!$A$2:$K$36,5,FALSE)-2*VLOOKUP(B58,E_analysis!$A$2:$K$36,6,FALSE))))</f>
        <v>0</v>
      </c>
      <c r="U58" s="68">
        <f>IFERROR(VLOOKUP($F58,NE_bmis!$A:$K,6,FALSE),"")</f>
        <v>12</v>
      </c>
      <c r="V58" s="60">
        <f>IFERROR(VLOOKUP($F58,NE_bmis!$A:$K,7,FALSE),"")</f>
        <v>0</v>
      </c>
      <c r="W58" s="59">
        <f>IFERROR(VLOOKUP($F58,NE_bmis!$A:$K,8,FALSE),"")</f>
        <v>22</v>
      </c>
      <c r="X58" s="60">
        <f>IFERROR(VLOOKUP($F58,NE_bmis!$A:$K,9,FALSE),"")</f>
        <v>1967</v>
      </c>
      <c r="Y58" s="60" t="str">
        <f>IFERROR(VLOOKUP($F58,NE_bmis!$A:$K,11,FALSE),"")</f>
        <v>BMIS_auto</v>
      </c>
      <c r="Z58" s="66" t="s">
        <v>1960</v>
      </c>
    </row>
    <row r="59" spans="1:26" ht="15.75" customHeight="1">
      <c r="A59" s="56" t="str">
        <f t="shared" si="0"/>
        <v>E14NE</v>
      </c>
      <c r="B59" s="58">
        <v>14</v>
      </c>
      <c r="C59" s="58" t="s">
        <v>110</v>
      </c>
      <c r="D59" s="59">
        <f t="shared" si="1"/>
        <v>3000</v>
      </c>
      <c r="E59" s="60" t="s">
        <v>679</v>
      </c>
      <c r="F59" s="60">
        <v>1103127632</v>
      </c>
      <c r="G59" s="58" t="s">
        <v>680</v>
      </c>
      <c r="H59" s="60" t="s">
        <v>681</v>
      </c>
      <c r="I59" s="60">
        <v>114.18090410000001</v>
      </c>
      <c r="J59" s="60">
        <v>22.279020289999998</v>
      </c>
      <c r="K59" s="61">
        <v>3.8</v>
      </c>
      <c r="L59" s="60" t="s">
        <v>126</v>
      </c>
      <c r="M59" s="61">
        <v>57.8</v>
      </c>
      <c r="N59" s="60" t="s">
        <v>115</v>
      </c>
      <c r="O59" s="61">
        <v>54</v>
      </c>
      <c r="P59" s="62"/>
      <c r="Q59" s="43" t="b">
        <v>0</v>
      </c>
      <c r="R59" s="43" t="b">
        <v>0</v>
      </c>
      <c r="S59" s="43" t="b">
        <v>0</v>
      </c>
      <c r="T59" s="63" t="b">
        <f ca="1">AND(U59&lt;&gt;"",OR(U59&gt;(VLOOKUP(B59,E_analysis!$A$2:$K$36,5,FALSE)+2*VLOOKUP(B59,E_analysis!$A$2:$K$36,6,FALSE)),U59&lt;(VLOOKUP(B59,E_analysis!$A$2:$K$36,5,FALSE)-2*VLOOKUP(B59,E_analysis!$A$2:$K$36,6,FALSE))))</f>
        <v>0</v>
      </c>
      <c r="U59" s="68">
        <f>IFERROR(VLOOKUP($F59,NE_bmis!$A:$K,6,FALSE),"")</f>
        <v>16</v>
      </c>
      <c r="V59" s="60">
        <f>IFERROR(VLOOKUP($F59,NE_bmis!$A:$K,7,FALSE),"")</f>
        <v>0</v>
      </c>
      <c r="W59" s="59">
        <f>IFERROR(VLOOKUP($F59,NE_bmis!$A:$K,8,FALSE),"")</f>
        <v>105</v>
      </c>
      <c r="X59" s="60">
        <f>IFERROR(VLOOKUP($F59,NE_bmis!$A:$K,9,FALSE),"")</f>
        <v>1970</v>
      </c>
      <c r="Y59" s="60" t="str">
        <f>IFERROR(VLOOKUP($F59,NE_bmis!$A:$K,11,FALSE),"")</f>
        <v>BMIS_auto</v>
      </c>
      <c r="Z59" s="66" t="s">
        <v>1974</v>
      </c>
    </row>
    <row r="60" spans="1:26" ht="15.75" customHeight="1">
      <c r="A60" s="56" t="str">
        <f t="shared" si="0"/>
        <v>E14SE</v>
      </c>
      <c r="B60" s="58">
        <v>14</v>
      </c>
      <c r="C60" s="58" t="s">
        <v>116</v>
      </c>
      <c r="D60" s="59">
        <f t="shared" si="1"/>
        <v>3000</v>
      </c>
      <c r="E60" s="60" t="s">
        <v>682</v>
      </c>
      <c r="F60" s="60">
        <v>1103127766</v>
      </c>
      <c r="G60" s="58" t="s">
        <v>683</v>
      </c>
      <c r="H60" s="60" t="s">
        <v>684</v>
      </c>
      <c r="I60" s="60">
        <v>114.1804109</v>
      </c>
      <c r="J60" s="60">
        <v>22.278843949999999</v>
      </c>
      <c r="K60" s="61">
        <v>16.399999999999999</v>
      </c>
      <c r="L60" s="60" t="s">
        <v>115</v>
      </c>
      <c r="M60" s="61">
        <v>78.3</v>
      </c>
      <c r="N60" s="60" t="s">
        <v>115</v>
      </c>
      <c r="O60" s="61">
        <v>61.9</v>
      </c>
      <c r="P60" s="67"/>
      <c r="Q60" s="43" t="b">
        <v>0</v>
      </c>
      <c r="R60" s="43" t="b">
        <v>0</v>
      </c>
      <c r="S60" s="43" t="b">
        <v>0</v>
      </c>
      <c r="T60" s="63" t="b">
        <f ca="1">AND(U60&lt;&gt;"",OR(U60&gt;(VLOOKUP(B60,E_analysis!$A$2:$K$36,5,FALSE)+2*VLOOKUP(B60,E_analysis!$A$2:$K$36,6,FALSE)),U60&lt;(VLOOKUP(B60,E_analysis!$A$2:$K$36,5,FALSE)-2*VLOOKUP(B60,E_analysis!$A$2:$K$36,6,FALSE))))</f>
        <v>0</v>
      </c>
      <c r="U60" s="68">
        <f>IFERROR(VLOOKUP($F60,NE_bmis!$A:$K,6,FALSE),"")</f>
        <v>23</v>
      </c>
      <c r="V60" s="60">
        <f>IFERROR(VLOOKUP($F60,NE_bmis!$A:$K,7,FALSE),"")</f>
        <v>0</v>
      </c>
      <c r="W60" s="59">
        <f>IFERROR(VLOOKUP($F60,NE_bmis!$A:$K,8,FALSE),"")</f>
        <v>180</v>
      </c>
      <c r="X60" s="60">
        <f>IFERROR(VLOOKUP($F60,NE_bmis!$A:$K,9,FALSE),"")</f>
        <v>1977</v>
      </c>
      <c r="Y60" s="60" t="str">
        <f>IFERROR(VLOOKUP($F60,NE_bmis!$A:$K,11,FALSE),"")</f>
        <v>BMIS_auto</v>
      </c>
      <c r="Z60" s="66" t="s">
        <v>1976</v>
      </c>
    </row>
    <row r="61" spans="1:26" ht="15.75" customHeight="1">
      <c r="A61" s="56" t="str">
        <f t="shared" si="0"/>
        <v>E14SW</v>
      </c>
      <c r="B61" s="58">
        <v>14</v>
      </c>
      <c r="C61" s="58" t="s">
        <v>121</v>
      </c>
      <c r="D61" s="59">
        <f t="shared" si="1"/>
        <v>3000</v>
      </c>
      <c r="E61" s="60" t="s">
        <v>685</v>
      </c>
      <c r="F61" s="60">
        <v>1103127526</v>
      </c>
      <c r="G61" s="58" t="s">
        <v>686</v>
      </c>
      <c r="H61" s="60" t="s">
        <v>687</v>
      </c>
      <c r="I61" s="60">
        <v>114.1800882</v>
      </c>
      <c r="J61" s="60">
        <v>22.279181059999999</v>
      </c>
      <c r="K61" s="61">
        <v>3.4</v>
      </c>
      <c r="L61" s="60" t="s">
        <v>126</v>
      </c>
      <c r="M61" s="61">
        <v>62.1</v>
      </c>
      <c r="N61" s="60" t="s">
        <v>115</v>
      </c>
      <c r="O61" s="61">
        <v>58.7</v>
      </c>
      <c r="P61" s="62"/>
      <c r="Q61" s="43" t="b">
        <v>0</v>
      </c>
      <c r="R61" s="43" t="b">
        <v>0</v>
      </c>
      <c r="S61" s="43" t="b">
        <v>0</v>
      </c>
      <c r="T61" s="63" t="b">
        <f ca="1">AND(U61&lt;&gt;"",OR(U61&gt;(VLOOKUP(B61,E_analysis!$A$2:$K$36,5,FALSE)+2*VLOOKUP(B61,E_analysis!$A$2:$K$36,6,FALSE)),U61&lt;(VLOOKUP(B61,E_analysis!$A$2:$K$36,5,FALSE)-2*VLOOKUP(B61,E_analysis!$A$2:$K$36,6,FALSE))))</f>
        <v>0</v>
      </c>
      <c r="U61" s="68">
        <f>IFERROR(VLOOKUP($F61,NE_bmis!$A:$K,6,FALSE),"")</f>
        <v>19</v>
      </c>
      <c r="V61" s="60">
        <f>IFERROR(VLOOKUP($F61,NE_bmis!$A:$K,7,FALSE),"")</f>
        <v>0</v>
      </c>
      <c r="W61" s="59">
        <f>IFERROR(VLOOKUP($F61,NE_bmis!$A:$K,8,FALSE),"")</f>
        <v>65</v>
      </c>
      <c r="X61" s="60">
        <f>IFERROR(VLOOKUP($F61,NE_bmis!$A:$K,9,FALSE),"")</f>
        <v>1971</v>
      </c>
      <c r="Y61" s="60" t="str">
        <f>IFERROR(VLOOKUP($F61,NE_bmis!$A:$K,11,FALSE),"")</f>
        <v>BMIS_auto</v>
      </c>
      <c r="Z61" s="66" t="s">
        <v>1978</v>
      </c>
    </row>
    <row r="62" spans="1:26" ht="15.75" customHeight="1">
      <c r="A62" s="56" t="str">
        <f t="shared" si="0"/>
        <v>E14NW</v>
      </c>
      <c r="B62" s="58">
        <v>14</v>
      </c>
      <c r="C62" s="58" t="s">
        <v>127</v>
      </c>
      <c r="D62" s="59">
        <f t="shared" si="1"/>
        <v>3000</v>
      </c>
      <c r="E62" s="60" t="s">
        <v>688</v>
      </c>
      <c r="F62" s="60">
        <v>1103127403</v>
      </c>
      <c r="G62" s="58" t="s">
        <v>689</v>
      </c>
      <c r="H62" s="60" t="s">
        <v>690</v>
      </c>
      <c r="I62" s="60">
        <v>114.180616</v>
      </c>
      <c r="J62" s="60">
        <v>22.279378439999999</v>
      </c>
      <c r="K62" s="61">
        <v>3.4</v>
      </c>
      <c r="L62" s="60" t="s">
        <v>126</v>
      </c>
      <c r="M62" s="61">
        <v>80.2</v>
      </c>
      <c r="N62" s="60" t="s">
        <v>115</v>
      </c>
      <c r="O62" s="61">
        <v>76.8</v>
      </c>
      <c r="P62" s="62"/>
      <c r="Q62" s="43" t="b">
        <v>0</v>
      </c>
      <c r="R62" s="43" t="b">
        <v>0</v>
      </c>
      <c r="S62" s="43" t="b">
        <v>0</v>
      </c>
      <c r="T62" s="63" t="b">
        <f ca="1">AND(U62&lt;&gt;"",OR(U62&gt;(VLOOKUP(B62,E_analysis!$A$2:$K$36,5,FALSE)+2*VLOOKUP(B62,E_analysis!$A$2:$K$36,6,FALSE)),U62&lt;(VLOOKUP(B62,E_analysis!$A$2:$K$36,5,FALSE)-2*VLOOKUP(B62,E_analysis!$A$2:$K$36,6,FALSE))))</f>
        <v>0</v>
      </c>
      <c r="U62" s="68">
        <f>IFERROR(VLOOKUP($F62,NE_bmis!$A:$K,6,FALSE),"")</f>
        <v>23</v>
      </c>
      <c r="V62" s="60">
        <f>IFERROR(VLOOKUP($F62,NE_bmis!$A:$K,7,FALSE),"")</f>
        <v>0</v>
      </c>
      <c r="W62" s="59">
        <f>IFERROR(VLOOKUP($F62,NE_bmis!$A:$K,8,FALSE),"")</f>
        <v>56</v>
      </c>
      <c r="X62" s="60">
        <f>IFERROR(VLOOKUP($F62,NE_bmis!$A:$K,9,FALSE),"")</f>
        <v>1983</v>
      </c>
      <c r="Y62" s="60" t="str">
        <f>IFERROR(VLOOKUP($F62,NE_bmis!$A:$K,11,FALSE),"")</f>
        <v>BMIS_auto</v>
      </c>
      <c r="Z62" s="66" t="s">
        <v>1980</v>
      </c>
    </row>
    <row r="63" spans="1:26" ht="15.75" customHeight="1">
      <c r="A63" s="56" t="str">
        <f t="shared" si="0"/>
        <v>E15NE</v>
      </c>
      <c r="B63" s="58">
        <v>15</v>
      </c>
      <c r="C63" s="58" t="s">
        <v>110</v>
      </c>
      <c r="D63" s="59">
        <f t="shared" si="1"/>
        <v>3200</v>
      </c>
      <c r="E63" s="60" t="s">
        <v>691</v>
      </c>
      <c r="F63" s="60">
        <v>1103127238</v>
      </c>
      <c r="G63" s="58" t="s">
        <v>692</v>
      </c>
      <c r="H63" s="60" t="s">
        <v>693</v>
      </c>
      <c r="I63" s="60">
        <v>114.18265220000001</v>
      </c>
      <c r="J63" s="60">
        <v>22.279624330000001</v>
      </c>
      <c r="K63" s="61">
        <v>3.8</v>
      </c>
      <c r="L63" s="60" t="s">
        <v>126</v>
      </c>
      <c r="M63" s="61">
        <v>67.3</v>
      </c>
      <c r="N63" s="60">
        <v>3</v>
      </c>
      <c r="O63" s="61">
        <v>63.5</v>
      </c>
      <c r="P63" s="62"/>
      <c r="Q63" s="43" t="b">
        <v>0</v>
      </c>
      <c r="R63" s="43" t="b">
        <v>0</v>
      </c>
      <c r="S63" s="43" t="b">
        <v>0</v>
      </c>
      <c r="T63" s="63" t="b">
        <f ca="1">AND(U63&lt;&gt;"",OR(U63&gt;(VLOOKUP(B63,E_analysis!$A$2:$K$36,5,FALSE)+2*VLOOKUP(B63,E_analysis!$A$2:$K$36,6,FALSE)),U63&lt;(VLOOKUP(B63,E_analysis!$A$2:$K$36,5,FALSE)-2*VLOOKUP(B63,E_analysis!$A$2:$K$36,6,FALSE))))</f>
        <v>0</v>
      </c>
      <c r="U63" s="68">
        <v>23</v>
      </c>
      <c r="V63" s="65">
        <v>0</v>
      </c>
      <c r="W63" s="66">
        <v>106</v>
      </c>
      <c r="X63" s="65">
        <v>1966</v>
      </c>
      <c r="Y63" s="60" t="s">
        <v>173</v>
      </c>
      <c r="Z63" s="66" t="s">
        <v>1994</v>
      </c>
    </row>
    <row r="64" spans="1:26" ht="15.75" customHeight="1">
      <c r="A64" s="56" t="str">
        <f t="shared" si="0"/>
        <v>E15SE</v>
      </c>
      <c r="B64" s="58">
        <v>15</v>
      </c>
      <c r="C64" s="58" t="s">
        <v>116</v>
      </c>
      <c r="D64" s="59">
        <f t="shared" si="1"/>
        <v>3200</v>
      </c>
      <c r="E64" s="60" t="s">
        <v>694</v>
      </c>
      <c r="F64" s="60">
        <v>1103127322</v>
      </c>
      <c r="G64" s="58" t="s">
        <v>695</v>
      </c>
      <c r="H64" s="60" t="s">
        <v>696</v>
      </c>
      <c r="I64" s="60">
        <v>114.18216219999999</v>
      </c>
      <c r="J64" s="60">
        <v>22.27950105</v>
      </c>
      <c r="K64" s="61">
        <v>3.8</v>
      </c>
      <c r="L64" s="60" t="s">
        <v>126</v>
      </c>
      <c r="M64" s="61">
        <v>74.400000000000006</v>
      </c>
      <c r="N64" s="60" t="s">
        <v>115</v>
      </c>
      <c r="O64" s="61">
        <v>70.599999999999994</v>
      </c>
      <c r="P64" s="62"/>
      <c r="Q64" s="43" t="b">
        <v>0</v>
      </c>
      <c r="R64" s="43" t="b">
        <v>0</v>
      </c>
      <c r="S64" s="43" t="b">
        <v>0</v>
      </c>
      <c r="T64" s="63" t="b">
        <f ca="1">AND(U64&lt;&gt;"",OR(U64&gt;(VLOOKUP(B64,E_analysis!$A$2:$K$36,5,FALSE)+2*VLOOKUP(B64,E_analysis!$A$2:$K$36,6,FALSE)),U64&lt;(VLOOKUP(B64,E_analysis!$A$2:$K$36,5,FALSE)-2*VLOOKUP(B64,E_analysis!$A$2:$K$36,6,FALSE))))</f>
        <v>0</v>
      </c>
      <c r="U64" s="68">
        <f>IFERROR(VLOOKUP($F64,NE_bmis!$A:$K,6,FALSE),"")</f>
        <v>22</v>
      </c>
      <c r="V64" s="60">
        <f>IFERROR(VLOOKUP($F64,NE_bmis!$A:$K,7,FALSE),"")</f>
        <v>0</v>
      </c>
      <c r="W64" s="59">
        <f>IFERROR(VLOOKUP($F64,NE_bmis!$A:$K,8,FALSE),"")</f>
        <v>74</v>
      </c>
      <c r="X64" s="60">
        <f>IFERROR(VLOOKUP($F64,NE_bmis!$A:$K,9,FALSE),"")</f>
        <v>1976</v>
      </c>
      <c r="Y64" s="60" t="str">
        <f>IFERROR(VLOOKUP($F64,NE_bmis!$A:$K,11,FALSE),"")</f>
        <v>BMIS_auto</v>
      </c>
      <c r="Z64" s="66" t="s">
        <v>1996</v>
      </c>
    </row>
    <row r="65" spans="1:26" ht="15.75" customHeight="1">
      <c r="A65" s="56" t="str">
        <f t="shared" si="0"/>
        <v>E15SW</v>
      </c>
      <c r="B65" s="58">
        <v>15</v>
      </c>
      <c r="C65" s="58" t="s">
        <v>121</v>
      </c>
      <c r="D65" s="59">
        <f t="shared" si="1"/>
        <v>3200</v>
      </c>
      <c r="E65" s="60" t="s">
        <v>697</v>
      </c>
      <c r="F65" s="60">
        <v>1103127103</v>
      </c>
      <c r="G65" s="58" t="s">
        <v>698</v>
      </c>
      <c r="H65" s="60"/>
      <c r="I65" s="60">
        <v>114.1820594</v>
      </c>
      <c r="J65" s="60">
        <v>22.27990823</v>
      </c>
      <c r="K65" s="61">
        <v>3.5</v>
      </c>
      <c r="L65" s="60" t="s">
        <v>126</v>
      </c>
      <c r="M65" s="61">
        <v>53.4</v>
      </c>
      <c r="N65" s="60" t="s">
        <v>115</v>
      </c>
      <c r="O65" s="61">
        <v>49.9</v>
      </c>
      <c r="P65" s="72"/>
      <c r="Q65" s="43" t="b">
        <v>0</v>
      </c>
      <c r="R65" s="43" t="b">
        <v>0</v>
      </c>
      <c r="S65" s="43" t="b">
        <v>1</v>
      </c>
      <c r="T65" s="63" t="b">
        <f ca="1">AND(U65&lt;&gt;"",OR(U65&gt;(VLOOKUP(B65,E_analysis!$A$2:$K$36,5,FALSE)+2*VLOOKUP(B65,E_analysis!$A$2:$K$36,6,FALSE)),U65&lt;(VLOOKUP(B65,E_analysis!$A$2:$K$36,5,FALSE)-2*VLOOKUP(B65,E_analysis!$A$2:$K$36,6,FALSE))))</f>
        <v>0</v>
      </c>
      <c r="U65" s="68">
        <f>IFERROR(VLOOKUP($F65,NE_bmis!$A:$K,6,FALSE),"")</f>
        <v>15</v>
      </c>
      <c r="V65" s="60">
        <f>IFERROR(VLOOKUP($F65,NE_bmis!$A:$K,7,FALSE),"")</f>
        <v>0</v>
      </c>
      <c r="W65" s="59">
        <f>IFERROR(VLOOKUP($F65,NE_bmis!$A:$K,8,FALSE),"")</f>
        <v>30</v>
      </c>
      <c r="X65" s="60">
        <f>IFERROR(VLOOKUP($F65,NE_bmis!$A:$K,9,FALSE),"")</f>
        <v>1966</v>
      </c>
      <c r="Y65" s="60" t="str">
        <f>IFERROR(VLOOKUP($F65,NE_bmis!$A:$K,11,FALSE),"")</f>
        <v>BMIS_auto</v>
      </c>
      <c r="Z65" s="66" t="s">
        <v>1998</v>
      </c>
    </row>
    <row r="66" spans="1:26" ht="15.75" customHeight="1">
      <c r="A66" s="56" t="str">
        <f t="shared" si="0"/>
        <v>E15NW</v>
      </c>
      <c r="B66" s="58">
        <v>15</v>
      </c>
      <c r="C66" s="58" t="s">
        <v>127</v>
      </c>
      <c r="D66" s="59">
        <f t="shared" si="1"/>
        <v>3200</v>
      </c>
      <c r="E66" s="60" t="s">
        <v>699</v>
      </c>
      <c r="F66" s="60">
        <v>1103127021</v>
      </c>
      <c r="G66" s="58" t="s">
        <v>700</v>
      </c>
      <c r="H66" s="60" t="s">
        <v>701</v>
      </c>
      <c r="I66" s="60">
        <v>114.18238890000001</v>
      </c>
      <c r="J66" s="60">
        <v>22.280043500000001</v>
      </c>
      <c r="K66" s="61">
        <v>3.4</v>
      </c>
      <c r="L66" s="60" t="s">
        <v>126</v>
      </c>
      <c r="M66" s="61">
        <v>52.8</v>
      </c>
      <c r="N66" s="60" t="s">
        <v>115</v>
      </c>
      <c r="O66" s="61">
        <v>49.4</v>
      </c>
      <c r="P66" s="62"/>
      <c r="Q66" s="43" t="b">
        <v>0</v>
      </c>
      <c r="R66" s="43" t="b">
        <v>0</v>
      </c>
      <c r="S66" s="43" t="b">
        <v>0</v>
      </c>
      <c r="T66" s="63" t="b">
        <f ca="1">AND(U66&lt;&gt;"",OR(U66&gt;(VLOOKUP(B66,E_analysis!$A$2:$K$36,5,FALSE)+2*VLOOKUP(B66,E_analysis!$A$2:$K$36,6,FALSE)),U66&lt;(VLOOKUP(B66,E_analysis!$A$2:$K$36,5,FALSE)-2*VLOOKUP(B66,E_analysis!$A$2:$K$36,6,FALSE))))</f>
        <v>0</v>
      </c>
      <c r="U66" s="68">
        <f>IFERROR(VLOOKUP($F66,NE_bmis!$A:$K,6,FALSE),"")</f>
        <v>15</v>
      </c>
      <c r="V66" s="60">
        <f>IFERROR(VLOOKUP($F66,NE_bmis!$A:$K,7,FALSE),"")</f>
        <v>0</v>
      </c>
      <c r="W66" s="59">
        <f>IFERROR(VLOOKUP($F66,NE_bmis!$A:$K,8,FALSE),"")</f>
        <v>96</v>
      </c>
      <c r="X66" s="60">
        <f>IFERROR(VLOOKUP($F66,NE_bmis!$A:$K,9,FALSE),"")</f>
        <v>1965</v>
      </c>
      <c r="Y66" s="60" t="str">
        <f>IFERROR(VLOOKUP($F66,NE_bmis!$A:$K,11,FALSE),"")</f>
        <v>BMIS_auto</v>
      </c>
      <c r="Z66" s="66" t="s">
        <v>2000</v>
      </c>
    </row>
    <row r="67" spans="1:26" ht="15.75" customHeight="1">
      <c r="A67" s="56" t="str">
        <f t="shared" si="0"/>
        <v>E16NE</v>
      </c>
      <c r="B67" s="58">
        <v>16</v>
      </c>
      <c r="C67" s="58" t="s">
        <v>110</v>
      </c>
      <c r="D67" s="59">
        <f t="shared" si="1"/>
        <v>3400</v>
      </c>
      <c r="E67" s="60" t="s">
        <v>702</v>
      </c>
      <c r="F67" s="60">
        <v>1103127104</v>
      </c>
      <c r="G67" s="58" t="s">
        <v>703</v>
      </c>
      <c r="H67" s="60" t="s">
        <v>704</v>
      </c>
      <c r="I67" s="60">
        <v>114.18425360000001</v>
      </c>
      <c r="J67" s="60">
        <v>22.279923589999999</v>
      </c>
      <c r="K67" s="61">
        <v>3.9</v>
      </c>
      <c r="L67" s="60" t="s">
        <v>126</v>
      </c>
      <c r="M67" s="61">
        <v>88.9</v>
      </c>
      <c r="N67" s="60" t="s">
        <v>115</v>
      </c>
      <c r="O67" s="61">
        <v>85</v>
      </c>
      <c r="P67" s="62"/>
      <c r="Q67" s="43" t="b">
        <v>0</v>
      </c>
      <c r="R67" s="43" t="b">
        <v>0</v>
      </c>
      <c r="S67" s="43" t="b">
        <v>0</v>
      </c>
      <c r="T67" s="63" t="b">
        <f ca="1">AND(U67&lt;&gt;"",OR(U67&gt;(VLOOKUP(B67,E_analysis!$A$2:$K$36,5,FALSE)+2*VLOOKUP(B67,E_analysis!$A$2:$K$36,6,FALSE)),U67&lt;(VLOOKUP(B67,E_analysis!$A$2:$K$36,5,FALSE)-2*VLOOKUP(B67,E_analysis!$A$2:$K$36,6,FALSE))))</f>
        <v>0</v>
      </c>
      <c r="U67" s="68">
        <v>23</v>
      </c>
      <c r="V67" s="60">
        <f>IFERROR(VLOOKUP($F67,NE_bmis!$A:$K,7,FALSE),"")</f>
        <v>0</v>
      </c>
      <c r="W67" s="59">
        <f>IFERROR(VLOOKUP($F67,NE_bmis!$A:$K,8,FALSE),"")</f>
        <v>124</v>
      </c>
      <c r="X67" s="60">
        <f>IFERROR(VLOOKUP($F67,NE_bmis!$A:$K,9,FALSE),"")</f>
        <v>1987</v>
      </c>
      <c r="Y67" s="60" t="s">
        <v>265</v>
      </c>
      <c r="Z67" s="66" t="s">
        <v>2014</v>
      </c>
    </row>
    <row r="68" spans="1:26" ht="15.75" customHeight="1">
      <c r="A68" s="56" t="str">
        <f t="shared" si="0"/>
        <v>E16SE</v>
      </c>
      <c r="B68" s="58">
        <v>16</v>
      </c>
      <c r="C68" s="58" t="s">
        <v>116</v>
      </c>
      <c r="D68" s="59">
        <f t="shared" si="1"/>
        <v>3400</v>
      </c>
      <c r="E68" s="60" t="s">
        <v>705</v>
      </c>
      <c r="F68" s="60">
        <v>1810079778</v>
      </c>
      <c r="G68" s="58" t="s">
        <v>706</v>
      </c>
      <c r="H68" s="60" t="s">
        <v>707</v>
      </c>
      <c r="I68" s="60">
        <v>114.1838005</v>
      </c>
      <c r="J68" s="60">
        <v>22.279801190000001</v>
      </c>
      <c r="K68" s="61">
        <v>46.2</v>
      </c>
      <c r="L68" s="60" t="s">
        <v>194</v>
      </c>
      <c r="M68" s="61">
        <v>199.4</v>
      </c>
      <c r="N68" s="60" t="s">
        <v>293</v>
      </c>
      <c r="O68" s="61">
        <v>153.19999999999999</v>
      </c>
      <c r="P68" s="62"/>
      <c r="Q68" s="43" t="b">
        <v>0</v>
      </c>
      <c r="R68" s="43" t="b">
        <v>0</v>
      </c>
      <c r="S68" s="43" t="b">
        <v>0</v>
      </c>
      <c r="T68" s="63" t="b">
        <f ca="1">AND(U68&lt;&gt;"",OR(U68&gt;(VLOOKUP(B68,E_analysis!$A$2:$K$36,5,FALSE)+2*VLOOKUP(B68,E_analysis!$A$2:$K$36,6,FALSE)),U68&lt;(VLOOKUP(B68,E_analysis!$A$2:$K$36,5,FALSE)-2*VLOOKUP(B68,E_analysis!$A$2:$K$36,6,FALSE))))</f>
        <v>0</v>
      </c>
      <c r="U68" s="68">
        <v>40</v>
      </c>
      <c r="V68" s="60">
        <f>IFERROR(VLOOKUP($F68,NE_bmis!$A:$K,7,FALSE),"")</f>
        <v>4</v>
      </c>
      <c r="W68" s="59">
        <f>IFERROR(VLOOKUP($F68,NE_bmis!$A:$K,8,FALSE),"")</f>
        <v>0</v>
      </c>
      <c r="X68" s="60">
        <f>IFERROR(VLOOKUP($F68,NE_bmis!$A:$K,9,FALSE),"")</f>
        <v>2012</v>
      </c>
      <c r="Y68" s="60" t="s">
        <v>265</v>
      </c>
      <c r="Z68" s="66" t="s">
        <v>2016</v>
      </c>
    </row>
    <row r="69" spans="1:26" ht="15.75" customHeight="1">
      <c r="A69" s="56" t="str">
        <f t="shared" si="0"/>
        <v>E16SW</v>
      </c>
      <c r="B69" s="58">
        <v>16</v>
      </c>
      <c r="C69" s="58" t="s">
        <v>121</v>
      </c>
      <c r="D69" s="59">
        <f t="shared" si="1"/>
        <v>3400</v>
      </c>
      <c r="E69" s="60" t="s">
        <v>708</v>
      </c>
      <c r="F69" s="60">
        <v>1103126886</v>
      </c>
      <c r="G69" s="58" t="s">
        <v>709</v>
      </c>
      <c r="H69" s="60" t="s">
        <v>710</v>
      </c>
      <c r="I69" s="60">
        <v>114.18376430000001</v>
      </c>
      <c r="J69" s="60">
        <v>22.28031167</v>
      </c>
      <c r="K69" s="61">
        <v>4.0999999999999996</v>
      </c>
      <c r="L69" s="60" t="s">
        <v>115</v>
      </c>
      <c r="M69" s="61">
        <v>88.4</v>
      </c>
      <c r="N69" s="60" t="s">
        <v>115</v>
      </c>
      <c r="O69" s="61">
        <v>84.3</v>
      </c>
      <c r="P69" s="62"/>
      <c r="Q69" s="43" t="b">
        <v>0</v>
      </c>
      <c r="R69" s="43" t="b">
        <v>0</v>
      </c>
      <c r="S69" s="43" t="b">
        <v>0</v>
      </c>
      <c r="T69" s="63" t="b">
        <f ca="1">AND(U69&lt;&gt;"",OR(U69&gt;(VLOOKUP(B69,E_analysis!$A$2:$K$36,5,FALSE)+2*VLOOKUP(B69,E_analysis!$A$2:$K$36,6,FALSE)),U69&lt;(VLOOKUP(B69,E_analysis!$A$2:$K$36,5,FALSE)-2*VLOOKUP(B69,E_analysis!$A$2:$K$36,6,FALSE))))</f>
        <v>0</v>
      </c>
      <c r="U69" s="68">
        <f>IFERROR(VLOOKUP($F69,NE_bmis!$A:$K,6,FALSE),"")</f>
        <v>30</v>
      </c>
      <c r="V69" s="60">
        <f>IFERROR(VLOOKUP($F69,NE_bmis!$A:$K,7,FALSE),"")</f>
        <v>1</v>
      </c>
      <c r="W69" s="59">
        <f>IFERROR(VLOOKUP($F69,NE_bmis!$A:$K,8,FALSE),"")</f>
        <v>30</v>
      </c>
      <c r="X69" s="60">
        <f>IFERROR(VLOOKUP($F69,NE_bmis!$A:$K,9,FALSE),"")</f>
        <v>2004</v>
      </c>
      <c r="Y69" s="60" t="str">
        <f>IFERROR(VLOOKUP($F69,NE_bmis!$A:$K,11,FALSE),"")</f>
        <v>BMIS_auto</v>
      </c>
      <c r="Z69" s="66" t="s">
        <v>2018</v>
      </c>
    </row>
    <row r="70" spans="1:26" ht="15.75" customHeight="1">
      <c r="A70" s="56" t="str">
        <f t="shared" si="0"/>
        <v>E16NW</v>
      </c>
      <c r="B70" s="58">
        <v>16</v>
      </c>
      <c r="C70" s="58" t="s">
        <v>127</v>
      </c>
      <c r="D70" s="59">
        <f t="shared" si="1"/>
        <v>3400</v>
      </c>
      <c r="E70" s="60" t="s">
        <v>711</v>
      </c>
      <c r="F70" s="60">
        <v>1103126700</v>
      </c>
      <c r="G70" s="58" t="s">
        <v>712</v>
      </c>
      <c r="H70" s="60" t="s">
        <v>713</v>
      </c>
      <c r="I70" s="60">
        <v>114.184473</v>
      </c>
      <c r="J70" s="60">
        <v>22.280411860000001</v>
      </c>
      <c r="K70" s="61">
        <v>19</v>
      </c>
      <c r="L70" s="60" t="s">
        <v>194</v>
      </c>
      <c r="M70" s="61">
        <v>86.9</v>
      </c>
      <c r="N70" s="60" t="s">
        <v>194</v>
      </c>
      <c r="O70" s="61">
        <v>67.900000000000006</v>
      </c>
      <c r="P70" s="62"/>
      <c r="Q70" s="43" t="b">
        <v>0</v>
      </c>
      <c r="R70" s="43" t="b">
        <v>0</v>
      </c>
      <c r="S70" s="43" t="b">
        <v>0</v>
      </c>
      <c r="T70" s="63" t="b">
        <f ca="1">AND(U70&lt;&gt;"",OR(U70&gt;(VLOOKUP(B70,E_analysis!$A$2:$K$36,5,FALSE)+2*VLOOKUP(B70,E_analysis!$A$2:$K$36,6,FALSE)),U70&lt;(VLOOKUP(B70,E_analysis!$A$2:$K$36,5,FALSE)-2*VLOOKUP(B70,E_analysis!$A$2:$K$36,6,FALSE))))</f>
        <v>0</v>
      </c>
      <c r="U70" s="68">
        <v>18</v>
      </c>
      <c r="V70" s="60">
        <f>IFERROR(VLOOKUP($F70,NE_bmis!$A:$K,7,FALSE),"")</f>
        <v>0</v>
      </c>
      <c r="W70" s="59">
        <f>IFERROR(VLOOKUP($F70,NE_bmis!$A:$K,8,FALSE),"")</f>
        <v>0</v>
      </c>
      <c r="X70" s="60">
        <f>IFERROR(VLOOKUP($F70,NE_bmis!$A:$K,9,FALSE),"")</f>
        <v>1993</v>
      </c>
      <c r="Y70" s="60" t="s">
        <v>152</v>
      </c>
      <c r="Z70" s="66" t="s">
        <v>2020</v>
      </c>
    </row>
    <row r="71" spans="1:26" ht="15.75" customHeight="1">
      <c r="A71" s="39" t="str">
        <f t="shared" si="0"/>
        <v>E17NE</v>
      </c>
      <c r="B71" s="39">
        <v>17</v>
      </c>
      <c r="C71" s="39" t="s">
        <v>110</v>
      </c>
      <c r="D71" s="59">
        <f t="shared" si="1"/>
        <v>3600</v>
      </c>
      <c r="E71" s="73" t="s">
        <v>714</v>
      </c>
      <c r="F71" s="73">
        <v>1103127364</v>
      </c>
      <c r="G71" s="39" t="s">
        <v>715</v>
      </c>
      <c r="H71" s="60"/>
      <c r="I71" s="60">
        <v>114.1861172</v>
      </c>
      <c r="J71" s="60">
        <v>22.279452280000001</v>
      </c>
      <c r="K71" s="61">
        <v>4.2</v>
      </c>
      <c r="L71" s="60" t="s">
        <v>126</v>
      </c>
      <c r="M71" s="61">
        <v>49.7</v>
      </c>
      <c r="N71" s="60">
        <v>3</v>
      </c>
      <c r="O71" s="61">
        <v>45.5</v>
      </c>
      <c r="P71" s="74"/>
      <c r="Q71" s="75" t="b">
        <v>0</v>
      </c>
      <c r="R71" s="75" t="b">
        <v>0</v>
      </c>
      <c r="S71" s="75" t="b">
        <v>1</v>
      </c>
      <c r="T71" s="75" t="b">
        <f ca="1">AND(U71&lt;&gt;"",OR(U71&gt;(VLOOKUP(B71,E_analysis!$A$2:$K$36,5,FALSE)+2*VLOOKUP(B71,E_analysis!$A$2:$K$36,6,FALSE)),U71&lt;(VLOOKUP(B71,E_analysis!$A$2:$K$36,5,FALSE)-2*VLOOKUP(B71,E_analysis!$A$2:$K$36,6,FALSE))))</f>
        <v>0</v>
      </c>
      <c r="U71" s="76">
        <f>IFERROR(VLOOKUP($F71,NE_bmis!$A:$K,6,FALSE),"")</f>
        <v>12</v>
      </c>
      <c r="V71" s="73">
        <f>IFERROR(VLOOKUP($F71,NE_bmis!$A:$K,7,FALSE),"")</f>
        <v>0</v>
      </c>
      <c r="W71" s="77">
        <f>IFERROR(VLOOKUP($F71,NE_bmis!$A:$K,8,FALSE),"")</f>
        <v>42</v>
      </c>
      <c r="X71" s="73">
        <f>IFERROR(VLOOKUP($F71,NE_bmis!$A:$K,9,FALSE),"")</f>
        <v>1966</v>
      </c>
      <c r="Y71" s="73" t="str">
        <f>IFERROR(VLOOKUP($F71,NE_bmis!$A:$K,11,FALSE),"")</f>
        <v>BMIS_auto</v>
      </c>
      <c r="Z71" s="66" t="s">
        <v>1014</v>
      </c>
    </row>
    <row r="72" spans="1:26" ht="15.75" customHeight="1">
      <c r="A72" s="39" t="str">
        <f t="shared" si="0"/>
        <v>E17SE</v>
      </c>
      <c r="B72" s="39">
        <v>17</v>
      </c>
      <c r="C72" s="39" t="s">
        <v>116</v>
      </c>
      <c r="D72" s="59">
        <f t="shared" si="1"/>
        <v>3600</v>
      </c>
      <c r="E72" s="73" t="s">
        <v>716</v>
      </c>
      <c r="F72" s="73">
        <v>1103127299</v>
      </c>
      <c r="G72" s="39" t="s">
        <v>717</v>
      </c>
      <c r="H72" s="60" t="s">
        <v>718</v>
      </c>
      <c r="I72" s="60">
        <v>114.1858596</v>
      </c>
      <c r="J72" s="60">
        <v>22.27953591</v>
      </c>
      <c r="K72" s="61">
        <v>4.2</v>
      </c>
      <c r="L72" s="60" t="s">
        <v>126</v>
      </c>
      <c r="M72" s="61">
        <v>82.5</v>
      </c>
      <c r="N72" s="60">
        <v>3</v>
      </c>
      <c r="O72" s="61">
        <v>78.3</v>
      </c>
      <c r="P72" s="74"/>
      <c r="Q72" s="75" t="b">
        <v>0</v>
      </c>
      <c r="R72" s="75" t="b">
        <v>0</v>
      </c>
      <c r="S72" s="75" t="b">
        <v>0</v>
      </c>
      <c r="T72" s="75" t="b">
        <f ca="1">AND(U72&lt;&gt;"",OR(U72&gt;(VLOOKUP(B72,E_analysis!$A$2:$K$36,5,FALSE)+2*VLOOKUP(B72,E_analysis!$A$2:$K$36,6,FALSE)),U72&lt;(VLOOKUP(B72,E_analysis!$A$2:$K$36,5,FALSE)-2*VLOOKUP(B72,E_analysis!$A$2:$K$36,6,FALSE))))</f>
        <v>0</v>
      </c>
      <c r="U72" s="76">
        <v>21</v>
      </c>
      <c r="V72" s="73">
        <f>IFERROR(VLOOKUP($F72,NE_bmis!$A:$K,7,FALSE),"")</f>
        <v>0</v>
      </c>
      <c r="W72" s="77">
        <f>IFERROR(VLOOKUP($F72,NE_bmis!$A:$K,8,FALSE),"")</f>
        <v>80</v>
      </c>
      <c r="X72" s="73">
        <f>IFERROR(VLOOKUP($F72,NE_bmis!$A:$K,9,FALSE),"")</f>
        <v>1984</v>
      </c>
      <c r="Y72" s="73" t="s">
        <v>265</v>
      </c>
      <c r="Z72" s="66" t="s">
        <v>2035</v>
      </c>
    </row>
    <row r="73" spans="1:26" ht="15.75" customHeight="1">
      <c r="A73" s="39" t="str">
        <f t="shared" si="0"/>
        <v>E17SW</v>
      </c>
      <c r="B73" s="39">
        <v>17</v>
      </c>
      <c r="C73" s="39" t="s">
        <v>121</v>
      </c>
      <c r="D73" s="59">
        <f t="shared" si="1"/>
        <v>3600</v>
      </c>
      <c r="E73" s="73" t="s">
        <v>719</v>
      </c>
      <c r="F73" s="73">
        <v>1103127113</v>
      </c>
      <c r="G73" s="39" t="s">
        <v>720</v>
      </c>
      <c r="H73" s="60"/>
      <c r="I73" s="60">
        <v>114.18612899999999</v>
      </c>
      <c r="J73" s="60">
        <v>22.279887970000001</v>
      </c>
      <c r="K73" s="61">
        <v>4</v>
      </c>
      <c r="L73" s="60" t="s">
        <v>126</v>
      </c>
      <c r="M73" s="61">
        <v>63</v>
      </c>
      <c r="N73" s="60" t="s">
        <v>115</v>
      </c>
      <c r="O73" s="61">
        <v>59</v>
      </c>
      <c r="P73" s="74"/>
      <c r="Q73" s="75" t="b">
        <v>0</v>
      </c>
      <c r="R73" s="75" t="b">
        <v>0</v>
      </c>
      <c r="S73" s="75" t="b">
        <v>0</v>
      </c>
      <c r="T73" s="75" t="b">
        <f ca="1">AND(U73&lt;&gt;"",OR(U73&gt;(VLOOKUP(B73,E_analysis!$A$2:$K$36,5,FALSE)+2*VLOOKUP(B73,E_analysis!$A$2:$K$36,6,FALSE)),U73&lt;(VLOOKUP(B73,E_analysis!$A$2:$K$36,5,FALSE)-2*VLOOKUP(B73,E_analysis!$A$2:$K$36,6,FALSE))))</f>
        <v>0</v>
      </c>
      <c r="U73" s="76">
        <v>19</v>
      </c>
      <c r="V73" s="73" t="str">
        <f>IFERROR(VLOOKUP($F73,NE_bmis!$A:$K,7,FALSE),"")</f>
        <v/>
      </c>
      <c r="W73" s="77">
        <v>170</v>
      </c>
      <c r="X73" s="73">
        <v>2002</v>
      </c>
      <c r="Y73" s="73" t="s">
        <v>173</v>
      </c>
      <c r="Z73" s="66" t="s">
        <v>2037</v>
      </c>
    </row>
    <row r="74" spans="1:26" ht="15.75" customHeight="1">
      <c r="A74" s="39" t="str">
        <f t="shared" si="0"/>
        <v>E17NW</v>
      </c>
      <c r="B74" s="39">
        <v>17</v>
      </c>
      <c r="C74" s="78" t="s">
        <v>127</v>
      </c>
      <c r="D74" s="59">
        <f t="shared" si="1"/>
        <v>3600</v>
      </c>
      <c r="E74" s="79" t="s">
        <v>721</v>
      </c>
      <c r="F74" s="79">
        <v>1103127060</v>
      </c>
      <c r="G74" s="41" t="s">
        <v>722</v>
      </c>
      <c r="H74" s="60" t="s">
        <v>723</v>
      </c>
      <c r="I74" s="60">
        <v>114.1863851</v>
      </c>
      <c r="J74" s="60">
        <v>22.279950199999998</v>
      </c>
      <c r="K74" s="61">
        <v>3.9</v>
      </c>
      <c r="L74" s="60" t="s">
        <v>126</v>
      </c>
      <c r="M74" s="61">
        <v>75.599999999999994</v>
      </c>
      <c r="N74" s="60">
        <v>3</v>
      </c>
      <c r="O74" s="61">
        <v>71.7</v>
      </c>
      <c r="P74" s="42"/>
      <c r="Q74" s="75" t="b">
        <v>0</v>
      </c>
      <c r="R74" s="75" t="b">
        <v>0</v>
      </c>
      <c r="S74" s="75" t="b">
        <v>0</v>
      </c>
      <c r="T74" s="75" t="b">
        <f ca="1">AND(U74&lt;&gt;"",OR(U74&gt;(VLOOKUP(B74,E_analysis!$A$2:$K$36,5,FALSE)+2*VLOOKUP(B74,E_analysis!$A$2:$K$36,6,FALSE)),U74&lt;(VLOOKUP(B74,E_analysis!$A$2:$K$36,5,FALSE)-2*VLOOKUP(B74,E_analysis!$A$2:$K$36,6,FALSE))))</f>
        <v>0</v>
      </c>
      <c r="U74" s="80">
        <f>IFERROR(VLOOKUP($F74,NE_bmis!$A:$K,6,FALSE),"")</f>
        <v>22</v>
      </c>
      <c r="V74" s="40">
        <f>IFERROR(VLOOKUP($F74,NE_bmis!$A:$K,7,FALSE),"")</f>
        <v>0</v>
      </c>
      <c r="W74" s="81">
        <f>IFERROR(VLOOKUP($F74,NE_bmis!$A:$K,8,FALSE),"")</f>
        <v>260</v>
      </c>
      <c r="X74" s="40">
        <f>IFERROR(VLOOKUP($F74,NE_bmis!$A:$K,9,FALSE),"")</f>
        <v>1975</v>
      </c>
      <c r="Y74" s="40" t="str">
        <f>IFERROR(VLOOKUP($F74,NE_bmis!$A:$K,11,FALSE),"")</f>
        <v>BMIS_auto</v>
      </c>
      <c r="Z74" s="66" t="s">
        <v>2039</v>
      </c>
    </row>
    <row r="75" spans="1:26" ht="15.75" customHeight="1">
      <c r="A75" s="39" t="str">
        <f t="shared" si="0"/>
        <v>E18NE</v>
      </c>
      <c r="B75" s="39">
        <v>18</v>
      </c>
      <c r="C75" s="78" t="s">
        <v>110</v>
      </c>
      <c r="D75" s="59">
        <f t="shared" si="1"/>
        <v>3800</v>
      </c>
      <c r="E75" s="79" t="s">
        <v>724</v>
      </c>
      <c r="F75" s="79">
        <v>1103127265</v>
      </c>
      <c r="G75" s="41" t="s">
        <v>725</v>
      </c>
      <c r="H75" s="60" t="s">
        <v>726</v>
      </c>
      <c r="I75" s="60">
        <v>114.1884208</v>
      </c>
      <c r="J75" s="60">
        <v>22.279571149999999</v>
      </c>
      <c r="K75" s="61">
        <v>4.5</v>
      </c>
      <c r="L75" s="60" t="s">
        <v>126</v>
      </c>
      <c r="M75" s="61">
        <v>76.5</v>
      </c>
      <c r="N75" s="60" t="s">
        <v>115</v>
      </c>
      <c r="O75" s="61">
        <v>72</v>
      </c>
      <c r="P75" s="42"/>
      <c r="Q75" s="75" t="b">
        <v>0</v>
      </c>
      <c r="R75" s="75" t="b">
        <v>0</v>
      </c>
      <c r="S75" s="75" t="b">
        <v>0</v>
      </c>
      <c r="T75" s="75" t="b">
        <f ca="1">AND(U75&lt;&gt;"",OR(U75&gt;(VLOOKUP(B75,E_analysis!$A$2:$K$36,5,FALSE)+2*VLOOKUP(B75,E_analysis!$A$2:$K$36,6,FALSE)),U75&lt;(VLOOKUP(B75,E_analysis!$A$2:$K$36,5,FALSE)-2*VLOOKUP(B75,E_analysis!$A$2:$K$36,6,FALSE))))</f>
        <v>0</v>
      </c>
      <c r="U75" s="80">
        <f>IFERROR(VLOOKUP($F75,NE_bmis!$A:$K,6,FALSE),"")</f>
        <v>22</v>
      </c>
      <c r="V75" s="40">
        <f>IFERROR(VLOOKUP($F75,NE_bmis!$A:$K,7,FALSE),"")</f>
        <v>0</v>
      </c>
      <c r="W75" s="81">
        <f>IFERROR(VLOOKUP($F75,NE_bmis!$A:$K,8,FALSE),"")</f>
        <v>140</v>
      </c>
      <c r="X75" s="40">
        <f>IFERROR(VLOOKUP($F75,NE_bmis!$A:$K,9,FALSE),"")</f>
        <v>1978</v>
      </c>
      <c r="Y75" s="40" t="str">
        <f>IFERROR(VLOOKUP($F75,NE_bmis!$A:$K,11,FALSE),"")</f>
        <v>BMIS_auto</v>
      </c>
      <c r="Z75" s="66" t="s">
        <v>2049</v>
      </c>
    </row>
    <row r="76" spans="1:26" ht="15.75" customHeight="1">
      <c r="A76" s="39" t="str">
        <f t="shared" si="0"/>
        <v>E18SE</v>
      </c>
      <c r="B76" s="39">
        <v>18</v>
      </c>
      <c r="C76" s="78" t="s">
        <v>116</v>
      </c>
      <c r="D76" s="59">
        <f t="shared" si="1"/>
        <v>3800</v>
      </c>
      <c r="E76" s="79" t="s">
        <v>727</v>
      </c>
      <c r="F76" s="79">
        <v>1103127365</v>
      </c>
      <c r="G76" s="41" t="s">
        <v>728</v>
      </c>
      <c r="H76" s="60" t="s">
        <v>729</v>
      </c>
      <c r="I76" s="60">
        <v>114.1881336</v>
      </c>
      <c r="J76" s="60">
        <v>22.279438989999999</v>
      </c>
      <c r="K76" s="61">
        <v>18.7</v>
      </c>
      <c r="L76" s="60" t="s">
        <v>115</v>
      </c>
      <c r="M76" s="61">
        <v>101.7</v>
      </c>
      <c r="N76" s="60" t="s">
        <v>115</v>
      </c>
      <c r="O76" s="61">
        <v>83</v>
      </c>
      <c r="P76" s="42"/>
      <c r="Q76" s="75" t="b">
        <v>0</v>
      </c>
      <c r="R76" s="75" t="b">
        <v>0</v>
      </c>
      <c r="S76" s="75" t="b">
        <v>0</v>
      </c>
      <c r="T76" s="75" t="b">
        <f ca="1">AND(U76&lt;&gt;"",OR(U76&gt;(VLOOKUP(B76,E_analysis!$A$2:$K$36,5,FALSE)+2*VLOOKUP(B76,E_analysis!$A$2:$K$36,6,FALSE)),U76&lt;(VLOOKUP(B76,E_analysis!$A$2:$K$36,5,FALSE)-2*VLOOKUP(B76,E_analysis!$A$2:$K$36,6,FALSE))))</f>
        <v>0</v>
      </c>
      <c r="U76" s="80">
        <f>IFERROR(VLOOKUP($F76,NE_bmis!$A:$K,6,FALSE),"")</f>
        <v>27</v>
      </c>
      <c r="V76" s="40">
        <f>IFERROR(VLOOKUP($F76,NE_bmis!$A:$K,7,FALSE),"")</f>
        <v>0</v>
      </c>
      <c r="W76" s="81">
        <f>IFERROR(VLOOKUP($F76,NE_bmis!$A:$K,8,FALSE),"")</f>
        <v>29</v>
      </c>
      <c r="X76" s="40">
        <f>IFERROR(VLOOKUP($F76,NE_bmis!$A:$K,9,FALSE),"")</f>
        <v>1994</v>
      </c>
      <c r="Y76" s="40" t="str">
        <f>IFERROR(VLOOKUP($F76,NE_bmis!$A:$K,11,FALSE),"")</f>
        <v>BMIS_auto</v>
      </c>
      <c r="Z76" s="66" t="s">
        <v>2051</v>
      </c>
    </row>
    <row r="77" spans="1:26" ht="15.75" customHeight="1">
      <c r="A77" s="39" t="str">
        <f t="shared" si="0"/>
        <v>E18SW</v>
      </c>
      <c r="B77" s="39">
        <v>18</v>
      </c>
      <c r="C77" s="78" t="s">
        <v>121</v>
      </c>
      <c r="D77" s="59">
        <f t="shared" si="1"/>
        <v>3800</v>
      </c>
      <c r="E77" s="79"/>
      <c r="F77" s="79"/>
      <c r="G77" s="41" t="s">
        <v>730</v>
      </c>
      <c r="H77" s="60" t="s">
        <v>556</v>
      </c>
      <c r="I77" s="60" t="s">
        <v>556</v>
      </c>
      <c r="J77" s="60" t="s">
        <v>556</v>
      </c>
      <c r="K77" s="61" t="s">
        <v>556</v>
      </c>
      <c r="L77" s="60" t="s">
        <v>556</v>
      </c>
      <c r="M77" s="61" t="s">
        <v>556</v>
      </c>
      <c r="N77" s="60" t="s">
        <v>556</v>
      </c>
      <c r="O77" s="61" t="s">
        <v>556</v>
      </c>
      <c r="P77" s="42" t="s">
        <v>557</v>
      </c>
      <c r="Q77" s="75" t="b">
        <v>1</v>
      </c>
      <c r="R77" s="75" t="b">
        <v>1</v>
      </c>
      <c r="S77" s="75" t="b">
        <v>0</v>
      </c>
      <c r="T77" s="75" t="b">
        <f ca="1">AND(U77&lt;&gt;"",OR(U77&gt;(VLOOKUP(B77,E_analysis!$A$2:$K$36,5,FALSE)+2*VLOOKUP(B77,E_analysis!$A$2:$K$36,6,FALSE)),U77&lt;(VLOOKUP(B77,E_analysis!$A$2:$K$36,5,FALSE)-2*VLOOKUP(B77,E_analysis!$A$2:$K$36,6,FALSE))))</f>
        <v>1</v>
      </c>
      <c r="U77" s="82">
        <v>0</v>
      </c>
      <c r="V77" s="40" t="str">
        <f>IFERROR(VLOOKUP($F77,NE_bmis!$A:$K,7,FALSE),"")</f>
        <v/>
      </c>
      <c r="W77" s="81" t="str">
        <f>IFERROR(VLOOKUP($F77,NE_bmis!$A:$K,8,FALSE),"")</f>
        <v/>
      </c>
      <c r="X77" s="40" t="str">
        <f>IFERROR(VLOOKUP($F77,NE_bmis!$A:$K,9,FALSE),"")</f>
        <v/>
      </c>
      <c r="Y77" s="40" t="str">
        <f>IFERROR(VLOOKUP($F77,NE_bmis!$A:$K,11,FALSE),"")</f>
        <v/>
      </c>
      <c r="Z77" s="66" t="s">
        <v>556</v>
      </c>
    </row>
    <row r="78" spans="1:26" ht="15.75" customHeight="1">
      <c r="A78" s="39" t="str">
        <f t="shared" si="0"/>
        <v>E18NW</v>
      </c>
      <c r="B78" s="39">
        <v>18</v>
      </c>
      <c r="C78" s="39" t="s">
        <v>127</v>
      </c>
      <c r="D78" s="59">
        <f t="shared" si="1"/>
        <v>3800</v>
      </c>
      <c r="E78" s="73"/>
      <c r="F78" s="73"/>
      <c r="G78" s="39" t="s">
        <v>730</v>
      </c>
      <c r="H78" s="60" t="s">
        <v>556</v>
      </c>
      <c r="I78" s="60" t="s">
        <v>556</v>
      </c>
      <c r="J78" s="60" t="s">
        <v>556</v>
      </c>
      <c r="K78" s="61" t="s">
        <v>556</v>
      </c>
      <c r="L78" s="60" t="s">
        <v>556</v>
      </c>
      <c r="M78" s="61" t="s">
        <v>556</v>
      </c>
      <c r="N78" s="60" t="s">
        <v>556</v>
      </c>
      <c r="O78" s="61" t="s">
        <v>556</v>
      </c>
      <c r="P78" s="74" t="s">
        <v>557</v>
      </c>
      <c r="Q78" s="75" t="b">
        <v>1</v>
      </c>
      <c r="R78" s="75" t="b">
        <v>1</v>
      </c>
      <c r="S78" s="75" t="b">
        <v>0</v>
      </c>
      <c r="T78" s="75" t="b">
        <f ca="1">AND(U78&lt;&gt;"",OR(U78&gt;(VLOOKUP(B78,E_analysis!$A$2:$K$36,5,FALSE)+2*VLOOKUP(B78,E_analysis!$A$2:$K$36,6,FALSE)),U78&lt;(VLOOKUP(B78,E_analysis!$A$2:$K$36,5,FALSE)-2*VLOOKUP(B78,E_analysis!$A$2:$K$36,6,FALSE))))</f>
        <v>1</v>
      </c>
      <c r="U78" s="116">
        <v>0</v>
      </c>
      <c r="V78" s="73" t="str">
        <f>IFERROR(VLOOKUP($F78,NE_bmis!$A:$K,7,FALSE),"")</f>
        <v/>
      </c>
      <c r="W78" s="77" t="str">
        <f>IFERROR(VLOOKUP($F78,NE_bmis!$A:$K,8,FALSE),"")</f>
        <v/>
      </c>
      <c r="X78" s="73" t="str">
        <f>IFERROR(VLOOKUP($F78,NE_bmis!$A:$K,9,FALSE),"")</f>
        <v/>
      </c>
      <c r="Y78" s="73" t="str">
        <f>IFERROR(VLOOKUP($F78,NE_bmis!$A:$K,11,FALSE),"")</f>
        <v/>
      </c>
      <c r="Z78" s="66" t="s">
        <v>556</v>
      </c>
    </row>
    <row r="79" spans="1:26" ht="15.75" customHeight="1">
      <c r="A79" s="39" t="str">
        <f t="shared" si="0"/>
        <v>E19NE</v>
      </c>
      <c r="B79" s="39">
        <v>19</v>
      </c>
      <c r="C79" s="39" t="s">
        <v>110</v>
      </c>
      <c r="D79" s="59">
        <f t="shared" si="1"/>
        <v>4000</v>
      </c>
      <c r="E79" s="73"/>
      <c r="F79" s="73"/>
      <c r="G79" s="39" t="s">
        <v>731</v>
      </c>
      <c r="H79" s="60" t="s">
        <v>556</v>
      </c>
      <c r="I79" s="60" t="s">
        <v>556</v>
      </c>
      <c r="J79" s="60" t="s">
        <v>556</v>
      </c>
      <c r="K79" s="61" t="s">
        <v>556</v>
      </c>
      <c r="L79" s="60" t="s">
        <v>556</v>
      </c>
      <c r="M79" s="61" t="s">
        <v>556</v>
      </c>
      <c r="N79" s="60" t="s">
        <v>556</v>
      </c>
      <c r="O79" s="61" t="s">
        <v>556</v>
      </c>
      <c r="P79" s="74" t="s">
        <v>557</v>
      </c>
      <c r="Q79" s="75" t="b">
        <v>1</v>
      </c>
      <c r="R79" s="75" t="b">
        <v>1</v>
      </c>
      <c r="S79" s="75" t="b">
        <v>0</v>
      </c>
      <c r="T79" s="75" t="e">
        <f ca="1">AND(U79&lt;&gt;"",OR(U79&gt;(VLOOKUP(B79,E_analysis!$A$2:$K$36,5,FALSE)+2*VLOOKUP(B79,E_analysis!$A$2:$K$36,6,FALSE)),U79&lt;(VLOOKUP(B79,E_analysis!$A$2:$K$36,5,FALSE)-2*VLOOKUP(B79,E_analysis!$A$2:$K$36,6,FALSE))))</f>
        <v>#VALUE!</v>
      </c>
      <c r="U79" s="116">
        <v>0</v>
      </c>
      <c r="V79" s="73" t="str">
        <f>IFERROR(VLOOKUP($F79,NE_bmis!$A:$K,7,FALSE),"")</f>
        <v/>
      </c>
      <c r="W79" s="77" t="str">
        <f>IFERROR(VLOOKUP($F79,NE_bmis!$A:$K,8,FALSE),"")</f>
        <v/>
      </c>
      <c r="X79" s="73" t="str">
        <f>IFERROR(VLOOKUP($F79,NE_bmis!$A:$K,9,FALSE),"")</f>
        <v/>
      </c>
      <c r="Y79" s="73" t="str">
        <f>IFERROR(VLOOKUP($F79,NE_bmis!$A:$K,11,FALSE),"")</f>
        <v/>
      </c>
      <c r="Z79" s="66" t="s">
        <v>556</v>
      </c>
    </row>
    <row r="80" spans="1:26" ht="15.75" customHeight="1">
      <c r="A80" s="39" t="str">
        <f t="shared" si="0"/>
        <v>E19SE</v>
      </c>
      <c r="B80" s="39">
        <v>19</v>
      </c>
      <c r="C80" s="39" t="s">
        <v>116</v>
      </c>
      <c r="D80" s="59">
        <f t="shared" si="1"/>
        <v>4000</v>
      </c>
      <c r="E80" s="73" t="s">
        <v>732</v>
      </c>
      <c r="F80" s="73">
        <v>1103126958</v>
      </c>
      <c r="G80" s="39" t="s">
        <v>733</v>
      </c>
      <c r="H80" s="60" t="s">
        <v>734</v>
      </c>
      <c r="I80" s="60">
        <v>114.1896634</v>
      </c>
      <c r="J80" s="60">
        <v>22.279908200000001</v>
      </c>
      <c r="K80" s="61">
        <v>12.1</v>
      </c>
      <c r="L80" s="60" t="s">
        <v>115</v>
      </c>
      <c r="M80" s="61">
        <v>64.099999999999994</v>
      </c>
      <c r="N80" s="60">
        <v>3</v>
      </c>
      <c r="O80" s="61">
        <v>52</v>
      </c>
      <c r="P80" s="74" t="s">
        <v>735</v>
      </c>
      <c r="Q80" s="75" t="b">
        <v>0</v>
      </c>
      <c r="R80" s="75" t="b">
        <v>1</v>
      </c>
      <c r="S80" s="75" t="b">
        <v>0</v>
      </c>
      <c r="T80" s="75" t="e">
        <f ca="1">AND(U80&lt;&gt;"",OR(U80&gt;(VLOOKUP(B80,E_analysis!$A$2:$K$36,5,FALSE)+2*VLOOKUP(B80,E_analysis!$A$2:$K$36,6,FALSE)),U80&lt;(VLOOKUP(B80,E_analysis!$A$2:$K$36,5,FALSE)-2*VLOOKUP(B80,E_analysis!$A$2:$K$36,6,FALSE))))</f>
        <v>#VALUE!</v>
      </c>
      <c r="U80" s="76">
        <v>12</v>
      </c>
      <c r="V80" s="73" t="str">
        <f>IFERROR(VLOOKUP($F80,NE_bmis!$A:$K,7,FALSE),"")</f>
        <v/>
      </c>
      <c r="W80" s="77" t="str">
        <f>IFERROR(VLOOKUP($F80,NE_bmis!$A:$K,8,FALSE),"")</f>
        <v/>
      </c>
      <c r="X80" s="73">
        <v>2001</v>
      </c>
      <c r="Y80" s="73" t="s">
        <v>736</v>
      </c>
      <c r="Z80" s="66" t="s">
        <v>2064</v>
      </c>
    </row>
    <row r="81" spans="1:26" ht="15.75" customHeight="1">
      <c r="A81" s="39" t="str">
        <f t="shared" si="0"/>
        <v>E19SW</v>
      </c>
      <c r="B81" s="39">
        <v>19</v>
      </c>
      <c r="C81" s="39" t="s">
        <v>121</v>
      </c>
      <c r="D81" s="59">
        <f t="shared" si="1"/>
        <v>4000</v>
      </c>
      <c r="E81" s="73"/>
      <c r="F81" s="73"/>
      <c r="G81" s="39" t="s">
        <v>737</v>
      </c>
      <c r="H81" s="60" t="s">
        <v>556</v>
      </c>
      <c r="I81" s="60" t="s">
        <v>556</v>
      </c>
      <c r="J81" s="60" t="s">
        <v>556</v>
      </c>
      <c r="K81" s="61" t="s">
        <v>556</v>
      </c>
      <c r="L81" s="60" t="s">
        <v>556</v>
      </c>
      <c r="M81" s="61" t="s">
        <v>556</v>
      </c>
      <c r="N81" s="60" t="s">
        <v>556</v>
      </c>
      <c r="O81" s="61" t="s">
        <v>556</v>
      </c>
      <c r="P81" s="74" t="s">
        <v>557</v>
      </c>
      <c r="Q81" s="75" t="b">
        <v>1</v>
      </c>
      <c r="R81" s="75" t="b">
        <v>1</v>
      </c>
      <c r="S81" s="75" t="b">
        <v>0</v>
      </c>
      <c r="T81" s="75" t="e">
        <f ca="1">AND(U81&lt;&gt;"",OR(U81&gt;(VLOOKUP(B81,E_analysis!$A$2:$K$36,5,FALSE)+2*VLOOKUP(B81,E_analysis!$A$2:$K$36,6,FALSE)),U81&lt;(VLOOKUP(B81,E_analysis!$A$2:$K$36,5,FALSE)-2*VLOOKUP(B81,E_analysis!$A$2:$K$36,6,FALSE))))</f>
        <v>#VALUE!</v>
      </c>
      <c r="U81" s="116">
        <v>0</v>
      </c>
      <c r="V81" s="73" t="str">
        <f>IFERROR(VLOOKUP($F81,NE_bmis!$A:$K,7,FALSE),"")</f>
        <v/>
      </c>
      <c r="W81" s="77" t="str">
        <f>IFERROR(VLOOKUP($F81,NE_bmis!$A:$K,8,FALSE),"")</f>
        <v/>
      </c>
      <c r="X81" s="73" t="str">
        <f>IFERROR(VLOOKUP($F81,NE_bmis!$A:$K,9,FALSE),"")</f>
        <v/>
      </c>
      <c r="Y81" s="73" t="str">
        <f>IFERROR(VLOOKUP($F81,NE_bmis!$A:$K,11,FALSE),"")</f>
        <v/>
      </c>
      <c r="Z81" s="66" t="s">
        <v>556</v>
      </c>
    </row>
    <row r="82" spans="1:26" ht="15.75" customHeight="1">
      <c r="A82" s="39" t="str">
        <f t="shared" si="0"/>
        <v>E19NW</v>
      </c>
      <c r="B82" s="39">
        <v>19</v>
      </c>
      <c r="C82" s="78" t="s">
        <v>127</v>
      </c>
      <c r="D82" s="59">
        <f t="shared" si="1"/>
        <v>4000</v>
      </c>
      <c r="E82" s="79"/>
      <c r="F82" s="79"/>
      <c r="G82" s="41" t="s">
        <v>737</v>
      </c>
      <c r="H82" s="60" t="s">
        <v>556</v>
      </c>
      <c r="I82" s="60" t="s">
        <v>556</v>
      </c>
      <c r="J82" s="60" t="s">
        <v>556</v>
      </c>
      <c r="K82" s="61" t="s">
        <v>556</v>
      </c>
      <c r="L82" s="60" t="s">
        <v>556</v>
      </c>
      <c r="M82" s="61" t="s">
        <v>556</v>
      </c>
      <c r="N82" s="60" t="s">
        <v>556</v>
      </c>
      <c r="O82" s="61" t="s">
        <v>556</v>
      </c>
      <c r="P82" s="42" t="s">
        <v>557</v>
      </c>
      <c r="Q82" s="75" t="b">
        <v>1</v>
      </c>
      <c r="R82" s="75" t="b">
        <v>1</v>
      </c>
      <c r="S82" s="75" t="b">
        <v>0</v>
      </c>
      <c r="T82" s="75" t="e">
        <f ca="1">AND(U82&lt;&gt;"",OR(U82&gt;(VLOOKUP(B82,E_analysis!$A$2:$K$36,5,FALSE)+2*VLOOKUP(B82,E_analysis!$A$2:$K$36,6,FALSE)),U82&lt;(VLOOKUP(B82,E_analysis!$A$2:$K$36,5,FALSE)-2*VLOOKUP(B82,E_analysis!$A$2:$K$36,6,FALSE))))</f>
        <v>#VALUE!</v>
      </c>
      <c r="U82" s="82">
        <v>0</v>
      </c>
      <c r="V82" s="40" t="str">
        <f>IFERROR(VLOOKUP($F82,NE_bmis!$A:$K,7,FALSE),"")</f>
        <v/>
      </c>
      <c r="W82" s="81" t="str">
        <f>IFERROR(VLOOKUP($F82,NE_bmis!$A:$K,8,FALSE),"")</f>
        <v/>
      </c>
      <c r="X82" s="40" t="str">
        <f>IFERROR(VLOOKUP($F82,NE_bmis!$A:$K,9,FALSE),"")</f>
        <v/>
      </c>
      <c r="Y82" s="40" t="str">
        <f>IFERROR(VLOOKUP($F82,NE_bmis!$A:$K,11,FALSE),"")</f>
        <v/>
      </c>
      <c r="Z82" s="66" t="s">
        <v>556</v>
      </c>
    </row>
    <row r="83" spans="1:26" ht="15.75" customHeight="1">
      <c r="A83" s="39" t="str">
        <f t="shared" si="0"/>
        <v>E20NE</v>
      </c>
      <c r="B83" s="39">
        <v>20</v>
      </c>
      <c r="C83" s="78" t="s">
        <v>110</v>
      </c>
      <c r="D83" s="59">
        <f t="shared" si="1"/>
        <v>4200</v>
      </c>
      <c r="E83" s="79"/>
      <c r="F83" s="79"/>
      <c r="G83" s="41" t="s">
        <v>576</v>
      </c>
      <c r="H83" s="60" t="s">
        <v>556</v>
      </c>
      <c r="I83" s="60" t="s">
        <v>556</v>
      </c>
      <c r="J83" s="60" t="s">
        <v>556</v>
      </c>
      <c r="K83" s="61" t="s">
        <v>556</v>
      </c>
      <c r="L83" s="60" t="s">
        <v>556</v>
      </c>
      <c r="M83" s="61" t="s">
        <v>556</v>
      </c>
      <c r="N83" s="60" t="s">
        <v>556</v>
      </c>
      <c r="O83" s="61" t="s">
        <v>556</v>
      </c>
      <c r="P83" s="42" t="s">
        <v>557</v>
      </c>
      <c r="Q83" s="75" t="b">
        <v>1</v>
      </c>
      <c r="R83" s="75" t="b">
        <v>1</v>
      </c>
      <c r="S83" s="75" t="b">
        <v>0</v>
      </c>
      <c r="T83" s="75" t="e">
        <f ca="1">AND(U83&lt;&gt;"",OR(U83&gt;(VLOOKUP(B83,E_analysis!$A$2:$K$36,5,FALSE)+2*VLOOKUP(B83,E_analysis!$A$2:$K$36,6,FALSE)),U83&lt;(VLOOKUP(B83,E_analysis!$A$2:$K$36,5,FALSE)-2*VLOOKUP(B83,E_analysis!$A$2:$K$36,6,FALSE))))</f>
        <v>#VALUE!</v>
      </c>
      <c r="U83" s="82">
        <v>0</v>
      </c>
      <c r="V83" s="40" t="str">
        <f>IFERROR(VLOOKUP($F83,NE_bmis!$A:$K,7,FALSE),"")</f>
        <v/>
      </c>
      <c r="W83" s="81" t="str">
        <f>IFERROR(VLOOKUP($F83,NE_bmis!$A:$K,8,FALSE),"")</f>
        <v/>
      </c>
      <c r="X83" s="40" t="str">
        <f>IFERROR(VLOOKUP($F83,NE_bmis!$A:$K,9,FALSE),"")</f>
        <v/>
      </c>
      <c r="Y83" s="40" t="str">
        <f>IFERROR(VLOOKUP($F83,NE_bmis!$A:$K,11,FALSE),"")</f>
        <v/>
      </c>
      <c r="Z83" s="66" t="s">
        <v>556</v>
      </c>
    </row>
    <row r="84" spans="1:26" ht="15.75" customHeight="1">
      <c r="A84" s="39" t="str">
        <f t="shared" si="0"/>
        <v>E20SE</v>
      </c>
      <c r="B84" s="39">
        <v>20</v>
      </c>
      <c r="C84" s="78" t="s">
        <v>116</v>
      </c>
      <c r="D84" s="59">
        <f t="shared" si="1"/>
        <v>4200</v>
      </c>
      <c r="E84" s="79" t="s">
        <v>738</v>
      </c>
      <c r="F84" s="79">
        <v>1103125871</v>
      </c>
      <c r="G84" s="41" t="s">
        <v>739</v>
      </c>
      <c r="H84" s="60" t="s">
        <v>740</v>
      </c>
      <c r="I84" s="60">
        <v>114.1915176</v>
      </c>
      <c r="J84" s="60">
        <v>22.28125726</v>
      </c>
      <c r="K84" s="61">
        <v>4.4000000000000004</v>
      </c>
      <c r="L84" s="60" t="s">
        <v>126</v>
      </c>
      <c r="M84" s="61">
        <v>11.4</v>
      </c>
      <c r="N84" s="60" t="s">
        <v>115</v>
      </c>
      <c r="O84" s="61">
        <v>7</v>
      </c>
      <c r="P84" s="42" t="s">
        <v>741</v>
      </c>
      <c r="Q84" s="75" t="b">
        <v>0</v>
      </c>
      <c r="R84" s="75" t="b">
        <v>1</v>
      </c>
      <c r="S84" s="75" t="b">
        <v>0</v>
      </c>
      <c r="T84" s="75" t="e">
        <f ca="1">AND(U84&lt;&gt;"",OR(U84&gt;(VLOOKUP(B84,E_analysis!$A$2:$K$36,5,FALSE)+2*VLOOKUP(B84,E_analysis!$A$2:$K$36,6,FALSE)),U84&lt;(VLOOKUP(B84,E_analysis!$A$2:$K$36,5,FALSE)-2*VLOOKUP(B84,E_analysis!$A$2:$K$36,6,FALSE))))</f>
        <v>#VALUE!</v>
      </c>
      <c r="U84" s="80">
        <v>2</v>
      </c>
      <c r="V84" s="40" t="str">
        <f>IFERROR(VLOOKUP($F84,NE_bmis!$A:$K,7,FALSE),"")</f>
        <v/>
      </c>
      <c r="W84" s="81" t="str">
        <f>IFERROR(VLOOKUP($F84,NE_bmis!$A:$K,8,FALSE),"")</f>
        <v/>
      </c>
      <c r="X84" s="40" t="str">
        <f>IFERROR(VLOOKUP($F84,NE_bmis!$A:$K,9,FALSE),"")</f>
        <v/>
      </c>
      <c r="Y84" s="40" t="s">
        <v>227</v>
      </c>
      <c r="Z84" s="66" t="s">
        <v>2077</v>
      </c>
    </row>
    <row r="85" spans="1:26" ht="15.75" customHeight="1">
      <c r="A85" s="39" t="str">
        <f t="shared" si="0"/>
        <v>E20SW</v>
      </c>
      <c r="B85" s="39">
        <v>20</v>
      </c>
      <c r="C85" s="78" t="s">
        <v>121</v>
      </c>
      <c r="D85" s="59">
        <f t="shared" si="1"/>
        <v>4200</v>
      </c>
      <c r="E85" s="79"/>
      <c r="F85" s="79"/>
      <c r="G85" s="41" t="s">
        <v>737</v>
      </c>
      <c r="H85" s="60" t="s">
        <v>556</v>
      </c>
      <c r="I85" s="60" t="s">
        <v>556</v>
      </c>
      <c r="J85" s="60" t="s">
        <v>556</v>
      </c>
      <c r="K85" s="61" t="s">
        <v>556</v>
      </c>
      <c r="L85" s="60" t="s">
        <v>556</v>
      </c>
      <c r="M85" s="61" t="s">
        <v>556</v>
      </c>
      <c r="N85" s="60" t="s">
        <v>556</v>
      </c>
      <c r="O85" s="61" t="s">
        <v>556</v>
      </c>
      <c r="P85" s="42" t="s">
        <v>557</v>
      </c>
      <c r="Q85" s="75" t="b">
        <v>1</v>
      </c>
      <c r="R85" s="75" t="b">
        <v>1</v>
      </c>
      <c r="S85" s="75" t="b">
        <v>0</v>
      </c>
      <c r="T85" s="75" t="e">
        <f ca="1">AND(U85&lt;&gt;"",OR(U85&gt;(VLOOKUP(B85,E_analysis!$A$2:$K$36,5,FALSE)+2*VLOOKUP(B85,E_analysis!$A$2:$K$36,6,FALSE)),U85&lt;(VLOOKUP(B85,E_analysis!$A$2:$K$36,5,FALSE)-2*VLOOKUP(B85,E_analysis!$A$2:$K$36,6,FALSE))))</f>
        <v>#VALUE!</v>
      </c>
      <c r="U85" s="82">
        <v>0</v>
      </c>
      <c r="V85" s="40" t="str">
        <f>IFERROR(VLOOKUP($F85,NE_bmis!$A:$K,7,FALSE),"")</f>
        <v/>
      </c>
      <c r="W85" s="81" t="str">
        <f>IFERROR(VLOOKUP($F85,NE_bmis!$A:$K,8,FALSE),"")</f>
        <v/>
      </c>
      <c r="X85" s="40" t="str">
        <f>IFERROR(VLOOKUP($F85,NE_bmis!$A:$K,9,FALSE),"")</f>
        <v/>
      </c>
      <c r="Y85" s="40" t="str">
        <f>IFERROR(VLOOKUP($F85,NE_bmis!$A:$K,11,FALSE),"")</f>
        <v/>
      </c>
      <c r="Z85" s="66" t="s">
        <v>556</v>
      </c>
    </row>
    <row r="86" spans="1:26" ht="15.75" customHeight="1">
      <c r="A86" s="39" t="str">
        <f t="shared" si="0"/>
        <v>E20NW</v>
      </c>
      <c r="B86" s="39">
        <v>20</v>
      </c>
      <c r="C86" s="78" t="s">
        <v>127</v>
      </c>
      <c r="D86" s="59">
        <f t="shared" si="1"/>
        <v>4200</v>
      </c>
      <c r="E86" s="79" t="s">
        <v>742</v>
      </c>
      <c r="F86" s="79">
        <v>1103125126</v>
      </c>
      <c r="G86" s="41" t="s">
        <v>743</v>
      </c>
      <c r="H86" s="60" t="s">
        <v>744</v>
      </c>
      <c r="I86" s="60">
        <v>114.1914991</v>
      </c>
      <c r="J86" s="60">
        <v>22.282428759999998</v>
      </c>
      <c r="K86" s="61">
        <v>41.4</v>
      </c>
      <c r="L86" s="60" t="s">
        <v>115</v>
      </c>
      <c r="M86" s="61">
        <v>155.9</v>
      </c>
      <c r="N86" s="60" t="s">
        <v>115</v>
      </c>
      <c r="O86" s="61">
        <v>114.5</v>
      </c>
      <c r="P86" s="42"/>
      <c r="Q86" s="75" t="b">
        <v>0</v>
      </c>
      <c r="R86" s="75" t="b">
        <v>0</v>
      </c>
      <c r="S86" s="75" t="b">
        <v>0</v>
      </c>
      <c r="T86" s="75" t="e">
        <f ca="1">AND(U86&lt;&gt;"",OR(U86&gt;(VLOOKUP(B86,E_analysis!$A$2:$K$36,5,FALSE)+2*VLOOKUP(B86,E_analysis!$A$2:$K$36,6,FALSE)),U86&lt;(VLOOKUP(B86,E_analysis!$A$2:$K$36,5,FALSE)-2*VLOOKUP(B86,E_analysis!$A$2:$K$36,6,FALSE))))</f>
        <v>#VALUE!</v>
      </c>
      <c r="U86" s="80">
        <f>IFERROR(VLOOKUP($F86,NE_bmis!$A:$K,6,FALSE),"")</f>
        <v>49</v>
      </c>
      <c r="V86" s="40">
        <f>IFERROR(VLOOKUP($F86,NE_bmis!$A:$K,7,FALSE),"")</f>
        <v>1</v>
      </c>
      <c r="W86" s="81">
        <f>IFERROR(VLOOKUP($F86,NE_bmis!$A:$K,8,FALSE),"")</f>
        <v>180</v>
      </c>
      <c r="X86" s="40">
        <f>IFERROR(VLOOKUP($F86,NE_bmis!$A:$K,9,FALSE),"")</f>
        <v>1989</v>
      </c>
      <c r="Y86" s="40" t="str">
        <f>IFERROR(VLOOKUP($F86,NE_bmis!$A:$K,11,FALSE),"")</f>
        <v>BMIS_auto</v>
      </c>
      <c r="Z86" s="66" t="s">
        <v>2080</v>
      </c>
    </row>
    <row r="87" spans="1:26" ht="15.75" customHeight="1">
      <c r="A87" s="39" t="str">
        <f t="shared" si="0"/>
        <v>E21NE</v>
      </c>
      <c r="B87" s="39">
        <v>21</v>
      </c>
      <c r="C87" s="78" t="s">
        <v>110</v>
      </c>
      <c r="D87" s="59">
        <f t="shared" si="1"/>
        <v>4400</v>
      </c>
      <c r="E87" s="79" t="s">
        <v>745</v>
      </c>
      <c r="F87" s="79">
        <v>1103124444</v>
      </c>
      <c r="G87" s="41" t="s">
        <v>746</v>
      </c>
      <c r="H87" s="60" t="s">
        <v>747</v>
      </c>
      <c r="I87" s="60">
        <v>114.19286390000001</v>
      </c>
      <c r="J87" s="60">
        <v>22.283263760000001</v>
      </c>
      <c r="K87" s="61">
        <v>5.9</v>
      </c>
      <c r="L87" s="60" t="s">
        <v>114</v>
      </c>
      <c r="M87" s="61">
        <v>136.6</v>
      </c>
      <c r="N87" s="60" t="s">
        <v>114</v>
      </c>
      <c r="O87" s="61">
        <v>130.69999999999999</v>
      </c>
      <c r="P87" s="42"/>
      <c r="Q87" s="75" t="b">
        <v>0</v>
      </c>
      <c r="R87" s="75" t="b">
        <v>0</v>
      </c>
      <c r="S87" s="75" t="b">
        <v>0</v>
      </c>
      <c r="T87" s="75" t="b">
        <f ca="1">AND(U87&lt;&gt;"",OR(U87&gt;(VLOOKUP(B87,E_analysis!$A$2:$K$36,5,FALSE)+2*VLOOKUP(B87,E_analysis!$A$2:$K$36,6,FALSE)),U87&lt;(VLOOKUP(B87,E_analysis!$A$2:$K$36,5,FALSE)-2*VLOOKUP(B87,E_analysis!$A$2:$K$36,6,FALSE))))</f>
        <v>0</v>
      </c>
      <c r="U87" s="80">
        <v>40</v>
      </c>
      <c r="V87" s="40" t="str">
        <f>IFERROR(VLOOKUP($F87,NE_bmis!$A:$K,7,FALSE),"")</f>
        <v/>
      </c>
      <c r="W87" s="81">
        <v>275</v>
      </c>
      <c r="X87" s="40" t="str">
        <f>IFERROR(VLOOKUP($F87,NE_bmis!$A:$K,9,FALSE),"")</f>
        <v/>
      </c>
      <c r="Y87" s="40" t="s">
        <v>748</v>
      </c>
      <c r="Z87" s="66" t="s">
        <v>2090</v>
      </c>
    </row>
    <row r="88" spans="1:26" ht="15.75" customHeight="1">
      <c r="A88" s="39" t="str">
        <f t="shared" si="0"/>
        <v>E21SE</v>
      </c>
      <c r="B88" s="39">
        <v>21</v>
      </c>
      <c r="C88" s="78" t="s">
        <v>116</v>
      </c>
      <c r="D88" s="59">
        <f t="shared" si="1"/>
        <v>4400</v>
      </c>
      <c r="E88" s="79" t="s">
        <v>749</v>
      </c>
      <c r="F88" s="79">
        <v>1103124762</v>
      </c>
      <c r="G88" s="41" t="s">
        <v>750</v>
      </c>
      <c r="H88" s="60" t="s">
        <v>751</v>
      </c>
      <c r="I88" s="60">
        <v>114.1926816</v>
      </c>
      <c r="J88" s="60">
        <v>22.28279895</v>
      </c>
      <c r="K88" s="61">
        <v>13.9</v>
      </c>
      <c r="L88" s="60" t="s">
        <v>115</v>
      </c>
      <c r="M88" s="61">
        <v>83.6</v>
      </c>
      <c r="N88" s="60" t="s">
        <v>115</v>
      </c>
      <c r="O88" s="61">
        <v>69.7</v>
      </c>
      <c r="P88" s="42"/>
      <c r="Q88" s="75" t="b">
        <v>0</v>
      </c>
      <c r="R88" s="75" t="b">
        <v>0</v>
      </c>
      <c r="S88" s="75" t="b">
        <v>0</v>
      </c>
      <c r="T88" s="75" t="b">
        <f ca="1">AND(U88&lt;&gt;"",OR(U88&gt;(VLOOKUP(B88,E_analysis!$A$2:$K$36,5,FALSE)+2*VLOOKUP(B88,E_analysis!$A$2:$K$36,6,FALSE)),U88&lt;(VLOOKUP(B88,E_analysis!$A$2:$K$36,5,FALSE)-2*VLOOKUP(B88,E_analysis!$A$2:$K$36,6,FALSE))))</f>
        <v>0</v>
      </c>
      <c r="U88" s="80">
        <f>IFERROR(VLOOKUP($F88,NE_bmis!$A:$K,6,FALSE),"")</f>
        <v>26</v>
      </c>
      <c r="V88" s="40">
        <f>IFERROR(VLOOKUP($F88,NE_bmis!$A:$K,7,FALSE),"")</f>
        <v>0</v>
      </c>
      <c r="W88" s="81">
        <f>IFERROR(VLOOKUP($F88,NE_bmis!$A:$K,8,FALSE),"")</f>
        <v>382</v>
      </c>
      <c r="X88" s="40">
        <f>IFERROR(VLOOKUP($F88,NE_bmis!$A:$K,9,FALSE),"")</f>
        <v>1966</v>
      </c>
      <c r="Y88" s="40" t="str">
        <f>IFERROR(VLOOKUP($F88,NE_bmis!$A:$K,11,FALSE),"")</f>
        <v>BMIS_auto</v>
      </c>
      <c r="Z88" s="66" t="s">
        <v>2092</v>
      </c>
    </row>
    <row r="89" spans="1:26" ht="15.75" customHeight="1">
      <c r="A89" s="39" t="str">
        <f t="shared" si="0"/>
        <v>E21SW</v>
      </c>
      <c r="B89" s="39">
        <v>21</v>
      </c>
      <c r="C89" s="78" t="s">
        <v>121</v>
      </c>
      <c r="D89" s="59">
        <f t="shared" si="1"/>
        <v>4400</v>
      </c>
      <c r="E89" s="79" t="s">
        <v>752</v>
      </c>
      <c r="F89" s="79">
        <v>1103124878</v>
      </c>
      <c r="G89" s="41" t="s">
        <v>753</v>
      </c>
      <c r="H89" s="60" t="s">
        <v>754</v>
      </c>
      <c r="I89" s="60">
        <v>114.191851</v>
      </c>
      <c r="J89" s="60">
        <v>22.282716539999999</v>
      </c>
      <c r="K89" s="61">
        <v>41.9</v>
      </c>
      <c r="L89" s="60" t="s">
        <v>115</v>
      </c>
      <c r="M89" s="61">
        <v>123.9</v>
      </c>
      <c r="N89" s="60">
        <v>3</v>
      </c>
      <c r="O89" s="61">
        <v>82</v>
      </c>
      <c r="P89" s="42"/>
      <c r="Q89" s="75" t="b">
        <v>0</v>
      </c>
      <c r="R89" s="75" t="b">
        <v>0</v>
      </c>
      <c r="S89" s="75" t="b">
        <v>0</v>
      </c>
      <c r="T89" s="75" t="b">
        <f ca="1">AND(U89&lt;&gt;"",OR(U89&gt;(VLOOKUP(B89,E_analysis!$A$2:$K$36,5,FALSE)+2*VLOOKUP(B89,E_analysis!$A$2:$K$36,6,FALSE)),U89&lt;(VLOOKUP(B89,E_analysis!$A$2:$K$36,5,FALSE)-2*VLOOKUP(B89,E_analysis!$A$2:$K$36,6,FALSE))))</f>
        <v>0</v>
      </c>
      <c r="U89" s="80">
        <v>30</v>
      </c>
      <c r="V89" s="40">
        <f>IFERROR(VLOOKUP($F89,NE_bmis!$A:$K,7,FALSE),"")</f>
        <v>1</v>
      </c>
      <c r="W89" s="81">
        <f>IFERROR(VLOOKUP($F89,NE_bmis!$A:$K,8,FALSE),"")</f>
        <v>180</v>
      </c>
      <c r="X89" s="40">
        <f>IFERROR(VLOOKUP($F89,NE_bmis!$A:$K,9,FALSE),"")</f>
        <v>1989</v>
      </c>
      <c r="Y89" s="40" t="s">
        <v>755</v>
      </c>
      <c r="Z89" s="66" t="s">
        <v>2080</v>
      </c>
    </row>
    <row r="90" spans="1:26" ht="15.75" customHeight="1">
      <c r="A90" s="39" t="str">
        <f t="shared" si="0"/>
        <v>E21NW</v>
      </c>
      <c r="B90" s="39">
        <v>21</v>
      </c>
      <c r="C90" s="78" t="s">
        <v>127</v>
      </c>
      <c r="D90" s="59">
        <f t="shared" si="1"/>
        <v>4400</v>
      </c>
      <c r="E90" s="79" t="s">
        <v>756</v>
      </c>
      <c r="F90" s="79">
        <v>1103124522</v>
      </c>
      <c r="G90" s="41" t="s">
        <v>757</v>
      </c>
      <c r="H90" s="60" t="s">
        <v>758</v>
      </c>
      <c r="I90" s="60">
        <v>114.19216280000001</v>
      </c>
      <c r="J90" s="60">
        <v>22.28320283</v>
      </c>
      <c r="K90" s="61">
        <v>13.8</v>
      </c>
      <c r="L90" s="60" t="s">
        <v>115</v>
      </c>
      <c r="M90" s="61">
        <v>77.5</v>
      </c>
      <c r="N90" s="60">
        <v>3</v>
      </c>
      <c r="O90" s="61">
        <v>63.7</v>
      </c>
      <c r="P90" s="42"/>
      <c r="Q90" s="75" t="b">
        <v>0</v>
      </c>
      <c r="R90" s="75" t="b">
        <v>0</v>
      </c>
      <c r="S90" s="75" t="b">
        <v>0</v>
      </c>
      <c r="T90" s="75" t="b">
        <f ca="1">AND(U90&lt;&gt;"",OR(U90&gt;(VLOOKUP(B90,E_analysis!$A$2:$K$36,5,FALSE)+2*VLOOKUP(B90,E_analysis!$A$2:$K$36,6,FALSE)),U90&lt;(VLOOKUP(B90,E_analysis!$A$2:$K$36,5,FALSE)-2*VLOOKUP(B90,E_analysis!$A$2:$K$36,6,FALSE))))</f>
        <v>0</v>
      </c>
      <c r="U90" s="80">
        <f>IFERROR(VLOOKUP($F90,NE_bmis!$A:$K,6,FALSE),"")</f>
        <v>23</v>
      </c>
      <c r="V90" s="40">
        <f>IFERROR(VLOOKUP($F90,NE_bmis!$A:$K,7,FALSE),"")</f>
        <v>0</v>
      </c>
      <c r="W90" s="81">
        <f>IFERROR(VLOOKUP($F90,NE_bmis!$A:$K,8,FALSE),"")</f>
        <v>50</v>
      </c>
      <c r="X90" s="40">
        <f>IFERROR(VLOOKUP($F90,NE_bmis!$A:$K,9,FALSE),"")</f>
        <v>1974</v>
      </c>
      <c r="Y90" s="40" t="str">
        <f>IFERROR(VLOOKUP($F90,NE_bmis!$A:$K,11,FALSE),"")</f>
        <v>BMIS_auto</v>
      </c>
      <c r="Z90" s="66" t="s">
        <v>2095</v>
      </c>
    </row>
    <row r="91" spans="1:26" ht="15.75" customHeight="1">
      <c r="A91" s="39" t="str">
        <f t="shared" si="0"/>
        <v>E22NE</v>
      </c>
      <c r="B91" s="39">
        <v>22</v>
      </c>
      <c r="C91" s="78" t="s">
        <v>110</v>
      </c>
      <c r="D91" s="59">
        <f t="shared" si="1"/>
        <v>4600</v>
      </c>
      <c r="E91" s="79" t="s">
        <v>759</v>
      </c>
      <c r="F91" s="79">
        <v>1103122595</v>
      </c>
      <c r="G91" s="41" t="s">
        <v>760</v>
      </c>
      <c r="H91" s="60" t="s">
        <v>761</v>
      </c>
      <c r="I91" s="60">
        <v>114.193305</v>
      </c>
      <c r="J91" s="60">
        <v>22.2853423</v>
      </c>
      <c r="K91" s="61">
        <v>8.1999999999999993</v>
      </c>
      <c r="L91" s="60" t="s">
        <v>762</v>
      </c>
      <c r="M91" s="61">
        <v>50</v>
      </c>
      <c r="N91" s="60">
        <v>3</v>
      </c>
      <c r="O91" s="61">
        <v>41.8</v>
      </c>
      <c r="P91" s="42" t="s">
        <v>741</v>
      </c>
      <c r="Q91" s="75" t="b">
        <v>0</v>
      </c>
      <c r="R91" s="75" t="b">
        <v>1</v>
      </c>
      <c r="S91" s="75" t="b">
        <v>0</v>
      </c>
      <c r="T91" s="75" t="b">
        <f ca="1">AND(U91&lt;&gt;"",OR(U91&gt;(VLOOKUP(B91,E_analysis!$A$2:$K$36,5,FALSE)+2*VLOOKUP(B91,E_analysis!$A$2:$K$36,6,FALSE)),U91&lt;(VLOOKUP(B91,E_analysis!$A$2:$K$36,5,FALSE)-2*VLOOKUP(B91,E_analysis!$A$2:$K$36,6,FALSE))))</f>
        <v>1</v>
      </c>
      <c r="U91" s="80">
        <v>6</v>
      </c>
      <c r="V91" s="40" t="str">
        <f>IFERROR(VLOOKUP($F91,NE_bmis!$A:$K,7,FALSE),"")</f>
        <v/>
      </c>
      <c r="W91" s="81" t="str">
        <f>IFERROR(VLOOKUP($F91,NE_bmis!$A:$K,8,FALSE),"")</f>
        <v/>
      </c>
      <c r="X91" s="40" t="str">
        <f>IFERROR(VLOOKUP($F91,NE_bmis!$A:$K,9,FALSE),"")</f>
        <v/>
      </c>
      <c r="Y91" s="40" t="s">
        <v>152</v>
      </c>
      <c r="Z91" s="66" t="s">
        <v>2105</v>
      </c>
    </row>
    <row r="92" spans="1:26" ht="15.75" customHeight="1">
      <c r="A92" s="39" t="str">
        <f t="shared" si="0"/>
        <v>E22SE</v>
      </c>
      <c r="B92" s="39">
        <v>22</v>
      </c>
      <c r="C92" s="78" t="s">
        <v>116</v>
      </c>
      <c r="D92" s="59">
        <f t="shared" si="1"/>
        <v>4600</v>
      </c>
      <c r="E92" s="79" t="s">
        <v>763</v>
      </c>
      <c r="F92" s="79">
        <v>1103123565</v>
      </c>
      <c r="G92" s="41" t="s">
        <v>764</v>
      </c>
      <c r="H92" s="60" t="s">
        <v>765</v>
      </c>
      <c r="I92" s="60">
        <v>114.1931637</v>
      </c>
      <c r="J92" s="60">
        <v>22.28451952</v>
      </c>
      <c r="K92" s="61">
        <v>37.1</v>
      </c>
      <c r="L92" s="60" t="s">
        <v>115</v>
      </c>
      <c r="M92" s="61">
        <v>124.2</v>
      </c>
      <c r="N92" s="60" t="s">
        <v>115</v>
      </c>
      <c r="O92" s="61">
        <v>87.1</v>
      </c>
      <c r="P92" s="42"/>
      <c r="Q92" s="75" t="b">
        <v>0</v>
      </c>
      <c r="R92" s="75" t="b">
        <v>0</v>
      </c>
      <c r="S92" s="75" t="b">
        <v>0</v>
      </c>
      <c r="T92" s="75" t="b">
        <f ca="1">AND(U92&lt;&gt;"",OR(U92&gt;(VLOOKUP(B92,E_analysis!$A$2:$K$36,5,FALSE)+2*VLOOKUP(B92,E_analysis!$A$2:$K$36,6,FALSE)),U92&lt;(VLOOKUP(B92,E_analysis!$A$2:$K$36,5,FALSE)-2*VLOOKUP(B92,E_analysis!$A$2:$K$36,6,FALSE))))</f>
        <v>0</v>
      </c>
      <c r="U92" s="80">
        <f>IFERROR(VLOOKUP($F92,NE_bmis!$A:$K,6,FALSE),"")</f>
        <v>32</v>
      </c>
      <c r="V92" s="40">
        <f>IFERROR(VLOOKUP($F92,NE_bmis!$A:$K,7,FALSE),"")</f>
        <v>0</v>
      </c>
      <c r="W92" s="81">
        <f>IFERROR(VLOOKUP($F92,NE_bmis!$A:$K,8,FALSE),"")</f>
        <v>128</v>
      </c>
      <c r="X92" s="40">
        <f>IFERROR(VLOOKUP($F92,NE_bmis!$A:$K,9,FALSE),"")</f>
        <v>2002</v>
      </c>
      <c r="Y92" s="40" t="str">
        <f>IFERROR(VLOOKUP($F92,NE_bmis!$A:$K,11,FALSE),"")</f>
        <v>BMIS_auto</v>
      </c>
      <c r="Z92" s="66" t="s">
        <v>2107</v>
      </c>
    </row>
    <row r="93" spans="1:26" ht="15.75" customHeight="1">
      <c r="A93" s="39" t="str">
        <f t="shared" si="0"/>
        <v>E22SW</v>
      </c>
      <c r="B93" s="39">
        <v>22</v>
      </c>
      <c r="C93" s="78" t="s">
        <v>121</v>
      </c>
      <c r="D93" s="59">
        <f t="shared" si="1"/>
        <v>4600</v>
      </c>
      <c r="E93" s="79" t="s">
        <v>766</v>
      </c>
      <c r="F93" s="79">
        <v>1103123519</v>
      </c>
      <c r="G93" s="41" t="s">
        <v>767</v>
      </c>
      <c r="H93" s="60" t="s">
        <v>768</v>
      </c>
      <c r="I93" s="60">
        <v>114.1925643</v>
      </c>
      <c r="J93" s="60">
        <v>22.28465636</v>
      </c>
      <c r="K93" s="61">
        <v>18.399999999999999</v>
      </c>
      <c r="L93" s="60" t="s">
        <v>114</v>
      </c>
      <c r="M93" s="61">
        <v>84.5</v>
      </c>
      <c r="N93" s="60" t="s">
        <v>115</v>
      </c>
      <c r="O93" s="61">
        <v>66.099999999999994</v>
      </c>
      <c r="P93" s="42"/>
      <c r="Q93" s="75" t="b">
        <v>0</v>
      </c>
      <c r="R93" s="75" t="b">
        <v>0</v>
      </c>
      <c r="S93" s="75" t="b">
        <v>0</v>
      </c>
      <c r="T93" s="75" t="b">
        <f ca="1">AND(U93&lt;&gt;"",OR(U93&gt;(VLOOKUP(B93,E_analysis!$A$2:$K$36,5,FALSE)+2*VLOOKUP(B93,E_analysis!$A$2:$K$36,6,FALSE)),U93&lt;(VLOOKUP(B93,E_analysis!$A$2:$K$36,5,FALSE)-2*VLOOKUP(B93,E_analysis!$A$2:$K$36,6,FALSE))))</f>
        <v>0</v>
      </c>
      <c r="U93" s="80">
        <v>24</v>
      </c>
      <c r="V93" s="40" t="str">
        <f>IFERROR(VLOOKUP($F93,NE_bmis!$A:$K,7,FALSE),"")</f>
        <v/>
      </c>
      <c r="W93" s="81">
        <v>53</v>
      </c>
      <c r="X93" s="40">
        <v>1990</v>
      </c>
      <c r="Y93" s="40" t="s">
        <v>173</v>
      </c>
      <c r="Z93" s="66" t="s">
        <v>2109</v>
      </c>
    </row>
    <row r="94" spans="1:26" ht="15.75" customHeight="1">
      <c r="A94" s="83" t="str">
        <f t="shared" si="0"/>
        <v>E22NW</v>
      </c>
      <c r="B94" s="83">
        <v>22</v>
      </c>
      <c r="C94" s="83" t="s">
        <v>127</v>
      </c>
      <c r="D94" s="59">
        <f t="shared" si="1"/>
        <v>4600</v>
      </c>
      <c r="E94" s="84" t="s">
        <v>769</v>
      </c>
      <c r="F94" s="84">
        <v>1103123250</v>
      </c>
      <c r="G94" s="83" t="s">
        <v>770</v>
      </c>
      <c r="H94" s="60" t="s">
        <v>771</v>
      </c>
      <c r="I94" s="60">
        <v>114.19264699999999</v>
      </c>
      <c r="J94" s="60">
        <v>22.284961890000002</v>
      </c>
      <c r="K94" s="61">
        <v>8.5</v>
      </c>
      <c r="L94" s="60" t="s">
        <v>115</v>
      </c>
      <c r="M94" s="61">
        <v>71.2</v>
      </c>
      <c r="N94" s="60">
        <v>3</v>
      </c>
      <c r="O94" s="61">
        <v>62.7</v>
      </c>
      <c r="P94" s="85"/>
      <c r="Q94" s="75" t="b">
        <v>0</v>
      </c>
      <c r="R94" s="75" t="b">
        <v>0</v>
      </c>
      <c r="S94" s="75" t="b">
        <v>0</v>
      </c>
      <c r="T94" s="75" t="b">
        <f ca="1">AND(U94&lt;&gt;"",OR(U94&gt;(VLOOKUP(B94,E_analysis!$A$2:$K$36,5,FALSE)+2*VLOOKUP(B94,E_analysis!$A$2:$K$36,6,FALSE)),U94&lt;(VLOOKUP(B94,E_analysis!$A$2:$K$36,5,FALSE)-2*VLOOKUP(B94,E_analysis!$A$2:$K$36,6,FALSE))))</f>
        <v>0</v>
      </c>
      <c r="U94" s="86">
        <f>IFERROR(VLOOKUP($F94,NE_bmis!$A:$K,6,FALSE),"")</f>
        <v>21</v>
      </c>
      <c r="V94" s="84">
        <f>IFERROR(VLOOKUP($F94,NE_bmis!$A:$K,7,FALSE),"")</f>
        <v>0</v>
      </c>
      <c r="W94" s="87">
        <f>IFERROR(VLOOKUP($F94,NE_bmis!$A:$K,8,FALSE),"")</f>
        <v>45</v>
      </c>
      <c r="X94" s="84">
        <f>IFERROR(VLOOKUP($F94,NE_bmis!$A:$K,9,FALSE),"")</f>
        <v>1975</v>
      </c>
      <c r="Y94" s="84" t="str">
        <f>IFERROR(VLOOKUP($F94,NE_bmis!$A:$K,11,FALSE),"")</f>
        <v>BMIS_auto</v>
      </c>
      <c r="Z94" s="66" t="s">
        <v>2111</v>
      </c>
    </row>
    <row r="95" spans="1:26" ht="15.75" customHeight="1">
      <c r="A95" s="83" t="str">
        <f t="shared" si="0"/>
        <v>E23NE</v>
      </c>
      <c r="B95" s="83">
        <v>23</v>
      </c>
      <c r="C95" s="83" t="s">
        <v>110</v>
      </c>
      <c r="D95" s="59">
        <f t="shared" si="1"/>
        <v>4800</v>
      </c>
      <c r="E95" s="84"/>
      <c r="F95" s="84"/>
      <c r="G95" s="83" t="s">
        <v>772</v>
      </c>
      <c r="H95" s="60" t="s">
        <v>556</v>
      </c>
      <c r="I95" s="60" t="s">
        <v>556</v>
      </c>
      <c r="J95" s="60" t="s">
        <v>556</v>
      </c>
      <c r="K95" s="61" t="s">
        <v>556</v>
      </c>
      <c r="L95" s="60" t="s">
        <v>556</v>
      </c>
      <c r="M95" s="61" t="s">
        <v>556</v>
      </c>
      <c r="N95" s="60" t="s">
        <v>556</v>
      </c>
      <c r="O95" s="61" t="s">
        <v>556</v>
      </c>
      <c r="P95" s="85" t="s">
        <v>557</v>
      </c>
      <c r="Q95" s="75" t="b">
        <v>1</v>
      </c>
      <c r="R95" s="75" t="b">
        <v>1</v>
      </c>
      <c r="S95" s="75" t="b">
        <v>0</v>
      </c>
      <c r="T95" s="75" t="b">
        <f ca="1">AND(U95&lt;&gt;"",OR(U95&gt;(VLOOKUP(B95,E_analysis!$A$2:$K$36,5,FALSE)+2*VLOOKUP(B95,E_analysis!$A$2:$K$36,6,FALSE)),U95&lt;(VLOOKUP(B95,E_analysis!$A$2:$K$36,5,FALSE)-2*VLOOKUP(B95,E_analysis!$A$2:$K$36,6,FALSE))))</f>
        <v>0</v>
      </c>
      <c r="U95" s="86" t="str">
        <f>IFERROR(VLOOKUP($F95,NE_bmis!$A:$K,6,FALSE),"")</f>
        <v/>
      </c>
      <c r="V95" s="84" t="str">
        <f>IFERROR(VLOOKUP($F95,NE_bmis!$A:$K,7,FALSE),"")</f>
        <v/>
      </c>
      <c r="W95" s="87" t="str">
        <f>IFERROR(VLOOKUP($F95,NE_bmis!$A:$K,8,FALSE),"")</f>
        <v/>
      </c>
      <c r="X95" s="84" t="str">
        <f>IFERROR(VLOOKUP($F95,NE_bmis!$A:$K,9,FALSE),"")</f>
        <v/>
      </c>
      <c r="Y95" s="84" t="str">
        <f>IFERROR(VLOOKUP($F95,NE_bmis!$A:$K,11,FALSE),"")</f>
        <v/>
      </c>
      <c r="Z95" s="66" t="s">
        <v>556</v>
      </c>
    </row>
    <row r="96" spans="1:26" ht="15.75" customHeight="1">
      <c r="A96" s="83" t="str">
        <f t="shared" si="0"/>
        <v>E23SE</v>
      </c>
      <c r="B96" s="83">
        <v>23</v>
      </c>
      <c r="C96" s="83" t="s">
        <v>116</v>
      </c>
      <c r="D96" s="59">
        <f t="shared" si="1"/>
        <v>4800</v>
      </c>
      <c r="E96" s="84" t="s">
        <v>773</v>
      </c>
      <c r="F96" s="84">
        <v>1103121981</v>
      </c>
      <c r="G96" s="83" t="s">
        <v>774</v>
      </c>
      <c r="H96" s="84"/>
      <c r="I96" s="84">
        <v>114.19316190000001</v>
      </c>
      <c r="J96" s="84">
        <v>22.286501789999999</v>
      </c>
      <c r="K96" s="88">
        <v>7.4</v>
      </c>
      <c r="L96" s="84" t="s">
        <v>126</v>
      </c>
      <c r="M96" s="88">
        <v>92.3</v>
      </c>
      <c r="N96" s="84" t="s">
        <v>115</v>
      </c>
      <c r="O96" s="88">
        <v>84.9</v>
      </c>
      <c r="P96" s="85"/>
      <c r="Q96" s="75" t="b">
        <v>0</v>
      </c>
      <c r="R96" s="75" t="b">
        <v>0</v>
      </c>
      <c r="S96" s="75" t="b">
        <v>0</v>
      </c>
      <c r="T96" s="75" t="b">
        <f ca="1">AND(U96&lt;&gt;"",OR(U96&gt;(VLOOKUP(B96,E_analysis!$A$2:$K$36,5,FALSE)+2*VLOOKUP(B96,E_analysis!$A$2:$K$36,6,FALSE)),U96&lt;(VLOOKUP(B96,E_analysis!$A$2:$K$36,5,FALSE)-2*VLOOKUP(B96,E_analysis!$A$2:$K$36,6,FALSE))))</f>
        <v>0</v>
      </c>
      <c r="U96" s="86">
        <f>IFERROR(VLOOKUP($F96,NE_bmis!$A:$K,6,FALSE),"")</f>
        <v>26</v>
      </c>
      <c r="V96" s="84">
        <f>IFERROR(VLOOKUP($F96,NE_bmis!$A:$K,7,FALSE),"")</f>
        <v>0</v>
      </c>
      <c r="W96" s="87">
        <f>IFERROR(VLOOKUP($F96,NE_bmis!$A:$K,8,FALSE),"")</f>
        <v>93</v>
      </c>
      <c r="X96" s="84">
        <f>IFERROR(VLOOKUP($F96,NE_bmis!$A:$K,9,FALSE),"")</f>
        <v>1979</v>
      </c>
      <c r="Y96" s="84" t="str">
        <f>IFERROR(VLOOKUP($F96,NE_bmis!$A:$K,11,FALSE),"")</f>
        <v>BMIS_auto</v>
      </c>
      <c r="Z96" s="66" t="s">
        <v>2122</v>
      </c>
    </row>
    <row r="97" spans="1:26" ht="15.75" customHeight="1">
      <c r="A97" s="83" t="str">
        <f t="shared" si="0"/>
        <v>E23SW</v>
      </c>
      <c r="B97" s="83">
        <v>23</v>
      </c>
      <c r="C97" s="83" t="s">
        <v>121</v>
      </c>
      <c r="D97" s="59">
        <f t="shared" si="1"/>
        <v>4800</v>
      </c>
      <c r="E97" s="84" t="s">
        <v>775</v>
      </c>
      <c r="F97" s="84">
        <v>1103121975</v>
      </c>
      <c r="G97" s="83" t="s">
        <v>776</v>
      </c>
      <c r="H97" s="84" t="s">
        <v>777</v>
      </c>
      <c r="I97" s="84">
        <v>114.1927075</v>
      </c>
      <c r="J97" s="84">
        <v>22.286545969999999</v>
      </c>
      <c r="K97" s="88">
        <v>6.5</v>
      </c>
      <c r="L97" s="84" t="s">
        <v>115</v>
      </c>
      <c r="M97" s="88">
        <v>102.4</v>
      </c>
      <c r="N97" s="84" t="s">
        <v>115</v>
      </c>
      <c r="O97" s="88">
        <v>95.9</v>
      </c>
      <c r="P97" s="85"/>
      <c r="Q97" s="75" t="b">
        <v>0</v>
      </c>
      <c r="R97" s="75" t="b">
        <v>0</v>
      </c>
      <c r="S97" s="75" t="b">
        <v>0</v>
      </c>
      <c r="T97" s="75" t="b">
        <f ca="1">AND(U97&lt;&gt;"",OR(U97&gt;(VLOOKUP(B97,E_analysis!$A$2:$K$36,5,FALSE)+2*VLOOKUP(B97,E_analysis!$A$2:$K$36,6,FALSE)),U97&lt;(VLOOKUP(B97,E_analysis!$A$2:$K$36,5,FALSE)-2*VLOOKUP(B97,E_analysis!$A$2:$K$36,6,FALSE))))</f>
        <v>0</v>
      </c>
      <c r="U97" s="86">
        <f>IFERROR(VLOOKUP($F97,NE_bmis!$A:$K,6,FALSE),"")</f>
        <v>29</v>
      </c>
      <c r="V97" s="84">
        <f>IFERROR(VLOOKUP($F97,NE_bmis!$A:$K,7,FALSE),"")</f>
        <v>0</v>
      </c>
      <c r="W97" s="87">
        <f>IFERROR(VLOOKUP($F97,NE_bmis!$A:$K,8,FALSE),"")</f>
        <v>116</v>
      </c>
      <c r="X97" s="84">
        <f>IFERROR(VLOOKUP($F97,NE_bmis!$A:$K,9,FALSE),"")</f>
        <v>1997</v>
      </c>
      <c r="Y97" s="84" t="str">
        <f>IFERROR(VLOOKUP($F97,NE_bmis!$A:$K,11,FALSE),"")</f>
        <v>BMIS_auto</v>
      </c>
      <c r="Z97" s="66" t="s">
        <v>2124</v>
      </c>
    </row>
    <row r="98" spans="1:26" ht="15.75" customHeight="1">
      <c r="A98" s="83" t="str">
        <f t="shared" si="0"/>
        <v>E23NW</v>
      </c>
      <c r="B98" s="83">
        <v>23</v>
      </c>
      <c r="C98" s="83" t="s">
        <v>127</v>
      </c>
      <c r="D98" s="59">
        <f t="shared" si="1"/>
        <v>4800</v>
      </c>
      <c r="E98" s="84" t="s">
        <v>778</v>
      </c>
      <c r="F98" s="84">
        <v>1103121811</v>
      </c>
      <c r="G98" s="83" t="s">
        <v>779</v>
      </c>
      <c r="H98" s="84" t="s">
        <v>780</v>
      </c>
      <c r="I98" s="84">
        <v>114.19264939999999</v>
      </c>
      <c r="J98" s="84">
        <v>22.286788260000002</v>
      </c>
      <c r="K98" s="88">
        <v>6</v>
      </c>
      <c r="L98" s="84" t="s">
        <v>115</v>
      </c>
      <c r="M98" s="88">
        <v>75.900000000000006</v>
      </c>
      <c r="N98" s="84" t="s">
        <v>115</v>
      </c>
      <c r="O98" s="88">
        <v>69.900000000000006</v>
      </c>
      <c r="P98" s="85"/>
      <c r="Q98" s="75" t="b">
        <v>0</v>
      </c>
      <c r="R98" s="75" t="b">
        <v>0</v>
      </c>
      <c r="S98" s="75" t="b">
        <v>0</v>
      </c>
      <c r="T98" s="75" t="b">
        <f ca="1">AND(U98&lt;&gt;"",OR(U98&gt;(VLOOKUP(B98,E_analysis!$A$2:$K$36,5,FALSE)+2*VLOOKUP(B98,E_analysis!$A$2:$K$36,6,FALSE)),U98&lt;(VLOOKUP(B98,E_analysis!$A$2:$K$36,5,FALSE)-2*VLOOKUP(B98,E_analysis!$A$2:$K$36,6,FALSE))))</f>
        <v>0</v>
      </c>
      <c r="U98" s="86">
        <f>IFERROR(VLOOKUP($F98,NE_bmis!$A:$K,6,FALSE),"")</f>
        <v>24</v>
      </c>
      <c r="V98" s="84">
        <f>IFERROR(VLOOKUP($F98,NE_bmis!$A:$K,7,FALSE),"")</f>
        <v>0</v>
      </c>
      <c r="W98" s="87">
        <f>IFERROR(VLOOKUP($F98,NE_bmis!$A:$K,8,FALSE),"")</f>
        <v>49</v>
      </c>
      <c r="X98" s="84">
        <f>IFERROR(VLOOKUP($F98,NE_bmis!$A:$K,9,FALSE),"")</f>
        <v>1988</v>
      </c>
      <c r="Y98" s="84" t="str">
        <f>IFERROR(VLOOKUP($F98,NE_bmis!$A:$K,11,FALSE),"")</f>
        <v>BMIS_auto</v>
      </c>
      <c r="Z98" s="66" t="s">
        <v>2126</v>
      </c>
    </row>
    <row r="99" spans="1:26" ht="15.75" customHeight="1">
      <c r="A99" s="83" t="str">
        <f t="shared" si="0"/>
        <v>E24NE</v>
      </c>
      <c r="B99" s="83">
        <v>24</v>
      </c>
      <c r="C99" s="83" t="s">
        <v>110</v>
      </c>
      <c r="D99" s="59">
        <f t="shared" si="1"/>
        <v>5000</v>
      </c>
      <c r="E99" s="84" t="s">
        <v>781</v>
      </c>
      <c r="F99" s="84">
        <v>1103120818</v>
      </c>
      <c r="G99" s="83" t="s">
        <v>782</v>
      </c>
      <c r="H99" s="84" t="s">
        <v>783</v>
      </c>
      <c r="I99" s="84">
        <v>114.1941391</v>
      </c>
      <c r="J99" s="84">
        <v>22.288405139999998</v>
      </c>
      <c r="K99" s="88">
        <v>6.7</v>
      </c>
      <c r="L99" s="84" t="s">
        <v>762</v>
      </c>
      <c r="M99" s="88">
        <v>126.8</v>
      </c>
      <c r="N99" s="84">
        <v>3</v>
      </c>
      <c r="O99" s="88">
        <v>120.1</v>
      </c>
      <c r="P99" s="85"/>
      <c r="Q99" s="75" t="b">
        <v>0</v>
      </c>
      <c r="R99" s="75" t="b">
        <v>0</v>
      </c>
      <c r="S99" s="75" t="b">
        <v>0</v>
      </c>
      <c r="T99" s="75" t="b">
        <f ca="1">AND(U99&lt;&gt;"",OR(U99&gt;(VLOOKUP(B99,E_analysis!$A$2:$K$36,5,FALSE)+2*VLOOKUP(B99,E_analysis!$A$2:$K$36,6,FALSE)),U99&lt;(VLOOKUP(B99,E_analysis!$A$2:$K$36,5,FALSE)-2*VLOOKUP(B99,E_analysis!$A$2:$K$36,6,FALSE))))</f>
        <v>0</v>
      </c>
      <c r="U99" s="86">
        <f>IFERROR(VLOOKUP($F99,NE_bmis!$A:$K,6,FALSE),"")</f>
        <v>36</v>
      </c>
      <c r="V99" s="84">
        <f>IFERROR(VLOOKUP($F99,NE_bmis!$A:$K,7,FALSE),"")</f>
        <v>0</v>
      </c>
      <c r="W99" s="87">
        <f>IFERROR(VLOOKUP($F99,NE_bmis!$A:$K,8,FALSE),"")</f>
        <v>194</v>
      </c>
      <c r="X99" s="84">
        <f>IFERROR(VLOOKUP($F99,NE_bmis!$A:$K,9,FALSE),"")</f>
        <v>1987</v>
      </c>
      <c r="Y99" s="84" t="str">
        <f>IFERROR(VLOOKUP($F99,NE_bmis!$A:$K,11,FALSE),"")</f>
        <v>BMIS_auto</v>
      </c>
      <c r="Z99" s="66" t="s">
        <v>2136</v>
      </c>
    </row>
    <row r="100" spans="1:26" ht="15.75" customHeight="1">
      <c r="A100" s="83" t="str">
        <f t="shared" si="0"/>
        <v>E24SE</v>
      </c>
      <c r="B100" s="83">
        <v>24</v>
      </c>
      <c r="C100" s="83" t="s">
        <v>116</v>
      </c>
      <c r="D100" s="59">
        <f t="shared" si="1"/>
        <v>5000</v>
      </c>
      <c r="E100" s="84" t="s">
        <v>784</v>
      </c>
      <c r="F100" s="84">
        <v>1103120938</v>
      </c>
      <c r="G100" s="83" t="s">
        <v>785</v>
      </c>
      <c r="H100" s="84" t="s">
        <v>786</v>
      </c>
      <c r="I100" s="84">
        <v>114.1938284</v>
      </c>
      <c r="J100" s="84">
        <v>22.288055100000001</v>
      </c>
      <c r="K100" s="88">
        <v>6.7</v>
      </c>
      <c r="L100" s="84" t="s">
        <v>762</v>
      </c>
      <c r="M100" s="88">
        <v>126.7</v>
      </c>
      <c r="N100" s="84" t="s">
        <v>115</v>
      </c>
      <c r="O100" s="88">
        <v>120</v>
      </c>
      <c r="P100" s="85"/>
      <c r="Q100" s="75" t="b">
        <v>0</v>
      </c>
      <c r="R100" s="75" t="b">
        <v>0</v>
      </c>
      <c r="S100" s="75" t="b">
        <v>0</v>
      </c>
      <c r="T100" s="75" t="b">
        <f ca="1">AND(U100&lt;&gt;"",OR(U100&gt;(VLOOKUP(B100,E_analysis!$A$2:$K$36,5,FALSE)+2*VLOOKUP(B100,E_analysis!$A$2:$K$36,6,FALSE)),U100&lt;(VLOOKUP(B100,E_analysis!$A$2:$K$36,5,FALSE)-2*VLOOKUP(B100,E_analysis!$A$2:$K$36,6,FALSE))))</f>
        <v>0</v>
      </c>
      <c r="U100" s="86">
        <f>IFERROR(VLOOKUP($F100,NE_bmis!$A:$K,6,FALSE),"")</f>
        <v>36</v>
      </c>
      <c r="V100" s="84">
        <f>IFERROR(VLOOKUP($F100,NE_bmis!$A:$K,7,FALSE),"")</f>
        <v>0</v>
      </c>
      <c r="W100" s="87">
        <f>IFERROR(VLOOKUP($F100,NE_bmis!$A:$K,8,FALSE),"")</f>
        <v>193</v>
      </c>
      <c r="X100" s="84">
        <f>IFERROR(VLOOKUP($F100,NE_bmis!$A:$K,9,FALSE),"")</f>
        <v>1987</v>
      </c>
      <c r="Y100" s="84" t="str">
        <f>IFERROR(VLOOKUP($F100,NE_bmis!$A:$K,11,FALSE),"")</f>
        <v>BMIS_auto</v>
      </c>
      <c r="Z100" s="66" t="s">
        <v>2136</v>
      </c>
    </row>
    <row r="101" spans="1:26" ht="15.75" customHeight="1">
      <c r="A101" s="83" t="str">
        <f t="shared" si="0"/>
        <v>E24SW</v>
      </c>
      <c r="B101" s="83">
        <v>24</v>
      </c>
      <c r="C101" s="83" t="s">
        <v>121</v>
      </c>
      <c r="D101" s="59">
        <f t="shared" si="1"/>
        <v>5000</v>
      </c>
      <c r="E101" s="84" t="s">
        <v>787</v>
      </c>
      <c r="F101" s="84">
        <v>1103120830</v>
      </c>
      <c r="G101" s="83" t="s">
        <v>788</v>
      </c>
      <c r="H101" s="84" t="s">
        <v>789</v>
      </c>
      <c r="I101" s="84">
        <v>114.19335510000001</v>
      </c>
      <c r="J101" s="84">
        <v>22.28842144</v>
      </c>
      <c r="K101" s="88">
        <v>5.2</v>
      </c>
      <c r="L101" s="84" t="s">
        <v>115</v>
      </c>
      <c r="M101" s="88">
        <v>45.6</v>
      </c>
      <c r="N101" s="84" t="s">
        <v>115</v>
      </c>
      <c r="O101" s="88">
        <v>40.4</v>
      </c>
      <c r="P101" s="85"/>
      <c r="Q101" s="75" t="b">
        <v>0</v>
      </c>
      <c r="R101" s="75" t="b">
        <v>0</v>
      </c>
      <c r="S101" s="75" t="b">
        <v>0</v>
      </c>
      <c r="T101" s="75" t="b">
        <f ca="1">AND(U101&lt;&gt;"",OR(U101&gt;(VLOOKUP(B101,E_analysis!$A$2:$K$36,5,FALSE)+2*VLOOKUP(B101,E_analysis!$A$2:$K$36,6,FALSE)),U101&lt;(VLOOKUP(B101,E_analysis!$A$2:$K$36,5,FALSE)-2*VLOOKUP(B101,E_analysis!$A$2:$K$36,6,FALSE))))</f>
        <v>0</v>
      </c>
      <c r="U101" s="86">
        <f>IFERROR(VLOOKUP($F101,NE_bmis!$A:$K,6,FALSE),"")</f>
        <v>12</v>
      </c>
      <c r="V101" s="84">
        <f>IFERROR(VLOOKUP($F101,NE_bmis!$A:$K,7,FALSE),"")</f>
        <v>0</v>
      </c>
      <c r="W101" s="87">
        <f>IFERROR(VLOOKUP($F101,NE_bmis!$A:$K,8,FALSE),"")</f>
        <v>45</v>
      </c>
      <c r="X101" s="84">
        <f>IFERROR(VLOOKUP($F101,NE_bmis!$A:$K,9,FALSE),"")</f>
        <v>1967</v>
      </c>
      <c r="Y101" s="84" t="str">
        <f>IFERROR(VLOOKUP($F101,NE_bmis!$A:$K,11,FALSE),"")</f>
        <v>BMIS_auto</v>
      </c>
      <c r="Z101" s="66" t="s">
        <v>2139</v>
      </c>
    </row>
    <row r="102" spans="1:26" ht="15.75" customHeight="1">
      <c r="A102" s="83" t="str">
        <f t="shared" si="0"/>
        <v>E24NW</v>
      </c>
      <c r="B102" s="83">
        <v>24</v>
      </c>
      <c r="C102" s="83" t="s">
        <v>127</v>
      </c>
      <c r="D102" s="59">
        <f t="shared" si="1"/>
        <v>5000</v>
      </c>
      <c r="E102" s="84" t="s">
        <v>790</v>
      </c>
      <c r="F102" s="84">
        <v>1103120777</v>
      </c>
      <c r="G102" s="83" t="s">
        <v>791</v>
      </c>
      <c r="H102" s="84" t="s">
        <v>792</v>
      </c>
      <c r="I102" s="84">
        <v>114.19358269999999</v>
      </c>
      <c r="J102" s="84">
        <v>22.288695659999998</v>
      </c>
      <c r="K102" s="88">
        <v>5.2</v>
      </c>
      <c r="L102" s="84" t="s">
        <v>115</v>
      </c>
      <c r="M102" s="88">
        <v>61.5</v>
      </c>
      <c r="N102" s="84">
        <v>3</v>
      </c>
      <c r="O102" s="88">
        <v>56.3</v>
      </c>
      <c r="P102" s="85"/>
      <c r="Q102" s="75" t="b">
        <v>0</v>
      </c>
      <c r="R102" s="75" t="b">
        <v>0</v>
      </c>
      <c r="S102" s="75" t="b">
        <v>0</v>
      </c>
      <c r="T102" s="75" t="b">
        <f ca="1">AND(U102&lt;&gt;"",OR(U102&gt;(VLOOKUP(B102,E_analysis!$A$2:$K$36,5,FALSE)+2*VLOOKUP(B102,E_analysis!$A$2:$K$36,6,FALSE)),U102&lt;(VLOOKUP(B102,E_analysis!$A$2:$K$36,5,FALSE)-2*VLOOKUP(B102,E_analysis!$A$2:$K$36,6,FALSE))))</f>
        <v>0</v>
      </c>
      <c r="U102" s="86">
        <f>IFERROR(VLOOKUP($F102,NE_bmis!$A:$K,6,FALSE),"")</f>
        <v>19</v>
      </c>
      <c r="V102" s="84">
        <f>IFERROR(VLOOKUP($F102,NE_bmis!$A:$K,7,FALSE),"")</f>
        <v>0</v>
      </c>
      <c r="W102" s="87">
        <f>IFERROR(VLOOKUP($F102,NE_bmis!$A:$K,8,FALSE),"")</f>
        <v>91</v>
      </c>
      <c r="X102" s="84">
        <f>IFERROR(VLOOKUP($F102,NE_bmis!$A:$K,9,FALSE),"")</f>
        <v>1966</v>
      </c>
      <c r="Y102" s="84" t="str">
        <f>IFERROR(VLOOKUP($F102,NE_bmis!$A:$K,11,FALSE),"")</f>
        <v>BMIS_auto</v>
      </c>
      <c r="Z102" s="66" t="s">
        <v>2141</v>
      </c>
    </row>
    <row r="103" spans="1:26" ht="15.75" customHeight="1">
      <c r="A103" s="83" t="str">
        <f t="shared" si="0"/>
        <v>E25NE</v>
      </c>
      <c r="B103" s="83">
        <v>25</v>
      </c>
      <c r="C103" s="83" t="s">
        <v>110</v>
      </c>
      <c r="D103" s="59">
        <f t="shared" si="1"/>
        <v>5200</v>
      </c>
      <c r="E103" s="84" t="s">
        <v>793</v>
      </c>
      <c r="F103" s="84">
        <v>1103120497</v>
      </c>
      <c r="G103" s="83" t="s">
        <v>794</v>
      </c>
      <c r="H103" s="84" t="s">
        <v>795</v>
      </c>
      <c r="I103" s="84">
        <v>114.19517089999999</v>
      </c>
      <c r="J103" s="84">
        <v>22.28973835</v>
      </c>
      <c r="K103" s="88">
        <v>5.2</v>
      </c>
      <c r="L103" s="84" t="s">
        <v>126</v>
      </c>
      <c r="M103" s="88">
        <v>85.3</v>
      </c>
      <c r="N103" s="84" t="s">
        <v>115</v>
      </c>
      <c r="O103" s="88">
        <v>80.099999999999994</v>
      </c>
      <c r="P103" s="85"/>
      <c r="Q103" s="75" t="b">
        <v>0</v>
      </c>
      <c r="R103" s="75" t="b">
        <v>0</v>
      </c>
      <c r="S103" s="75" t="b">
        <v>0</v>
      </c>
      <c r="T103" s="75" t="b">
        <f ca="1">AND(U103&lt;&gt;"",OR(U103&gt;(VLOOKUP(B103,E_analysis!$A$2:$K$36,5,FALSE)+2*VLOOKUP(B103,E_analysis!$A$2:$K$36,6,FALSE)),U103&lt;(VLOOKUP(B103,E_analysis!$A$2:$K$36,5,FALSE)-2*VLOOKUP(B103,E_analysis!$A$2:$K$36,6,FALSE))))</f>
        <v>0</v>
      </c>
      <c r="U103" s="86">
        <v>27</v>
      </c>
      <c r="V103" s="84">
        <f>IFERROR(VLOOKUP($F103,NE_bmis!$A:$K,7,FALSE),"")</f>
        <v>0</v>
      </c>
      <c r="W103" s="87">
        <v>264</v>
      </c>
      <c r="X103" s="84">
        <f>IFERROR(VLOOKUP($F103,NE_bmis!$A:$K,9,FALSE),"")</f>
        <v>1974</v>
      </c>
      <c r="Y103" s="84" t="s">
        <v>173</v>
      </c>
      <c r="Z103" s="66" t="s">
        <v>2151</v>
      </c>
    </row>
    <row r="104" spans="1:26" ht="15.75" customHeight="1">
      <c r="A104" s="83" t="str">
        <f t="shared" si="0"/>
        <v>E25SE</v>
      </c>
      <c r="B104" s="83">
        <v>25</v>
      </c>
      <c r="C104" s="83" t="s">
        <v>116</v>
      </c>
      <c r="D104" s="59">
        <f t="shared" si="1"/>
        <v>5200</v>
      </c>
      <c r="E104" s="84" t="s">
        <v>796</v>
      </c>
      <c r="F104" s="84">
        <v>1103120557</v>
      </c>
      <c r="G104" s="83" t="s">
        <v>797</v>
      </c>
      <c r="H104" s="84" t="s">
        <v>798</v>
      </c>
      <c r="I104" s="84">
        <v>114.19495999999999</v>
      </c>
      <c r="J104" s="84">
        <v>22.289501449999999</v>
      </c>
      <c r="K104" s="88">
        <v>5.2</v>
      </c>
      <c r="L104" s="84" t="s">
        <v>126</v>
      </c>
      <c r="M104" s="88">
        <v>88.2</v>
      </c>
      <c r="N104" s="84">
        <v>3</v>
      </c>
      <c r="O104" s="88">
        <v>83</v>
      </c>
      <c r="P104" s="85"/>
      <c r="Q104" s="75" t="b">
        <v>0</v>
      </c>
      <c r="R104" s="75" t="b">
        <v>0</v>
      </c>
      <c r="S104" s="75" t="b">
        <v>0</v>
      </c>
      <c r="T104" s="75" t="b">
        <f ca="1">AND(U104&lt;&gt;"",OR(U104&gt;(VLOOKUP(B104,E_analysis!$A$2:$K$36,5,FALSE)+2*VLOOKUP(B104,E_analysis!$A$2:$K$36,6,FALSE)),U104&lt;(VLOOKUP(B104,E_analysis!$A$2:$K$36,5,FALSE)-2*VLOOKUP(B104,E_analysis!$A$2:$K$36,6,FALSE))))</f>
        <v>0</v>
      </c>
      <c r="U104" s="86">
        <v>27</v>
      </c>
      <c r="V104" s="84" t="str">
        <f>IFERROR(VLOOKUP($F104,NE_bmis!$A:$K,7,FALSE),"")</f>
        <v/>
      </c>
      <c r="W104" s="87">
        <v>264</v>
      </c>
      <c r="X104" s="84">
        <v>1974</v>
      </c>
      <c r="Y104" s="84" t="s">
        <v>173</v>
      </c>
      <c r="Z104" s="66" t="s">
        <v>2153</v>
      </c>
    </row>
    <row r="105" spans="1:26" ht="15.75" customHeight="1">
      <c r="A105" s="83" t="str">
        <f t="shared" si="0"/>
        <v>E25SW</v>
      </c>
      <c r="B105" s="83">
        <v>25</v>
      </c>
      <c r="C105" s="83" t="s">
        <v>121</v>
      </c>
      <c r="D105" s="59">
        <f t="shared" si="1"/>
        <v>5200</v>
      </c>
      <c r="E105" s="84" t="s">
        <v>799</v>
      </c>
      <c r="F105" s="84">
        <v>1103120445</v>
      </c>
      <c r="G105" s="83" t="s">
        <v>800</v>
      </c>
      <c r="H105" s="84" t="s">
        <v>801</v>
      </c>
      <c r="I105" s="84">
        <v>114.19447769999999</v>
      </c>
      <c r="J105" s="84">
        <v>22.289831360000001</v>
      </c>
      <c r="K105" s="88">
        <v>4.5</v>
      </c>
      <c r="L105" s="84" t="s">
        <v>115</v>
      </c>
      <c r="M105" s="88">
        <v>120.3</v>
      </c>
      <c r="N105" s="84" t="s">
        <v>115</v>
      </c>
      <c r="O105" s="88">
        <v>115.8</v>
      </c>
      <c r="P105" s="85"/>
      <c r="Q105" s="75" t="b">
        <v>0</v>
      </c>
      <c r="R105" s="75" t="b">
        <v>0</v>
      </c>
      <c r="S105" s="75" t="b">
        <v>0</v>
      </c>
      <c r="T105" s="75" t="b">
        <f ca="1">AND(U105&lt;&gt;"",OR(U105&gt;(VLOOKUP(B105,E_analysis!$A$2:$K$36,5,FALSE)+2*VLOOKUP(B105,E_analysis!$A$2:$K$36,6,FALSE)),U105&lt;(VLOOKUP(B105,E_analysis!$A$2:$K$36,5,FALSE)-2*VLOOKUP(B105,E_analysis!$A$2:$K$36,6,FALSE))))</f>
        <v>0</v>
      </c>
      <c r="U105" s="86">
        <f>IFERROR(VLOOKUP($F105,NE_bmis!$A:$K,6,FALSE),"")</f>
        <v>25</v>
      </c>
      <c r="V105" s="84">
        <f>IFERROR(VLOOKUP($F105,NE_bmis!$A:$K,7,FALSE),"")</f>
        <v>0</v>
      </c>
      <c r="W105" s="87">
        <f>IFERROR(VLOOKUP($F105,NE_bmis!$A:$K,8,FALSE),"")</f>
        <v>25</v>
      </c>
      <c r="X105" s="84">
        <f>IFERROR(VLOOKUP($F105,NE_bmis!$A:$K,9,FALSE),"")</f>
        <v>1999</v>
      </c>
      <c r="Y105" s="84" t="str">
        <f>IFERROR(VLOOKUP($F105,NE_bmis!$A:$K,11,FALSE),"")</f>
        <v>BMIS_auto</v>
      </c>
      <c r="Z105" s="66" t="s">
        <v>2155</v>
      </c>
    </row>
    <row r="106" spans="1:26" ht="15.75" customHeight="1">
      <c r="A106" s="83" t="str">
        <f t="shared" si="0"/>
        <v>E25NW</v>
      </c>
      <c r="B106" s="83">
        <v>25</v>
      </c>
      <c r="C106" s="83" t="s">
        <v>127</v>
      </c>
      <c r="D106" s="59">
        <f t="shared" si="1"/>
        <v>5200</v>
      </c>
      <c r="E106" s="84" t="s">
        <v>802</v>
      </c>
      <c r="F106" s="84">
        <v>1103120388</v>
      </c>
      <c r="G106" s="83" t="s">
        <v>803</v>
      </c>
      <c r="H106" s="84" t="s">
        <v>804</v>
      </c>
      <c r="I106" s="84">
        <v>114.194783</v>
      </c>
      <c r="J106" s="84">
        <v>22.29005956</v>
      </c>
      <c r="K106" s="88">
        <v>5.8</v>
      </c>
      <c r="L106" s="84" t="s">
        <v>115</v>
      </c>
      <c r="M106" s="88">
        <v>66.400000000000006</v>
      </c>
      <c r="N106" s="84" t="s">
        <v>115</v>
      </c>
      <c r="O106" s="88">
        <v>60.6</v>
      </c>
      <c r="P106" s="85"/>
      <c r="Q106" s="75" t="b">
        <v>0</v>
      </c>
      <c r="R106" s="75" t="b">
        <v>0</v>
      </c>
      <c r="S106" s="75" t="b">
        <v>0</v>
      </c>
      <c r="T106" s="75" t="b">
        <f ca="1">AND(U106&lt;&gt;"",OR(U106&gt;(VLOOKUP(B106,E_analysis!$A$2:$K$36,5,FALSE)+2*VLOOKUP(B106,E_analysis!$A$2:$K$36,6,FALSE)),U106&lt;(VLOOKUP(B106,E_analysis!$A$2:$K$36,5,FALSE)-2*VLOOKUP(B106,E_analysis!$A$2:$K$36,6,FALSE))))</f>
        <v>0</v>
      </c>
      <c r="U106" s="86">
        <f>IFERROR(VLOOKUP($F106,NE_bmis!$A:$K,6,FALSE),"")</f>
        <v>20</v>
      </c>
      <c r="V106" s="84">
        <f>IFERROR(VLOOKUP($F106,NE_bmis!$A:$K,7,FALSE),"")</f>
        <v>0</v>
      </c>
      <c r="W106" s="87">
        <f>IFERROR(VLOOKUP($F106,NE_bmis!$A:$K,8,FALSE),"")</f>
        <v>335</v>
      </c>
      <c r="X106" s="84">
        <f>IFERROR(VLOOKUP($F106,NE_bmis!$A:$K,9,FALSE),"")</f>
        <v>1963</v>
      </c>
      <c r="Y106" s="84" t="str">
        <f>IFERROR(VLOOKUP($F106,NE_bmis!$A:$K,11,FALSE),"")</f>
        <v>BMIS_auto</v>
      </c>
      <c r="Z106" s="66" t="s">
        <v>2157</v>
      </c>
    </row>
    <row r="107" spans="1:26" ht="15.75" customHeight="1">
      <c r="A107" s="83" t="str">
        <f t="shared" si="0"/>
        <v>E26NE</v>
      </c>
      <c r="B107" s="83">
        <v>26</v>
      </c>
      <c r="C107" s="83" t="s">
        <v>110</v>
      </c>
      <c r="D107" s="59">
        <f t="shared" si="1"/>
        <v>5400</v>
      </c>
      <c r="E107" s="84" t="s">
        <v>805</v>
      </c>
      <c r="F107" s="84">
        <v>1103120381</v>
      </c>
      <c r="G107" s="83" t="s">
        <v>806</v>
      </c>
      <c r="H107" s="84" t="s">
        <v>807</v>
      </c>
      <c r="I107" s="84">
        <v>114.1968598</v>
      </c>
      <c r="J107" s="84">
        <v>22.290205879999998</v>
      </c>
      <c r="K107" s="88">
        <v>5.4</v>
      </c>
      <c r="L107" s="84" t="s">
        <v>126</v>
      </c>
      <c r="M107" s="88">
        <v>55</v>
      </c>
      <c r="N107" s="84" t="s">
        <v>115</v>
      </c>
      <c r="O107" s="88">
        <v>49.6</v>
      </c>
      <c r="P107" s="85"/>
      <c r="Q107" s="75" t="b">
        <v>0</v>
      </c>
      <c r="R107" s="75" t="b">
        <v>0</v>
      </c>
      <c r="S107" s="75" t="b">
        <v>0</v>
      </c>
      <c r="T107" s="75" t="b">
        <f ca="1">AND(U107&lt;&gt;"",OR(U107&gt;(VLOOKUP(B107,E_analysis!$A$2:$K$36,5,FALSE)+2*VLOOKUP(B107,E_analysis!$A$2:$K$36,6,FALSE)),U107&lt;(VLOOKUP(B107,E_analysis!$A$2:$K$36,5,FALSE)-2*VLOOKUP(B107,E_analysis!$A$2:$K$36,6,FALSE))))</f>
        <v>0</v>
      </c>
      <c r="U107" s="86">
        <f>IFERROR(VLOOKUP($F107,NE_bmis!$A:$K,6,FALSE),"")</f>
        <v>16</v>
      </c>
      <c r="V107" s="84">
        <f>IFERROR(VLOOKUP($F107,NE_bmis!$A:$K,7,FALSE),"")</f>
        <v>0</v>
      </c>
      <c r="W107" s="87">
        <f>IFERROR(VLOOKUP($F107,NE_bmis!$A:$K,8,FALSE),"")</f>
        <v>66</v>
      </c>
      <c r="X107" s="84">
        <f>IFERROR(VLOOKUP($F107,NE_bmis!$A:$K,9,FALSE),"")</f>
        <v>1958</v>
      </c>
      <c r="Y107" s="84" t="str">
        <f>IFERROR(VLOOKUP($F107,NE_bmis!$A:$K,11,FALSE),"")</f>
        <v>BMIS_auto</v>
      </c>
      <c r="Z107" s="66" t="s">
        <v>2167</v>
      </c>
    </row>
    <row r="108" spans="1:26" ht="15.75" customHeight="1">
      <c r="A108" s="83" t="str">
        <f t="shared" si="0"/>
        <v>E26SE</v>
      </c>
      <c r="B108" s="83">
        <v>26</v>
      </c>
      <c r="C108" s="83" t="s">
        <v>116</v>
      </c>
      <c r="D108" s="59">
        <f t="shared" si="1"/>
        <v>5400</v>
      </c>
      <c r="E108" s="84" t="s">
        <v>808</v>
      </c>
      <c r="F108" s="84">
        <v>1103120396</v>
      </c>
      <c r="G108" s="83" t="s">
        <v>809</v>
      </c>
      <c r="H108" s="84" t="s">
        <v>810</v>
      </c>
      <c r="I108" s="84">
        <v>114.1964724</v>
      </c>
      <c r="J108" s="84">
        <v>22.29012049</v>
      </c>
      <c r="K108" s="88">
        <v>6.1</v>
      </c>
      <c r="L108" s="84" t="s">
        <v>126</v>
      </c>
      <c r="M108" s="88">
        <v>67.7</v>
      </c>
      <c r="N108" s="84">
        <v>3</v>
      </c>
      <c r="O108" s="88">
        <v>61.6</v>
      </c>
      <c r="P108" s="85"/>
      <c r="Q108" s="75" t="b">
        <v>0</v>
      </c>
      <c r="R108" s="75" t="b">
        <v>0</v>
      </c>
      <c r="S108" s="75" t="b">
        <v>0</v>
      </c>
      <c r="T108" s="75" t="b">
        <f ca="1">AND(U108&lt;&gt;"",OR(U108&gt;(VLOOKUP(B108,E_analysis!$A$2:$K$36,5,FALSE)+2*VLOOKUP(B108,E_analysis!$A$2:$K$36,6,FALSE)),U108&lt;(VLOOKUP(B108,E_analysis!$A$2:$K$36,5,FALSE)-2*VLOOKUP(B108,E_analysis!$A$2:$K$36,6,FALSE))))</f>
        <v>0</v>
      </c>
      <c r="U108" s="86">
        <f>IFERROR(VLOOKUP($F108,NE_bmis!$A:$K,6,FALSE),"")</f>
        <v>19</v>
      </c>
      <c r="V108" s="84">
        <f>IFERROR(VLOOKUP($F108,NE_bmis!$A:$K,7,FALSE),"")</f>
        <v>0</v>
      </c>
      <c r="W108" s="87">
        <f>IFERROR(VLOOKUP($F108,NE_bmis!$A:$K,8,FALSE),"")</f>
        <v>160</v>
      </c>
      <c r="X108" s="84">
        <f>IFERROR(VLOOKUP($F108,NE_bmis!$A:$K,9,FALSE),"")</f>
        <v>1982</v>
      </c>
      <c r="Y108" s="84" t="str">
        <f>IFERROR(VLOOKUP($F108,NE_bmis!$A:$K,11,FALSE),"")</f>
        <v>BMIS_auto</v>
      </c>
      <c r="Z108" s="66" t="s">
        <v>2169</v>
      </c>
    </row>
    <row r="109" spans="1:26" ht="15.75" customHeight="1">
      <c r="A109" s="83" t="str">
        <f t="shared" si="0"/>
        <v>E26SW</v>
      </c>
      <c r="B109" s="83">
        <v>26</v>
      </c>
      <c r="C109" s="83" t="s">
        <v>121</v>
      </c>
      <c r="D109" s="59">
        <f t="shared" si="1"/>
        <v>5400</v>
      </c>
      <c r="E109" s="84" t="s">
        <v>811</v>
      </c>
      <c r="F109" s="84">
        <v>1103120276</v>
      </c>
      <c r="G109" s="83" t="s">
        <v>812</v>
      </c>
      <c r="H109" s="84" t="s">
        <v>813</v>
      </c>
      <c r="I109" s="84">
        <v>114.19648410000001</v>
      </c>
      <c r="J109" s="84">
        <v>22.290676250000001</v>
      </c>
      <c r="K109" s="88">
        <v>4.8</v>
      </c>
      <c r="L109" s="84" t="s">
        <v>126</v>
      </c>
      <c r="M109" s="88">
        <v>54.1</v>
      </c>
      <c r="N109" s="84">
        <v>3</v>
      </c>
      <c r="O109" s="88">
        <v>49.3</v>
      </c>
      <c r="P109" s="85"/>
      <c r="Q109" s="75" t="b">
        <v>0</v>
      </c>
      <c r="R109" s="75" t="b">
        <v>0</v>
      </c>
      <c r="S109" s="75" t="b">
        <v>0</v>
      </c>
      <c r="T109" s="75" t="b">
        <f ca="1">AND(U109&lt;&gt;"",OR(U109&gt;(VLOOKUP(B109,E_analysis!$A$2:$K$36,5,FALSE)+2*VLOOKUP(B109,E_analysis!$A$2:$K$36,6,FALSE)),U109&lt;(VLOOKUP(B109,E_analysis!$A$2:$K$36,5,FALSE)-2*VLOOKUP(B109,E_analysis!$A$2:$K$36,6,FALSE))))</f>
        <v>0</v>
      </c>
      <c r="U109" s="86">
        <f>IFERROR(VLOOKUP($F109,NE_bmis!$A:$K,6,FALSE),"")</f>
        <v>15</v>
      </c>
      <c r="V109" s="84">
        <f>IFERROR(VLOOKUP($F109,NE_bmis!$A:$K,7,FALSE),"")</f>
        <v>0</v>
      </c>
      <c r="W109" s="87">
        <f>IFERROR(VLOOKUP($F109,NE_bmis!$A:$K,8,FALSE),"")</f>
        <v>180</v>
      </c>
      <c r="X109" s="84">
        <f>IFERROR(VLOOKUP($F109,NE_bmis!$A:$K,9,FALSE),"")</f>
        <v>1958</v>
      </c>
      <c r="Y109" s="84" t="str">
        <f>IFERROR(VLOOKUP($F109,NE_bmis!$A:$K,11,FALSE),"")</f>
        <v>BMIS_auto</v>
      </c>
      <c r="Z109" s="66" t="s">
        <v>2171</v>
      </c>
    </row>
    <row r="110" spans="1:26" ht="15.75" customHeight="1">
      <c r="A110" s="83" t="str">
        <f t="shared" si="0"/>
        <v>E26NW</v>
      </c>
      <c r="B110" s="83">
        <v>26</v>
      </c>
      <c r="C110" s="83" t="s">
        <v>127</v>
      </c>
      <c r="D110" s="59">
        <f t="shared" si="1"/>
        <v>5400</v>
      </c>
      <c r="E110" s="84" t="s">
        <v>814</v>
      </c>
      <c r="F110" s="84">
        <v>1103120290</v>
      </c>
      <c r="G110" s="83" t="s">
        <v>815</v>
      </c>
      <c r="H110" s="84" t="s">
        <v>816</v>
      </c>
      <c r="I110" s="84">
        <v>114.1969751</v>
      </c>
      <c r="J110" s="84">
        <v>22.2907218</v>
      </c>
      <c r="K110" s="88">
        <v>4.8</v>
      </c>
      <c r="L110" s="84" t="s">
        <v>126</v>
      </c>
      <c r="M110" s="88">
        <v>81.099999999999994</v>
      </c>
      <c r="N110" s="84">
        <v>3</v>
      </c>
      <c r="O110" s="88">
        <v>76.3</v>
      </c>
      <c r="P110" s="85"/>
      <c r="Q110" s="75" t="b">
        <v>0</v>
      </c>
      <c r="R110" s="75" t="b">
        <v>0</v>
      </c>
      <c r="S110" s="75" t="b">
        <v>0</v>
      </c>
      <c r="T110" s="75" t="b">
        <f ca="1">AND(U110&lt;&gt;"",OR(U110&gt;(VLOOKUP(B110,E_analysis!$A$2:$K$36,5,FALSE)+2*VLOOKUP(B110,E_analysis!$A$2:$K$36,6,FALSE)),U110&lt;(VLOOKUP(B110,E_analysis!$A$2:$K$36,5,FALSE)-2*VLOOKUP(B110,E_analysis!$A$2:$K$36,6,FALSE))))</f>
        <v>0</v>
      </c>
      <c r="U110" s="86">
        <f>IFERROR(VLOOKUP($F110,NE_bmis!$A:$K,6,FALSE),"")</f>
        <v>23</v>
      </c>
      <c r="V110" s="84">
        <f>IFERROR(VLOOKUP($F110,NE_bmis!$A:$K,7,FALSE),"")</f>
        <v>0</v>
      </c>
      <c r="W110" s="87">
        <f>IFERROR(VLOOKUP($F110,NE_bmis!$A:$K,8,FALSE),"")</f>
        <v>92</v>
      </c>
      <c r="X110" s="84">
        <f>IFERROR(VLOOKUP($F110,NE_bmis!$A:$K,9,FALSE),"")</f>
        <v>1985</v>
      </c>
      <c r="Y110" s="84" t="str">
        <f>IFERROR(VLOOKUP($F110,NE_bmis!$A:$K,11,FALSE),"")</f>
        <v>BMIS_auto</v>
      </c>
      <c r="Z110" s="66" t="s">
        <v>2173</v>
      </c>
    </row>
    <row r="111" spans="1:26" ht="15.75" customHeight="1">
      <c r="A111" s="83" t="str">
        <f t="shared" si="0"/>
        <v>E27NE</v>
      </c>
      <c r="B111" s="83">
        <v>27</v>
      </c>
      <c r="C111" s="83" t="s">
        <v>110</v>
      </c>
      <c r="D111" s="59">
        <f t="shared" si="1"/>
        <v>5600</v>
      </c>
      <c r="E111" s="84" t="s">
        <v>817</v>
      </c>
      <c r="F111" s="84">
        <v>1103120312</v>
      </c>
      <c r="G111" s="83" t="s">
        <v>818</v>
      </c>
      <c r="H111" s="84" t="s">
        <v>819</v>
      </c>
      <c r="I111" s="84">
        <v>114.1989373</v>
      </c>
      <c r="J111" s="84">
        <v>22.290515769999999</v>
      </c>
      <c r="K111" s="88">
        <v>14.4</v>
      </c>
      <c r="L111" s="84" t="s">
        <v>115</v>
      </c>
      <c r="M111" s="88">
        <v>79.7</v>
      </c>
      <c r="N111" s="84">
        <v>3</v>
      </c>
      <c r="O111" s="88">
        <v>65.3</v>
      </c>
      <c r="P111" s="85"/>
      <c r="Q111" s="75" t="b">
        <v>0</v>
      </c>
      <c r="R111" s="75" t="b">
        <v>0</v>
      </c>
      <c r="S111" s="75" t="b">
        <v>0</v>
      </c>
      <c r="T111" s="75" t="b">
        <f ca="1">AND(U111&lt;&gt;"",OR(U111&gt;(VLOOKUP(B111,E_analysis!$A$2:$K$36,5,FALSE)+2*VLOOKUP(B111,E_analysis!$A$2:$K$36,6,FALSE)),U111&lt;(VLOOKUP(B111,E_analysis!$A$2:$K$36,5,FALSE)-2*VLOOKUP(B111,E_analysis!$A$2:$K$36,6,FALSE))))</f>
        <v>0</v>
      </c>
      <c r="U111" s="86">
        <f>IFERROR(VLOOKUP($F111,NE_bmis!$A:$K,6,FALSE),"")</f>
        <v>25</v>
      </c>
      <c r="V111" s="84">
        <f>IFERROR(VLOOKUP($F111,NE_bmis!$A:$K,7,FALSE),"")</f>
        <v>2</v>
      </c>
      <c r="W111" s="87">
        <f>IFERROR(VLOOKUP($F111,NE_bmis!$A:$K,8,FALSE),"")</f>
        <v>200</v>
      </c>
      <c r="X111" s="84">
        <f>IFERROR(VLOOKUP($F111,NE_bmis!$A:$K,9,FALSE),"")</f>
        <v>1985</v>
      </c>
      <c r="Y111" s="84" t="str">
        <f>IFERROR(VLOOKUP($F111,NE_bmis!$A:$K,11,FALSE),"")</f>
        <v>BMIS_auto</v>
      </c>
      <c r="Z111" s="66" t="s">
        <v>2183</v>
      </c>
    </row>
    <row r="112" spans="1:26" ht="15.75" customHeight="1">
      <c r="A112" s="83" t="str">
        <f t="shared" si="0"/>
        <v>E27SE</v>
      </c>
      <c r="B112" s="83">
        <v>27</v>
      </c>
      <c r="C112" s="83" t="s">
        <v>116</v>
      </c>
      <c r="D112" s="59">
        <f t="shared" si="1"/>
        <v>5600</v>
      </c>
      <c r="E112" s="84" t="s">
        <v>820</v>
      </c>
      <c r="F112" s="84">
        <v>1103120334</v>
      </c>
      <c r="G112" s="83" t="s">
        <v>821</v>
      </c>
      <c r="H112" s="84" t="s">
        <v>822</v>
      </c>
      <c r="I112" s="84">
        <v>114.1986769</v>
      </c>
      <c r="J112" s="84">
        <v>22.29044098</v>
      </c>
      <c r="K112" s="88">
        <v>12.2</v>
      </c>
      <c r="L112" s="84" t="s">
        <v>115</v>
      </c>
      <c r="M112" s="88">
        <v>83</v>
      </c>
      <c r="N112" s="84" t="s">
        <v>115</v>
      </c>
      <c r="O112" s="88">
        <v>70.8</v>
      </c>
      <c r="P112" s="85"/>
      <c r="Q112" s="75" t="b">
        <v>0</v>
      </c>
      <c r="R112" s="75" t="b">
        <v>0</v>
      </c>
      <c r="S112" s="75" t="b">
        <v>0</v>
      </c>
      <c r="T112" s="75" t="b">
        <f ca="1">AND(U112&lt;&gt;"",OR(U112&gt;(VLOOKUP(B112,E_analysis!$A$2:$K$36,5,FALSE)+2*VLOOKUP(B112,E_analysis!$A$2:$K$36,6,FALSE)),U112&lt;(VLOOKUP(B112,E_analysis!$A$2:$K$36,5,FALSE)-2*VLOOKUP(B112,E_analysis!$A$2:$K$36,6,FALSE))))</f>
        <v>0</v>
      </c>
      <c r="U112" s="86">
        <f>IFERROR(VLOOKUP($F112,NE_bmis!$A:$K,6,FALSE),"")</f>
        <v>28</v>
      </c>
      <c r="V112" s="84">
        <f>IFERROR(VLOOKUP($F112,NE_bmis!$A:$K,7,FALSE),"")</f>
        <v>0</v>
      </c>
      <c r="W112" s="87">
        <f>IFERROR(VLOOKUP($F112,NE_bmis!$A:$K,8,FALSE),"")</f>
        <v>146</v>
      </c>
      <c r="X112" s="84">
        <f>IFERROR(VLOOKUP($F112,NE_bmis!$A:$K,9,FALSE),"")</f>
        <v>1988</v>
      </c>
      <c r="Y112" s="84" t="str">
        <f>IFERROR(VLOOKUP($F112,NE_bmis!$A:$K,11,FALSE),"")</f>
        <v>BMIS_auto</v>
      </c>
      <c r="Z112" s="66" t="s">
        <v>2185</v>
      </c>
    </row>
    <row r="113" spans="1:26" ht="15.75" customHeight="1">
      <c r="A113" s="83" t="str">
        <f t="shared" si="0"/>
        <v>E27SW</v>
      </c>
      <c r="B113" s="83">
        <v>27</v>
      </c>
      <c r="C113" s="83" t="s">
        <v>121</v>
      </c>
      <c r="D113" s="59">
        <f t="shared" si="1"/>
        <v>5600</v>
      </c>
      <c r="E113" s="84" t="s">
        <v>823</v>
      </c>
      <c r="F113" s="84">
        <v>1103120221</v>
      </c>
      <c r="G113" s="83" t="s">
        <v>824</v>
      </c>
      <c r="H113" s="84" t="s">
        <v>825</v>
      </c>
      <c r="I113" s="84">
        <v>114.1985141</v>
      </c>
      <c r="J113" s="84">
        <v>22.291043160000001</v>
      </c>
      <c r="K113" s="88">
        <v>19.399999999999999</v>
      </c>
      <c r="L113" s="84" t="s">
        <v>115</v>
      </c>
      <c r="M113" s="88">
        <v>85.1</v>
      </c>
      <c r="N113" s="84" t="s">
        <v>115</v>
      </c>
      <c r="O113" s="88">
        <v>65.7</v>
      </c>
      <c r="P113" s="85"/>
      <c r="Q113" s="75" t="b">
        <v>0</v>
      </c>
      <c r="R113" s="75" t="b">
        <v>0</v>
      </c>
      <c r="S113" s="75" t="b">
        <v>0</v>
      </c>
      <c r="T113" s="75" t="b">
        <f ca="1">AND(U113&lt;&gt;"",OR(U113&gt;(VLOOKUP(B113,E_analysis!$A$2:$K$36,5,FALSE)+2*VLOOKUP(B113,E_analysis!$A$2:$K$36,6,FALSE)),U113&lt;(VLOOKUP(B113,E_analysis!$A$2:$K$36,5,FALSE)-2*VLOOKUP(B113,E_analysis!$A$2:$K$36,6,FALSE))))</f>
        <v>0</v>
      </c>
      <c r="U113" s="86">
        <f>IFERROR(VLOOKUP($F113,NE_bmis!$A:$K,6,FALSE),"")</f>
        <v>28</v>
      </c>
      <c r="V113" s="84">
        <f>IFERROR(VLOOKUP($F113,NE_bmis!$A:$K,7,FALSE),"")</f>
        <v>0</v>
      </c>
      <c r="W113" s="87">
        <f>IFERROR(VLOOKUP($F113,NE_bmis!$A:$K,8,FALSE),"")</f>
        <v>56</v>
      </c>
      <c r="X113" s="84">
        <f>IFERROR(VLOOKUP($F113,NE_bmis!$A:$K,9,FALSE),"")</f>
        <v>1996</v>
      </c>
      <c r="Y113" s="84" t="str">
        <f>IFERROR(VLOOKUP($F113,NE_bmis!$A:$K,11,FALSE),"")</f>
        <v>BMIS_auto</v>
      </c>
      <c r="Z113" s="66" t="s">
        <v>2187</v>
      </c>
    </row>
    <row r="114" spans="1:26" ht="15.75" customHeight="1">
      <c r="A114" s="83" t="str">
        <f t="shared" si="0"/>
        <v>E27NW</v>
      </c>
      <c r="B114" s="83">
        <v>27</v>
      </c>
      <c r="C114" s="83" t="s">
        <v>127</v>
      </c>
      <c r="D114" s="59">
        <f t="shared" si="1"/>
        <v>5600</v>
      </c>
      <c r="E114" s="84" t="s">
        <v>826</v>
      </c>
      <c r="F114" s="84">
        <v>1103120100</v>
      </c>
      <c r="G114" s="83" t="s">
        <v>827</v>
      </c>
      <c r="H114" s="84" t="s">
        <v>828</v>
      </c>
      <c r="I114" s="84">
        <v>114.199158</v>
      </c>
      <c r="J114" s="84">
        <v>22.29127536</v>
      </c>
      <c r="K114" s="88">
        <v>4.3</v>
      </c>
      <c r="L114" s="84" t="s">
        <v>126</v>
      </c>
      <c r="M114" s="88">
        <v>90</v>
      </c>
      <c r="N114" s="84" t="s">
        <v>115</v>
      </c>
      <c r="O114" s="88">
        <v>85.7</v>
      </c>
      <c r="P114" s="85"/>
      <c r="Q114" s="75" t="b">
        <v>0</v>
      </c>
      <c r="R114" s="75" t="b">
        <v>0</v>
      </c>
      <c r="S114" s="75" t="b">
        <v>0</v>
      </c>
      <c r="T114" s="75" t="b">
        <f ca="1">AND(U114&lt;&gt;"",OR(U114&gt;(VLOOKUP(B114,E_analysis!$A$2:$K$36,5,FALSE)+2*VLOOKUP(B114,E_analysis!$A$2:$K$36,6,FALSE)),U114&lt;(VLOOKUP(B114,E_analysis!$A$2:$K$36,5,FALSE)-2*VLOOKUP(B114,E_analysis!$A$2:$K$36,6,FALSE))))</f>
        <v>0</v>
      </c>
      <c r="U114" s="86">
        <f>IFERROR(VLOOKUP($F114,NE_bmis!$A:$K,6,FALSE),"")</f>
        <v>28</v>
      </c>
      <c r="V114" s="84">
        <f>IFERROR(VLOOKUP($F114,NE_bmis!$A:$K,7,FALSE),"")</f>
        <v>0</v>
      </c>
      <c r="W114" s="87">
        <f>IFERROR(VLOOKUP($F114,NE_bmis!$A:$K,8,FALSE),"")</f>
        <v>395</v>
      </c>
      <c r="X114" s="84">
        <f>IFERROR(VLOOKUP($F114,NE_bmis!$A:$K,9,FALSE),"")</f>
        <v>1966</v>
      </c>
      <c r="Y114" s="84" t="str">
        <f>IFERROR(VLOOKUP($F114,NE_bmis!$A:$K,11,FALSE),"")</f>
        <v>BMIS_auto</v>
      </c>
      <c r="Z114" s="66" t="s">
        <v>2189</v>
      </c>
    </row>
    <row r="115" spans="1:26" ht="15.75" customHeight="1">
      <c r="A115" s="83" t="str">
        <f t="shared" si="0"/>
        <v>E28NE</v>
      </c>
      <c r="B115" s="83">
        <v>28</v>
      </c>
      <c r="C115" s="83" t="s">
        <v>110</v>
      </c>
      <c r="D115" s="59">
        <f t="shared" si="1"/>
        <v>5800</v>
      </c>
      <c r="E115" s="84" t="s">
        <v>829</v>
      </c>
      <c r="F115" s="84">
        <v>1103120219</v>
      </c>
      <c r="G115" s="83" t="s">
        <v>830</v>
      </c>
      <c r="H115" s="84" t="s">
        <v>831</v>
      </c>
      <c r="I115" s="84">
        <v>114.2007837</v>
      </c>
      <c r="J115" s="84">
        <v>22.291039470000001</v>
      </c>
      <c r="K115" s="88">
        <v>19.5</v>
      </c>
      <c r="L115" s="84" t="s">
        <v>115</v>
      </c>
      <c r="M115" s="88">
        <v>82.5</v>
      </c>
      <c r="N115" s="84">
        <v>3</v>
      </c>
      <c r="O115" s="88">
        <v>63</v>
      </c>
      <c r="P115" s="85"/>
      <c r="Q115" s="75" t="b">
        <v>0</v>
      </c>
      <c r="R115" s="75" t="b">
        <v>0</v>
      </c>
      <c r="S115" s="75" t="b">
        <v>0</v>
      </c>
      <c r="T115" s="75" t="b">
        <f ca="1">AND(U115&lt;&gt;"",OR(U115&gt;(VLOOKUP(B115,E_analysis!$A$2:$K$36,5,FALSE)+2*VLOOKUP(B115,E_analysis!$A$2:$K$36,6,FALSE)),U115&lt;(VLOOKUP(B115,E_analysis!$A$2:$K$36,5,FALSE)-2*VLOOKUP(B115,E_analysis!$A$2:$K$36,6,FALSE))))</f>
        <v>0</v>
      </c>
      <c r="U115" s="86">
        <v>24</v>
      </c>
      <c r="V115" s="84" t="str">
        <f>IFERROR(VLOOKUP($F115,NE_bmis!$A:$K,7,FALSE),"")</f>
        <v/>
      </c>
      <c r="W115" s="87">
        <v>96</v>
      </c>
      <c r="X115" s="84">
        <v>1987</v>
      </c>
      <c r="Y115" s="84" t="s">
        <v>173</v>
      </c>
      <c r="Z115" s="66" t="s">
        <v>2199</v>
      </c>
    </row>
    <row r="116" spans="1:26" ht="15.75" customHeight="1">
      <c r="A116" s="83" t="str">
        <f t="shared" si="0"/>
        <v>E28SE</v>
      </c>
      <c r="B116" s="83">
        <v>28</v>
      </c>
      <c r="C116" s="83" t="s">
        <v>116</v>
      </c>
      <c r="D116" s="59">
        <f t="shared" si="1"/>
        <v>5800</v>
      </c>
      <c r="E116" s="84" t="s">
        <v>832</v>
      </c>
      <c r="F116" s="84">
        <v>1103120249</v>
      </c>
      <c r="G116" s="83" t="s">
        <v>833</v>
      </c>
      <c r="H116" s="84" t="s">
        <v>834</v>
      </c>
      <c r="I116" s="84">
        <v>114.2001915</v>
      </c>
      <c r="J116" s="84">
        <v>22.290815609999999</v>
      </c>
      <c r="K116" s="88">
        <v>4.4000000000000004</v>
      </c>
      <c r="L116" s="84" t="s">
        <v>126</v>
      </c>
      <c r="M116" s="88">
        <v>34.9</v>
      </c>
      <c r="N116" s="84">
        <v>3</v>
      </c>
      <c r="O116" s="88">
        <v>30.5</v>
      </c>
      <c r="P116" s="85"/>
      <c r="Q116" s="75" t="b">
        <v>0</v>
      </c>
      <c r="R116" s="75" t="b">
        <v>0</v>
      </c>
      <c r="S116" s="75" t="b">
        <v>0</v>
      </c>
      <c r="T116" s="75" t="b">
        <f ca="1">AND(U116&lt;&gt;"",OR(U116&gt;(VLOOKUP(B116,E_analysis!$A$2:$K$36,5,FALSE)+2*VLOOKUP(B116,E_analysis!$A$2:$K$36,6,FALSE)),U116&lt;(VLOOKUP(B116,E_analysis!$A$2:$K$36,5,FALSE)-2*VLOOKUP(B116,E_analysis!$A$2:$K$36,6,FALSE))))</f>
        <v>0</v>
      </c>
      <c r="U116" s="86">
        <f>IFERROR(VLOOKUP($F116,NE_bmis!$A:$K,6,FALSE),"")</f>
        <v>17</v>
      </c>
      <c r="V116" s="84">
        <f>IFERROR(VLOOKUP($F116,NE_bmis!$A:$K,7,FALSE),"")</f>
        <v>0</v>
      </c>
      <c r="W116" s="87">
        <f>IFERROR(VLOOKUP($F116,NE_bmis!$A:$K,8,FALSE),"")</f>
        <v>264</v>
      </c>
      <c r="X116" s="84">
        <f>IFERROR(VLOOKUP($F116,NE_bmis!$A:$K,9,FALSE),"")</f>
        <v>1959</v>
      </c>
      <c r="Y116" s="84" t="str">
        <f>IFERROR(VLOOKUP($F116,NE_bmis!$A:$K,11,FALSE),"")</f>
        <v>BMIS_auto</v>
      </c>
      <c r="Z116" s="66" t="s">
        <v>2201</v>
      </c>
    </row>
    <row r="117" spans="1:26" ht="15.75" customHeight="1">
      <c r="A117" s="83" t="str">
        <f t="shared" si="0"/>
        <v>E28SW</v>
      </c>
      <c r="B117" s="83">
        <v>28</v>
      </c>
      <c r="C117" s="83" t="s">
        <v>121</v>
      </c>
      <c r="D117" s="59">
        <f t="shared" si="1"/>
        <v>5800</v>
      </c>
      <c r="E117" s="84" t="s">
        <v>835</v>
      </c>
      <c r="F117" s="84">
        <v>1103120091</v>
      </c>
      <c r="G117" s="83" t="s">
        <v>836</v>
      </c>
      <c r="H117" s="84" t="s">
        <v>837</v>
      </c>
      <c r="I117" s="84">
        <v>114.20039749999999</v>
      </c>
      <c r="J117" s="84">
        <v>22.291418849999999</v>
      </c>
      <c r="K117" s="88">
        <v>4.5</v>
      </c>
      <c r="L117" s="84" t="s">
        <v>126</v>
      </c>
      <c r="M117" s="88">
        <v>57.8</v>
      </c>
      <c r="N117" s="84" t="s">
        <v>115</v>
      </c>
      <c r="O117" s="88">
        <v>53.3</v>
      </c>
      <c r="P117" s="85"/>
      <c r="Q117" s="75" t="b">
        <v>0</v>
      </c>
      <c r="R117" s="75" t="b">
        <v>0</v>
      </c>
      <c r="S117" s="75" t="b">
        <v>0</v>
      </c>
      <c r="T117" s="75" t="b">
        <f ca="1">AND(U117&lt;&gt;"",OR(U117&gt;(VLOOKUP(B117,E_analysis!$A$2:$K$36,5,FALSE)+2*VLOOKUP(B117,E_analysis!$A$2:$K$36,6,FALSE)),U117&lt;(VLOOKUP(B117,E_analysis!$A$2:$K$36,5,FALSE)-2*VLOOKUP(B117,E_analysis!$A$2:$K$36,6,FALSE))))</f>
        <v>0</v>
      </c>
      <c r="U117" s="86">
        <f>IFERROR(VLOOKUP($F117,NE_bmis!$A:$K,6,FALSE),"")</f>
        <v>17</v>
      </c>
      <c r="V117" s="84">
        <f>IFERROR(VLOOKUP($F117,NE_bmis!$A:$K,7,FALSE),"")</f>
        <v>0</v>
      </c>
      <c r="W117" s="87">
        <f>IFERROR(VLOOKUP($F117,NE_bmis!$A:$K,8,FALSE),"")</f>
        <v>99</v>
      </c>
      <c r="X117" s="84">
        <f>IFERROR(VLOOKUP($F117,NE_bmis!$A:$K,9,FALSE),"")</f>
        <v>1968</v>
      </c>
      <c r="Y117" s="84" t="str">
        <f>IFERROR(VLOOKUP($F117,NE_bmis!$A:$K,11,FALSE),"")</f>
        <v>BMIS_auto</v>
      </c>
      <c r="Z117" s="66" t="s">
        <v>2203</v>
      </c>
    </row>
    <row r="118" spans="1:26" ht="15.75" customHeight="1">
      <c r="A118" s="83" t="str">
        <f t="shared" si="0"/>
        <v>E28NW</v>
      </c>
      <c r="B118" s="83">
        <v>28</v>
      </c>
      <c r="C118" s="83" t="s">
        <v>127</v>
      </c>
      <c r="D118" s="59">
        <f t="shared" si="1"/>
        <v>5800</v>
      </c>
      <c r="E118" s="84" t="s">
        <v>838</v>
      </c>
      <c r="F118" s="84">
        <v>1103120068</v>
      </c>
      <c r="G118" s="83" t="s">
        <v>839</v>
      </c>
      <c r="H118" s="84" t="s">
        <v>840</v>
      </c>
      <c r="I118" s="84">
        <v>114.2005865</v>
      </c>
      <c r="J118" s="84">
        <v>22.29146201</v>
      </c>
      <c r="K118" s="88">
        <v>4.3</v>
      </c>
      <c r="L118" s="84" t="s">
        <v>126</v>
      </c>
      <c r="M118" s="88">
        <v>66.2</v>
      </c>
      <c r="N118" s="84" t="s">
        <v>115</v>
      </c>
      <c r="O118" s="88">
        <v>61.9</v>
      </c>
      <c r="P118" s="85"/>
      <c r="Q118" s="75" t="b">
        <v>0</v>
      </c>
      <c r="R118" s="75" t="b">
        <v>0</v>
      </c>
      <c r="S118" s="75" t="b">
        <v>0</v>
      </c>
      <c r="T118" s="75" t="b">
        <f ca="1">AND(U118&lt;&gt;"",OR(U118&gt;(VLOOKUP(B118,E_analysis!$A$2:$K$36,5,FALSE)+2*VLOOKUP(B118,E_analysis!$A$2:$K$36,6,FALSE)),U118&lt;(VLOOKUP(B118,E_analysis!$A$2:$K$36,5,FALSE)-2*VLOOKUP(B118,E_analysis!$A$2:$K$36,6,FALSE))))</f>
        <v>0</v>
      </c>
      <c r="U118" s="86">
        <f>IFERROR(VLOOKUP($F118,NE_bmis!$A:$K,6,FALSE),"")</f>
        <v>20</v>
      </c>
      <c r="V118" s="84">
        <f>IFERROR(VLOOKUP($F118,NE_bmis!$A:$K,7,FALSE),"")</f>
        <v>0</v>
      </c>
      <c r="W118" s="87">
        <f>IFERROR(VLOOKUP($F118,NE_bmis!$A:$K,8,FALSE),"")</f>
        <v>57</v>
      </c>
      <c r="X118" s="84">
        <f>IFERROR(VLOOKUP($F118,NE_bmis!$A:$K,9,FALSE),"")</f>
        <v>1974</v>
      </c>
      <c r="Y118" s="84" t="str">
        <f>IFERROR(VLOOKUP($F118,NE_bmis!$A:$K,11,FALSE),"")</f>
        <v>BMIS_auto</v>
      </c>
      <c r="Z118" s="66" t="s">
        <v>2205</v>
      </c>
    </row>
    <row r="119" spans="1:26" ht="15.75" customHeight="1">
      <c r="A119" s="83" t="str">
        <f t="shared" si="0"/>
        <v>E29NE</v>
      </c>
      <c r="B119" s="83">
        <v>29</v>
      </c>
      <c r="C119" s="83" t="s">
        <v>110</v>
      </c>
      <c r="D119" s="59">
        <f t="shared" si="1"/>
        <v>6000</v>
      </c>
      <c r="E119" s="84" t="s">
        <v>841</v>
      </c>
      <c r="F119" s="84">
        <v>1103120125</v>
      </c>
      <c r="G119" s="83" t="s">
        <v>842</v>
      </c>
      <c r="H119" s="84" t="s">
        <v>843</v>
      </c>
      <c r="I119" s="84">
        <v>114.2030122</v>
      </c>
      <c r="J119" s="84">
        <v>22.29112688</v>
      </c>
      <c r="K119" s="88">
        <v>4.7</v>
      </c>
      <c r="L119" s="84" t="s">
        <v>126</v>
      </c>
      <c r="M119" s="88">
        <v>108.9</v>
      </c>
      <c r="N119" s="84" t="s">
        <v>115</v>
      </c>
      <c r="O119" s="88">
        <v>104.2</v>
      </c>
      <c r="P119" s="85"/>
      <c r="Q119" s="75" t="b">
        <v>0</v>
      </c>
      <c r="R119" s="75" t="b">
        <v>0</v>
      </c>
      <c r="S119" s="75" t="b">
        <v>0</v>
      </c>
      <c r="T119" s="75" t="b">
        <f ca="1">AND(U119&lt;&gt;"",OR(U119&gt;(VLOOKUP(B119,E_analysis!$A$2:$K$36,5,FALSE)+2*VLOOKUP(B119,E_analysis!$A$2:$K$36,6,FALSE)),U119&lt;(VLOOKUP(B119,E_analysis!$A$2:$K$36,5,FALSE)-2*VLOOKUP(B119,E_analysis!$A$2:$K$36,6,FALSE))))</f>
        <v>0</v>
      </c>
      <c r="U119" s="86">
        <v>23</v>
      </c>
      <c r="V119" s="84">
        <f>IFERROR(VLOOKUP($F119,NE_bmis!$A:$K,7,FALSE),"")</f>
        <v>0</v>
      </c>
      <c r="W119" s="87">
        <v>184</v>
      </c>
      <c r="X119" s="84">
        <v>1996</v>
      </c>
      <c r="Y119" s="84" t="s">
        <v>173</v>
      </c>
      <c r="Z119" s="66" t="s">
        <v>2215</v>
      </c>
    </row>
    <row r="120" spans="1:26" ht="15.75" customHeight="1">
      <c r="A120" s="83" t="str">
        <f t="shared" si="0"/>
        <v>E29SE</v>
      </c>
      <c r="B120" s="83">
        <v>29</v>
      </c>
      <c r="C120" s="83" t="s">
        <v>116</v>
      </c>
      <c r="D120" s="59">
        <f t="shared" si="1"/>
        <v>6000</v>
      </c>
      <c r="E120" s="84" t="s">
        <v>844</v>
      </c>
      <c r="F120" s="84">
        <v>1103120148</v>
      </c>
      <c r="G120" s="83" t="s">
        <v>845</v>
      </c>
      <c r="H120" s="84" t="s">
        <v>846</v>
      </c>
      <c r="I120" s="84">
        <v>114.2018518</v>
      </c>
      <c r="J120" s="84">
        <v>22.29125428</v>
      </c>
      <c r="K120" s="88">
        <v>22.4</v>
      </c>
      <c r="L120" s="84" t="s">
        <v>762</v>
      </c>
      <c r="M120" s="88">
        <v>96</v>
      </c>
      <c r="N120" s="84" t="s">
        <v>293</v>
      </c>
      <c r="O120" s="88">
        <v>73.599999999999994</v>
      </c>
      <c r="P120" s="85" t="s">
        <v>847</v>
      </c>
      <c r="Q120" s="75" t="b">
        <v>0</v>
      </c>
      <c r="R120" s="75" t="b">
        <v>1</v>
      </c>
      <c r="S120" s="75" t="b">
        <v>0</v>
      </c>
      <c r="T120" s="75" t="b">
        <f ca="1">AND(U120&lt;&gt;"",OR(U120&gt;(VLOOKUP(B120,E_analysis!$A$2:$K$36,5,FALSE)+2*VLOOKUP(B120,E_analysis!$A$2:$K$36,6,FALSE)),U120&lt;(VLOOKUP(B120,E_analysis!$A$2:$K$36,5,FALSE)-2*VLOOKUP(B120,E_analysis!$A$2:$K$36,6,FALSE))))</f>
        <v>0</v>
      </c>
      <c r="U120" s="86">
        <v>23</v>
      </c>
      <c r="V120" s="84" t="str">
        <f>IFERROR(VLOOKUP($F120,NE_bmis!$A:$K,7,FALSE),"")</f>
        <v/>
      </c>
      <c r="W120" s="87" t="str">
        <f>IFERROR(VLOOKUP($F120,NE_bmis!$A:$K,8,FALSE),"")</f>
        <v/>
      </c>
      <c r="X120" s="84" t="str">
        <f>IFERROR(VLOOKUP($F120,NE_bmis!$A:$K,9,FALSE),"")</f>
        <v/>
      </c>
      <c r="Y120" s="84" t="s">
        <v>848</v>
      </c>
      <c r="Z120" s="66" t="s">
        <v>2217</v>
      </c>
    </row>
    <row r="121" spans="1:26" ht="15.75" customHeight="1">
      <c r="A121" s="83" t="str">
        <f t="shared" si="0"/>
        <v>E29SW</v>
      </c>
      <c r="B121" s="83">
        <v>29</v>
      </c>
      <c r="C121" s="83" t="s">
        <v>121</v>
      </c>
      <c r="D121" s="59">
        <f t="shared" si="1"/>
        <v>6000</v>
      </c>
      <c r="E121" s="84" t="s">
        <v>849</v>
      </c>
      <c r="F121" s="84">
        <v>1103119944</v>
      </c>
      <c r="G121" s="83" t="s">
        <v>850</v>
      </c>
      <c r="H121" s="84" t="s">
        <v>851</v>
      </c>
      <c r="I121" s="84">
        <v>114.2022475</v>
      </c>
      <c r="J121" s="84">
        <v>22.291839849999999</v>
      </c>
      <c r="K121" s="88">
        <v>4.3</v>
      </c>
      <c r="L121" s="84" t="s">
        <v>126</v>
      </c>
      <c r="M121" s="88">
        <v>80.5</v>
      </c>
      <c r="N121" s="84" t="s">
        <v>115</v>
      </c>
      <c r="O121" s="88">
        <v>76.2</v>
      </c>
      <c r="P121" s="85"/>
      <c r="Q121" s="75" t="b">
        <v>0</v>
      </c>
      <c r="R121" s="75" t="b">
        <v>0</v>
      </c>
      <c r="S121" s="75" t="b">
        <v>0</v>
      </c>
      <c r="T121" s="75" t="b">
        <f ca="1">AND(U121&lt;&gt;"",OR(U121&gt;(VLOOKUP(B121,E_analysis!$A$2:$K$36,5,FALSE)+2*VLOOKUP(B121,E_analysis!$A$2:$K$36,6,FALSE)),U121&lt;(VLOOKUP(B121,E_analysis!$A$2:$K$36,5,FALSE)-2*VLOOKUP(B121,E_analysis!$A$2:$K$36,6,FALSE))))</f>
        <v>0</v>
      </c>
      <c r="U121" s="86">
        <f>IFERROR(VLOOKUP($F121,NE_bmis!$A:$K,6,FALSE),"")</f>
        <v>22</v>
      </c>
      <c r="V121" s="84">
        <f>IFERROR(VLOOKUP($F121,NE_bmis!$A:$K,7,FALSE),"")</f>
        <v>0</v>
      </c>
      <c r="W121" s="87">
        <f>IFERROR(VLOOKUP($F121,NE_bmis!$A:$K,8,FALSE),"")</f>
        <v>42</v>
      </c>
      <c r="X121" s="84">
        <f>IFERROR(VLOOKUP($F121,NE_bmis!$A:$K,9,FALSE),"")</f>
        <v>1978</v>
      </c>
      <c r="Y121" s="84" t="str">
        <f>IFERROR(VLOOKUP($F121,NE_bmis!$A:$K,11,FALSE),"")</f>
        <v>BMIS_auto</v>
      </c>
      <c r="Z121" s="66" t="s">
        <v>2219</v>
      </c>
    </row>
    <row r="122" spans="1:26" ht="15.75" customHeight="1">
      <c r="A122" s="83" t="str">
        <f t="shared" si="0"/>
        <v>E29NW</v>
      </c>
      <c r="B122" s="83">
        <v>29</v>
      </c>
      <c r="C122" s="83" t="s">
        <v>127</v>
      </c>
      <c r="D122" s="59">
        <f t="shared" si="1"/>
        <v>6000</v>
      </c>
      <c r="E122" s="84" t="s">
        <v>852</v>
      </c>
      <c r="F122" s="84">
        <v>1103119910</v>
      </c>
      <c r="G122" s="83" t="s">
        <v>853</v>
      </c>
      <c r="H122" s="84" t="s">
        <v>854</v>
      </c>
      <c r="I122" s="84">
        <v>114.2024792</v>
      </c>
      <c r="J122" s="84">
        <v>22.291962439999999</v>
      </c>
      <c r="K122" s="88">
        <v>4.4000000000000004</v>
      </c>
      <c r="L122" s="84" t="s">
        <v>126</v>
      </c>
      <c r="M122" s="88">
        <v>30.8</v>
      </c>
      <c r="N122" s="84">
        <v>3</v>
      </c>
      <c r="O122" s="88">
        <v>26.4</v>
      </c>
      <c r="P122" s="85"/>
      <c r="Q122" s="75" t="b">
        <v>0</v>
      </c>
      <c r="R122" s="75" t="b">
        <v>0</v>
      </c>
      <c r="S122" s="75" t="b">
        <v>0</v>
      </c>
      <c r="T122" s="75" t="b">
        <f ca="1">AND(U122&lt;&gt;"",OR(U122&gt;(VLOOKUP(B122,E_analysis!$A$2:$K$36,5,FALSE)+2*VLOOKUP(B122,E_analysis!$A$2:$K$36,6,FALSE)),U122&lt;(VLOOKUP(B122,E_analysis!$A$2:$K$36,5,FALSE)-2*VLOOKUP(B122,E_analysis!$A$2:$K$36,6,FALSE))))</f>
        <v>0</v>
      </c>
      <c r="U122" s="86">
        <v>4</v>
      </c>
      <c r="V122" s="84" t="str">
        <f>IFERROR(VLOOKUP($F122,NE_bmis!$A:$K,7,FALSE),"")</f>
        <v/>
      </c>
      <c r="W122" s="87" t="str">
        <f>IFERROR(VLOOKUP($F122,NE_bmis!$A:$K,8,FALSE),"")</f>
        <v/>
      </c>
      <c r="X122" s="84" t="str">
        <f>IFERROR(VLOOKUP($F122,NE_bmis!$A:$K,9,FALSE),"")</f>
        <v/>
      </c>
      <c r="Y122" s="84" t="s">
        <v>152</v>
      </c>
      <c r="Z122" s="66" t="s">
        <v>2221</v>
      </c>
    </row>
    <row r="123" spans="1:26" ht="15.75" customHeight="1">
      <c r="A123" s="83" t="str">
        <f t="shared" si="0"/>
        <v>E30NE</v>
      </c>
      <c r="B123" s="83">
        <v>30</v>
      </c>
      <c r="C123" s="83" t="s">
        <v>110</v>
      </c>
      <c r="D123" s="59">
        <f t="shared" si="1"/>
        <v>6200</v>
      </c>
      <c r="E123" s="84" t="s">
        <v>855</v>
      </c>
      <c r="F123" s="84">
        <v>1103119981</v>
      </c>
      <c r="G123" s="83" t="s">
        <v>856</v>
      </c>
      <c r="H123" s="84" t="s">
        <v>857</v>
      </c>
      <c r="I123" s="84">
        <v>114.2043303</v>
      </c>
      <c r="J123" s="84">
        <v>22.291745769999999</v>
      </c>
      <c r="K123" s="88">
        <v>19.399999999999999</v>
      </c>
      <c r="L123" s="84" t="s">
        <v>115</v>
      </c>
      <c r="M123" s="88">
        <v>82.4</v>
      </c>
      <c r="N123" s="84">
        <v>3</v>
      </c>
      <c r="O123" s="88">
        <v>63</v>
      </c>
      <c r="P123" s="85"/>
      <c r="Q123" s="75" t="b">
        <v>0</v>
      </c>
      <c r="R123" s="75" t="b">
        <v>0</v>
      </c>
      <c r="S123" s="75" t="b">
        <v>0</v>
      </c>
      <c r="T123" s="75" t="b">
        <f ca="1">AND(U123&lt;&gt;"",OR(U123&gt;(VLOOKUP(B123,E_analysis!$A$2:$K$36,5,FALSE)+2*VLOOKUP(B123,E_analysis!$A$2:$K$36,6,FALSE)),U123&lt;(VLOOKUP(B123,E_analysis!$A$2:$K$36,5,FALSE)-2*VLOOKUP(B123,E_analysis!$A$2:$K$36,6,FALSE))))</f>
        <v>0</v>
      </c>
      <c r="U123" s="86">
        <f>IFERROR(VLOOKUP($F123,NE_bmis!$A:$K,6,FALSE),"")</f>
        <v>27</v>
      </c>
      <c r="V123" s="84">
        <f>IFERROR(VLOOKUP($F123,NE_bmis!$A:$K,7,FALSE),"")</f>
        <v>1</v>
      </c>
      <c r="W123" s="87">
        <f>IFERROR(VLOOKUP($F123,NE_bmis!$A:$K,8,FALSE),"")</f>
        <v>184</v>
      </c>
      <c r="X123" s="84">
        <f>IFERROR(VLOOKUP($F123,NE_bmis!$A:$K,9,FALSE),"")</f>
        <v>1980</v>
      </c>
      <c r="Y123" s="84" t="str">
        <f>IFERROR(VLOOKUP($F123,NE_bmis!$A:$K,11,FALSE),"")</f>
        <v>BMIS_auto</v>
      </c>
      <c r="Z123" s="66" t="s">
        <v>2229</v>
      </c>
    </row>
    <row r="124" spans="1:26" ht="15.75" customHeight="1">
      <c r="A124" s="83" t="str">
        <f t="shared" si="0"/>
        <v>E30SE</v>
      </c>
      <c r="B124" s="83">
        <v>30</v>
      </c>
      <c r="C124" s="83" t="s">
        <v>116</v>
      </c>
      <c r="D124" s="59">
        <f t="shared" si="1"/>
        <v>6200</v>
      </c>
      <c r="E124" s="84" t="s">
        <v>858</v>
      </c>
      <c r="F124" s="84">
        <v>1103120003</v>
      </c>
      <c r="G124" s="83" t="s">
        <v>859</v>
      </c>
      <c r="H124" s="84" t="s">
        <v>860</v>
      </c>
      <c r="I124" s="84">
        <v>114.2039348</v>
      </c>
      <c r="J124" s="84">
        <v>22.291664699999998</v>
      </c>
      <c r="K124" s="88">
        <v>19.399999999999999</v>
      </c>
      <c r="L124" s="84" t="s">
        <v>115</v>
      </c>
      <c r="M124" s="88">
        <v>81.900000000000006</v>
      </c>
      <c r="N124" s="84" t="s">
        <v>115</v>
      </c>
      <c r="O124" s="88">
        <v>62.5</v>
      </c>
      <c r="P124" s="85"/>
      <c r="Q124" s="75" t="b">
        <v>0</v>
      </c>
      <c r="R124" s="75" t="b">
        <v>0</v>
      </c>
      <c r="S124" s="75" t="b">
        <v>0</v>
      </c>
      <c r="T124" s="75" t="b">
        <f ca="1">AND(U124&lt;&gt;"",OR(U124&gt;(VLOOKUP(B124,E_analysis!$A$2:$K$36,5,FALSE)+2*VLOOKUP(B124,E_analysis!$A$2:$K$36,6,FALSE)),U124&lt;(VLOOKUP(B124,E_analysis!$A$2:$K$36,5,FALSE)-2*VLOOKUP(B124,E_analysis!$A$2:$K$36,6,FALSE))))</f>
        <v>0</v>
      </c>
      <c r="U124" s="86">
        <f>IFERROR(VLOOKUP($F124,NE_bmis!$A:$K,6,FALSE),"")</f>
        <v>27</v>
      </c>
      <c r="V124" s="84">
        <f>IFERROR(VLOOKUP($F124,NE_bmis!$A:$K,7,FALSE),"")</f>
        <v>1</v>
      </c>
      <c r="W124" s="87">
        <f>IFERROR(VLOOKUP($F124,NE_bmis!$A:$K,8,FALSE),"")</f>
        <v>184</v>
      </c>
      <c r="X124" s="84">
        <f>IFERROR(VLOOKUP($F124,NE_bmis!$A:$K,9,FALSE),"")</f>
        <v>1980</v>
      </c>
      <c r="Y124" s="84" t="str">
        <f>IFERROR(VLOOKUP($F124,NE_bmis!$A:$K,11,FALSE),"")</f>
        <v>BMIS_auto</v>
      </c>
      <c r="Z124" s="66" t="s">
        <v>2229</v>
      </c>
    </row>
    <row r="125" spans="1:26" ht="15.75" customHeight="1">
      <c r="A125" s="83" t="str">
        <f t="shared" si="0"/>
        <v>E30SW</v>
      </c>
      <c r="B125" s="83">
        <v>30</v>
      </c>
      <c r="C125" s="83" t="s">
        <v>121</v>
      </c>
      <c r="D125" s="59">
        <f t="shared" si="1"/>
        <v>6200</v>
      </c>
      <c r="E125" s="84"/>
      <c r="F125" s="84"/>
      <c r="G125" s="83" t="s">
        <v>861</v>
      </c>
      <c r="H125" s="84" t="s">
        <v>556</v>
      </c>
      <c r="I125" s="84" t="s">
        <v>556</v>
      </c>
      <c r="J125" s="84" t="s">
        <v>556</v>
      </c>
      <c r="K125" s="88" t="s">
        <v>556</v>
      </c>
      <c r="L125" s="84" t="s">
        <v>556</v>
      </c>
      <c r="M125" s="88" t="s">
        <v>556</v>
      </c>
      <c r="N125" s="84" t="s">
        <v>556</v>
      </c>
      <c r="O125" s="88" t="s">
        <v>556</v>
      </c>
      <c r="P125" s="85" t="s">
        <v>557</v>
      </c>
      <c r="Q125" s="75" t="b">
        <v>1</v>
      </c>
      <c r="R125" s="75" t="b">
        <v>1</v>
      </c>
      <c r="S125" s="75" t="b">
        <v>0</v>
      </c>
      <c r="T125" s="75" t="b">
        <f ca="1">AND(U125&lt;&gt;"",OR(U125&gt;(VLOOKUP(B125,E_analysis!$A$2:$K$36,5,FALSE)+2*VLOOKUP(B125,E_analysis!$A$2:$K$36,6,FALSE)),U125&lt;(VLOOKUP(B125,E_analysis!$A$2:$K$36,5,FALSE)-2*VLOOKUP(B125,E_analysis!$A$2:$K$36,6,FALSE))))</f>
        <v>1</v>
      </c>
      <c r="U125" s="117">
        <v>0</v>
      </c>
      <c r="V125" s="84" t="str">
        <f>IFERROR(VLOOKUP($F125,NE_bmis!$A:$K,7,FALSE),"")</f>
        <v/>
      </c>
      <c r="W125" s="87" t="str">
        <f>IFERROR(VLOOKUP($F125,NE_bmis!$A:$K,8,FALSE),"")</f>
        <v/>
      </c>
      <c r="X125" s="84" t="str">
        <f>IFERROR(VLOOKUP($F125,NE_bmis!$A:$K,9,FALSE),"")</f>
        <v/>
      </c>
      <c r="Y125" s="84" t="str">
        <f>IFERROR(VLOOKUP($F125,NE_bmis!$A:$K,11,FALSE),"")</f>
        <v/>
      </c>
      <c r="Z125" s="66" t="s">
        <v>556</v>
      </c>
    </row>
    <row r="126" spans="1:26" ht="15.75" customHeight="1">
      <c r="A126" s="83" t="str">
        <f t="shared" si="0"/>
        <v>E30NW</v>
      </c>
      <c r="B126" s="83">
        <v>30</v>
      </c>
      <c r="C126" s="83" t="s">
        <v>127</v>
      </c>
      <c r="D126" s="59">
        <f t="shared" si="1"/>
        <v>6200</v>
      </c>
      <c r="E126" s="84"/>
      <c r="F126" s="84"/>
      <c r="G126" s="83" t="s">
        <v>599</v>
      </c>
      <c r="H126" s="84" t="s">
        <v>556</v>
      </c>
      <c r="I126" s="84" t="s">
        <v>556</v>
      </c>
      <c r="J126" s="84" t="s">
        <v>556</v>
      </c>
      <c r="K126" s="88" t="s">
        <v>556</v>
      </c>
      <c r="L126" s="84" t="s">
        <v>556</v>
      </c>
      <c r="M126" s="88" t="s">
        <v>556</v>
      </c>
      <c r="N126" s="84" t="s">
        <v>556</v>
      </c>
      <c r="O126" s="88" t="s">
        <v>556</v>
      </c>
      <c r="P126" s="85" t="s">
        <v>557</v>
      </c>
      <c r="Q126" s="75" t="b">
        <v>1</v>
      </c>
      <c r="R126" s="75" t="b">
        <v>1</v>
      </c>
      <c r="S126" s="75" t="b">
        <v>0</v>
      </c>
      <c r="T126" s="75" t="b">
        <f ca="1">AND(U126&lt;&gt;"",OR(U126&gt;(VLOOKUP(B126,E_analysis!$A$2:$K$36,5,FALSE)+2*VLOOKUP(B126,E_analysis!$A$2:$K$36,6,FALSE)),U126&lt;(VLOOKUP(B126,E_analysis!$A$2:$K$36,5,FALSE)-2*VLOOKUP(B126,E_analysis!$A$2:$K$36,6,FALSE))))</f>
        <v>1</v>
      </c>
      <c r="U126" s="117">
        <v>0</v>
      </c>
      <c r="V126" s="84" t="str">
        <f>IFERROR(VLOOKUP($F126,NE_bmis!$A:$K,7,FALSE),"")</f>
        <v/>
      </c>
      <c r="W126" s="87" t="str">
        <f>IFERROR(VLOOKUP($F126,NE_bmis!$A:$K,8,FALSE),"")</f>
        <v/>
      </c>
      <c r="X126" s="84" t="str">
        <f>IFERROR(VLOOKUP($F126,NE_bmis!$A:$K,9,FALSE),"")</f>
        <v/>
      </c>
      <c r="Y126" s="84" t="str">
        <f>IFERROR(VLOOKUP($F126,NE_bmis!$A:$K,11,FALSE),"")</f>
        <v/>
      </c>
      <c r="Z126" s="66" t="s">
        <v>556</v>
      </c>
    </row>
    <row r="127" spans="1:26" ht="15.75" customHeight="1">
      <c r="A127" s="83" t="str">
        <f t="shared" si="0"/>
        <v>E31NE</v>
      </c>
      <c r="B127" s="83">
        <v>31</v>
      </c>
      <c r="C127" s="83" t="s">
        <v>110</v>
      </c>
      <c r="D127" s="59">
        <f t="shared" si="1"/>
        <v>6400</v>
      </c>
      <c r="E127" s="84" t="s">
        <v>862</v>
      </c>
      <c r="F127" s="84">
        <v>1103120007</v>
      </c>
      <c r="G127" s="83" t="s">
        <v>863</v>
      </c>
      <c r="H127" s="84" t="s">
        <v>864</v>
      </c>
      <c r="I127" s="84">
        <v>114.2064297</v>
      </c>
      <c r="J127" s="84">
        <v>22.291601709999998</v>
      </c>
      <c r="K127" s="88">
        <v>14.6</v>
      </c>
      <c r="L127" s="84" t="s">
        <v>115</v>
      </c>
      <c r="M127" s="88">
        <v>94.5</v>
      </c>
      <c r="N127" s="84">
        <v>3</v>
      </c>
      <c r="O127" s="88">
        <v>79.900000000000006</v>
      </c>
      <c r="P127" s="85"/>
      <c r="Q127" s="75" t="b">
        <v>0</v>
      </c>
      <c r="R127" s="75" t="b">
        <v>0</v>
      </c>
      <c r="S127" s="75" t="b">
        <v>0</v>
      </c>
      <c r="T127" s="75" t="b">
        <f ca="1">AND(U127&lt;&gt;"",OR(U127&gt;(VLOOKUP(B127,E_analysis!$A$2:$K$36,5,FALSE)+2*VLOOKUP(B127,E_analysis!$A$2:$K$36,6,FALSE)),U127&lt;(VLOOKUP(B127,E_analysis!$A$2:$K$36,5,FALSE)-2*VLOOKUP(B127,E_analysis!$A$2:$K$36,6,FALSE))))</f>
        <v>0</v>
      </c>
      <c r="U127" s="86">
        <f>IFERROR(VLOOKUP($F127,NE_bmis!$A:$K,6,FALSE),"")</f>
        <v>27</v>
      </c>
      <c r="V127" s="84">
        <f>IFERROR(VLOOKUP($F127,NE_bmis!$A:$K,7,FALSE),"")</f>
        <v>0</v>
      </c>
      <c r="W127" s="87">
        <f>IFERROR(VLOOKUP($F127,NE_bmis!$A:$K,8,FALSE),"")</f>
        <v>216</v>
      </c>
      <c r="X127" s="84">
        <f>IFERROR(VLOOKUP($F127,NE_bmis!$A:$K,9,FALSE),"")</f>
        <v>1997</v>
      </c>
      <c r="Y127" s="84" t="str">
        <f>IFERROR(VLOOKUP($F127,NE_bmis!$A:$K,11,FALSE),"")</f>
        <v>BMIS_auto</v>
      </c>
      <c r="Z127" s="66" t="s">
        <v>2241</v>
      </c>
    </row>
    <row r="128" spans="1:26" ht="15.75" customHeight="1">
      <c r="A128" s="83" t="str">
        <f t="shared" si="0"/>
        <v>E31SE</v>
      </c>
      <c r="B128" s="83">
        <v>31</v>
      </c>
      <c r="C128" s="83" t="s">
        <v>116</v>
      </c>
      <c r="D128" s="59">
        <f t="shared" si="1"/>
        <v>6400</v>
      </c>
      <c r="E128" s="84" t="s">
        <v>865</v>
      </c>
      <c r="F128" s="84">
        <v>1103119962</v>
      </c>
      <c r="G128" s="83" t="s">
        <v>866</v>
      </c>
      <c r="H128" s="84" t="s">
        <v>867</v>
      </c>
      <c r="I128" s="84">
        <v>114.20601739999999</v>
      </c>
      <c r="J128" s="84">
        <v>22.291793980000001</v>
      </c>
      <c r="K128" s="88">
        <v>14.6</v>
      </c>
      <c r="L128" s="84" t="s">
        <v>115</v>
      </c>
      <c r="M128" s="88">
        <v>92.9</v>
      </c>
      <c r="N128" s="84">
        <v>3</v>
      </c>
      <c r="O128" s="88">
        <v>78.3</v>
      </c>
      <c r="P128" s="85"/>
      <c r="Q128" s="75" t="b">
        <v>0</v>
      </c>
      <c r="R128" s="75" t="b">
        <v>0</v>
      </c>
      <c r="S128" s="75" t="b">
        <v>0</v>
      </c>
      <c r="T128" s="75" t="b">
        <f ca="1">AND(U128&lt;&gt;"",OR(U128&gt;(VLOOKUP(B128,E_analysis!$A$2:$K$36,5,FALSE)+2*VLOOKUP(B128,E_analysis!$A$2:$K$36,6,FALSE)),U128&lt;(VLOOKUP(B128,E_analysis!$A$2:$K$36,5,FALSE)-2*VLOOKUP(B128,E_analysis!$A$2:$K$36,6,FALSE))))</f>
        <v>0</v>
      </c>
      <c r="U128" s="86">
        <v>27</v>
      </c>
      <c r="V128" s="84" t="str">
        <f>IFERROR(VLOOKUP($F128,NE_bmis!$A:$K,7,FALSE),"")</f>
        <v/>
      </c>
      <c r="W128" s="87">
        <v>216</v>
      </c>
      <c r="X128" s="84">
        <v>1997</v>
      </c>
      <c r="Y128" s="84" t="s">
        <v>173</v>
      </c>
      <c r="Z128" s="66" t="s">
        <v>2241</v>
      </c>
    </row>
    <row r="129" spans="1:26" ht="15.75" customHeight="1">
      <c r="A129" s="83" t="str">
        <f t="shared" si="0"/>
        <v>E31SW</v>
      </c>
      <c r="B129" s="83">
        <v>31</v>
      </c>
      <c r="C129" s="83" t="s">
        <v>121</v>
      </c>
      <c r="D129" s="59">
        <f t="shared" si="1"/>
        <v>6400</v>
      </c>
      <c r="E129" s="84" t="s">
        <v>868</v>
      </c>
      <c r="F129" s="84">
        <v>1103119879</v>
      </c>
      <c r="G129" s="83" t="s">
        <v>869</v>
      </c>
      <c r="H129" s="84"/>
      <c r="I129" s="84">
        <v>114.2061643</v>
      </c>
      <c r="J129" s="84">
        <v>22.292314220000002</v>
      </c>
      <c r="K129" s="88">
        <v>19.5</v>
      </c>
      <c r="L129" s="84" t="s">
        <v>115</v>
      </c>
      <c r="M129" s="88">
        <v>105.6</v>
      </c>
      <c r="N129" s="84">
        <v>3</v>
      </c>
      <c r="O129" s="88">
        <v>86.1</v>
      </c>
      <c r="P129" s="85"/>
      <c r="Q129" s="75" t="b">
        <v>0</v>
      </c>
      <c r="R129" s="75" t="b">
        <v>0</v>
      </c>
      <c r="S129" s="75" t="b">
        <v>1</v>
      </c>
      <c r="T129" s="75" t="b">
        <f ca="1">AND(U129&lt;&gt;"",OR(U129&gt;(VLOOKUP(B129,E_analysis!$A$2:$K$36,5,FALSE)+2*VLOOKUP(B129,E_analysis!$A$2:$K$36,6,FALSE)),U129&lt;(VLOOKUP(B129,E_analysis!$A$2:$K$36,5,FALSE)-2*VLOOKUP(B129,E_analysis!$A$2:$K$36,6,FALSE))))</f>
        <v>0</v>
      </c>
      <c r="U129" s="86">
        <f>IFERROR(VLOOKUP($F129,NE_bmis!$A:$K,6,FALSE),"")</f>
        <v>25</v>
      </c>
      <c r="V129" s="84">
        <f>IFERROR(VLOOKUP($F129,NE_bmis!$A:$K,7,FALSE),"")</f>
        <v>0</v>
      </c>
      <c r="W129" s="87">
        <f>IFERROR(VLOOKUP($F129,NE_bmis!$A:$K,8,FALSE),"")</f>
        <v>125</v>
      </c>
      <c r="X129" s="84">
        <f>IFERROR(VLOOKUP($F129,NE_bmis!$A:$K,9,FALSE),"")</f>
        <v>1998</v>
      </c>
      <c r="Y129" s="84" t="str">
        <f>IFERROR(VLOOKUP($F129,NE_bmis!$A:$K,11,FALSE),"")</f>
        <v>BMIS_auto</v>
      </c>
      <c r="Z129" s="66" t="s">
        <v>2244</v>
      </c>
    </row>
    <row r="130" spans="1:26" ht="15.75" customHeight="1">
      <c r="A130" s="83" t="str">
        <f t="shared" si="0"/>
        <v>E31NW</v>
      </c>
      <c r="B130" s="83">
        <v>31</v>
      </c>
      <c r="C130" s="83" t="s">
        <v>127</v>
      </c>
      <c r="D130" s="59">
        <f t="shared" si="1"/>
        <v>6400</v>
      </c>
      <c r="E130" s="84" t="s">
        <v>870</v>
      </c>
      <c r="F130" s="84">
        <v>1103119892</v>
      </c>
      <c r="G130" s="83" t="s">
        <v>871</v>
      </c>
      <c r="H130" s="84"/>
      <c r="I130" s="84">
        <v>114.2069383</v>
      </c>
      <c r="J130" s="84">
        <v>22.292167119999998</v>
      </c>
      <c r="K130" s="88">
        <v>4.3</v>
      </c>
      <c r="L130" s="84" t="s">
        <v>126</v>
      </c>
      <c r="M130" s="88">
        <v>125.7</v>
      </c>
      <c r="N130" s="84" t="s">
        <v>315</v>
      </c>
      <c r="O130" s="88">
        <v>121.4</v>
      </c>
      <c r="P130" s="85"/>
      <c r="Q130" s="75" t="b">
        <v>0</v>
      </c>
      <c r="R130" s="75" t="b">
        <v>0</v>
      </c>
      <c r="S130" s="75" t="b">
        <v>1</v>
      </c>
      <c r="T130" s="75" t="b">
        <f ca="1">AND(U130&lt;&gt;"",OR(U130&gt;(VLOOKUP(B130,E_analysis!$A$2:$K$36,5,FALSE)+2*VLOOKUP(B130,E_analysis!$A$2:$K$36,6,FALSE)),U130&lt;(VLOOKUP(B130,E_analysis!$A$2:$K$36,5,FALSE)-2*VLOOKUP(B130,E_analysis!$A$2:$K$36,6,FALSE))))</f>
        <v>0</v>
      </c>
      <c r="U130" s="86">
        <f>IFERROR(VLOOKUP($F130,NE_bmis!$A:$K,6,FALSE),"")</f>
        <v>35</v>
      </c>
      <c r="V130" s="84">
        <f>IFERROR(VLOOKUP($F130,NE_bmis!$A:$K,7,FALSE),"")</f>
        <v>0</v>
      </c>
      <c r="W130" s="87">
        <f>IFERROR(VLOOKUP($F130,NE_bmis!$A:$K,8,FALSE),"")</f>
        <v>0</v>
      </c>
      <c r="X130" s="84">
        <f>IFERROR(VLOOKUP($F130,NE_bmis!$A:$K,9,FALSE),"")</f>
        <v>2007</v>
      </c>
      <c r="Y130" s="84" t="str">
        <f>IFERROR(VLOOKUP($F130,NE_bmis!$A:$K,11,FALSE),"")</f>
        <v>BMIS_auto</v>
      </c>
      <c r="Z130" s="66" t="s">
        <v>2247</v>
      </c>
    </row>
    <row r="131" spans="1:26" ht="15.75" customHeight="1">
      <c r="A131" s="83" t="str">
        <f t="shared" si="0"/>
        <v>E32NE</v>
      </c>
      <c r="B131" s="83">
        <v>32</v>
      </c>
      <c r="C131" s="83" t="s">
        <v>110</v>
      </c>
      <c r="D131" s="59">
        <f t="shared" si="1"/>
        <v>6600</v>
      </c>
      <c r="E131" s="84" t="s">
        <v>872</v>
      </c>
      <c r="F131" s="84">
        <v>1103120191</v>
      </c>
      <c r="G131" s="83" t="s">
        <v>873</v>
      </c>
      <c r="H131" s="84" t="s">
        <v>874</v>
      </c>
      <c r="I131" s="84">
        <v>114.2082126</v>
      </c>
      <c r="J131" s="84">
        <v>22.29100159</v>
      </c>
      <c r="K131" s="88">
        <v>4.7</v>
      </c>
      <c r="L131" s="84" t="s">
        <v>126</v>
      </c>
      <c r="M131" s="88">
        <v>25.2</v>
      </c>
      <c r="N131" s="84" t="s">
        <v>115</v>
      </c>
      <c r="O131" s="88">
        <v>20.5</v>
      </c>
      <c r="P131" s="85"/>
      <c r="Q131" s="75" t="b">
        <v>0</v>
      </c>
      <c r="R131" s="75" t="b">
        <v>0</v>
      </c>
      <c r="S131" s="75" t="b">
        <v>0</v>
      </c>
      <c r="T131" s="75" t="b">
        <f ca="1">AND(U131&lt;&gt;"",OR(U131&gt;(VLOOKUP(B131,E_analysis!$A$2:$K$36,5,FALSE)+2*VLOOKUP(B131,E_analysis!$A$2:$K$36,6,FALSE)),U131&lt;(VLOOKUP(B131,E_analysis!$A$2:$K$36,5,FALSE)-2*VLOOKUP(B131,E_analysis!$A$2:$K$36,6,FALSE))))</f>
        <v>0</v>
      </c>
      <c r="U131" s="86">
        <v>6</v>
      </c>
      <c r="V131" s="84">
        <v>0</v>
      </c>
      <c r="W131" s="87">
        <v>25</v>
      </c>
      <c r="X131" s="84">
        <v>1974</v>
      </c>
      <c r="Y131" s="84" t="s">
        <v>173</v>
      </c>
      <c r="Z131" s="66" t="s">
        <v>2257</v>
      </c>
    </row>
    <row r="132" spans="1:26" ht="15.75" customHeight="1">
      <c r="A132" s="83" t="str">
        <f t="shared" si="0"/>
        <v>E32SE</v>
      </c>
      <c r="B132" s="83">
        <v>32</v>
      </c>
      <c r="C132" s="83" t="s">
        <v>116</v>
      </c>
      <c r="D132" s="59">
        <f t="shared" si="1"/>
        <v>6600</v>
      </c>
      <c r="E132" s="84" t="s">
        <v>875</v>
      </c>
      <c r="F132" s="84">
        <v>1103120117</v>
      </c>
      <c r="G132" s="83" t="s">
        <v>876</v>
      </c>
      <c r="H132" s="84" t="s">
        <v>877</v>
      </c>
      <c r="I132" s="84">
        <v>114.2079054</v>
      </c>
      <c r="J132" s="84">
        <v>22.291191649999998</v>
      </c>
      <c r="K132" s="88">
        <v>4.5</v>
      </c>
      <c r="L132" s="84" t="s">
        <v>126</v>
      </c>
      <c r="M132" s="88">
        <v>74</v>
      </c>
      <c r="N132" s="84">
        <v>3</v>
      </c>
      <c r="O132" s="88">
        <v>69.5</v>
      </c>
      <c r="P132" s="85"/>
      <c r="Q132" s="75" t="b">
        <v>0</v>
      </c>
      <c r="R132" s="75" t="b">
        <v>0</v>
      </c>
      <c r="S132" s="75" t="b">
        <v>0</v>
      </c>
      <c r="T132" s="75" t="b">
        <f ca="1">AND(U132&lt;&gt;"",OR(U132&gt;(VLOOKUP(B132,E_analysis!$A$2:$K$36,5,FALSE)+2*VLOOKUP(B132,E_analysis!$A$2:$K$36,6,FALSE)),U132&lt;(VLOOKUP(B132,E_analysis!$A$2:$K$36,5,FALSE)-2*VLOOKUP(B132,E_analysis!$A$2:$K$36,6,FALSE))))</f>
        <v>0</v>
      </c>
      <c r="U132" s="86">
        <f>IFERROR(VLOOKUP($F132,NE_bmis!$A:$K,6,FALSE),"")</f>
        <v>19</v>
      </c>
      <c r="V132" s="84">
        <f>IFERROR(VLOOKUP($F132,NE_bmis!$A:$K,7,FALSE),"")</f>
        <v>0</v>
      </c>
      <c r="W132" s="87">
        <f>IFERROR(VLOOKUP($F132,NE_bmis!$A:$K,8,FALSE),"")</f>
        <v>19</v>
      </c>
      <c r="X132" s="84">
        <f>IFERROR(VLOOKUP($F132,NE_bmis!$A:$K,9,FALSE),"")</f>
        <v>1954</v>
      </c>
      <c r="Y132" s="84" t="str">
        <f>IFERROR(VLOOKUP($F132,NE_bmis!$A:$K,11,FALSE),"")</f>
        <v>BMIS_auto</v>
      </c>
      <c r="Z132" s="66" t="s">
        <v>2259</v>
      </c>
    </row>
    <row r="133" spans="1:26" ht="15.75" customHeight="1">
      <c r="A133" s="83" t="str">
        <f t="shared" si="0"/>
        <v>E32SW</v>
      </c>
      <c r="B133" s="83">
        <v>32</v>
      </c>
      <c r="C133" s="83" t="s">
        <v>121</v>
      </c>
      <c r="D133" s="59">
        <f t="shared" si="1"/>
        <v>6600</v>
      </c>
      <c r="E133" s="84" t="s">
        <v>878</v>
      </c>
      <c r="F133" s="84">
        <v>1103119955</v>
      </c>
      <c r="G133" s="83" t="s">
        <v>879</v>
      </c>
      <c r="H133" s="84" t="s">
        <v>880</v>
      </c>
      <c r="I133" s="84">
        <v>114.20816379999999</v>
      </c>
      <c r="J133" s="84">
        <v>22.291758130000002</v>
      </c>
      <c r="K133" s="88">
        <v>4.2</v>
      </c>
      <c r="L133" s="84" t="s">
        <v>126</v>
      </c>
      <c r="M133" s="88">
        <v>132.6</v>
      </c>
      <c r="N133" s="84" t="s">
        <v>115</v>
      </c>
      <c r="O133" s="88">
        <v>128.4</v>
      </c>
      <c r="P133" s="85"/>
      <c r="Q133" s="75" t="b">
        <v>0</v>
      </c>
      <c r="R133" s="75" t="b">
        <v>0</v>
      </c>
      <c r="S133" s="75" t="b">
        <v>0</v>
      </c>
      <c r="T133" s="75" t="b">
        <f ca="1">AND(U133&lt;&gt;"",OR(U133&gt;(VLOOKUP(B133,E_analysis!$A$2:$K$36,5,FALSE)+2*VLOOKUP(B133,E_analysis!$A$2:$K$36,6,FALSE)),U133&lt;(VLOOKUP(B133,E_analysis!$A$2:$K$36,5,FALSE)-2*VLOOKUP(B133,E_analysis!$A$2:$K$36,6,FALSE))))</f>
        <v>0</v>
      </c>
      <c r="U133" s="86">
        <f>IFERROR(VLOOKUP($F133,NE_bmis!$A:$K,6,FALSE),"")</f>
        <v>27</v>
      </c>
      <c r="V133" s="84">
        <f>IFERROR(VLOOKUP($F133,NE_bmis!$A:$K,7,FALSE),"")</f>
        <v>0</v>
      </c>
      <c r="W133" s="87">
        <f>IFERROR(VLOOKUP($F133,NE_bmis!$A:$K,8,FALSE),"")</f>
        <v>66</v>
      </c>
      <c r="X133" s="84">
        <f>IFERROR(VLOOKUP($F133,NE_bmis!$A:$K,9,FALSE),"")</f>
        <v>1999</v>
      </c>
      <c r="Y133" s="84" t="str">
        <f>IFERROR(VLOOKUP($F133,NE_bmis!$A:$K,11,FALSE),"")</f>
        <v>BMIS_auto</v>
      </c>
      <c r="Z133" s="66" t="s">
        <v>2261</v>
      </c>
    </row>
    <row r="134" spans="1:26" ht="15.75" customHeight="1">
      <c r="A134" s="83" t="str">
        <f t="shared" si="0"/>
        <v>E32NW</v>
      </c>
      <c r="B134" s="83">
        <v>32</v>
      </c>
      <c r="C134" s="83" t="s">
        <v>127</v>
      </c>
      <c r="D134" s="59">
        <f t="shared" si="1"/>
        <v>6600</v>
      </c>
      <c r="E134" s="84" t="s">
        <v>881</v>
      </c>
      <c r="F134" s="84">
        <v>1103120026</v>
      </c>
      <c r="G134" s="83" t="s">
        <v>882</v>
      </c>
      <c r="H134" s="84" t="s">
        <v>883</v>
      </c>
      <c r="I134" s="84">
        <v>114.20868830000001</v>
      </c>
      <c r="J134" s="84">
        <v>22.29154346</v>
      </c>
      <c r="K134" s="88">
        <v>19.100000000000001</v>
      </c>
      <c r="L134" s="84" t="s">
        <v>115</v>
      </c>
      <c r="M134" s="88">
        <v>103.5</v>
      </c>
      <c r="N134" s="84" t="s">
        <v>115</v>
      </c>
      <c r="O134" s="88">
        <v>84.4</v>
      </c>
      <c r="P134" s="85"/>
      <c r="Q134" s="75" t="b">
        <v>0</v>
      </c>
      <c r="R134" s="75" t="b">
        <v>0</v>
      </c>
      <c r="S134" s="75" t="b">
        <v>0</v>
      </c>
      <c r="T134" s="75" t="b">
        <f ca="1">AND(U134&lt;&gt;"",OR(U134&gt;(VLOOKUP(B134,E_analysis!$A$2:$K$36,5,FALSE)+2*VLOOKUP(B134,E_analysis!$A$2:$K$36,6,FALSE)),U134&lt;(VLOOKUP(B134,E_analysis!$A$2:$K$36,5,FALSE)-2*VLOOKUP(B134,E_analysis!$A$2:$K$36,6,FALSE))))</f>
        <v>0</v>
      </c>
      <c r="U134" s="86">
        <f>IFERROR(VLOOKUP($F134,NE_bmis!$A:$K,6,FALSE),"")</f>
        <v>27</v>
      </c>
      <c r="V134" s="84">
        <f>IFERROR(VLOOKUP($F134,NE_bmis!$A:$K,7,FALSE),"")</f>
        <v>0</v>
      </c>
      <c r="W134" s="87">
        <f>IFERROR(VLOOKUP($F134,NE_bmis!$A:$K,8,FALSE),"")</f>
        <v>66</v>
      </c>
      <c r="X134" s="84">
        <f>IFERROR(VLOOKUP($F134,NE_bmis!$A:$K,9,FALSE),"")</f>
        <v>1999</v>
      </c>
      <c r="Y134" s="84" t="str">
        <f>IFERROR(VLOOKUP($F134,NE_bmis!$A:$K,11,FALSE),"")</f>
        <v>BMIS_auto</v>
      </c>
      <c r="Z134" s="66" t="s">
        <v>2263</v>
      </c>
    </row>
    <row r="135" spans="1:26" ht="15.75" customHeight="1">
      <c r="A135" s="83" t="str">
        <f t="shared" si="0"/>
        <v>E33NE</v>
      </c>
      <c r="B135" s="83">
        <v>33</v>
      </c>
      <c r="C135" s="83" t="s">
        <v>110</v>
      </c>
      <c r="D135" s="59">
        <f t="shared" si="1"/>
        <v>6800</v>
      </c>
      <c r="E135" s="84" t="s">
        <v>884</v>
      </c>
      <c r="F135" s="84">
        <v>1810186401</v>
      </c>
      <c r="G135" s="83" t="s">
        <v>885</v>
      </c>
      <c r="H135" s="84"/>
      <c r="I135" s="84">
        <v>114.20902049999999</v>
      </c>
      <c r="J135" s="84">
        <v>22.289821020000002</v>
      </c>
      <c r="K135" s="88">
        <v>4.5</v>
      </c>
      <c r="L135" s="84" t="s">
        <v>194</v>
      </c>
      <c r="M135" s="88">
        <v>22.7</v>
      </c>
      <c r="N135" s="84" t="s">
        <v>194</v>
      </c>
      <c r="O135" s="88">
        <v>112.5</v>
      </c>
      <c r="P135" s="85"/>
      <c r="Q135" s="75" t="b">
        <v>0</v>
      </c>
      <c r="R135" s="75" t="b">
        <v>0</v>
      </c>
      <c r="S135" s="75" t="b">
        <v>0</v>
      </c>
      <c r="T135" s="75" t="b">
        <f ca="1">AND(U135&lt;&gt;"",OR(U135&gt;(VLOOKUP(B135,E_analysis!$A$2:$K$36,5,FALSE)+2*VLOOKUP(B135,E_analysis!$A$2:$K$36,6,FALSE)),U135&lt;(VLOOKUP(B135,E_analysis!$A$2:$K$36,5,FALSE)-2*VLOOKUP(B135,E_analysis!$A$2:$K$36,6,FALSE))))</f>
        <v>0</v>
      </c>
      <c r="U135" s="86">
        <f>IFERROR(VLOOKUP($F135,NE_bmis!$A:$K,6,FALSE),"")</f>
        <v>27</v>
      </c>
      <c r="V135" s="84">
        <f>IFERROR(VLOOKUP($F135,NE_bmis!$A:$K,7,FALSE),"")</f>
        <v>0</v>
      </c>
      <c r="W135" s="87">
        <f>IFERROR(VLOOKUP($F135,NE_bmis!$A:$K,8,FALSE),"")</f>
        <v>66</v>
      </c>
      <c r="X135" s="84">
        <f>IFERROR(VLOOKUP($F135,NE_bmis!$A:$K,9,FALSE),"")</f>
        <v>1999</v>
      </c>
      <c r="Y135" s="84" t="str">
        <f>IFERROR(VLOOKUP($F135,NE_bmis!$A:$K,11,FALSE),"")</f>
        <v>BMIS_auto</v>
      </c>
      <c r="Z135" s="66" t="s">
        <v>2273</v>
      </c>
    </row>
    <row r="136" spans="1:26" ht="15.75" customHeight="1">
      <c r="A136" s="83" t="str">
        <f t="shared" si="0"/>
        <v>E33SE</v>
      </c>
      <c r="B136" s="83">
        <v>33</v>
      </c>
      <c r="C136" s="83" t="s">
        <v>116</v>
      </c>
      <c r="D136" s="59">
        <f t="shared" si="1"/>
        <v>6800</v>
      </c>
      <c r="E136" s="84" t="s">
        <v>886</v>
      </c>
      <c r="F136" s="84">
        <v>1103120430</v>
      </c>
      <c r="G136" s="83" t="s">
        <v>887</v>
      </c>
      <c r="H136" s="84" t="s">
        <v>888</v>
      </c>
      <c r="I136" s="84">
        <v>114.20912199999999</v>
      </c>
      <c r="J136" s="84">
        <v>22.290009120000001</v>
      </c>
      <c r="K136" s="88">
        <v>4.5999999999999996</v>
      </c>
      <c r="L136" s="84" t="s">
        <v>126</v>
      </c>
      <c r="M136" s="88">
        <v>43.8</v>
      </c>
      <c r="N136" s="84" t="s">
        <v>115</v>
      </c>
      <c r="O136" s="88">
        <v>39.200000000000003</v>
      </c>
      <c r="P136" s="85"/>
      <c r="Q136" s="75" t="b">
        <v>0</v>
      </c>
      <c r="R136" s="75" t="b">
        <v>0</v>
      </c>
      <c r="S136" s="75" t="b">
        <v>0</v>
      </c>
      <c r="T136" s="75" t="b">
        <f ca="1">AND(U136&lt;&gt;"",OR(U136&gt;(VLOOKUP(B136,E_analysis!$A$2:$K$36,5,FALSE)+2*VLOOKUP(B136,E_analysis!$A$2:$K$36,6,FALSE)),U136&lt;(VLOOKUP(B136,E_analysis!$A$2:$K$36,5,FALSE)-2*VLOOKUP(B136,E_analysis!$A$2:$K$36,6,FALSE))))</f>
        <v>0</v>
      </c>
      <c r="U136" s="86">
        <f>IFERROR(VLOOKUP($F136,NE_bmis!$A:$K,6,FALSE),"")</f>
        <v>13</v>
      </c>
      <c r="V136" s="84">
        <f>IFERROR(VLOOKUP($F136,NE_bmis!$A:$K,7,FALSE),"")</f>
        <v>0</v>
      </c>
      <c r="W136" s="87">
        <f>IFERROR(VLOOKUP($F136,NE_bmis!$A:$K,8,FALSE),"")</f>
        <v>52</v>
      </c>
      <c r="X136" s="84">
        <f>IFERROR(VLOOKUP($F136,NE_bmis!$A:$K,9,FALSE),"")</f>
        <v>1961</v>
      </c>
      <c r="Y136" s="84" t="str">
        <f>IFERROR(VLOOKUP($F136,NE_bmis!$A:$K,11,FALSE),"")</f>
        <v>BMIS_auto</v>
      </c>
      <c r="Z136" s="66" t="s">
        <v>2275</v>
      </c>
    </row>
    <row r="137" spans="1:26" ht="15.75" customHeight="1">
      <c r="A137" s="83" t="str">
        <f t="shared" si="0"/>
        <v>E33SW</v>
      </c>
      <c r="B137" s="83">
        <v>33</v>
      </c>
      <c r="C137" s="83" t="s">
        <v>121</v>
      </c>
      <c r="D137" s="59">
        <f t="shared" si="1"/>
        <v>6800</v>
      </c>
      <c r="E137" s="84" t="s">
        <v>889</v>
      </c>
      <c r="F137" s="84">
        <v>1103120407</v>
      </c>
      <c r="G137" s="83" t="s">
        <v>890</v>
      </c>
      <c r="H137" s="84" t="s">
        <v>891</v>
      </c>
      <c r="I137" s="84">
        <v>114.20963399999999</v>
      </c>
      <c r="J137" s="84">
        <v>22.290067610000001</v>
      </c>
      <c r="K137" s="88">
        <v>4.3</v>
      </c>
      <c r="L137" s="84" t="s">
        <v>126</v>
      </c>
      <c r="M137" s="88">
        <v>46.2</v>
      </c>
      <c r="N137" s="84">
        <v>3</v>
      </c>
      <c r="O137" s="88">
        <v>41.9</v>
      </c>
      <c r="P137" s="85"/>
      <c r="Q137" s="75" t="b">
        <v>0</v>
      </c>
      <c r="R137" s="75" t="b">
        <v>0</v>
      </c>
      <c r="S137" s="75" t="b">
        <v>0</v>
      </c>
      <c r="T137" s="75" t="b">
        <f ca="1">AND(U137&lt;&gt;"",OR(U137&gt;(VLOOKUP(B137,E_analysis!$A$2:$K$36,5,FALSE)+2*VLOOKUP(B137,E_analysis!$A$2:$K$36,6,FALSE)),U137&lt;(VLOOKUP(B137,E_analysis!$A$2:$K$36,5,FALSE)-2*VLOOKUP(B137,E_analysis!$A$2:$K$36,6,FALSE))))</f>
        <v>0</v>
      </c>
      <c r="U137" s="86">
        <f>IFERROR(VLOOKUP($F137,NE_bmis!$A:$K,6,FALSE),"")</f>
        <v>13</v>
      </c>
      <c r="V137" s="84">
        <f>IFERROR(VLOOKUP($F137,NE_bmis!$A:$K,7,FALSE),"")</f>
        <v>0</v>
      </c>
      <c r="W137" s="87">
        <f>IFERROR(VLOOKUP($F137,NE_bmis!$A:$K,8,FALSE),"")</f>
        <v>112</v>
      </c>
      <c r="X137" s="84">
        <f>IFERROR(VLOOKUP($F137,NE_bmis!$A:$K,9,FALSE),"")</f>
        <v>1962</v>
      </c>
      <c r="Y137" s="84" t="str">
        <f>IFERROR(VLOOKUP($F137,NE_bmis!$A:$K,11,FALSE),"")</f>
        <v>BMIS_auto</v>
      </c>
      <c r="Z137" s="66" t="s">
        <v>2277</v>
      </c>
    </row>
    <row r="138" spans="1:26" ht="15.75" customHeight="1">
      <c r="A138" s="83" t="str">
        <f t="shared" si="0"/>
        <v>E33NW</v>
      </c>
      <c r="B138" s="83">
        <v>33</v>
      </c>
      <c r="C138" s="83" t="s">
        <v>127</v>
      </c>
      <c r="D138" s="59">
        <f t="shared" si="1"/>
        <v>6800</v>
      </c>
      <c r="E138" s="84" t="s">
        <v>892</v>
      </c>
      <c r="F138" s="84">
        <v>1103120475</v>
      </c>
      <c r="G138" s="83" t="s">
        <v>893</v>
      </c>
      <c r="H138" s="84" t="s">
        <v>894</v>
      </c>
      <c r="I138" s="84">
        <v>114.2097528</v>
      </c>
      <c r="J138" s="84">
        <v>22.289798659999999</v>
      </c>
      <c r="K138" s="88">
        <v>4.2</v>
      </c>
      <c r="L138" s="84" t="s">
        <v>126</v>
      </c>
      <c r="M138" s="88">
        <v>40.5</v>
      </c>
      <c r="N138" s="84">
        <v>3</v>
      </c>
      <c r="O138" s="88">
        <v>36.299999999999997</v>
      </c>
      <c r="P138" s="85"/>
      <c r="Q138" s="75" t="b">
        <v>0</v>
      </c>
      <c r="R138" s="75" t="b">
        <v>0</v>
      </c>
      <c r="S138" s="75" t="b">
        <v>0</v>
      </c>
      <c r="T138" s="75" t="b">
        <f ca="1">AND(U138&lt;&gt;"",OR(U138&gt;(VLOOKUP(B138,E_analysis!$A$2:$K$36,5,FALSE)+2*VLOOKUP(B138,E_analysis!$A$2:$K$36,6,FALSE)),U138&lt;(VLOOKUP(B138,E_analysis!$A$2:$K$36,5,FALSE)-2*VLOOKUP(B138,E_analysis!$A$2:$K$36,6,FALSE))))</f>
        <v>0</v>
      </c>
      <c r="U138" s="86">
        <f>IFERROR(VLOOKUP($F138,NE_bmis!$A:$K,6,FALSE),"")</f>
        <v>11</v>
      </c>
      <c r="V138" s="84">
        <f>IFERROR(VLOOKUP($F138,NE_bmis!$A:$K,7,FALSE),"")</f>
        <v>0</v>
      </c>
      <c r="W138" s="87">
        <f>IFERROR(VLOOKUP($F138,NE_bmis!$A:$K,8,FALSE),"")</f>
        <v>22</v>
      </c>
      <c r="X138" s="84">
        <f>IFERROR(VLOOKUP($F138,NE_bmis!$A:$K,9,FALSE),"")</f>
        <v>1958</v>
      </c>
      <c r="Y138" s="84" t="str">
        <f>IFERROR(VLOOKUP($F138,NE_bmis!$A:$K,11,FALSE),"")</f>
        <v>BMIS_auto</v>
      </c>
      <c r="Z138" s="66" t="s">
        <v>2279</v>
      </c>
    </row>
    <row r="139" spans="1:26" ht="15.75" customHeight="1">
      <c r="A139" s="83" t="str">
        <f t="shared" si="0"/>
        <v>E34NE</v>
      </c>
      <c r="B139" s="83">
        <v>34</v>
      </c>
      <c r="C139" s="83" t="s">
        <v>110</v>
      </c>
      <c r="D139" s="59">
        <f t="shared" si="1"/>
        <v>7000</v>
      </c>
      <c r="E139" s="84" t="s">
        <v>895</v>
      </c>
      <c r="F139" s="84">
        <v>1103121003</v>
      </c>
      <c r="G139" s="83" t="s">
        <v>896</v>
      </c>
      <c r="H139" s="84" t="s">
        <v>897</v>
      </c>
      <c r="I139" s="84">
        <v>114.2097607</v>
      </c>
      <c r="J139" s="84">
        <v>22.28788612</v>
      </c>
      <c r="K139" s="88">
        <v>4.5999999999999996</v>
      </c>
      <c r="L139" s="84" t="s">
        <v>126</v>
      </c>
      <c r="M139" s="88">
        <v>27.5</v>
      </c>
      <c r="N139" s="84">
        <v>3</v>
      </c>
      <c r="O139" s="88">
        <v>22.9</v>
      </c>
      <c r="P139" s="85" t="s">
        <v>898</v>
      </c>
      <c r="Q139" s="75" t="b">
        <v>0</v>
      </c>
      <c r="R139" s="75" t="b">
        <v>1</v>
      </c>
      <c r="S139" s="75" t="b">
        <v>0</v>
      </c>
      <c r="T139" s="75" t="b">
        <f ca="1">AND(U139&lt;&gt;"",OR(U139&gt;(VLOOKUP(B139,E_analysis!$A$2:$K$36,5,FALSE)+2*VLOOKUP(B139,E_analysis!$A$2:$K$36,6,FALSE)),U139&lt;(VLOOKUP(B139,E_analysis!$A$2:$K$36,5,FALSE)-2*VLOOKUP(B139,E_analysis!$A$2:$K$36,6,FALSE))))</f>
        <v>0</v>
      </c>
      <c r="U139" s="86">
        <v>3</v>
      </c>
      <c r="V139" s="84" t="str">
        <f>IFERROR(VLOOKUP($F139,NE_bmis!$A:$K,7,FALSE),"")</f>
        <v/>
      </c>
      <c r="W139" s="87" t="str">
        <f>IFERROR(VLOOKUP($F139,NE_bmis!$A:$K,8,FALSE),"")</f>
        <v/>
      </c>
      <c r="X139" s="84" t="str">
        <f>IFERROR(VLOOKUP($F139,NE_bmis!$A:$K,9,FALSE),"")</f>
        <v/>
      </c>
      <c r="Y139" s="84" t="s">
        <v>227</v>
      </c>
      <c r="Z139" s="66" t="s">
        <v>2289</v>
      </c>
    </row>
    <row r="140" spans="1:26" ht="15.75" customHeight="1">
      <c r="A140" s="83" t="str">
        <f t="shared" si="0"/>
        <v>E34SE</v>
      </c>
      <c r="B140" s="83">
        <v>34</v>
      </c>
      <c r="C140" s="83" t="s">
        <v>116</v>
      </c>
      <c r="D140" s="59">
        <f t="shared" si="1"/>
        <v>7000</v>
      </c>
      <c r="E140" s="84" t="s">
        <v>899</v>
      </c>
      <c r="F140" s="84">
        <v>1103120983</v>
      </c>
      <c r="G140" s="83" t="s">
        <v>900</v>
      </c>
      <c r="H140" s="84"/>
      <c r="I140" s="84">
        <v>114.2103039</v>
      </c>
      <c r="J140" s="84">
        <v>22.288091649999998</v>
      </c>
      <c r="K140" s="88">
        <v>4.7</v>
      </c>
      <c r="L140" s="84" t="s">
        <v>126</v>
      </c>
      <c r="M140" s="88">
        <v>32</v>
      </c>
      <c r="N140" s="84" t="s">
        <v>115</v>
      </c>
      <c r="O140" s="88">
        <v>27.3</v>
      </c>
      <c r="P140" s="85" t="s">
        <v>847</v>
      </c>
      <c r="Q140" s="75" t="b">
        <v>0</v>
      </c>
      <c r="R140" s="75" t="b">
        <v>1</v>
      </c>
      <c r="S140" s="75" t="b">
        <v>0</v>
      </c>
      <c r="T140" s="75" t="b">
        <f ca="1">AND(U140&lt;&gt;"",OR(U140&gt;(VLOOKUP(B140,E_analysis!$A$2:$K$36,5,FALSE)+2*VLOOKUP(B140,E_analysis!$A$2:$K$36,6,FALSE)),U140&lt;(VLOOKUP(B140,E_analysis!$A$2:$K$36,5,FALSE)-2*VLOOKUP(B140,E_analysis!$A$2:$K$36,6,FALSE))))</f>
        <v>0</v>
      </c>
      <c r="U140" s="86">
        <v>9</v>
      </c>
      <c r="V140" s="84" t="str">
        <f>IFERROR(VLOOKUP($F140,NE_bmis!$A:$K,7,FALSE),"")</f>
        <v/>
      </c>
      <c r="W140" s="87" t="str">
        <f>IFERROR(VLOOKUP($F140,NE_bmis!$A:$K,8,FALSE),"")</f>
        <v/>
      </c>
      <c r="X140" s="84" t="str">
        <f>IFERROR(VLOOKUP($F140,NE_bmis!$A:$K,9,FALSE),"")</f>
        <v/>
      </c>
      <c r="Y140" s="84" t="s">
        <v>227</v>
      </c>
      <c r="Z140" s="66" t="s">
        <v>2292</v>
      </c>
    </row>
    <row r="141" spans="1:26" ht="15.75" customHeight="1">
      <c r="A141" s="83" t="str">
        <f t="shared" si="0"/>
        <v>E34SW</v>
      </c>
      <c r="B141" s="83">
        <v>34</v>
      </c>
      <c r="C141" s="83" t="s">
        <v>121</v>
      </c>
      <c r="D141" s="59">
        <f t="shared" si="1"/>
        <v>7000</v>
      </c>
      <c r="E141" s="84" t="s">
        <v>901</v>
      </c>
      <c r="F141" s="84">
        <v>1103120812</v>
      </c>
      <c r="G141" s="83" t="s">
        <v>902</v>
      </c>
      <c r="H141" s="84" t="s">
        <v>903</v>
      </c>
      <c r="I141" s="84">
        <v>114.210133</v>
      </c>
      <c r="J141" s="84">
        <v>22.288532499999999</v>
      </c>
      <c r="K141" s="88">
        <v>14.2</v>
      </c>
      <c r="L141" s="84" t="s">
        <v>115</v>
      </c>
      <c r="M141" s="88">
        <v>72.599999999999994</v>
      </c>
      <c r="N141" s="84">
        <v>3</v>
      </c>
      <c r="O141" s="88">
        <v>58.4</v>
      </c>
      <c r="P141" s="85"/>
      <c r="Q141" s="75" t="b">
        <v>0</v>
      </c>
      <c r="R141" s="75" t="b">
        <v>0</v>
      </c>
      <c r="S141" s="75" t="b">
        <v>0</v>
      </c>
      <c r="T141" s="75" t="b">
        <f ca="1">AND(U141&lt;&gt;"",OR(U141&gt;(VLOOKUP(B141,E_analysis!$A$2:$K$36,5,FALSE)+2*VLOOKUP(B141,E_analysis!$A$2:$K$36,6,FALSE)),U141&lt;(VLOOKUP(B141,E_analysis!$A$2:$K$36,5,FALSE)-2*VLOOKUP(B141,E_analysis!$A$2:$K$36,6,FALSE))))</f>
        <v>0</v>
      </c>
      <c r="U141" s="86">
        <f>IFERROR(VLOOKUP($F141,NE_bmis!$A:$K,6,FALSE),"")</f>
        <v>23</v>
      </c>
      <c r="V141" s="84">
        <f>IFERROR(VLOOKUP($F141,NE_bmis!$A:$K,7,FALSE),"")</f>
        <v>0</v>
      </c>
      <c r="W141" s="87">
        <f>IFERROR(VLOOKUP($F141,NE_bmis!$A:$K,8,FALSE),"")</f>
        <v>46</v>
      </c>
      <c r="X141" s="84">
        <f>IFERROR(VLOOKUP($F141,NE_bmis!$A:$K,9,FALSE),"")</f>
        <v>1987</v>
      </c>
      <c r="Y141" s="84" t="str">
        <f>IFERROR(VLOOKUP($F141,NE_bmis!$A:$K,11,FALSE),"")</f>
        <v>BMIS_auto</v>
      </c>
      <c r="Z141" s="66" t="s">
        <v>2294</v>
      </c>
    </row>
    <row r="142" spans="1:26" ht="15.75" customHeight="1">
      <c r="A142" s="83" t="str">
        <f t="shared" si="0"/>
        <v>E34NW</v>
      </c>
      <c r="B142" s="83">
        <v>34</v>
      </c>
      <c r="C142" s="83" t="s">
        <v>127</v>
      </c>
      <c r="D142" s="59">
        <f t="shared" si="1"/>
        <v>7000</v>
      </c>
      <c r="E142" s="84" t="s">
        <v>904</v>
      </c>
      <c r="F142" s="84">
        <v>1103120796</v>
      </c>
      <c r="G142" s="83" t="s">
        <v>905</v>
      </c>
      <c r="H142" s="84"/>
      <c r="I142" s="84">
        <v>114.2096365</v>
      </c>
      <c r="J142" s="84">
        <v>22.28853595</v>
      </c>
      <c r="K142" s="88">
        <v>4.5</v>
      </c>
      <c r="L142" s="84" t="s">
        <v>126</v>
      </c>
      <c r="M142" s="88">
        <v>31.5</v>
      </c>
      <c r="N142" s="84" t="s">
        <v>115</v>
      </c>
      <c r="O142" s="88">
        <v>27</v>
      </c>
      <c r="P142" s="85"/>
      <c r="Q142" s="75" t="b">
        <v>0</v>
      </c>
      <c r="R142" s="75" t="b">
        <v>0</v>
      </c>
      <c r="S142" s="75" t="b">
        <v>0</v>
      </c>
      <c r="T142" s="75" t="b">
        <f ca="1">AND(U142&lt;&gt;"",OR(U142&gt;(VLOOKUP(B142,E_analysis!$A$2:$K$36,5,FALSE)+2*VLOOKUP(B142,E_analysis!$A$2:$K$36,6,FALSE)),U142&lt;(VLOOKUP(B142,E_analysis!$A$2:$K$36,5,FALSE)-2*VLOOKUP(B142,E_analysis!$A$2:$K$36,6,FALSE))))</f>
        <v>0</v>
      </c>
      <c r="U142" s="86">
        <v>9</v>
      </c>
      <c r="V142" s="84"/>
      <c r="W142" s="87"/>
      <c r="X142" s="84">
        <v>1987</v>
      </c>
      <c r="Y142" s="84" t="s">
        <v>152</v>
      </c>
      <c r="Z142" s="66" t="s">
        <v>2296</v>
      </c>
    </row>
    <row r="143" spans="1:26" ht="18.75" customHeight="1">
      <c r="A143" s="83"/>
      <c r="B143" s="83"/>
      <c r="C143" s="83"/>
      <c r="D143" s="87"/>
      <c r="E143" s="84"/>
      <c r="F143" s="84"/>
      <c r="G143" s="83"/>
      <c r="H143" s="84" t="s">
        <v>556</v>
      </c>
      <c r="I143" s="84"/>
      <c r="J143" s="84"/>
      <c r="K143" s="88"/>
      <c r="L143" s="84"/>
      <c r="M143" s="88"/>
      <c r="N143" s="84"/>
      <c r="O143" s="88"/>
      <c r="P143" s="85"/>
      <c r="Q143" s="75"/>
      <c r="R143" s="75"/>
      <c r="S143" s="75"/>
      <c r="T143" s="75"/>
      <c r="U143" s="86" t="str">
        <f t="shared" ref="U143:U144" si="2">IFERROR(VLOOKUP(#REF!,#REF!,6,FALSE),"")</f>
        <v/>
      </c>
      <c r="V143" s="84"/>
      <c r="W143" s="87"/>
      <c r="X143" s="84"/>
      <c r="Y143" s="84"/>
      <c r="Z143" s="87"/>
    </row>
    <row r="144" spans="1:26" ht="17.25" customHeight="1">
      <c r="A144" s="83"/>
      <c r="B144" s="83"/>
      <c r="C144" s="83"/>
      <c r="D144" s="87"/>
      <c r="E144" s="84"/>
      <c r="F144" s="84"/>
      <c r="G144" s="83"/>
      <c r="H144" s="84" t="s">
        <v>556</v>
      </c>
      <c r="I144" s="84"/>
      <c r="J144" s="84"/>
      <c r="K144" s="88"/>
      <c r="L144" s="84"/>
      <c r="M144" s="88"/>
      <c r="N144" s="84"/>
      <c r="O144" s="88"/>
      <c r="P144" s="85"/>
      <c r="Q144" s="75"/>
      <c r="R144" s="75"/>
      <c r="S144" s="75"/>
      <c r="T144" s="75"/>
      <c r="U144" s="86" t="str">
        <f t="shared" si="2"/>
        <v/>
      </c>
      <c r="V144" s="84"/>
      <c r="W144" s="87"/>
      <c r="X144" s="84"/>
      <c r="Y144" s="84"/>
      <c r="Z144" s="87"/>
    </row>
    <row r="145" spans="1:26" ht="15.75" customHeight="1">
      <c r="A145" s="83"/>
      <c r="B145" s="83"/>
      <c r="C145" s="83"/>
      <c r="D145" s="87"/>
      <c r="E145" s="84"/>
      <c r="F145" s="84"/>
      <c r="G145" s="83"/>
      <c r="H145" s="84" t="s">
        <v>556</v>
      </c>
      <c r="I145" s="84"/>
      <c r="J145" s="84"/>
      <c r="K145" s="88"/>
      <c r="L145" s="84"/>
      <c r="M145" s="88"/>
      <c r="N145" s="84"/>
      <c r="O145" s="88"/>
      <c r="P145" s="85"/>
      <c r="Q145" s="75"/>
      <c r="R145" s="75"/>
      <c r="S145" s="75"/>
      <c r="T145" s="75"/>
      <c r="U145" s="86"/>
      <c r="V145" s="84"/>
      <c r="W145" s="87"/>
      <c r="X145" s="84"/>
      <c r="Y145" s="84"/>
      <c r="Z145" s="87"/>
    </row>
    <row r="146" spans="1:26" ht="15.75" customHeight="1">
      <c r="A146" s="83"/>
      <c r="B146" s="83"/>
      <c r="C146" s="83"/>
      <c r="D146" s="87"/>
      <c r="E146" s="84"/>
      <c r="F146" s="84"/>
      <c r="G146" s="83"/>
      <c r="H146" s="84" t="s">
        <v>556</v>
      </c>
      <c r="I146" s="84"/>
      <c r="J146" s="84"/>
      <c r="K146" s="88"/>
      <c r="L146" s="84"/>
      <c r="M146" s="88"/>
      <c r="N146" s="84"/>
      <c r="O146" s="88"/>
      <c r="P146" s="85"/>
      <c r="Q146" s="75"/>
      <c r="R146" s="75"/>
      <c r="S146" s="75"/>
      <c r="T146" s="75"/>
      <c r="U146" s="86"/>
      <c r="V146" s="84"/>
      <c r="W146" s="87"/>
      <c r="X146" s="84"/>
      <c r="Y146" s="84"/>
      <c r="Z146" s="87"/>
    </row>
    <row r="147" spans="1:26" ht="15.75" customHeight="1">
      <c r="A147" s="83"/>
      <c r="B147" s="83"/>
      <c r="C147" s="83"/>
      <c r="D147" s="87"/>
      <c r="E147" s="84"/>
      <c r="F147" s="84"/>
      <c r="G147" s="83"/>
      <c r="H147" s="84" t="s">
        <v>556</v>
      </c>
      <c r="I147" s="84"/>
      <c r="J147" s="84"/>
      <c r="K147" s="88"/>
      <c r="L147" s="84"/>
      <c r="M147" s="88"/>
      <c r="N147" s="84"/>
      <c r="O147" s="88"/>
      <c r="P147" s="85"/>
      <c r="Q147" s="75"/>
      <c r="R147" s="75"/>
      <c r="S147" s="75"/>
      <c r="T147" s="75"/>
      <c r="U147" s="86"/>
      <c r="V147" s="84"/>
      <c r="W147" s="87"/>
      <c r="X147" s="84"/>
      <c r="Y147" s="84"/>
      <c r="Z147" s="87"/>
    </row>
    <row r="148" spans="1:26" ht="15.75" customHeight="1">
      <c r="A148" s="83"/>
      <c r="B148" s="83"/>
      <c r="C148" s="83"/>
      <c r="D148" s="87"/>
      <c r="E148" s="84"/>
      <c r="F148" s="84"/>
      <c r="G148" s="83"/>
      <c r="H148" s="84" t="s">
        <v>556</v>
      </c>
      <c r="I148" s="84"/>
      <c r="J148" s="84"/>
      <c r="K148" s="88"/>
      <c r="L148" s="84"/>
      <c r="M148" s="88"/>
      <c r="N148" s="84"/>
      <c r="O148" s="88"/>
      <c r="P148" s="85"/>
      <c r="Q148" s="75"/>
      <c r="R148" s="75"/>
      <c r="S148" s="75"/>
      <c r="T148" s="75"/>
      <c r="U148" s="86"/>
      <c r="V148" s="84"/>
      <c r="W148" s="87"/>
      <c r="X148" s="84"/>
      <c r="Y148" s="84"/>
      <c r="Z148" s="87"/>
    </row>
    <row r="149" spans="1:26" ht="15.75" customHeight="1">
      <c r="A149" s="83"/>
      <c r="B149" s="83"/>
      <c r="C149" s="83"/>
      <c r="D149" s="87"/>
      <c r="E149" s="84"/>
      <c r="F149" s="84"/>
      <c r="G149" s="83"/>
      <c r="H149" s="84" t="s">
        <v>556</v>
      </c>
      <c r="I149" s="84"/>
      <c r="J149" s="84"/>
      <c r="K149" s="88"/>
      <c r="L149" s="84"/>
      <c r="M149" s="88"/>
      <c r="N149" s="84"/>
      <c r="O149" s="88"/>
      <c r="P149" s="85"/>
      <c r="Q149" s="75"/>
      <c r="R149" s="75"/>
      <c r="S149" s="75"/>
      <c r="T149" s="75"/>
      <c r="U149" s="86"/>
      <c r="V149" s="84"/>
      <c r="W149" s="87"/>
      <c r="X149" s="84"/>
      <c r="Y149" s="84"/>
      <c r="Z149" s="87"/>
    </row>
    <row r="150" spans="1:26" ht="15.75" customHeight="1">
      <c r="A150" s="83"/>
      <c r="B150" s="83"/>
      <c r="C150" s="83"/>
      <c r="D150" s="87"/>
      <c r="E150" s="84"/>
      <c r="F150" s="84"/>
      <c r="G150" s="83"/>
      <c r="H150" s="84" t="s">
        <v>556</v>
      </c>
      <c r="I150" s="84"/>
      <c r="J150" s="84"/>
      <c r="K150" s="88"/>
      <c r="L150" s="84"/>
      <c r="M150" s="88"/>
      <c r="N150" s="84"/>
      <c r="O150" s="88"/>
      <c r="P150" s="85"/>
      <c r="Q150" s="75"/>
      <c r="R150" s="75"/>
      <c r="S150" s="75"/>
      <c r="T150" s="75"/>
      <c r="U150" s="86"/>
      <c r="V150" s="84"/>
      <c r="W150" s="87"/>
      <c r="X150" s="84"/>
      <c r="Y150" s="84"/>
      <c r="Z150" s="87"/>
    </row>
    <row r="151" spans="1:26" ht="15.75" customHeight="1">
      <c r="A151" s="83"/>
      <c r="B151" s="83"/>
      <c r="C151" s="83"/>
      <c r="D151" s="87"/>
      <c r="E151" s="84"/>
      <c r="F151" s="84"/>
      <c r="G151" s="83"/>
      <c r="H151" s="84" t="s">
        <v>556</v>
      </c>
      <c r="I151" s="84"/>
      <c r="J151" s="84"/>
      <c r="K151" s="88"/>
      <c r="L151" s="84"/>
      <c r="M151" s="88"/>
      <c r="N151" s="84"/>
      <c r="O151" s="88"/>
      <c r="P151" s="85"/>
      <c r="Q151" s="75"/>
      <c r="R151" s="75"/>
      <c r="S151" s="75"/>
      <c r="T151" s="75"/>
      <c r="U151" s="86"/>
      <c r="V151" s="84"/>
      <c r="W151" s="87"/>
      <c r="X151" s="84"/>
      <c r="Y151" s="84"/>
      <c r="Z151" s="87"/>
    </row>
    <row r="152" spans="1:26" ht="15.75" customHeight="1">
      <c r="A152" s="83"/>
      <c r="B152" s="83"/>
      <c r="C152" s="83"/>
      <c r="D152" s="87"/>
      <c r="E152" s="84"/>
      <c r="F152" s="84"/>
      <c r="G152" s="83"/>
      <c r="H152" s="84" t="s">
        <v>556</v>
      </c>
      <c r="I152" s="84"/>
      <c r="J152" s="84"/>
      <c r="K152" s="88"/>
      <c r="L152" s="84"/>
      <c r="M152" s="88"/>
      <c r="N152" s="84"/>
      <c r="O152" s="88"/>
      <c r="P152" s="85"/>
      <c r="Q152" s="75"/>
      <c r="R152" s="75"/>
      <c r="S152" s="75"/>
      <c r="T152" s="75"/>
      <c r="U152" s="86"/>
      <c r="V152" s="84"/>
      <c r="W152" s="87"/>
      <c r="X152" s="84"/>
      <c r="Y152" s="84"/>
      <c r="Z152" s="87"/>
    </row>
    <row r="153" spans="1:26" ht="15.75" customHeight="1">
      <c r="A153" s="83"/>
      <c r="B153" s="83"/>
      <c r="C153" s="83"/>
      <c r="D153" s="87"/>
      <c r="E153" s="84"/>
      <c r="F153" s="84"/>
      <c r="G153" s="83"/>
      <c r="H153" s="84" t="s">
        <v>556</v>
      </c>
      <c r="I153" s="84"/>
      <c r="J153" s="84"/>
      <c r="K153" s="88"/>
      <c r="L153" s="84"/>
      <c r="M153" s="88"/>
      <c r="N153" s="84"/>
      <c r="O153" s="88"/>
      <c r="P153" s="85"/>
      <c r="Q153" s="75"/>
      <c r="R153" s="75"/>
      <c r="S153" s="75"/>
      <c r="T153" s="75"/>
      <c r="U153" s="86"/>
      <c r="V153" s="84"/>
      <c r="W153" s="87"/>
      <c r="X153" s="84"/>
      <c r="Y153" s="84"/>
      <c r="Z153" s="87"/>
    </row>
    <row r="154" spans="1:26" ht="15.75" customHeight="1">
      <c r="A154" s="83"/>
      <c r="B154" s="83"/>
      <c r="C154" s="83"/>
      <c r="D154" s="87"/>
      <c r="E154" s="84"/>
      <c r="F154" s="84"/>
      <c r="G154" s="83"/>
      <c r="H154" s="84" t="s">
        <v>556</v>
      </c>
      <c r="I154" s="84"/>
      <c r="J154" s="84"/>
      <c r="K154" s="88"/>
      <c r="L154" s="84"/>
      <c r="M154" s="88"/>
      <c r="N154" s="84"/>
      <c r="O154" s="88"/>
      <c r="P154" s="85"/>
      <c r="Q154" s="75"/>
      <c r="R154" s="75"/>
      <c r="S154" s="75"/>
      <c r="T154" s="75"/>
      <c r="U154" s="86"/>
      <c r="V154" s="84"/>
      <c r="W154" s="87"/>
      <c r="X154" s="84"/>
      <c r="Y154" s="84"/>
      <c r="Z154" s="87"/>
    </row>
    <row r="155" spans="1:26" ht="34.5" customHeight="1">
      <c r="A155" s="83"/>
      <c r="B155" s="83"/>
      <c r="C155" s="83"/>
      <c r="D155" s="87"/>
      <c r="E155" s="84"/>
      <c r="F155" s="84"/>
      <c r="G155" s="83"/>
      <c r="H155" s="84" t="s">
        <v>556</v>
      </c>
      <c r="I155" s="84"/>
      <c r="J155" s="84"/>
      <c r="K155" s="88"/>
      <c r="L155" s="84"/>
      <c r="M155" s="88"/>
      <c r="N155" s="84"/>
      <c r="O155" s="88"/>
      <c r="P155" s="85"/>
      <c r="Q155" s="75"/>
      <c r="R155" s="75"/>
      <c r="S155" s="75"/>
      <c r="T155" s="75"/>
      <c r="U155" s="86"/>
      <c r="V155" s="84"/>
      <c r="W155" s="87"/>
      <c r="X155" s="84"/>
      <c r="Y155" s="84"/>
      <c r="Z155" s="87"/>
    </row>
    <row r="156" spans="1:26" ht="15.75" customHeight="1">
      <c r="A156" s="83"/>
      <c r="B156" s="83"/>
      <c r="C156" s="83"/>
      <c r="D156" s="87"/>
      <c r="E156" s="84"/>
      <c r="F156" s="84"/>
      <c r="G156" s="83"/>
      <c r="H156" s="84" t="s">
        <v>556</v>
      </c>
      <c r="I156" s="84"/>
      <c r="J156" s="84"/>
      <c r="K156" s="88"/>
      <c r="L156" s="84"/>
      <c r="M156" s="88"/>
      <c r="N156" s="84"/>
      <c r="O156" s="88"/>
      <c r="P156" s="85"/>
      <c r="Q156" s="75"/>
      <c r="R156" s="75"/>
      <c r="S156" s="75"/>
      <c r="T156" s="75"/>
      <c r="U156" s="86"/>
      <c r="V156" s="84"/>
      <c r="W156" s="87"/>
      <c r="X156" s="84"/>
      <c r="Y156" s="84"/>
      <c r="Z156" s="87"/>
    </row>
    <row r="157" spans="1:26" ht="15.75" customHeight="1">
      <c r="A157" s="83"/>
      <c r="B157" s="83"/>
      <c r="C157" s="83"/>
      <c r="D157" s="87"/>
      <c r="E157" s="84"/>
      <c r="F157" s="84"/>
      <c r="G157" s="83"/>
      <c r="H157" s="84" t="s">
        <v>556</v>
      </c>
      <c r="I157" s="84"/>
      <c r="J157" s="84"/>
      <c r="K157" s="88"/>
      <c r="L157" s="84"/>
      <c r="M157" s="88"/>
      <c r="N157" s="84"/>
      <c r="O157" s="88"/>
      <c r="P157" s="85"/>
      <c r="Q157" s="75"/>
      <c r="R157" s="75"/>
      <c r="S157" s="75"/>
      <c r="T157" s="75"/>
      <c r="U157" s="86"/>
      <c r="V157" s="84"/>
      <c r="W157" s="87"/>
      <c r="X157" s="84"/>
      <c r="Y157" s="84"/>
      <c r="Z157" s="87"/>
    </row>
    <row r="158" spans="1:26" ht="15.75" customHeight="1">
      <c r="A158" s="83"/>
      <c r="B158" s="83"/>
      <c r="C158" s="83"/>
      <c r="D158" s="87"/>
      <c r="E158" s="84"/>
      <c r="F158" s="84"/>
      <c r="G158" s="83"/>
      <c r="H158" s="84" t="s">
        <v>556</v>
      </c>
      <c r="I158" s="84"/>
      <c r="J158" s="84"/>
      <c r="K158" s="88"/>
      <c r="L158" s="84"/>
      <c r="M158" s="88"/>
      <c r="N158" s="84"/>
      <c r="O158" s="88"/>
      <c r="P158" s="85"/>
      <c r="Q158" s="75"/>
      <c r="R158" s="75"/>
      <c r="S158" s="75"/>
      <c r="T158" s="75"/>
      <c r="U158" s="86"/>
      <c r="V158" s="84"/>
      <c r="W158" s="87"/>
      <c r="X158" s="84"/>
      <c r="Y158" s="84"/>
      <c r="Z158" s="87"/>
    </row>
    <row r="159" spans="1:26" ht="15.75" customHeight="1">
      <c r="A159" s="83"/>
      <c r="B159" s="83"/>
      <c r="C159" s="83"/>
      <c r="D159" s="87"/>
      <c r="E159" s="84"/>
      <c r="F159" s="84"/>
      <c r="G159" s="83"/>
      <c r="H159" s="84" t="s">
        <v>556</v>
      </c>
      <c r="I159" s="84"/>
      <c r="J159" s="84"/>
      <c r="K159" s="88"/>
      <c r="L159" s="84"/>
      <c r="M159" s="88"/>
      <c r="N159" s="84"/>
      <c r="O159" s="88"/>
      <c r="P159" s="85"/>
      <c r="Q159" s="75"/>
      <c r="R159" s="75"/>
      <c r="S159" s="75"/>
      <c r="T159" s="75"/>
      <c r="U159" s="86"/>
      <c r="V159" s="84"/>
      <c r="W159" s="87"/>
      <c r="X159" s="84"/>
      <c r="Y159" s="84"/>
      <c r="Z159" s="87"/>
    </row>
    <row r="160" spans="1:26" ht="15.75" customHeight="1">
      <c r="A160" s="83"/>
      <c r="B160" s="83"/>
      <c r="C160" s="83"/>
      <c r="D160" s="87"/>
      <c r="E160" s="84"/>
      <c r="F160" s="84"/>
      <c r="G160" s="83"/>
      <c r="H160" s="84" t="s">
        <v>556</v>
      </c>
      <c r="I160" s="84"/>
      <c r="J160" s="84"/>
      <c r="K160" s="88"/>
      <c r="L160" s="84"/>
      <c r="M160" s="88"/>
      <c r="N160" s="84"/>
      <c r="O160" s="88"/>
      <c r="P160" s="85"/>
      <c r="Q160" s="75"/>
      <c r="R160" s="75"/>
      <c r="S160" s="75"/>
      <c r="T160" s="75"/>
      <c r="U160" s="86"/>
      <c r="V160" s="84"/>
      <c r="W160" s="87"/>
      <c r="X160" s="84"/>
      <c r="Y160" s="84"/>
      <c r="Z160" s="87"/>
    </row>
    <row r="161" spans="1:26" ht="15.75" customHeight="1">
      <c r="A161" s="83"/>
      <c r="B161" s="83"/>
      <c r="C161" s="83"/>
      <c r="D161" s="87"/>
      <c r="E161" s="84"/>
      <c r="F161" s="84"/>
      <c r="G161" s="83"/>
      <c r="H161" s="84" t="s">
        <v>556</v>
      </c>
      <c r="I161" s="84"/>
      <c r="J161" s="84"/>
      <c r="K161" s="88"/>
      <c r="L161" s="84"/>
      <c r="M161" s="88"/>
      <c r="N161" s="84"/>
      <c r="O161" s="88"/>
      <c r="P161" s="85"/>
      <c r="Q161" s="75"/>
      <c r="R161" s="75"/>
      <c r="S161" s="75"/>
      <c r="T161" s="75"/>
      <c r="U161" s="86"/>
      <c r="V161" s="84"/>
      <c r="W161" s="87"/>
      <c r="X161" s="84"/>
      <c r="Y161" s="84"/>
      <c r="Z161" s="87"/>
    </row>
    <row r="162" spans="1:26" ht="15.75" customHeight="1">
      <c r="A162" s="83"/>
      <c r="B162" s="83"/>
      <c r="C162" s="83"/>
      <c r="D162" s="87"/>
      <c r="E162" s="84"/>
      <c r="F162" s="84"/>
      <c r="G162" s="83"/>
      <c r="H162" s="84" t="s">
        <v>556</v>
      </c>
      <c r="I162" s="84"/>
      <c r="J162" s="84"/>
      <c r="K162" s="88"/>
      <c r="L162" s="84"/>
      <c r="M162" s="88"/>
      <c r="N162" s="84"/>
      <c r="O162" s="88"/>
      <c r="P162" s="85"/>
      <c r="Q162" s="75"/>
      <c r="R162" s="75"/>
      <c r="S162" s="75"/>
      <c r="T162" s="75"/>
      <c r="U162" s="86"/>
      <c r="V162" s="84"/>
      <c r="W162" s="87"/>
      <c r="X162" s="84"/>
      <c r="Y162" s="84"/>
      <c r="Z162" s="87"/>
    </row>
    <row r="163" spans="1:26" ht="15.75" customHeight="1">
      <c r="A163" s="83"/>
      <c r="B163" s="83"/>
      <c r="C163" s="83"/>
      <c r="D163" s="87"/>
      <c r="E163" s="84"/>
      <c r="F163" s="84"/>
      <c r="G163" s="83"/>
      <c r="H163" s="84" t="s">
        <v>556</v>
      </c>
      <c r="I163" s="84"/>
      <c r="J163" s="84"/>
      <c r="K163" s="88"/>
      <c r="L163" s="84"/>
      <c r="M163" s="88"/>
      <c r="N163" s="84"/>
      <c r="O163" s="88"/>
      <c r="P163" s="85"/>
      <c r="Q163" s="75"/>
      <c r="R163" s="75"/>
      <c r="S163" s="75"/>
      <c r="T163" s="75"/>
      <c r="U163" s="86"/>
      <c r="V163" s="84"/>
      <c r="W163" s="87"/>
      <c r="X163" s="84"/>
      <c r="Y163" s="84"/>
      <c r="Z163" s="87"/>
    </row>
    <row r="164" spans="1:26" ht="15.75" customHeight="1">
      <c r="A164" s="83"/>
      <c r="B164" s="83"/>
      <c r="C164" s="83"/>
      <c r="D164" s="87"/>
      <c r="E164" s="84"/>
      <c r="F164" s="84"/>
      <c r="G164" s="83"/>
      <c r="H164" s="84"/>
      <c r="I164" s="84"/>
      <c r="J164" s="84"/>
      <c r="K164" s="88"/>
      <c r="L164" s="84"/>
      <c r="M164" s="88"/>
      <c r="N164" s="84"/>
      <c r="O164" s="88"/>
      <c r="P164" s="85"/>
      <c r="Q164" s="75"/>
      <c r="R164" s="75"/>
      <c r="S164" s="75"/>
      <c r="T164" s="75"/>
      <c r="U164" s="86"/>
      <c r="V164" s="84"/>
      <c r="W164" s="87"/>
      <c r="X164" s="84"/>
      <c r="Y164" s="84"/>
      <c r="Z164" s="87"/>
    </row>
    <row r="165" spans="1:26" ht="15.75" customHeight="1">
      <c r="A165" s="83"/>
      <c r="B165" s="83"/>
      <c r="C165" s="83"/>
      <c r="D165" s="87"/>
      <c r="E165" s="84"/>
      <c r="F165" s="84"/>
      <c r="G165" s="83"/>
      <c r="H165" s="84"/>
      <c r="I165" s="84"/>
      <c r="J165" s="84"/>
      <c r="K165" s="88"/>
      <c r="L165" s="84"/>
      <c r="M165" s="88"/>
      <c r="N165" s="84"/>
      <c r="O165" s="88"/>
      <c r="P165" s="85"/>
      <c r="Q165" s="75"/>
      <c r="R165" s="75"/>
      <c r="S165" s="75"/>
      <c r="T165" s="75"/>
      <c r="U165" s="86"/>
      <c r="V165" s="84"/>
      <c r="W165" s="87"/>
      <c r="X165" s="84"/>
      <c r="Y165" s="84"/>
      <c r="Z165" s="87"/>
    </row>
    <row r="166" spans="1:26" ht="15.75" customHeight="1">
      <c r="A166" s="83"/>
      <c r="B166" s="83"/>
      <c r="C166" s="83"/>
      <c r="D166" s="87"/>
      <c r="E166" s="84"/>
      <c r="F166" s="84"/>
      <c r="G166" s="83"/>
      <c r="H166" s="84"/>
      <c r="I166" s="84"/>
      <c r="J166" s="84"/>
      <c r="K166" s="88"/>
      <c r="L166" s="84"/>
      <c r="M166" s="88"/>
      <c r="N166" s="84"/>
      <c r="O166" s="88"/>
      <c r="P166" s="85"/>
      <c r="Q166" s="75"/>
      <c r="R166" s="75"/>
      <c r="S166" s="75"/>
      <c r="T166" s="75"/>
      <c r="U166" s="86"/>
      <c r="V166" s="84"/>
      <c r="W166" s="87"/>
      <c r="X166" s="84"/>
      <c r="Y166" s="84"/>
      <c r="Z166" s="87"/>
    </row>
    <row r="167" spans="1:26" ht="15.75" customHeight="1">
      <c r="A167" s="83"/>
      <c r="B167" s="83"/>
      <c r="C167" s="83"/>
      <c r="D167" s="87"/>
      <c r="E167" s="84"/>
      <c r="F167" s="84"/>
      <c r="G167" s="83"/>
      <c r="H167" s="84"/>
      <c r="I167" s="84"/>
      <c r="J167" s="84"/>
      <c r="K167" s="88"/>
      <c r="L167" s="84"/>
      <c r="M167" s="88"/>
      <c r="N167" s="84"/>
      <c r="O167" s="88"/>
      <c r="P167" s="85"/>
      <c r="Q167" s="75"/>
      <c r="R167" s="75"/>
      <c r="S167" s="75"/>
      <c r="T167" s="75"/>
      <c r="U167" s="86"/>
      <c r="V167" s="84"/>
      <c r="W167" s="87"/>
      <c r="X167" s="84"/>
      <c r="Y167" s="84"/>
      <c r="Z167" s="87"/>
    </row>
    <row r="168" spans="1:26" ht="15.75" customHeight="1">
      <c r="A168" s="83"/>
      <c r="B168" s="83"/>
      <c r="C168" s="83"/>
      <c r="D168" s="87"/>
      <c r="E168" s="84"/>
      <c r="F168" s="84"/>
      <c r="G168" s="83"/>
      <c r="H168" s="84"/>
      <c r="I168" s="84"/>
      <c r="J168" s="84"/>
      <c r="K168" s="88"/>
      <c r="L168" s="84"/>
      <c r="M168" s="88"/>
      <c r="N168" s="84"/>
      <c r="O168" s="88"/>
      <c r="P168" s="85"/>
      <c r="Q168" s="75"/>
      <c r="R168" s="75"/>
      <c r="S168" s="75"/>
      <c r="T168" s="75"/>
      <c r="U168" s="86"/>
      <c r="V168" s="84"/>
      <c r="W168" s="87"/>
      <c r="X168" s="84"/>
      <c r="Y168" s="84"/>
      <c r="Z168" s="87"/>
    </row>
    <row r="169" spans="1:26" ht="15.75" customHeight="1">
      <c r="A169" s="83"/>
      <c r="B169" s="83"/>
      <c r="C169" s="83"/>
      <c r="D169" s="87"/>
      <c r="E169" s="84"/>
      <c r="F169" s="84"/>
      <c r="G169" s="83"/>
      <c r="H169" s="84"/>
      <c r="I169" s="84"/>
      <c r="J169" s="84"/>
      <c r="K169" s="88"/>
      <c r="L169" s="84"/>
      <c r="M169" s="88"/>
      <c r="N169" s="84"/>
      <c r="O169" s="88"/>
      <c r="P169" s="85"/>
      <c r="Q169" s="75"/>
      <c r="R169" s="75"/>
      <c r="S169" s="75"/>
      <c r="T169" s="75"/>
      <c r="U169" s="86"/>
      <c r="V169" s="84"/>
      <c r="W169" s="87"/>
      <c r="X169" s="84"/>
      <c r="Y169" s="84"/>
      <c r="Z169" s="87"/>
    </row>
    <row r="170" spans="1:26" ht="15.75" customHeight="1">
      <c r="A170" s="83"/>
      <c r="B170" s="83"/>
      <c r="C170" s="83"/>
      <c r="D170" s="87"/>
      <c r="E170" s="84"/>
      <c r="F170" s="84"/>
      <c r="G170" s="83"/>
      <c r="H170" s="84"/>
      <c r="I170" s="84"/>
      <c r="J170" s="84"/>
      <c r="K170" s="88"/>
      <c r="L170" s="84"/>
      <c r="M170" s="88"/>
      <c r="N170" s="84"/>
      <c r="O170" s="88"/>
      <c r="P170" s="85"/>
      <c r="Q170" s="75"/>
      <c r="R170" s="75"/>
      <c r="S170" s="75"/>
      <c r="T170" s="75"/>
      <c r="U170" s="86"/>
      <c r="V170" s="84"/>
      <c r="W170" s="87"/>
      <c r="X170" s="84"/>
      <c r="Y170" s="84"/>
      <c r="Z170" s="87"/>
    </row>
    <row r="171" spans="1:26" ht="15.75" customHeight="1">
      <c r="A171" s="83"/>
      <c r="B171" s="83"/>
      <c r="C171" s="83"/>
      <c r="D171" s="87"/>
      <c r="E171" s="84"/>
      <c r="F171" s="84"/>
      <c r="G171" s="83"/>
      <c r="H171" s="84"/>
      <c r="I171" s="84"/>
      <c r="J171" s="84"/>
      <c r="K171" s="88"/>
      <c r="L171" s="84"/>
      <c r="M171" s="88"/>
      <c r="N171" s="84"/>
      <c r="O171" s="88"/>
      <c r="P171" s="85"/>
      <c r="Q171" s="75"/>
      <c r="R171" s="75"/>
      <c r="S171" s="75"/>
      <c r="T171" s="75"/>
      <c r="U171" s="86"/>
      <c r="V171" s="84"/>
      <c r="W171" s="87"/>
      <c r="X171" s="84"/>
      <c r="Y171" s="84"/>
      <c r="Z171" s="87"/>
    </row>
    <row r="172" spans="1:26" ht="15.75" customHeight="1">
      <c r="A172" s="83"/>
      <c r="B172" s="83"/>
      <c r="C172" s="83"/>
      <c r="D172" s="87"/>
      <c r="E172" s="84"/>
      <c r="F172" s="84"/>
      <c r="G172" s="83"/>
      <c r="H172" s="84"/>
      <c r="I172" s="84"/>
      <c r="J172" s="84"/>
      <c r="K172" s="88"/>
      <c r="L172" s="84"/>
      <c r="M172" s="88"/>
      <c r="N172" s="84"/>
      <c r="O172" s="88"/>
      <c r="P172" s="85"/>
      <c r="Q172" s="75"/>
      <c r="R172" s="75"/>
      <c r="S172" s="75"/>
      <c r="T172" s="75"/>
      <c r="U172" s="86"/>
      <c r="V172" s="84"/>
      <c r="W172" s="87"/>
      <c r="X172" s="84"/>
      <c r="Y172" s="84"/>
      <c r="Z172" s="87"/>
    </row>
    <row r="173" spans="1:26" ht="15.75" customHeight="1">
      <c r="A173" s="83"/>
      <c r="B173" s="83"/>
      <c r="C173" s="83"/>
      <c r="D173" s="87"/>
      <c r="E173" s="84"/>
      <c r="F173" s="84"/>
      <c r="G173" s="83"/>
      <c r="H173" s="84"/>
      <c r="I173" s="84"/>
      <c r="J173" s="84"/>
      <c r="K173" s="88"/>
      <c r="L173" s="84"/>
      <c r="M173" s="88"/>
      <c r="N173" s="84"/>
      <c r="O173" s="88"/>
      <c r="P173" s="85"/>
      <c r="Q173" s="75"/>
      <c r="R173" s="75"/>
      <c r="S173" s="75"/>
      <c r="T173" s="75"/>
      <c r="U173" s="86"/>
      <c r="V173" s="84"/>
      <c r="W173" s="87"/>
      <c r="X173" s="84"/>
      <c r="Y173" s="84"/>
      <c r="Z173" s="87"/>
    </row>
    <row r="174" spans="1:26" ht="15.75" customHeight="1">
      <c r="A174" s="83"/>
      <c r="B174" s="83"/>
      <c r="C174" s="83"/>
      <c r="D174" s="87"/>
      <c r="E174" s="84"/>
      <c r="F174" s="84"/>
      <c r="G174" s="83"/>
      <c r="H174" s="84"/>
      <c r="I174" s="84"/>
      <c r="J174" s="84"/>
      <c r="K174" s="88"/>
      <c r="L174" s="84"/>
      <c r="M174" s="88"/>
      <c r="N174" s="84"/>
      <c r="O174" s="88"/>
      <c r="P174" s="85"/>
      <c r="Q174" s="75"/>
      <c r="R174" s="75"/>
      <c r="S174" s="75"/>
      <c r="T174" s="75"/>
      <c r="U174" s="86"/>
      <c r="V174" s="84"/>
      <c r="W174" s="87"/>
      <c r="X174" s="84"/>
      <c r="Y174" s="84"/>
      <c r="Z174" s="87"/>
    </row>
    <row r="175" spans="1:26" ht="15.75" customHeight="1">
      <c r="A175" s="83"/>
      <c r="B175" s="83"/>
      <c r="C175" s="83"/>
      <c r="D175" s="87"/>
      <c r="E175" s="84"/>
      <c r="F175" s="84"/>
      <c r="G175" s="83"/>
      <c r="H175" s="84"/>
      <c r="I175" s="84"/>
      <c r="J175" s="84"/>
      <c r="K175" s="88"/>
      <c r="L175" s="84"/>
      <c r="M175" s="88"/>
      <c r="N175" s="84"/>
      <c r="O175" s="88"/>
      <c r="P175" s="85"/>
      <c r="Q175" s="75"/>
      <c r="R175" s="75"/>
      <c r="S175" s="75"/>
      <c r="T175" s="75"/>
      <c r="U175" s="86"/>
      <c r="V175" s="84"/>
      <c r="W175" s="87"/>
      <c r="X175" s="84"/>
      <c r="Y175" s="84"/>
      <c r="Z175" s="87"/>
    </row>
    <row r="176" spans="1:26" ht="15.75" customHeight="1">
      <c r="A176" s="83"/>
      <c r="B176" s="83"/>
      <c r="C176" s="83"/>
      <c r="D176" s="87"/>
      <c r="E176" s="84"/>
      <c r="F176" s="84"/>
      <c r="G176" s="83"/>
      <c r="H176" s="84"/>
      <c r="I176" s="84"/>
      <c r="J176" s="84"/>
      <c r="K176" s="88"/>
      <c r="L176" s="84"/>
      <c r="M176" s="88"/>
      <c r="N176" s="84"/>
      <c r="O176" s="88"/>
      <c r="P176" s="85"/>
      <c r="Q176" s="75"/>
      <c r="R176" s="75"/>
      <c r="S176" s="75"/>
      <c r="T176" s="75"/>
      <c r="U176" s="86"/>
      <c r="V176" s="84"/>
      <c r="W176" s="87"/>
      <c r="X176" s="84"/>
      <c r="Y176" s="84"/>
      <c r="Z176" s="87"/>
    </row>
    <row r="177" spans="1:26" ht="15.75" customHeight="1">
      <c r="A177" s="83"/>
      <c r="B177" s="83"/>
      <c r="C177" s="83"/>
      <c r="D177" s="87"/>
      <c r="E177" s="84"/>
      <c r="F177" s="84"/>
      <c r="G177" s="83"/>
      <c r="H177" s="84"/>
      <c r="I177" s="84"/>
      <c r="J177" s="84"/>
      <c r="K177" s="88"/>
      <c r="L177" s="84"/>
      <c r="M177" s="88"/>
      <c r="N177" s="84"/>
      <c r="O177" s="88"/>
      <c r="P177" s="85"/>
      <c r="Q177" s="75"/>
      <c r="R177" s="75"/>
      <c r="S177" s="75"/>
      <c r="T177" s="75"/>
      <c r="U177" s="86"/>
      <c r="V177" s="84"/>
      <c r="W177" s="87"/>
      <c r="X177" s="84"/>
      <c r="Y177" s="84"/>
      <c r="Z177" s="87"/>
    </row>
    <row r="178" spans="1:26" ht="15.75" customHeight="1">
      <c r="A178" s="83"/>
      <c r="B178" s="83"/>
      <c r="C178" s="83"/>
      <c r="D178" s="87"/>
      <c r="E178" s="84"/>
      <c r="F178" s="84"/>
      <c r="G178" s="83"/>
      <c r="H178" s="84"/>
      <c r="I178" s="84"/>
      <c r="J178" s="84"/>
      <c r="K178" s="88"/>
      <c r="L178" s="84"/>
      <c r="M178" s="88"/>
      <c r="N178" s="84"/>
      <c r="O178" s="88"/>
      <c r="P178" s="85"/>
      <c r="Q178" s="75"/>
      <c r="R178" s="75"/>
      <c r="S178" s="75"/>
      <c r="T178" s="75"/>
      <c r="U178" s="86"/>
      <c r="V178" s="84"/>
      <c r="W178" s="87"/>
      <c r="X178" s="84"/>
      <c r="Y178" s="84"/>
      <c r="Z178" s="87"/>
    </row>
    <row r="179" spans="1:26" ht="15.75" customHeight="1">
      <c r="A179" s="83"/>
      <c r="B179" s="83"/>
      <c r="C179" s="83"/>
      <c r="D179" s="87"/>
      <c r="E179" s="84"/>
      <c r="F179" s="84"/>
      <c r="G179" s="83"/>
      <c r="H179" s="84"/>
      <c r="I179" s="84"/>
      <c r="J179" s="84"/>
      <c r="K179" s="88"/>
      <c r="L179" s="84"/>
      <c r="M179" s="88"/>
      <c r="N179" s="84"/>
      <c r="O179" s="88"/>
      <c r="P179" s="85"/>
      <c r="Q179" s="75"/>
      <c r="R179" s="75"/>
      <c r="S179" s="75"/>
      <c r="T179" s="75"/>
      <c r="U179" s="86"/>
      <c r="V179" s="84"/>
      <c r="W179" s="87"/>
      <c r="X179" s="84"/>
      <c r="Y179" s="84"/>
      <c r="Z179" s="87"/>
    </row>
    <row r="180" spans="1:26" ht="15.75" customHeight="1">
      <c r="A180" s="83"/>
      <c r="B180" s="83"/>
      <c r="C180" s="83"/>
      <c r="D180" s="87"/>
      <c r="E180" s="84"/>
      <c r="F180" s="84"/>
      <c r="G180" s="83"/>
      <c r="H180" s="84"/>
      <c r="I180" s="84"/>
      <c r="J180" s="84"/>
      <c r="K180" s="88"/>
      <c r="L180" s="84"/>
      <c r="M180" s="88"/>
      <c r="N180" s="84"/>
      <c r="O180" s="88"/>
      <c r="P180" s="85"/>
      <c r="Q180" s="75"/>
      <c r="R180" s="75"/>
      <c r="S180" s="75"/>
      <c r="T180" s="75"/>
      <c r="U180" s="86"/>
      <c r="V180" s="84"/>
      <c r="W180" s="87"/>
      <c r="X180" s="84"/>
      <c r="Y180" s="84"/>
      <c r="Z180" s="87"/>
    </row>
    <row r="181" spans="1:26" ht="15.75" customHeight="1">
      <c r="A181" s="83"/>
      <c r="B181" s="83"/>
      <c r="C181" s="83"/>
      <c r="D181" s="87"/>
      <c r="E181" s="84"/>
      <c r="F181" s="84"/>
      <c r="G181" s="83"/>
      <c r="H181" s="84"/>
      <c r="I181" s="84"/>
      <c r="J181" s="84"/>
      <c r="K181" s="88"/>
      <c r="L181" s="84"/>
      <c r="M181" s="88"/>
      <c r="N181" s="84"/>
      <c r="O181" s="88"/>
      <c r="P181" s="85"/>
      <c r="Q181" s="75"/>
      <c r="R181" s="75"/>
      <c r="S181" s="75"/>
      <c r="T181" s="75"/>
      <c r="U181" s="86"/>
      <c r="V181" s="84"/>
      <c r="W181" s="87"/>
      <c r="X181" s="84"/>
      <c r="Y181" s="84"/>
      <c r="Z181" s="87"/>
    </row>
    <row r="182" spans="1:26" ht="15.75" customHeight="1">
      <c r="A182" s="83"/>
      <c r="B182" s="83"/>
      <c r="C182" s="83"/>
      <c r="D182" s="87"/>
      <c r="E182" s="84"/>
      <c r="F182" s="84"/>
      <c r="G182" s="83"/>
      <c r="H182" s="84"/>
      <c r="I182" s="84"/>
      <c r="J182" s="84"/>
      <c r="K182" s="88"/>
      <c r="L182" s="84"/>
      <c r="M182" s="88"/>
      <c r="N182" s="84"/>
      <c r="O182" s="88"/>
      <c r="P182" s="85"/>
      <c r="Q182" s="75"/>
      <c r="R182" s="75"/>
      <c r="S182" s="75"/>
      <c r="T182" s="75"/>
      <c r="U182" s="86"/>
      <c r="V182" s="84"/>
      <c r="W182" s="87"/>
      <c r="X182" s="84"/>
      <c r="Y182" s="84"/>
      <c r="Z182" s="87"/>
    </row>
    <row r="183" spans="1:26" ht="15.75" customHeight="1">
      <c r="A183" s="83"/>
      <c r="B183" s="83"/>
      <c r="C183" s="83"/>
      <c r="D183" s="87"/>
      <c r="E183" s="84"/>
      <c r="F183" s="84"/>
      <c r="G183" s="83"/>
      <c r="H183" s="84"/>
      <c r="I183" s="84"/>
      <c r="J183" s="84"/>
      <c r="K183" s="88"/>
      <c r="L183" s="84"/>
      <c r="M183" s="88"/>
      <c r="N183" s="84"/>
      <c r="O183" s="88"/>
      <c r="P183" s="85"/>
      <c r="Q183" s="75"/>
      <c r="R183" s="75"/>
      <c r="S183" s="75"/>
      <c r="T183" s="75"/>
      <c r="U183" s="86"/>
      <c r="V183" s="84"/>
      <c r="W183" s="87"/>
      <c r="X183" s="84"/>
      <c r="Y183" s="84"/>
      <c r="Z183" s="87"/>
    </row>
    <row r="184" spans="1:26" ht="15.75" customHeight="1">
      <c r="A184" s="83"/>
      <c r="B184" s="83"/>
      <c r="C184" s="83"/>
      <c r="D184" s="87"/>
      <c r="E184" s="84"/>
      <c r="F184" s="84"/>
      <c r="G184" s="83"/>
      <c r="H184" s="84"/>
      <c r="I184" s="84"/>
      <c r="J184" s="84"/>
      <c r="K184" s="88"/>
      <c r="L184" s="84"/>
      <c r="M184" s="88"/>
      <c r="N184" s="84"/>
      <c r="O184" s="88"/>
      <c r="P184" s="85"/>
      <c r="Q184" s="75"/>
      <c r="R184" s="75"/>
      <c r="S184" s="75"/>
      <c r="T184" s="75"/>
      <c r="U184" s="86"/>
      <c r="V184" s="84"/>
      <c r="W184" s="87"/>
      <c r="X184" s="84"/>
      <c r="Y184" s="84"/>
      <c r="Z184" s="87"/>
    </row>
    <row r="185" spans="1:26" ht="15.75" customHeight="1">
      <c r="A185" s="83"/>
      <c r="B185" s="83"/>
      <c r="C185" s="83"/>
      <c r="D185" s="87"/>
      <c r="E185" s="84"/>
      <c r="F185" s="84"/>
      <c r="G185" s="83"/>
      <c r="H185" s="84"/>
      <c r="I185" s="84"/>
      <c r="J185" s="84"/>
      <c r="K185" s="88"/>
      <c r="L185" s="84"/>
      <c r="M185" s="88"/>
      <c r="N185" s="84"/>
      <c r="O185" s="88"/>
      <c r="P185" s="85"/>
      <c r="Q185" s="75"/>
      <c r="R185" s="75"/>
      <c r="S185" s="75"/>
      <c r="T185" s="75"/>
      <c r="U185" s="86"/>
      <c r="V185" s="84"/>
      <c r="W185" s="87"/>
      <c r="X185" s="84"/>
      <c r="Y185" s="84"/>
      <c r="Z185" s="87"/>
    </row>
    <row r="186" spans="1:26" ht="15.75" customHeight="1">
      <c r="A186" s="83"/>
      <c r="B186" s="83"/>
      <c r="C186" s="83"/>
      <c r="D186" s="87"/>
      <c r="E186" s="84"/>
      <c r="F186" s="84"/>
      <c r="G186" s="83"/>
      <c r="H186" s="84"/>
      <c r="I186" s="84"/>
      <c r="J186" s="84"/>
      <c r="K186" s="88"/>
      <c r="L186" s="84"/>
      <c r="M186" s="88"/>
      <c r="N186" s="84"/>
      <c r="O186" s="88"/>
      <c r="P186" s="85"/>
      <c r="Q186" s="75"/>
      <c r="R186" s="75"/>
      <c r="S186" s="75"/>
      <c r="T186" s="75"/>
      <c r="U186" s="86"/>
      <c r="V186" s="84"/>
      <c r="W186" s="87"/>
      <c r="X186" s="84"/>
      <c r="Y186" s="84"/>
      <c r="Z186" s="87"/>
    </row>
    <row r="187" spans="1:26" ht="15.75" customHeight="1">
      <c r="A187" s="83"/>
      <c r="B187" s="83"/>
      <c r="C187" s="83"/>
      <c r="D187" s="87"/>
      <c r="E187" s="84"/>
      <c r="F187" s="84"/>
      <c r="G187" s="83"/>
      <c r="H187" s="84"/>
      <c r="I187" s="84"/>
      <c r="J187" s="84"/>
      <c r="K187" s="88"/>
      <c r="L187" s="84"/>
      <c r="M187" s="88"/>
      <c r="N187" s="84"/>
      <c r="O187" s="88"/>
      <c r="P187" s="85"/>
      <c r="Q187" s="75"/>
      <c r="R187" s="75"/>
      <c r="S187" s="75"/>
      <c r="T187" s="75"/>
      <c r="U187" s="86"/>
      <c r="V187" s="84"/>
      <c r="W187" s="87"/>
      <c r="X187" s="84"/>
      <c r="Y187" s="84"/>
      <c r="Z187" s="87"/>
    </row>
    <row r="188" spans="1:26" ht="15.75" customHeight="1">
      <c r="A188" s="83"/>
      <c r="B188" s="83"/>
      <c r="C188" s="83"/>
      <c r="D188" s="87"/>
      <c r="E188" s="84"/>
      <c r="F188" s="84"/>
      <c r="G188" s="83"/>
      <c r="H188" s="84"/>
      <c r="I188" s="84"/>
      <c r="J188" s="84"/>
      <c r="K188" s="88"/>
      <c r="L188" s="84"/>
      <c r="M188" s="88"/>
      <c r="N188" s="84"/>
      <c r="O188" s="88"/>
      <c r="P188" s="85"/>
      <c r="Q188" s="75"/>
      <c r="R188" s="75"/>
      <c r="S188" s="75"/>
      <c r="T188" s="75"/>
      <c r="U188" s="86"/>
      <c r="V188" s="84"/>
      <c r="W188" s="87"/>
      <c r="X188" s="84"/>
      <c r="Y188" s="84"/>
      <c r="Z188" s="87"/>
    </row>
    <row r="189" spans="1:26" ht="15.75" customHeight="1">
      <c r="A189" s="83"/>
      <c r="B189" s="83"/>
      <c r="C189" s="83"/>
      <c r="D189" s="87"/>
      <c r="E189" s="84"/>
      <c r="F189" s="84"/>
      <c r="G189" s="83"/>
      <c r="H189" s="84"/>
      <c r="I189" s="84"/>
      <c r="J189" s="84"/>
      <c r="K189" s="88"/>
      <c r="L189" s="84"/>
      <c r="M189" s="88"/>
      <c r="N189" s="84"/>
      <c r="O189" s="88"/>
      <c r="P189" s="85"/>
      <c r="Q189" s="75"/>
      <c r="R189" s="75"/>
      <c r="S189" s="75"/>
      <c r="T189" s="75"/>
      <c r="U189" s="86"/>
      <c r="V189" s="84"/>
      <c r="W189" s="87"/>
      <c r="X189" s="84"/>
      <c r="Y189" s="84"/>
      <c r="Z189" s="87"/>
    </row>
    <row r="190" spans="1:26" ht="15.75" customHeight="1">
      <c r="A190" s="83"/>
      <c r="B190" s="83"/>
      <c r="C190" s="83"/>
      <c r="D190" s="87"/>
      <c r="E190" s="84"/>
      <c r="F190" s="84"/>
      <c r="G190" s="83"/>
      <c r="H190" s="84"/>
      <c r="I190" s="84"/>
      <c r="J190" s="84"/>
      <c r="K190" s="88"/>
      <c r="L190" s="84"/>
      <c r="M190" s="88"/>
      <c r="N190" s="84"/>
      <c r="O190" s="88"/>
      <c r="P190" s="85"/>
      <c r="Q190" s="75"/>
      <c r="R190" s="75"/>
      <c r="S190" s="75"/>
      <c r="T190" s="75"/>
      <c r="U190" s="86"/>
      <c r="V190" s="84"/>
      <c r="W190" s="87"/>
      <c r="X190" s="84"/>
      <c r="Y190" s="84"/>
      <c r="Z190" s="87"/>
    </row>
    <row r="191" spans="1:26" ht="15.75" customHeight="1">
      <c r="A191" s="83"/>
      <c r="B191" s="83"/>
      <c r="C191" s="83"/>
      <c r="D191" s="87"/>
      <c r="E191" s="84"/>
      <c r="F191" s="84"/>
      <c r="G191" s="83"/>
      <c r="H191" s="84"/>
      <c r="I191" s="84"/>
      <c r="J191" s="84"/>
      <c r="K191" s="88"/>
      <c r="L191" s="84"/>
      <c r="M191" s="88"/>
      <c r="N191" s="84"/>
      <c r="O191" s="88"/>
      <c r="P191" s="85"/>
      <c r="Q191" s="75"/>
      <c r="R191" s="75"/>
      <c r="S191" s="75"/>
      <c r="T191" s="75"/>
      <c r="U191" s="86"/>
      <c r="V191" s="84"/>
      <c r="W191" s="87"/>
      <c r="X191" s="84"/>
      <c r="Y191" s="84"/>
      <c r="Z191" s="87"/>
    </row>
    <row r="192" spans="1:26" ht="15.75" customHeight="1">
      <c r="A192" s="83"/>
      <c r="B192" s="83"/>
      <c r="C192" s="83"/>
      <c r="D192" s="87"/>
      <c r="E192" s="84"/>
      <c r="F192" s="84"/>
      <c r="G192" s="83"/>
      <c r="H192" s="84"/>
      <c r="I192" s="84"/>
      <c r="J192" s="84"/>
      <c r="K192" s="88"/>
      <c r="L192" s="84"/>
      <c r="M192" s="88"/>
      <c r="N192" s="84"/>
      <c r="O192" s="88"/>
      <c r="P192" s="85"/>
      <c r="Q192" s="75"/>
      <c r="R192" s="75"/>
      <c r="S192" s="75"/>
      <c r="T192" s="75"/>
      <c r="U192" s="86"/>
      <c r="V192" s="84"/>
      <c r="W192" s="87"/>
      <c r="X192" s="84"/>
      <c r="Y192" s="84"/>
      <c r="Z192" s="87"/>
    </row>
    <row r="193" spans="1:26" ht="15.75" customHeight="1">
      <c r="A193" s="83"/>
      <c r="B193" s="83"/>
      <c r="C193" s="83"/>
      <c r="D193" s="87"/>
      <c r="E193" s="84"/>
      <c r="F193" s="84"/>
      <c r="G193" s="83"/>
      <c r="H193" s="84"/>
      <c r="I193" s="84"/>
      <c r="J193" s="84"/>
      <c r="K193" s="88"/>
      <c r="L193" s="84"/>
      <c r="M193" s="88"/>
      <c r="N193" s="84"/>
      <c r="O193" s="88"/>
      <c r="P193" s="85"/>
      <c r="Q193" s="75"/>
      <c r="R193" s="75"/>
      <c r="S193" s="75"/>
      <c r="T193" s="75"/>
      <c r="U193" s="86"/>
      <c r="V193" s="84"/>
      <c r="W193" s="87"/>
      <c r="X193" s="84"/>
      <c r="Y193" s="84"/>
      <c r="Z193" s="87"/>
    </row>
    <row r="194" spans="1:26" ht="15.75" customHeight="1">
      <c r="A194" s="83"/>
      <c r="B194" s="83"/>
      <c r="C194" s="83"/>
      <c r="D194" s="87"/>
      <c r="E194" s="84"/>
      <c r="F194" s="84"/>
      <c r="G194" s="83"/>
      <c r="H194" s="84"/>
      <c r="I194" s="84"/>
      <c r="J194" s="84"/>
      <c r="K194" s="88"/>
      <c r="L194" s="84"/>
      <c r="M194" s="88"/>
      <c r="N194" s="84"/>
      <c r="O194" s="88"/>
      <c r="P194" s="85"/>
      <c r="Q194" s="75"/>
      <c r="R194" s="75"/>
      <c r="S194" s="75"/>
      <c r="T194" s="75"/>
      <c r="U194" s="86"/>
      <c r="V194" s="84"/>
      <c r="W194" s="87"/>
      <c r="X194" s="84"/>
      <c r="Y194" s="84"/>
      <c r="Z194" s="87"/>
    </row>
    <row r="195" spans="1:26" ht="15.75" customHeight="1">
      <c r="A195" s="83"/>
      <c r="B195" s="83"/>
      <c r="C195" s="83"/>
      <c r="D195" s="87"/>
      <c r="E195" s="84"/>
      <c r="F195" s="84"/>
      <c r="G195" s="83"/>
      <c r="H195" s="84"/>
      <c r="I195" s="84"/>
      <c r="J195" s="84"/>
      <c r="K195" s="88"/>
      <c r="L195" s="84"/>
      <c r="M195" s="88"/>
      <c r="N195" s="84"/>
      <c r="O195" s="88"/>
      <c r="P195" s="85"/>
      <c r="Q195" s="75"/>
      <c r="R195" s="75"/>
      <c r="S195" s="75"/>
      <c r="T195" s="75"/>
      <c r="U195" s="86"/>
      <c r="V195" s="84"/>
      <c r="W195" s="87"/>
      <c r="X195" s="84"/>
      <c r="Y195" s="84"/>
      <c r="Z195" s="87"/>
    </row>
    <row r="196" spans="1:26" ht="15.75" customHeight="1">
      <c r="A196" s="83"/>
      <c r="B196" s="83"/>
      <c r="C196" s="83"/>
      <c r="D196" s="87"/>
      <c r="E196" s="84"/>
      <c r="F196" s="84"/>
      <c r="G196" s="83"/>
      <c r="H196" s="84"/>
      <c r="I196" s="84"/>
      <c r="J196" s="84"/>
      <c r="K196" s="88"/>
      <c r="L196" s="84"/>
      <c r="M196" s="88"/>
      <c r="N196" s="84"/>
      <c r="O196" s="88"/>
      <c r="P196" s="85"/>
      <c r="Q196" s="75"/>
      <c r="R196" s="75"/>
      <c r="S196" s="75"/>
      <c r="T196" s="75"/>
      <c r="U196" s="86"/>
      <c r="V196" s="84"/>
      <c r="W196" s="87"/>
      <c r="X196" s="84"/>
      <c r="Y196" s="84"/>
      <c r="Z196" s="87"/>
    </row>
    <row r="197" spans="1:26" ht="15.75" customHeight="1">
      <c r="A197" s="83"/>
      <c r="B197" s="83"/>
      <c r="C197" s="83"/>
      <c r="D197" s="87"/>
      <c r="E197" s="84"/>
      <c r="F197" s="84"/>
      <c r="G197" s="83"/>
      <c r="H197" s="84"/>
      <c r="I197" s="84"/>
      <c r="J197" s="84"/>
      <c r="K197" s="88"/>
      <c r="L197" s="84"/>
      <c r="M197" s="88"/>
      <c r="N197" s="84"/>
      <c r="O197" s="88"/>
      <c r="P197" s="85"/>
      <c r="Q197" s="75"/>
      <c r="R197" s="75"/>
      <c r="S197" s="75"/>
      <c r="T197" s="75"/>
      <c r="U197" s="86"/>
      <c r="V197" s="84"/>
      <c r="W197" s="87"/>
      <c r="X197" s="84"/>
      <c r="Y197" s="84"/>
      <c r="Z197" s="87"/>
    </row>
    <row r="198" spans="1:26" ht="15.75" customHeight="1">
      <c r="A198" s="83"/>
      <c r="B198" s="83"/>
      <c r="C198" s="83"/>
      <c r="D198" s="87"/>
      <c r="E198" s="84"/>
      <c r="F198" s="84"/>
      <c r="G198" s="83"/>
      <c r="H198" s="84"/>
      <c r="I198" s="84"/>
      <c r="J198" s="84"/>
      <c r="K198" s="88"/>
      <c r="L198" s="84"/>
      <c r="M198" s="88"/>
      <c r="N198" s="84"/>
      <c r="O198" s="88"/>
      <c r="P198" s="85"/>
      <c r="Q198" s="75"/>
      <c r="R198" s="75"/>
      <c r="S198" s="75"/>
      <c r="T198" s="75"/>
      <c r="U198" s="86"/>
      <c r="V198" s="84"/>
      <c r="W198" s="87"/>
      <c r="X198" s="84"/>
      <c r="Y198" s="84"/>
      <c r="Z198" s="87"/>
    </row>
    <row r="199" spans="1:26" ht="15.75" customHeight="1">
      <c r="A199" s="83"/>
      <c r="B199" s="83"/>
      <c r="C199" s="83"/>
      <c r="D199" s="87"/>
      <c r="E199" s="84"/>
      <c r="F199" s="84"/>
      <c r="G199" s="83"/>
      <c r="H199" s="84"/>
      <c r="I199" s="84"/>
      <c r="J199" s="84"/>
      <c r="K199" s="88"/>
      <c r="L199" s="84"/>
      <c r="M199" s="88"/>
      <c r="N199" s="84"/>
      <c r="O199" s="88"/>
      <c r="P199" s="85"/>
      <c r="Q199" s="75"/>
      <c r="R199" s="75"/>
      <c r="S199" s="75"/>
      <c r="T199" s="75"/>
      <c r="U199" s="86"/>
      <c r="V199" s="84"/>
      <c r="W199" s="87"/>
      <c r="X199" s="84"/>
      <c r="Y199" s="84"/>
      <c r="Z199" s="87"/>
    </row>
    <row r="200" spans="1:26" ht="15.75" customHeight="1">
      <c r="A200" s="83"/>
      <c r="B200" s="83"/>
      <c r="C200" s="83"/>
      <c r="D200" s="87"/>
      <c r="E200" s="84"/>
      <c r="F200" s="84"/>
      <c r="G200" s="83"/>
      <c r="H200" s="84"/>
      <c r="I200" s="84"/>
      <c r="J200" s="84"/>
      <c r="K200" s="88"/>
      <c r="L200" s="84"/>
      <c r="M200" s="88"/>
      <c r="N200" s="84"/>
      <c r="O200" s="88"/>
      <c r="P200" s="85"/>
      <c r="Q200" s="75"/>
      <c r="R200" s="75"/>
      <c r="S200" s="75"/>
      <c r="T200" s="75"/>
      <c r="U200" s="86"/>
      <c r="V200" s="84"/>
      <c r="W200" s="87"/>
      <c r="X200" s="84"/>
      <c r="Y200" s="84"/>
      <c r="Z200" s="87"/>
    </row>
    <row r="201" spans="1:26" ht="15.75" customHeight="1">
      <c r="A201" s="83"/>
      <c r="B201" s="83"/>
      <c r="C201" s="83"/>
      <c r="D201" s="87"/>
      <c r="E201" s="84"/>
      <c r="F201" s="84"/>
      <c r="G201" s="83"/>
      <c r="H201" s="84"/>
      <c r="I201" s="84"/>
      <c r="J201" s="84"/>
      <c r="K201" s="88"/>
      <c r="L201" s="84"/>
      <c r="M201" s="88"/>
      <c r="N201" s="84"/>
      <c r="O201" s="88"/>
      <c r="P201" s="85"/>
      <c r="Q201" s="75"/>
      <c r="R201" s="75"/>
      <c r="S201" s="75"/>
      <c r="T201" s="75"/>
      <c r="U201" s="86"/>
      <c r="V201" s="84"/>
      <c r="W201" s="87"/>
      <c r="X201" s="84"/>
      <c r="Y201" s="84"/>
      <c r="Z201" s="87"/>
    </row>
    <row r="202" spans="1:26" ht="15.75" customHeight="1">
      <c r="A202" s="83"/>
      <c r="B202" s="83"/>
      <c r="C202" s="83"/>
      <c r="D202" s="87"/>
      <c r="E202" s="84"/>
      <c r="F202" s="84"/>
      <c r="G202" s="83"/>
      <c r="H202" s="84"/>
      <c r="I202" s="84"/>
      <c r="J202" s="84"/>
      <c r="K202" s="88"/>
      <c r="L202" s="84"/>
      <c r="M202" s="88"/>
      <c r="N202" s="84"/>
      <c r="O202" s="88"/>
      <c r="P202" s="85"/>
      <c r="Q202" s="75"/>
      <c r="R202" s="75"/>
      <c r="S202" s="75"/>
      <c r="T202" s="75"/>
      <c r="U202" s="86"/>
      <c r="V202" s="84"/>
      <c r="W202" s="87"/>
      <c r="X202" s="84"/>
      <c r="Y202" s="84"/>
      <c r="Z202" s="87"/>
    </row>
    <row r="203" spans="1:26" ht="15.75" customHeight="1">
      <c r="A203" s="83"/>
      <c r="B203" s="83"/>
      <c r="C203" s="83"/>
      <c r="D203" s="87"/>
      <c r="E203" s="84"/>
      <c r="F203" s="84"/>
      <c r="G203" s="83"/>
      <c r="H203" s="84"/>
      <c r="I203" s="84"/>
      <c r="J203" s="84"/>
      <c r="K203" s="88"/>
      <c r="L203" s="84"/>
      <c r="M203" s="88"/>
      <c r="N203" s="84"/>
      <c r="O203" s="88"/>
      <c r="P203" s="85"/>
      <c r="Q203" s="75"/>
      <c r="R203" s="75"/>
      <c r="S203" s="75"/>
      <c r="T203" s="75"/>
      <c r="U203" s="86"/>
      <c r="V203" s="84"/>
      <c r="W203" s="87"/>
      <c r="X203" s="84"/>
      <c r="Y203" s="84"/>
      <c r="Z203" s="87"/>
    </row>
    <row r="204" spans="1:26" ht="15.75" customHeight="1">
      <c r="A204" s="83"/>
      <c r="B204" s="83"/>
      <c r="C204" s="83"/>
      <c r="D204" s="87"/>
      <c r="E204" s="84"/>
      <c r="F204" s="84"/>
      <c r="G204" s="83"/>
      <c r="H204" s="84"/>
      <c r="I204" s="84"/>
      <c r="J204" s="84"/>
      <c r="K204" s="88"/>
      <c r="L204" s="84"/>
      <c r="M204" s="88"/>
      <c r="N204" s="84"/>
      <c r="O204" s="88"/>
      <c r="P204" s="85"/>
      <c r="Q204" s="75"/>
      <c r="R204" s="75"/>
      <c r="S204" s="75"/>
      <c r="T204" s="75"/>
      <c r="U204" s="86"/>
      <c r="V204" s="84"/>
      <c r="W204" s="87"/>
      <c r="X204" s="84"/>
      <c r="Y204" s="84"/>
      <c r="Z204" s="87"/>
    </row>
    <row r="205" spans="1:26" ht="15.75" customHeight="1">
      <c r="A205" s="83"/>
      <c r="B205" s="83"/>
      <c r="C205" s="83"/>
      <c r="D205" s="87"/>
      <c r="E205" s="84"/>
      <c r="F205" s="84"/>
      <c r="G205" s="83"/>
      <c r="H205" s="84"/>
      <c r="I205" s="84"/>
      <c r="J205" s="84"/>
      <c r="K205" s="88"/>
      <c r="L205" s="84"/>
      <c r="M205" s="88"/>
      <c r="N205" s="84"/>
      <c r="O205" s="88"/>
      <c r="P205" s="85"/>
      <c r="Q205" s="75"/>
      <c r="R205" s="75"/>
      <c r="S205" s="75"/>
      <c r="T205" s="75"/>
      <c r="U205" s="86"/>
      <c r="V205" s="84"/>
      <c r="W205" s="87"/>
      <c r="X205" s="84"/>
      <c r="Y205" s="84"/>
      <c r="Z205" s="87"/>
    </row>
    <row r="206" spans="1:26" ht="15.75" customHeight="1">
      <c r="A206" s="83"/>
      <c r="B206" s="83"/>
      <c r="C206" s="83"/>
      <c r="D206" s="87"/>
      <c r="E206" s="84"/>
      <c r="F206" s="84"/>
      <c r="G206" s="83"/>
      <c r="H206" s="84"/>
      <c r="I206" s="84"/>
      <c r="J206" s="84"/>
      <c r="K206" s="88"/>
      <c r="L206" s="84"/>
      <c r="M206" s="88"/>
      <c r="N206" s="84"/>
      <c r="O206" s="88"/>
      <c r="P206" s="85"/>
      <c r="Q206" s="75"/>
      <c r="R206" s="75"/>
      <c r="S206" s="75"/>
      <c r="T206" s="75"/>
      <c r="U206" s="86"/>
      <c r="V206" s="84"/>
      <c r="W206" s="87"/>
      <c r="X206" s="84"/>
      <c r="Y206" s="84"/>
      <c r="Z206" s="87"/>
    </row>
    <row r="207" spans="1:26" ht="15.75" customHeight="1">
      <c r="A207" s="83"/>
      <c r="B207" s="83"/>
      <c r="C207" s="83"/>
      <c r="D207" s="87"/>
      <c r="E207" s="84"/>
      <c r="F207" s="84"/>
      <c r="G207" s="83"/>
      <c r="H207" s="84"/>
      <c r="I207" s="84"/>
      <c r="J207" s="84"/>
      <c r="K207" s="88"/>
      <c r="L207" s="84"/>
      <c r="M207" s="88"/>
      <c r="N207" s="84"/>
      <c r="O207" s="88"/>
      <c r="P207" s="85"/>
      <c r="Q207" s="75"/>
      <c r="R207" s="75"/>
      <c r="S207" s="75"/>
      <c r="T207" s="75"/>
      <c r="U207" s="86"/>
      <c r="V207" s="84"/>
      <c r="W207" s="87"/>
      <c r="X207" s="84"/>
      <c r="Y207" s="84"/>
      <c r="Z207" s="87"/>
    </row>
    <row r="208" spans="1:26" ht="15.75" customHeight="1">
      <c r="A208" s="83"/>
      <c r="B208" s="83"/>
      <c r="C208" s="83"/>
      <c r="D208" s="87"/>
      <c r="E208" s="84"/>
      <c r="F208" s="84"/>
      <c r="G208" s="83"/>
      <c r="H208" s="84"/>
      <c r="I208" s="84"/>
      <c r="J208" s="84"/>
      <c r="K208" s="88"/>
      <c r="L208" s="84"/>
      <c r="M208" s="88"/>
      <c r="N208" s="84"/>
      <c r="O208" s="88"/>
      <c r="P208" s="85"/>
      <c r="Q208" s="75"/>
      <c r="R208" s="75"/>
      <c r="S208" s="75"/>
      <c r="T208" s="75"/>
      <c r="U208" s="86"/>
      <c r="V208" s="84"/>
      <c r="W208" s="87"/>
      <c r="X208" s="84"/>
      <c r="Y208" s="84"/>
      <c r="Z208" s="87"/>
    </row>
    <row r="209" spans="1:26" ht="15.75" customHeight="1">
      <c r="A209" s="83"/>
      <c r="B209" s="83"/>
      <c r="C209" s="83"/>
      <c r="D209" s="87"/>
      <c r="E209" s="84"/>
      <c r="F209" s="84"/>
      <c r="G209" s="83"/>
      <c r="H209" s="84"/>
      <c r="I209" s="84"/>
      <c r="J209" s="84"/>
      <c r="K209" s="88"/>
      <c r="L209" s="84"/>
      <c r="M209" s="88"/>
      <c r="N209" s="84"/>
      <c r="O209" s="88"/>
      <c r="P209" s="85"/>
      <c r="Q209" s="75"/>
      <c r="R209" s="75"/>
      <c r="S209" s="75"/>
      <c r="T209" s="75"/>
      <c r="U209" s="86"/>
      <c r="V209" s="84"/>
      <c r="W209" s="87"/>
      <c r="X209" s="84"/>
      <c r="Y209" s="84"/>
      <c r="Z209" s="87"/>
    </row>
    <row r="210" spans="1:26" ht="15.75" customHeight="1">
      <c r="A210" s="83"/>
      <c r="B210" s="83"/>
      <c r="C210" s="83"/>
      <c r="D210" s="87"/>
      <c r="E210" s="84"/>
      <c r="F210" s="84"/>
      <c r="G210" s="83"/>
      <c r="H210" s="84"/>
      <c r="I210" s="84"/>
      <c r="J210" s="84"/>
      <c r="K210" s="88"/>
      <c r="L210" s="84"/>
      <c r="M210" s="88"/>
      <c r="N210" s="84"/>
      <c r="O210" s="88"/>
      <c r="P210" s="85"/>
      <c r="Q210" s="75"/>
      <c r="R210" s="75"/>
      <c r="S210" s="75"/>
      <c r="T210" s="75"/>
      <c r="U210" s="86"/>
      <c r="V210" s="84"/>
      <c r="W210" s="87"/>
      <c r="X210" s="84"/>
      <c r="Y210" s="84"/>
      <c r="Z210" s="87"/>
    </row>
    <row r="211" spans="1:26" ht="15.75" customHeight="1">
      <c r="A211" s="83"/>
      <c r="B211" s="83"/>
      <c r="C211" s="83"/>
      <c r="D211" s="87"/>
      <c r="E211" s="84"/>
      <c r="F211" s="84"/>
      <c r="G211" s="83"/>
      <c r="H211" s="84"/>
      <c r="I211" s="84"/>
      <c r="J211" s="84"/>
      <c r="K211" s="88"/>
      <c r="L211" s="84"/>
      <c r="M211" s="88"/>
      <c r="N211" s="84"/>
      <c r="O211" s="88"/>
      <c r="P211" s="85"/>
      <c r="Q211" s="75"/>
      <c r="R211" s="75"/>
      <c r="S211" s="75"/>
      <c r="T211" s="75"/>
      <c r="U211" s="86"/>
      <c r="V211" s="84"/>
      <c r="W211" s="87"/>
      <c r="X211" s="84"/>
      <c r="Y211" s="84"/>
      <c r="Z211" s="87"/>
    </row>
    <row r="212" spans="1:26" ht="15.75" customHeight="1">
      <c r="A212" s="83"/>
      <c r="B212" s="83"/>
      <c r="C212" s="83"/>
      <c r="D212" s="87"/>
      <c r="E212" s="84"/>
      <c r="F212" s="84"/>
      <c r="G212" s="83"/>
      <c r="H212" s="84"/>
      <c r="I212" s="84"/>
      <c r="J212" s="84"/>
      <c r="K212" s="88"/>
      <c r="L212" s="84"/>
      <c r="M212" s="88"/>
      <c r="N212" s="84"/>
      <c r="O212" s="88"/>
      <c r="P212" s="85"/>
      <c r="Q212" s="75"/>
      <c r="R212" s="75"/>
      <c r="S212" s="75"/>
      <c r="T212" s="75"/>
      <c r="U212" s="86"/>
      <c r="V212" s="84"/>
      <c r="W212" s="87"/>
      <c r="X212" s="84"/>
      <c r="Y212" s="84"/>
      <c r="Z212" s="87"/>
    </row>
    <row r="213" spans="1:26" ht="15.75" customHeight="1">
      <c r="A213" s="83"/>
      <c r="B213" s="83"/>
      <c r="C213" s="83"/>
      <c r="D213" s="87"/>
      <c r="E213" s="84"/>
      <c r="F213" s="84"/>
      <c r="G213" s="83"/>
      <c r="H213" s="84"/>
      <c r="I213" s="84"/>
      <c r="J213" s="84"/>
      <c r="K213" s="88"/>
      <c r="L213" s="84"/>
      <c r="M213" s="88"/>
      <c r="N213" s="84"/>
      <c r="O213" s="88"/>
      <c r="P213" s="85"/>
      <c r="Q213" s="75"/>
      <c r="R213" s="75"/>
      <c r="S213" s="75"/>
      <c r="T213" s="75"/>
      <c r="U213" s="86"/>
      <c r="V213" s="84"/>
      <c r="W213" s="87"/>
      <c r="X213" s="84"/>
      <c r="Y213" s="84"/>
      <c r="Z213" s="87"/>
    </row>
    <row r="214" spans="1:26" ht="15.75" customHeight="1">
      <c r="A214" s="83"/>
      <c r="B214" s="83"/>
      <c r="C214" s="83"/>
      <c r="D214" s="87"/>
      <c r="E214" s="84"/>
      <c r="F214" s="84"/>
      <c r="G214" s="83"/>
      <c r="H214" s="84"/>
      <c r="I214" s="84"/>
      <c r="J214" s="84"/>
      <c r="K214" s="88"/>
      <c r="L214" s="84"/>
      <c r="M214" s="88"/>
      <c r="N214" s="84"/>
      <c r="O214" s="88"/>
      <c r="P214" s="85"/>
      <c r="Q214" s="75"/>
      <c r="R214" s="75"/>
      <c r="S214" s="75"/>
      <c r="T214" s="75"/>
      <c r="U214" s="86"/>
      <c r="V214" s="84"/>
      <c r="W214" s="87"/>
      <c r="X214" s="84"/>
      <c r="Y214" s="84"/>
      <c r="Z214" s="87"/>
    </row>
    <row r="215" spans="1:26" ht="15.75" customHeight="1">
      <c r="A215" s="83"/>
      <c r="B215" s="83"/>
      <c r="C215" s="83"/>
      <c r="D215" s="87"/>
      <c r="E215" s="84"/>
      <c r="F215" s="84"/>
      <c r="G215" s="83"/>
      <c r="H215" s="84"/>
      <c r="I215" s="84"/>
      <c r="J215" s="84"/>
      <c r="K215" s="88"/>
      <c r="L215" s="84"/>
      <c r="M215" s="88"/>
      <c r="N215" s="84"/>
      <c r="O215" s="88"/>
      <c r="P215" s="85"/>
      <c r="Q215" s="75"/>
      <c r="R215" s="75"/>
      <c r="S215" s="75"/>
      <c r="T215" s="75"/>
      <c r="U215" s="86"/>
      <c r="V215" s="84"/>
      <c r="W215" s="87"/>
      <c r="X215" s="84"/>
      <c r="Y215" s="84"/>
      <c r="Z215" s="87"/>
    </row>
    <row r="216" spans="1:26" ht="15.75" customHeight="1">
      <c r="A216" s="83"/>
      <c r="B216" s="83"/>
      <c r="C216" s="83"/>
      <c r="D216" s="87"/>
      <c r="E216" s="84"/>
      <c r="F216" s="84"/>
      <c r="G216" s="83"/>
      <c r="H216" s="84"/>
      <c r="I216" s="84"/>
      <c r="J216" s="84"/>
      <c r="K216" s="88"/>
      <c r="L216" s="84"/>
      <c r="M216" s="88"/>
      <c r="N216" s="84"/>
      <c r="O216" s="88"/>
      <c r="P216" s="85"/>
      <c r="Q216" s="75"/>
      <c r="R216" s="75"/>
      <c r="S216" s="75"/>
      <c r="T216" s="75"/>
      <c r="U216" s="86"/>
      <c r="V216" s="84"/>
      <c r="W216" s="87"/>
      <c r="X216" s="84"/>
      <c r="Y216" s="84"/>
      <c r="Z216" s="87"/>
    </row>
    <row r="217" spans="1:26" ht="15.75" customHeight="1">
      <c r="A217" s="83"/>
      <c r="B217" s="83"/>
      <c r="C217" s="83"/>
      <c r="D217" s="87"/>
      <c r="E217" s="84"/>
      <c r="F217" s="84"/>
      <c r="G217" s="83"/>
      <c r="H217" s="84"/>
      <c r="I217" s="84"/>
      <c r="J217" s="84"/>
      <c r="K217" s="88"/>
      <c r="L217" s="84"/>
      <c r="M217" s="88"/>
      <c r="N217" s="84"/>
      <c r="O217" s="88"/>
      <c r="P217" s="85"/>
      <c r="Q217" s="75"/>
      <c r="R217" s="75"/>
      <c r="S217" s="75"/>
      <c r="T217" s="75"/>
      <c r="U217" s="86"/>
      <c r="V217" s="84"/>
      <c r="W217" s="87"/>
      <c r="X217" s="84"/>
      <c r="Y217" s="84"/>
      <c r="Z217" s="87"/>
    </row>
    <row r="218" spans="1:26" ht="15.75" customHeight="1">
      <c r="A218" s="83"/>
      <c r="B218" s="83"/>
      <c r="C218" s="83"/>
      <c r="D218" s="87"/>
      <c r="E218" s="84"/>
      <c r="F218" s="84"/>
      <c r="G218" s="83"/>
      <c r="H218" s="84"/>
      <c r="I218" s="84"/>
      <c r="J218" s="84"/>
      <c r="K218" s="88"/>
      <c r="L218" s="84"/>
      <c r="M218" s="88"/>
      <c r="N218" s="84"/>
      <c r="O218" s="88"/>
      <c r="P218" s="85"/>
      <c r="Q218" s="75"/>
      <c r="R218" s="75"/>
      <c r="S218" s="75"/>
      <c r="T218" s="75"/>
      <c r="U218" s="86"/>
      <c r="V218" s="84"/>
      <c r="W218" s="87"/>
      <c r="X218" s="84"/>
      <c r="Y218" s="84"/>
      <c r="Z218" s="87"/>
    </row>
    <row r="219" spans="1:26" ht="15.75" customHeight="1">
      <c r="A219" s="83"/>
      <c r="B219" s="83"/>
      <c r="C219" s="83"/>
      <c r="D219" s="87"/>
      <c r="E219" s="84"/>
      <c r="F219" s="84"/>
      <c r="G219" s="83"/>
      <c r="H219" s="84"/>
      <c r="I219" s="84"/>
      <c r="J219" s="84"/>
      <c r="K219" s="88"/>
      <c r="L219" s="84"/>
      <c r="M219" s="88"/>
      <c r="N219" s="84"/>
      <c r="O219" s="88"/>
      <c r="P219" s="85"/>
      <c r="Q219" s="75"/>
      <c r="R219" s="75"/>
      <c r="S219" s="75"/>
      <c r="T219" s="75"/>
      <c r="U219" s="86"/>
      <c r="V219" s="84"/>
      <c r="W219" s="87"/>
      <c r="X219" s="84"/>
      <c r="Y219" s="84"/>
      <c r="Z219" s="87"/>
    </row>
    <row r="220" spans="1:26" ht="15.75" customHeight="1">
      <c r="A220" s="83"/>
      <c r="B220" s="83"/>
      <c r="C220" s="83"/>
      <c r="D220" s="87"/>
      <c r="E220" s="84"/>
      <c r="F220" s="84"/>
      <c r="G220" s="83"/>
      <c r="H220" s="84"/>
      <c r="I220" s="84"/>
      <c r="J220" s="84"/>
      <c r="K220" s="88"/>
      <c r="L220" s="84"/>
      <c r="M220" s="88"/>
      <c r="N220" s="84"/>
      <c r="O220" s="88"/>
      <c r="P220" s="85"/>
      <c r="Q220" s="75"/>
      <c r="R220" s="75"/>
      <c r="S220" s="75"/>
      <c r="T220" s="75"/>
      <c r="U220" s="86"/>
      <c r="V220" s="84"/>
      <c r="W220" s="87"/>
      <c r="X220" s="84"/>
      <c r="Y220" s="84"/>
      <c r="Z220" s="87"/>
    </row>
    <row r="221" spans="1:26" ht="15.75" customHeight="1">
      <c r="A221" s="83"/>
      <c r="B221" s="83"/>
      <c r="C221" s="83"/>
      <c r="D221" s="87"/>
      <c r="E221" s="84"/>
      <c r="F221" s="84"/>
      <c r="G221" s="83"/>
      <c r="H221" s="84"/>
      <c r="I221" s="84"/>
      <c r="J221" s="84"/>
      <c r="K221" s="88"/>
      <c r="L221" s="84"/>
      <c r="M221" s="88"/>
      <c r="N221" s="84"/>
      <c r="O221" s="88"/>
      <c r="P221" s="85"/>
      <c r="Q221" s="75"/>
      <c r="R221" s="75"/>
      <c r="S221" s="75"/>
      <c r="T221" s="75"/>
      <c r="U221" s="86"/>
      <c r="V221" s="84"/>
      <c r="W221" s="87"/>
      <c r="X221" s="84"/>
      <c r="Y221" s="84"/>
      <c r="Z221" s="87"/>
    </row>
    <row r="222" spans="1:26" ht="15.75" customHeight="1">
      <c r="A222" s="83"/>
      <c r="B222" s="83"/>
      <c r="C222" s="83"/>
      <c r="D222" s="87"/>
      <c r="E222" s="84"/>
      <c r="F222" s="84"/>
      <c r="G222" s="83"/>
      <c r="H222" s="84"/>
      <c r="I222" s="84"/>
      <c r="J222" s="84"/>
      <c r="K222" s="88"/>
      <c r="L222" s="84"/>
      <c r="M222" s="88"/>
      <c r="N222" s="84"/>
      <c r="O222" s="88"/>
      <c r="P222" s="85"/>
      <c r="Q222" s="75"/>
      <c r="R222" s="75"/>
      <c r="S222" s="75"/>
      <c r="T222" s="75"/>
      <c r="U222" s="86"/>
      <c r="V222" s="84"/>
      <c r="W222" s="87"/>
      <c r="X222" s="84"/>
      <c r="Y222" s="84"/>
      <c r="Z222" s="87"/>
    </row>
    <row r="223" spans="1:26" ht="15.75" customHeight="1">
      <c r="A223" s="83"/>
      <c r="B223" s="83"/>
      <c r="C223" s="83"/>
      <c r="D223" s="87"/>
      <c r="E223" s="84"/>
      <c r="F223" s="84"/>
      <c r="G223" s="83"/>
      <c r="H223" s="84"/>
      <c r="I223" s="84"/>
      <c r="J223" s="84"/>
      <c r="K223" s="88"/>
      <c r="L223" s="84"/>
      <c r="M223" s="88"/>
      <c r="N223" s="84"/>
      <c r="O223" s="88"/>
      <c r="P223" s="85"/>
      <c r="Q223" s="75"/>
      <c r="R223" s="75"/>
      <c r="S223" s="75"/>
      <c r="T223" s="75"/>
      <c r="U223" s="86"/>
      <c r="V223" s="84"/>
      <c r="W223" s="87"/>
      <c r="X223" s="84"/>
      <c r="Y223" s="84"/>
      <c r="Z223" s="87"/>
    </row>
    <row r="224" spans="1:26" ht="15.75" customHeight="1">
      <c r="A224" s="83"/>
      <c r="B224" s="83"/>
      <c r="C224" s="83"/>
      <c r="D224" s="87"/>
      <c r="E224" s="84"/>
      <c r="F224" s="84"/>
      <c r="G224" s="83"/>
      <c r="H224" s="84"/>
      <c r="I224" s="84"/>
      <c r="J224" s="84"/>
      <c r="K224" s="88"/>
      <c r="L224" s="84"/>
      <c r="M224" s="88"/>
      <c r="N224" s="84"/>
      <c r="O224" s="88"/>
      <c r="P224" s="85"/>
      <c r="Q224" s="75"/>
      <c r="R224" s="75"/>
      <c r="S224" s="75"/>
      <c r="T224" s="75"/>
      <c r="U224" s="86"/>
      <c r="V224" s="84"/>
      <c r="W224" s="87"/>
      <c r="X224" s="84"/>
      <c r="Y224" s="84"/>
      <c r="Z224" s="87"/>
    </row>
    <row r="225" spans="1:26" ht="15.75" customHeight="1">
      <c r="A225" s="83"/>
      <c r="B225" s="83"/>
      <c r="C225" s="83"/>
      <c r="D225" s="87"/>
      <c r="E225" s="84"/>
      <c r="F225" s="84"/>
      <c r="G225" s="83"/>
      <c r="H225" s="84"/>
      <c r="I225" s="84"/>
      <c r="J225" s="84"/>
      <c r="K225" s="88"/>
      <c r="L225" s="84"/>
      <c r="M225" s="88"/>
      <c r="N225" s="84"/>
      <c r="O225" s="88"/>
      <c r="P225" s="85"/>
      <c r="Q225" s="75"/>
      <c r="R225" s="75"/>
      <c r="S225" s="75"/>
      <c r="T225" s="75"/>
      <c r="U225" s="86"/>
      <c r="V225" s="84"/>
      <c r="W225" s="87"/>
      <c r="X225" s="84"/>
      <c r="Y225" s="84"/>
      <c r="Z225" s="87"/>
    </row>
    <row r="226" spans="1:26" ht="15.75" customHeight="1">
      <c r="A226" s="83"/>
      <c r="B226" s="83"/>
      <c r="C226" s="83"/>
      <c r="D226" s="87"/>
      <c r="E226" s="84"/>
      <c r="F226" s="84"/>
      <c r="G226" s="83"/>
      <c r="H226" s="84"/>
      <c r="I226" s="84"/>
      <c r="J226" s="84"/>
      <c r="K226" s="88"/>
      <c r="L226" s="84"/>
      <c r="M226" s="88"/>
      <c r="N226" s="84"/>
      <c r="O226" s="88"/>
      <c r="P226" s="85"/>
      <c r="Q226" s="75"/>
      <c r="R226" s="75"/>
      <c r="S226" s="75"/>
      <c r="T226" s="75"/>
      <c r="U226" s="86"/>
      <c r="V226" s="84"/>
      <c r="W226" s="87"/>
      <c r="X226" s="84"/>
      <c r="Y226" s="84"/>
      <c r="Z226" s="87"/>
    </row>
    <row r="227" spans="1:26" ht="15.75" customHeight="1">
      <c r="A227" s="83"/>
      <c r="B227" s="83"/>
      <c r="C227" s="83"/>
      <c r="D227" s="87"/>
      <c r="E227" s="84"/>
      <c r="F227" s="84"/>
      <c r="G227" s="83"/>
      <c r="H227" s="84"/>
      <c r="I227" s="84"/>
      <c r="J227" s="84"/>
      <c r="K227" s="88"/>
      <c r="L227" s="84"/>
      <c r="M227" s="88"/>
      <c r="N227" s="84"/>
      <c r="O227" s="88"/>
      <c r="P227" s="85"/>
      <c r="Q227" s="75"/>
      <c r="R227" s="75"/>
      <c r="S227" s="75"/>
      <c r="T227" s="75"/>
      <c r="U227" s="86"/>
      <c r="V227" s="84"/>
      <c r="W227" s="87"/>
      <c r="X227" s="84"/>
      <c r="Y227" s="84"/>
      <c r="Z227" s="87"/>
    </row>
    <row r="228" spans="1:26" ht="15.75" customHeight="1">
      <c r="A228" s="83"/>
      <c r="B228" s="83"/>
      <c r="C228" s="83"/>
      <c r="D228" s="87"/>
      <c r="E228" s="84"/>
      <c r="F228" s="84"/>
      <c r="G228" s="83"/>
      <c r="H228" s="84"/>
      <c r="I228" s="84"/>
      <c r="J228" s="84"/>
      <c r="K228" s="88"/>
      <c r="L228" s="84"/>
      <c r="M228" s="88"/>
      <c r="N228" s="84"/>
      <c r="O228" s="88"/>
      <c r="P228" s="85"/>
      <c r="Q228" s="75"/>
      <c r="R228" s="75"/>
      <c r="S228" s="75"/>
      <c r="T228" s="75"/>
      <c r="U228" s="86"/>
      <c r="V228" s="84"/>
      <c r="W228" s="87"/>
      <c r="X228" s="84"/>
      <c r="Y228" s="84"/>
      <c r="Z228" s="87"/>
    </row>
    <row r="229" spans="1:26" ht="15.75" customHeight="1">
      <c r="A229" s="83"/>
      <c r="B229" s="83"/>
      <c r="C229" s="83"/>
      <c r="D229" s="87"/>
      <c r="E229" s="84"/>
      <c r="F229" s="84"/>
      <c r="G229" s="83"/>
      <c r="H229" s="84"/>
      <c r="I229" s="84"/>
      <c r="J229" s="84"/>
      <c r="K229" s="88"/>
      <c r="L229" s="84"/>
      <c r="M229" s="88"/>
      <c r="N229" s="84"/>
      <c r="O229" s="88"/>
      <c r="P229" s="85"/>
      <c r="Q229" s="75"/>
      <c r="R229" s="75"/>
      <c r="S229" s="75"/>
      <c r="T229" s="75"/>
      <c r="U229" s="86"/>
      <c r="V229" s="84"/>
      <c r="W229" s="87"/>
      <c r="X229" s="84"/>
      <c r="Y229" s="84"/>
      <c r="Z229" s="87"/>
    </row>
    <row r="230" spans="1:26" ht="15.75" customHeight="1">
      <c r="A230" s="83"/>
      <c r="B230" s="83"/>
      <c r="C230" s="83"/>
      <c r="D230" s="87"/>
      <c r="E230" s="84"/>
      <c r="F230" s="84"/>
      <c r="G230" s="83"/>
      <c r="H230" s="84"/>
      <c r="I230" s="84"/>
      <c r="J230" s="84"/>
      <c r="K230" s="88"/>
      <c r="L230" s="84"/>
      <c r="M230" s="88"/>
      <c r="N230" s="84"/>
      <c r="O230" s="88"/>
      <c r="P230" s="85"/>
      <c r="Q230" s="75"/>
      <c r="R230" s="75"/>
      <c r="S230" s="75"/>
      <c r="T230" s="75"/>
      <c r="U230" s="86"/>
      <c r="V230" s="84"/>
      <c r="W230" s="87"/>
      <c r="X230" s="84"/>
      <c r="Y230" s="84"/>
      <c r="Z230" s="87"/>
    </row>
    <row r="231" spans="1:26" ht="15.75" customHeight="1">
      <c r="A231" s="83"/>
      <c r="B231" s="83"/>
      <c r="C231" s="83"/>
      <c r="D231" s="87"/>
      <c r="E231" s="84"/>
      <c r="F231" s="84"/>
      <c r="G231" s="83"/>
      <c r="H231" s="84"/>
      <c r="I231" s="84"/>
      <c r="J231" s="84"/>
      <c r="K231" s="88"/>
      <c r="L231" s="84"/>
      <c r="M231" s="88"/>
      <c r="N231" s="84"/>
      <c r="O231" s="88"/>
      <c r="P231" s="85"/>
      <c r="Q231" s="75"/>
      <c r="R231" s="75"/>
      <c r="S231" s="75"/>
      <c r="T231" s="75"/>
      <c r="U231" s="86"/>
      <c r="V231" s="84"/>
      <c r="W231" s="87"/>
      <c r="X231" s="84"/>
      <c r="Y231" s="84"/>
      <c r="Z231" s="87"/>
    </row>
    <row r="232" spans="1:26" ht="15.75" customHeight="1">
      <c r="A232" s="83"/>
      <c r="B232" s="83"/>
      <c r="C232" s="83"/>
      <c r="D232" s="87"/>
      <c r="E232" s="84"/>
      <c r="F232" s="84"/>
      <c r="G232" s="83"/>
      <c r="H232" s="84"/>
      <c r="I232" s="84"/>
      <c r="J232" s="84"/>
      <c r="K232" s="88"/>
      <c r="L232" s="84"/>
      <c r="M232" s="88"/>
      <c r="N232" s="84"/>
      <c r="O232" s="88"/>
      <c r="P232" s="85"/>
      <c r="Q232" s="75"/>
      <c r="R232" s="75"/>
      <c r="S232" s="75"/>
      <c r="T232" s="75"/>
      <c r="U232" s="86"/>
      <c r="V232" s="84"/>
      <c r="W232" s="87"/>
      <c r="X232" s="84"/>
      <c r="Y232" s="84"/>
      <c r="Z232" s="87"/>
    </row>
    <row r="233" spans="1:26" ht="15.75" customHeight="1">
      <c r="A233" s="83"/>
      <c r="B233" s="83"/>
      <c r="C233" s="83"/>
      <c r="D233" s="87"/>
      <c r="E233" s="84"/>
      <c r="F233" s="84"/>
      <c r="G233" s="83"/>
      <c r="H233" s="84"/>
      <c r="I233" s="84"/>
      <c r="J233" s="84"/>
      <c r="K233" s="88"/>
      <c r="L233" s="84"/>
      <c r="M233" s="88"/>
      <c r="N233" s="84"/>
      <c r="O233" s="88"/>
      <c r="P233" s="85"/>
      <c r="Q233" s="75"/>
      <c r="R233" s="75"/>
      <c r="S233" s="75"/>
      <c r="T233" s="75"/>
      <c r="U233" s="86"/>
      <c r="V233" s="84"/>
      <c r="W233" s="87"/>
      <c r="X233" s="84"/>
      <c r="Y233" s="84"/>
      <c r="Z233" s="87"/>
    </row>
    <row r="234" spans="1:26" ht="15.75" customHeight="1">
      <c r="A234" s="83"/>
      <c r="B234" s="83"/>
      <c r="C234" s="83"/>
      <c r="D234" s="87"/>
      <c r="E234" s="84"/>
      <c r="F234" s="84"/>
      <c r="G234" s="83"/>
      <c r="H234" s="84"/>
      <c r="I234" s="84"/>
      <c r="J234" s="84"/>
      <c r="K234" s="88"/>
      <c r="L234" s="84"/>
      <c r="M234" s="88"/>
      <c r="N234" s="84"/>
      <c r="O234" s="88"/>
      <c r="P234" s="85"/>
      <c r="Q234" s="75"/>
      <c r="R234" s="75"/>
      <c r="S234" s="75"/>
      <c r="T234" s="75"/>
      <c r="U234" s="86"/>
      <c r="V234" s="84"/>
      <c r="W234" s="87"/>
      <c r="X234" s="84"/>
      <c r="Y234" s="84"/>
      <c r="Z234" s="87"/>
    </row>
    <row r="235" spans="1:26" ht="15.75" customHeight="1">
      <c r="A235" s="83"/>
      <c r="B235" s="83"/>
      <c r="C235" s="83"/>
      <c r="D235" s="87"/>
      <c r="E235" s="84"/>
      <c r="F235" s="84"/>
      <c r="G235" s="83"/>
      <c r="H235" s="84"/>
      <c r="I235" s="84"/>
      <c r="J235" s="84"/>
      <c r="K235" s="88"/>
      <c r="L235" s="84"/>
      <c r="M235" s="88"/>
      <c r="N235" s="84"/>
      <c r="O235" s="88"/>
      <c r="P235" s="85"/>
      <c r="Q235" s="75"/>
      <c r="R235" s="75"/>
      <c r="S235" s="75"/>
      <c r="T235" s="75"/>
      <c r="U235" s="86"/>
      <c r="V235" s="84"/>
      <c r="W235" s="87"/>
      <c r="X235" s="84"/>
      <c r="Y235" s="84"/>
      <c r="Z235" s="87"/>
    </row>
    <row r="236" spans="1:26" ht="15.75" customHeight="1">
      <c r="A236" s="83"/>
      <c r="B236" s="83"/>
      <c r="C236" s="83"/>
      <c r="D236" s="87"/>
      <c r="E236" s="84"/>
      <c r="F236" s="84"/>
      <c r="G236" s="83"/>
      <c r="H236" s="84"/>
      <c r="I236" s="84"/>
      <c r="J236" s="84"/>
      <c r="K236" s="88"/>
      <c r="L236" s="84"/>
      <c r="M236" s="88"/>
      <c r="N236" s="84"/>
      <c r="O236" s="88"/>
      <c r="P236" s="85"/>
      <c r="Q236" s="75"/>
      <c r="R236" s="75"/>
      <c r="S236" s="75"/>
      <c r="T236" s="75"/>
      <c r="U236" s="86"/>
      <c r="V236" s="84"/>
      <c r="W236" s="87"/>
      <c r="X236" s="84"/>
      <c r="Y236" s="84"/>
      <c r="Z236" s="87"/>
    </row>
    <row r="237" spans="1:26" ht="15.75" customHeight="1">
      <c r="A237" s="83"/>
      <c r="B237" s="83"/>
      <c r="C237" s="83"/>
      <c r="D237" s="87"/>
      <c r="E237" s="84"/>
      <c r="F237" s="84"/>
      <c r="G237" s="83"/>
      <c r="H237" s="84"/>
      <c r="I237" s="84"/>
      <c r="J237" s="84"/>
      <c r="K237" s="88"/>
      <c r="L237" s="84"/>
      <c r="M237" s="88"/>
      <c r="N237" s="84"/>
      <c r="O237" s="88"/>
      <c r="P237" s="85"/>
      <c r="Q237" s="75"/>
      <c r="R237" s="75"/>
      <c r="S237" s="75"/>
      <c r="T237" s="75"/>
      <c r="U237" s="86"/>
      <c r="V237" s="84"/>
      <c r="W237" s="87"/>
      <c r="X237" s="84"/>
      <c r="Y237" s="84"/>
      <c r="Z237" s="87"/>
    </row>
    <row r="238" spans="1:26" ht="15.75" customHeight="1">
      <c r="A238" s="83"/>
      <c r="B238" s="83"/>
      <c r="C238" s="83"/>
      <c r="D238" s="87"/>
      <c r="E238" s="84"/>
      <c r="F238" s="84"/>
      <c r="G238" s="83"/>
      <c r="H238" s="84"/>
      <c r="I238" s="84"/>
      <c r="J238" s="84"/>
      <c r="K238" s="88"/>
      <c r="L238" s="84"/>
      <c r="M238" s="88"/>
      <c r="N238" s="84"/>
      <c r="O238" s="88"/>
      <c r="P238" s="85"/>
      <c r="Q238" s="75"/>
      <c r="R238" s="75"/>
      <c r="S238" s="75"/>
      <c r="T238" s="75"/>
      <c r="U238" s="86"/>
      <c r="V238" s="84"/>
      <c r="W238" s="87"/>
      <c r="X238" s="84"/>
      <c r="Y238" s="84"/>
      <c r="Z238" s="87"/>
    </row>
    <row r="239" spans="1:26" ht="15.75" customHeight="1">
      <c r="A239" s="83"/>
      <c r="B239" s="83"/>
      <c r="C239" s="83"/>
      <c r="D239" s="87"/>
      <c r="E239" s="84"/>
      <c r="F239" s="84"/>
      <c r="G239" s="83"/>
      <c r="H239" s="84"/>
      <c r="I239" s="84"/>
      <c r="J239" s="84"/>
      <c r="K239" s="88"/>
      <c r="L239" s="84"/>
      <c r="M239" s="88"/>
      <c r="N239" s="84"/>
      <c r="O239" s="88"/>
      <c r="P239" s="85"/>
      <c r="Q239" s="75"/>
      <c r="R239" s="75"/>
      <c r="S239" s="75"/>
      <c r="T239" s="75"/>
      <c r="U239" s="86"/>
      <c r="V239" s="84"/>
      <c r="W239" s="87"/>
      <c r="X239" s="84"/>
      <c r="Y239" s="84"/>
      <c r="Z239" s="87"/>
    </row>
    <row r="240" spans="1:26" ht="15.75" customHeight="1">
      <c r="A240" s="83"/>
      <c r="B240" s="83"/>
      <c r="C240" s="83"/>
      <c r="D240" s="87"/>
      <c r="E240" s="84"/>
      <c r="F240" s="84"/>
      <c r="G240" s="83"/>
      <c r="H240" s="84"/>
      <c r="I240" s="84"/>
      <c r="J240" s="84"/>
      <c r="K240" s="88"/>
      <c r="L240" s="84"/>
      <c r="M240" s="88"/>
      <c r="N240" s="84"/>
      <c r="O240" s="88"/>
      <c r="P240" s="85"/>
      <c r="Q240" s="75"/>
      <c r="R240" s="75"/>
      <c r="S240" s="75"/>
      <c r="T240" s="75"/>
      <c r="U240" s="86"/>
      <c r="V240" s="84"/>
      <c r="W240" s="87"/>
      <c r="X240" s="84"/>
      <c r="Y240" s="84"/>
      <c r="Z240" s="87"/>
    </row>
    <row r="241" spans="1:26" ht="15.75" customHeight="1">
      <c r="A241" s="83"/>
      <c r="B241" s="83"/>
      <c r="C241" s="83"/>
      <c r="D241" s="87"/>
      <c r="E241" s="84"/>
      <c r="F241" s="84"/>
      <c r="G241" s="83"/>
      <c r="H241" s="84"/>
      <c r="I241" s="84"/>
      <c r="J241" s="84"/>
      <c r="K241" s="88"/>
      <c r="L241" s="84"/>
      <c r="M241" s="88"/>
      <c r="N241" s="84"/>
      <c r="O241" s="88"/>
      <c r="P241" s="85"/>
      <c r="Q241" s="75"/>
      <c r="R241" s="75"/>
      <c r="S241" s="75"/>
      <c r="T241" s="75"/>
      <c r="U241" s="86"/>
      <c r="V241" s="84"/>
      <c r="W241" s="87"/>
      <c r="X241" s="84"/>
      <c r="Y241" s="84"/>
      <c r="Z241" s="87"/>
    </row>
    <row r="242" spans="1:26" ht="15.75" customHeight="1">
      <c r="A242" s="83"/>
      <c r="B242" s="83"/>
      <c r="C242" s="83"/>
      <c r="D242" s="87"/>
      <c r="E242" s="84"/>
      <c r="F242" s="84"/>
      <c r="G242" s="83"/>
      <c r="H242" s="84"/>
      <c r="I242" s="84"/>
      <c r="J242" s="84"/>
      <c r="K242" s="88"/>
      <c r="L242" s="84"/>
      <c r="M242" s="88"/>
      <c r="N242" s="84"/>
      <c r="O242" s="88"/>
      <c r="P242" s="85"/>
      <c r="Q242" s="75"/>
      <c r="R242" s="75"/>
      <c r="S242" s="75"/>
      <c r="T242" s="75"/>
      <c r="U242" s="86"/>
      <c r="V242" s="84"/>
      <c r="W242" s="87"/>
      <c r="X242" s="84"/>
      <c r="Y242" s="84"/>
      <c r="Z242" s="87"/>
    </row>
    <row r="243" spans="1:26" ht="15.75" customHeight="1">
      <c r="A243" s="83"/>
      <c r="B243" s="83"/>
      <c r="C243" s="83"/>
      <c r="D243" s="87"/>
      <c r="E243" s="84"/>
      <c r="F243" s="84"/>
      <c r="G243" s="83"/>
      <c r="H243" s="84"/>
      <c r="I243" s="84"/>
      <c r="J243" s="84"/>
      <c r="K243" s="88"/>
      <c r="L243" s="84"/>
      <c r="M243" s="88"/>
      <c r="N243" s="84"/>
      <c r="O243" s="88"/>
      <c r="P243" s="85"/>
      <c r="Q243" s="75"/>
      <c r="R243" s="75"/>
      <c r="S243" s="75"/>
      <c r="T243" s="75"/>
      <c r="U243" s="86"/>
      <c r="V243" s="84"/>
      <c r="W243" s="87"/>
      <c r="X243" s="84"/>
      <c r="Y243" s="84"/>
      <c r="Z243" s="87"/>
    </row>
    <row r="244" spans="1:26" ht="15.75" customHeight="1">
      <c r="A244" s="83"/>
      <c r="B244" s="83"/>
      <c r="C244" s="83"/>
      <c r="D244" s="87"/>
      <c r="E244" s="84"/>
      <c r="F244" s="84"/>
      <c r="G244" s="83"/>
      <c r="H244" s="84"/>
      <c r="I244" s="84"/>
      <c r="J244" s="84"/>
      <c r="K244" s="88"/>
      <c r="L244" s="84"/>
      <c r="M244" s="88"/>
      <c r="N244" s="84"/>
      <c r="O244" s="88"/>
      <c r="P244" s="85"/>
      <c r="Q244" s="75"/>
      <c r="R244" s="75"/>
      <c r="S244" s="75"/>
      <c r="T244" s="75"/>
      <c r="U244" s="86"/>
      <c r="V244" s="84"/>
      <c r="W244" s="87"/>
      <c r="X244" s="84"/>
      <c r="Y244" s="84"/>
      <c r="Z244" s="87"/>
    </row>
    <row r="245" spans="1:26" ht="15.75" customHeight="1">
      <c r="A245" s="83"/>
      <c r="B245" s="83"/>
      <c r="C245" s="83"/>
      <c r="D245" s="87"/>
      <c r="E245" s="84"/>
      <c r="F245" s="84"/>
      <c r="G245" s="83"/>
      <c r="H245" s="84"/>
      <c r="I245" s="84"/>
      <c r="J245" s="84"/>
      <c r="K245" s="88"/>
      <c r="L245" s="84"/>
      <c r="M245" s="88"/>
      <c r="N245" s="84"/>
      <c r="O245" s="88"/>
      <c r="P245" s="85"/>
      <c r="Q245" s="75"/>
      <c r="R245" s="75"/>
      <c r="S245" s="75"/>
      <c r="T245" s="75"/>
      <c r="U245" s="86"/>
      <c r="V245" s="84"/>
      <c r="W245" s="87"/>
      <c r="X245" s="84"/>
      <c r="Y245" s="84"/>
      <c r="Z245" s="87"/>
    </row>
    <row r="246" spans="1:26" ht="15.75" customHeight="1">
      <c r="A246" s="83"/>
      <c r="B246" s="83"/>
      <c r="C246" s="83"/>
      <c r="D246" s="87"/>
      <c r="E246" s="84"/>
      <c r="F246" s="84"/>
      <c r="G246" s="83"/>
      <c r="H246" s="84"/>
      <c r="I246" s="84"/>
      <c r="J246" s="84"/>
      <c r="K246" s="88"/>
      <c r="L246" s="84"/>
      <c r="M246" s="88"/>
      <c r="N246" s="84"/>
      <c r="O246" s="88"/>
      <c r="P246" s="85"/>
      <c r="Q246" s="75"/>
      <c r="R246" s="75"/>
      <c r="S246" s="75"/>
      <c r="T246" s="75"/>
      <c r="U246" s="86"/>
      <c r="V246" s="84"/>
      <c r="W246" s="87"/>
      <c r="X246" s="84"/>
      <c r="Y246" s="84"/>
      <c r="Z246" s="87"/>
    </row>
    <row r="247" spans="1:26" ht="15.75" customHeight="1">
      <c r="A247" s="83"/>
      <c r="B247" s="83"/>
      <c r="C247" s="83"/>
      <c r="D247" s="87"/>
      <c r="E247" s="84"/>
      <c r="F247" s="84"/>
      <c r="G247" s="83"/>
      <c r="H247" s="84"/>
      <c r="I247" s="84"/>
      <c r="J247" s="84"/>
      <c r="K247" s="88"/>
      <c r="L247" s="84"/>
      <c r="M247" s="88"/>
      <c r="N247" s="84"/>
      <c r="O247" s="88"/>
      <c r="P247" s="85"/>
      <c r="Q247" s="75"/>
      <c r="R247" s="75"/>
      <c r="S247" s="75"/>
      <c r="T247" s="75"/>
      <c r="U247" s="86"/>
      <c r="V247" s="84"/>
      <c r="W247" s="87"/>
      <c r="X247" s="84"/>
      <c r="Y247" s="84"/>
      <c r="Z247" s="87"/>
    </row>
    <row r="248" spans="1:26" ht="15.75" customHeight="1">
      <c r="A248" s="83"/>
      <c r="B248" s="83"/>
      <c r="C248" s="83"/>
      <c r="D248" s="87"/>
      <c r="E248" s="84"/>
      <c r="F248" s="84"/>
      <c r="G248" s="83"/>
      <c r="H248" s="84"/>
      <c r="I248" s="84"/>
      <c r="J248" s="84"/>
      <c r="K248" s="88"/>
      <c r="L248" s="84"/>
      <c r="M248" s="88"/>
      <c r="N248" s="84"/>
      <c r="O248" s="88"/>
      <c r="P248" s="85"/>
      <c r="Q248" s="75"/>
      <c r="R248" s="75"/>
      <c r="S248" s="75"/>
      <c r="T248" s="75"/>
      <c r="U248" s="86"/>
      <c r="V248" s="84"/>
      <c r="W248" s="87"/>
      <c r="X248" s="84"/>
      <c r="Y248" s="84"/>
      <c r="Z248" s="87"/>
    </row>
    <row r="249" spans="1:26" ht="15.75" customHeight="1">
      <c r="A249" s="83"/>
      <c r="B249" s="83"/>
      <c r="C249" s="83"/>
      <c r="D249" s="87"/>
      <c r="E249" s="84"/>
      <c r="F249" s="84"/>
      <c r="G249" s="83"/>
      <c r="H249" s="84"/>
      <c r="I249" s="84"/>
      <c r="J249" s="84"/>
      <c r="K249" s="88"/>
      <c r="L249" s="84"/>
      <c r="M249" s="88"/>
      <c r="N249" s="84"/>
      <c r="O249" s="88"/>
      <c r="P249" s="85"/>
      <c r="Q249" s="75"/>
      <c r="R249" s="75"/>
      <c r="S249" s="75"/>
      <c r="T249" s="75"/>
      <c r="U249" s="86"/>
      <c r="V249" s="84"/>
      <c r="W249" s="87"/>
      <c r="X249" s="84"/>
      <c r="Y249" s="84"/>
      <c r="Z249" s="87"/>
    </row>
    <row r="250" spans="1:26" ht="15.75" customHeight="1">
      <c r="A250" s="83"/>
      <c r="B250" s="83"/>
      <c r="C250" s="83"/>
      <c r="D250" s="87"/>
      <c r="E250" s="84"/>
      <c r="F250" s="84"/>
      <c r="G250" s="83"/>
      <c r="H250" s="84"/>
      <c r="I250" s="84"/>
      <c r="J250" s="84"/>
      <c r="K250" s="88"/>
      <c r="L250" s="84"/>
      <c r="M250" s="88"/>
      <c r="N250" s="84"/>
      <c r="O250" s="88"/>
      <c r="P250" s="85"/>
      <c r="Q250" s="75"/>
      <c r="R250" s="75"/>
      <c r="S250" s="75"/>
      <c r="T250" s="75"/>
      <c r="U250" s="86"/>
      <c r="V250" s="84"/>
      <c r="W250" s="87"/>
      <c r="X250" s="84"/>
      <c r="Y250" s="84"/>
      <c r="Z250" s="87"/>
    </row>
    <row r="251" spans="1:26" ht="15.75" customHeight="1">
      <c r="A251" s="83"/>
      <c r="B251" s="83"/>
      <c r="C251" s="83"/>
      <c r="D251" s="87"/>
      <c r="E251" s="84"/>
      <c r="F251" s="84"/>
      <c r="G251" s="83"/>
      <c r="H251" s="84"/>
      <c r="I251" s="84"/>
      <c r="J251" s="84"/>
      <c r="K251" s="88"/>
      <c r="L251" s="84"/>
      <c r="M251" s="88"/>
      <c r="N251" s="84"/>
      <c r="O251" s="88"/>
      <c r="P251" s="85"/>
      <c r="Q251" s="75"/>
      <c r="R251" s="75"/>
      <c r="S251" s="75"/>
      <c r="T251" s="75"/>
      <c r="U251" s="86"/>
      <c r="V251" s="84"/>
      <c r="W251" s="87"/>
      <c r="X251" s="84"/>
      <c r="Y251" s="84"/>
      <c r="Z251" s="87"/>
    </row>
    <row r="252" spans="1:26" ht="15.75" customHeight="1">
      <c r="A252" s="83"/>
      <c r="B252" s="83"/>
      <c r="C252" s="83"/>
      <c r="D252" s="87"/>
      <c r="E252" s="84"/>
      <c r="F252" s="84"/>
      <c r="G252" s="83"/>
      <c r="H252" s="84"/>
      <c r="I252" s="84"/>
      <c r="J252" s="84"/>
      <c r="K252" s="88"/>
      <c r="L252" s="84"/>
      <c r="M252" s="88"/>
      <c r="N252" s="84"/>
      <c r="O252" s="88"/>
      <c r="P252" s="85"/>
      <c r="Q252" s="75"/>
      <c r="R252" s="75"/>
      <c r="S252" s="75"/>
      <c r="T252" s="75"/>
      <c r="U252" s="86"/>
      <c r="V252" s="84"/>
      <c r="W252" s="87"/>
      <c r="X252" s="84"/>
      <c r="Y252" s="84"/>
      <c r="Z252" s="87"/>
    </row>
    <row r="253" spans="1:26" ht="15.75" customHeight="1">
      <c r="A253" s="83"/>
      <c r="B253" s="83"/>
      <c r="C253" s="83"/>
      <c r="D253" s="87"/>
      <c r="E253" s="84"/>
      <c r="F253" s="84"/>
      <c r="G253" s="83"/>
      <c r="H253" s="84"/>
      <c r="I253" s="84"/>
      <c r="J253" s="84"/>
      <c r="K253" s="88"/>
      <c r="L253" s="84"/>
      <c r="M253" s="88"/>
      <c r="N253" s="84"/>
      <c r="O253" s="88"/>
      <c r="P253" s="85"/>
      <c r="Q253" s="75"/>
      <c r="R253" s="75"/>
      <c r="S253" s="75"/>
      <c r="T253" s="75"/>
      <c r="U253" s="86"/>
      <c r="V253" s="84"/>
      <c r="W253" s="87"/>
      <c r="X253" s="84"/>
      <c r="Y253" s="84"/>
      <c r="Z253" s="87"/>
    </row>
    <row r="254" spans="1:26" ht="15.75" customHeight="1">
      <c r="A254" s="83"/>
      <c r="B254" s="83"/>
      <c r="C254" s="83"/>
      <c r="D254" s="87"/>
      <c r="E254" s="84"/>
      <c r="F254" s="84"/>
      <c r="G254" s="83"/>
      <c r="H254" s="84"/>
      <c r="I254" s="84"/>
      <c r="J254" s="84"/>
      <c r="K254" s="88"/>
      <c r="L254" s="84"/>
      <c r="M254" s="88"/>
      <c r="N254" s="84"/>
      <c r="O254" s="88"/>
      <c r="P254" s="85"/>
      <c r="Q254" s="75"/>
      <c r="R254" s="75"/>
      <c r="S254" s="75"/>
      <c r="T254" s="75"/>
      <c r="U254" s="86"/>
      <c r="V254" s="84"/>
      <c r="W254" s="87"/>
      <c r="X254" s="84"/>
      <c r="Y254" s="84"/>
      <c r="Z254" s="87"/>
    </row>
    <row r="255" spans="1:26" ht="15.75" customHeight="1">
      <c r="A255" s="83"/>
      <c r="B255" s="83"/>
      <c r="C255" s="83"/>
      <c r="D255" s="87"/>
      <c r="E255" s="84"/>
      <c r="F255" s="84"/>
      <c r="G255" s="83"/>
      <c r="H255" s="84"/>
      <c r="I255" s="84"/>
      <c r="J255" s="84"/>
      <c r="K255" s="88"/>
      <c r="L255" s="84"/>
      <c r="M255" s="88"/>
      <c r="N255" s="84"/>
      <c r="O255" s="88"/>
      <c r="P255" s="85"/>
      <c r="Q255" s="75"/>
      <c r="R255" s="75"/>
      <c r="S255" s="75"/>
      <c r="T255" s="75"/>
      <c r="U255" s="86"/>
      <c r="V255" s="84"/>
      <c r="W255" s="87"/>
      <c r="X255" s="84"/>
      <c r="Y255" s="84"/>
      <c r="Z255" s="87"/>
    </row>
    <row r="256" spans="1:26" ht="15.75" customHeight="1">
      <c r="A256" s="83"/>
      <c r="B256" s="83"/>
      <c r="C256" s="83"/>
      <c r="D256" s="87"/>
      <c r="E256" s="84"/>
      <c r="F256" s="84"/>
      <c r="G256" s="83"/>
      <c r="H256" s="84"/>
      <c r="I256" s="84"/>
      <c r="J256" s="84"/>
      <c r="K256" s="88"/>
      <c r="L256" s="84"/>
      <c r="M256" s="88"/>
      <c r="N256" s="84"/>
      <c r="O256" s="88"/>
      <c r="P256" s="85"/>
      <c r="Q256" s="75"/>
      <c r="R256" s="75"/>
      <c r="S256" s="75"/>
      <c r="T256" s="75"/>
      <c r="U256" s="86"/>
      <c r="V256" s="84"/>
      <c r="W256" s="87"/>
      <c r="X256" s="84"/>
      <c r="Y256" s="84"/>
      <c r="Z256" s="87"/>
    </row>
    <row r="257" spans="1:26" ht="15.75" customHeight="1">
      <c r="A257" s="83"/>
      <c r="B257" s="83"/>
      <c r="C257" s="83"/>
      <c r="D257" s="87"/>
      <c r="E257" s="84"/>
      <c r="F257" s="84"/>
      <c r="G257" s="83"/>
      <c r="H257" s="84"/>
      <c r="I257" s="84"/>
      <c r="J257" s="84"/>
      <c r="K257" s="88"/>
      <c r="L257" s="84"/>
      <c r="M257" s="88"/>
      <c r="N257" s="84"/>
      <c r="O257" s="88"/>
      <c r="P257" s="85"/>
      <c r="Q257" s="75"/>
      <c r="R257" s="75"/>
      <c r="S257" s="75"/>
      <c r="T257" s="75"/>
      <c r="U257" s="86"/>
      <c r="V257" s="84"/>
      <c r="W257" s="87"/>
      <c r="X257" s="84"/>
      <c r="Y257" s="84"/>
      <c r="Z257" s="87"/>
    </row>
    <row r="258" spans="1:26" ht="15.75" customHeight="1">
      <c r="A258" s="83"/>
      <c r="B258" s="83"/>
      <c r="C258" s="83"/>
      <c r="D258" s="87"/>
      <c r="E258" s="84"/>
      <c r="F258" s="84"/>
      <c r="G258" s="83"/>
      <c r="H258" s="84"/>
      <c r="I258" s="84"/>
      <c r="J258" s="84"/>
      <c r="K258" s="88"/>
      <c r="L258" s="84"/>
      <c r="M258" s="88"/>
      <c r="N258" s="84"/>
      <c r="O258" s="88"/>
      <c r="P258" s="85"/>
      <c r="Q258" s="75"/>
      <c r="R258" s="75"/>
      <c r="S258" s="75"/>
      <c r="T258" s="75"/>
      <c r="U258" s="86"/>
      <c r="V258" s="84"/>
      <c r="W258" s="87"/>
      <c r="X258" s="84"/>
      <c r="Y258" s="84"/>
      <c r="Z258" s="87"/>
    </row>
    <row r="259" spans="1:26" ht="15.75" customHeight="1">
      <c r="A259" s="83"/>
      <c r="B259" s="83"/>
      <c r="C259" s="83"/>
      <c r="D259" s="87"/>
      <c r="E259" s="84"/>
      <c r="F259" s="84"/>
      <c r="G259" s="83"/>
      <c r="H259" s="84"/>
      <c r="I259" s="84"/>
      <c r="J259" s="84"/>
      <c r="K259" s="88"/>
      <c r="L259" s="84"/>
      <c r="M259" s="88"/>
      <c r="N259" s="84"/>
      <c r="O259" s="88"/>
      <c r="P259" s="85"/>
      <c r="Q259" s="75"/>
      <c r="R259" s="75"/>
      <c r="S259" s="75"/>
      <c r="T259" s="75"/>
      <c r="U259" s="86"/>
      <c r="V259" s="84"/>
      <c r="W259" s="87"/>
      <c r="X259" s="84"/>
      <c r="Y259" s="84"/>
      <c r="Z259" s="87"/>
    </row>
    <row r="260" spans="1:26" ht="15.75" customHeight="1">
      <c r="A260" s="83"/>
      <c r="B260" s="83"/>
      <c r="C260" s="83"/>
      <c r="D260" s="87"/>
      <c r="E260" s="84"/>
      <c r="F260" s="84"/>
      <c r="G260" s="83"/>
      <c r="H260" s="84"/>
      <c r="I260" s="84"/>
      <c r="J260" s="84"/>
      <c r="K260" s="88"/>
      <c r="L260" s="84"/>
      <c r="M260" s="88"/>
      <c r="N260" s="84"/>
      <c r="O260" s="88"/>
      <c r="P260" s="85"/>
      <c r="Q260" s="75"/>
      <c r="R260" s="75"/>
      <c r="S260" s="75"/>
      <c r="T260" s="75"/>
      <c r="U260" s="86"/>
      <c r="V260" s="84"/>
      <c r="W260" s="87"/>
      <c r="X260" s="84"/>
      <c r="Y260" s="84"/>
      <c r="Z260" s="87"/>
    </row>
    <row r="261" spans="1:26" ht="15.75" customHeight="1">
      <c r="A261" s="83"/>
      <c r="B261" s="83"/>
      <c r="C261" s="83"/>
      <c r="D261" s="87"/>
      <c r="E261" s="84"/>
      <c r="F261" s="84"/>
      <c r="G261" s="83"/>
      <c r="H261" s="84"/>
      <c r="I261" s="84"/>
      <c r="J261" s="84"/>
      <c r="K261" s="88"/>
      <c r="L261" s="84"/>
      <c r="M261" s="88"/>
      <c r="N261" s="84"/>
      <c r="O261" s="88"/>
      <c r="P261" s="85"/>
      <c r="Q261" s="75"/>
      <c r="R261" s="75"/>
      <c r="S261" s="75"/>
      <c r="T261" s="75"/>
      <c r="U261" s="86"/>
      <c r="V261" s="84"/>
      <c r="W261" s="87"/>
      <c r="X261" s="84"/>
      <c r="Y261" s="84"/>
      <c r="Z261" s="87"/>
    </row>
    <row r="262" spans="1:26" ht="15.75" customHeight="1">
      <c r="A262" s="83"/>
      <c r="B262" s="83"/>
      <c r="C262" s="83"/>
      <c r="D262" s="87"/>
      <c r="E262" s="84"/>
      <c r="F262" s="84"/>
      <c r="G262" s="83"/>
      <c r="H262" s="84"/>
      <c r="I262" s="84"/>
      <c r="J262" s="84"/>
      <c r="K262" s="88"/>
      <c r="L262" s="84"/>
      <c r="M262" s="88"/>
      <c r="N262" s="84"/>
      <c r="O262" s="88"/>
      <c r="P262" s="85"/>
      <c r="Q262" s="75"/>
      <c r="R262" s="75"/>
      <c r="S262" s="75"/>
      <c r="T262" s="75"/>
      <c r="U262" s="86"/>
      <c r="V262" s="84"/>
      <c r="W262" s="87"/>
      <c r="X262" s="84"/>
      <c r="Y262" s="84"/>
      <c r="Z262" s="87"/>
    </row>
    <row r="263" spans="1:26" ht="15.75" customHeight="1">
      <c r="A263" s="83"/>
      <c r="B263" s="83"/>
      <c r="C263" s="83"/>
      <c r="D263" s="87"/>
      <c r="E263" s="84"/>
      <c r="F263" s="84"/>
      <c r="G263" s="83"/>
      <c r="H263" s="84"/>
      <c r="I263" s="84"/>
      <c r="J263" s="84"/>
      <c r="K263" s="88"/>
      <c r="L263" s="84"/>
      <c r="M263" s="88"/>
      <c r="N263" s="84"/>
      <c r="O263" s="88"/>
      <c r="P263" s="85"/>
      <c r="Q263" s="75"/>
      <c r="R263" s="75"/>
      <c r="S263" s="75"/>
      <c r="T263" s="75"/>
      <c r="U263" s="86"/>
      <c r="V263" s="84"/>
      <c r="W263" s="87"/>
      <c r="X263" s="84"/>
      <c r="Y263" s="84"/>
      <c r="Z263" s="87"/>
    </row>
    <row r="264" spans="1:26" ht="15.75" customHeight="1">
      <c r="A264" s="83"/>
      <c r="B264" s="83"/>
      <c r="C264" s="83"/>
      <c r="D264" s="87"/>
      <c r="E264" s="84"/>
      <c r="F264" s="84"/>
      <c r="G264" s="83"/>
      <c r="H264" s="84"/>
      <c r="I264" s="84"/>
      <c r="J264" s="84"/>
      <c r="K264" s="88"/>
      <c r="L264" s="84"/>
      <c r="M264" s="88"/>
      <c r="N264" s="84"/>
      <c r="O264" s="88"/>
      <c r="P264" s="85"/>
      <c r="Q264" s="75"/>
      <c r="R264" s="75"/>
      <c r="S264" s="75"/>
      <c r="T264" s="75"/>
      <c r="U264" s="86"/>
      <c r="V264" s="84"/>
      <c r="W264" s="87"/>
      <c r="X264" s="84"/>
      <c r="Y264" s="84"/>
      <c r="Z264" s="87"/>
    </row>
    <row r="265" spans="1:26" ht="15.75" customHeight="1">
      <c r="A265" s="83"/>
      <c r="B265" s="83"/>
      <c r="C265" s="83"/>
      <c r="D265" s="87"/>
      <c r="E265" s="84"/>
      <c r="F265" s="84"/>
      <c r="G265" s="83"/>
      <c r="H265" s="84"/>
      <c r="I265" s="84"/>
      <c r="J265" s="84"/>
      <c r="K265" s="88"/>
      <c r="L265" s="84"/>
      <c r="M265" s="88"/>
      <c r="N265" s="84"/>
      <c r="O265" s="88"/>
      <c r="P265" s="85"/>
      <c r="Q265" s="75"/>
      <c r="R265" s="75"/>
      <c r="S265" s="75"/>
      <c r="T265" s="75"/>
      <c r="U265" s="86"/>
      <c r="V265" s="84"/>
      <c r="W265" s="87"/>
      <c r="X265" s="84"/>
      <c r="Y265" s="84"/>
      <c r="Z265" s="87"/>
    </row>
    <row r="266" spans="1:26" ht="15.75" customHeight="1">
      <c r="A266" s="83"/>
      <c r="B266" s="83"/>
      <c r="C266" s="83"/>
      <c r="D266" s="87"/>
      <c r="E266" s="84"/>
      <c r="F266" s="84"/>
      <c r="G266" s="83"/>
      <c r="H266" s="84"/>
      <c r="I266" s="84"/>
      <c r="J266" s="84"/>
      <c r="K266" s="88"/>
      <c r="L266" s="84"/>
      <c r="M266" s="88"/>
      <c r="N266" s="84"/>
      <c r="O266" s="88"/>
      <c r="P266" s="85"/>
      <c r="Q266" s="75"/>
      <c r="R266" s="75"/>
      <c r="S266" s="75"/>
      <c r="T266" s="75"/>
      <c r="U266" s="86"/>
      <c r="V266" s="84"/>
      <c r="W266" s="87"/>
      <c r="X266" s="84"/>
      <c r="Y266" s="84"/>
      <c r="Z266" s="87"/>
    </row>
    <row r="267" spans="1:26" ht="15.75" customHeight="1">
      <c r="A267" s="83"/>
      <c r="B267" s="83"/>
      <c r="C267" s="83"/>
      <c r="D267" s="87"/>
      <c r="E267" s="84"/>
      <c r="F267" s="84"/>
      <c r="G267" s="83"/>
      <c r="H267" s="84"/>
      <c r="I267" s="84"/>
      <c r="J267" s="84"/>
      <c r="K267" s="88"/>
      <c r="L267" s="84"/>
      <c r="M267" s="88"/>
      <c r="N267" s="84"/>
      <c r="O267" s="88"/>
      <c r="P267" s="85"/>
      <c r="Q267" s="75"/>
      <c r="R267" s="75"/>
      <c r="S267" s="75"/>
      <c r="T267" s="75"/>
      <c r="U267" s="86"/>
      <c r="V267" s="84"/>
      <c r="W267" s="87"/>
      <c r="X267" s="84"/>
      <c r="Y267" s="84"/>
      <c r="Z267" s="87"/>
    </row>
    <row r="268" spans="1:26" ht="15.75" customHeight="1">
      <c r="A268" s="83"/>
      <c r="B268" s="83"/>
      <c r="C268" s="83"/>
      <c r="D268" s="87"/>
      <c r="E268" s="84"/>
      <c r="F268" s="84"/>
      <c r="G268" s="83"/>
      <c r="H268" s="84"/>
      <c r="I268" s="84"/>
      <c r="J268" s="84"/>
      <c r="K268" s="88"/>
      <c r="L268" s="84"/>
      <c r="M268" s="88"/>
      <c r="N268" s="84"/>
      <c r="O268" s="88"/>
      <c r="P268" s="85"/>
      <c r="Q268" s="75"/>
      <c r="R268" s="75"/>
      <c r="S268" s="75"/>
      <c r="T268" s="75"/>
      <c r="U268" s="86"/>
      <c r="V268" s="84"/>
      <c r="W268" s="87"/>
      <c r="X268" s="84"/>
      <c r="Y268" s="84"/>
      <c r="Z268" s="87"/>
    </row>
    <row r="269" spans="1:26" ht="15.75" customHeight="1">
      <c r="A269" s="83"/>
      <c r="B269" s="83"/>
      <c r="C269" s="83"/>
      <c r="D269" s="87"/>
      <c r="E269" s="84"/>
      <c r="F269" s="84"/>
      <c r="G269" s="83"/>
      <c r="H269" s="84"/>
      <c r="I269" s="84"/>
      <c r="J269" s="84"/>
      <c r="K269" s="88"/>
      <c r="L269" s="84"/>
      <c r="M269" s="88"/>
      <c r="N269" s="84"/>
      <c r="O269" s="88"/>
      <c r="P269" s="85"/>
      <c r="Q269" s="75"/>
      <c r="R269" s="75"/>
      <c r="S269" s="75"/>
      <c r="T269" s="75"/>
      <c r="U269" s="86"/>
      <c r="V269" s="84"/>
      <c r="W269" s="87"/>
      <c r="X269" s="84"/>
      <c r="Y269" s="84"/>
      <c r="Z269" s="87"/>
    </row>
    <row r="270" spans="1:26" ht="15.75" customHeight="1">
      <c r="A270" s="83"/>
      <c r="B270" s="83"/>
      <c r="C270" s="83"/>
      <c r="D270" s="87"/>
      <c r="E270" s="84"/>
      <c r="F270" s="84"/>
      <c r="G270" s="83"/>
      <c r="H270" s="84"/>
      <c r="I270" s="84"/>
      <c r="J270" s="84"/>
      <c r="K270" s="88"/>
      <c r="L270" s="84"/>
      <c r="M270" s="88"/>
      <c r="N270" s="84"/>
      <c r="O270" s="88"/>
      <c r="P270" s="85"/>
      <c r="Q270" s="75"/>
      <c r="R270" s="75"/>
      <c r="S270" s="75"/>
      <c r="T270" s="75"/>
      <c r="U270" s="86"/>
      <c r="V270" s="84"/>
      <c r="W270" s="87"/>
      <c r="X270" s="84"/>
      <c r="Y270" s="84"/>
      <c r="Z270" s="87"/>
    </row>
    <row r="271" spans="1:26" ht="15.75" customHeight="1">
      <c r="A271" s="83"/>
      <c r="B271" s="83"/>
      <c r="C271" s="83"/>
      <c r="D271" s="87"/>
      <c r="E271" s="84"/>
      <c r="F271" s="84"/>
      <c r="G271" s="83"/>
      <c r="H271" s="84"/>
      <c r="I271" s="84"/>
      <c r="J271" s="84"/>
      <c r="K271" s="88"/>
      <c r="L271" s="84"/>
      <c r="M271" s="88"/>
      <c r="N271" s="84"/>
      <c r="O271" s="88"/>
      <c r="P271" s="85"/>
      <c r="Q271" s="75"/>
      <c r="R271" s="75"/>
      <c r="S271" s="75"/>
      <c r="T271" s="75"/>
      <c r="U271" s="86"/>
      <c r="V271" s="84"/>
      <c r="W271" s="87"/>
      <c r="X271" s="84"/>
      <c r="Y271" s="84"/>
      <c r="Z271" s="87"/>
    </row>
    <row r="272" spans="1:26" ht="15.75" customHeight="1">
      <c r="A272" s="83"/>
      <c r="B272" s="83"/>
      <c r="C272" s="83"/>
      <c r="D272" s="87"/>
      <c r="E272" s="84"/>
      <c r="F272" s="84"/>
      <c r="G272" s="83"/>
      <c r="H272" s="84"/>
      <c r="I272" s="84"/>
      <c r="J272" s="84"/>
      <c r="K272" s="88"/>
      <c r="L272" s="84"/>
      <c r="M272" s="88"/>
      <c r="N272" s="84"/>
      <c r="O272" s="88"/>
      <c r="P272" s="85"/>
      <c r="Q272" s="75"/>
      <c r="R272" s="75"/>
      <c r="S272" s="75"/>
      <c r="T272" s="75"/>
      <c r="U272" s="86"/>
      <c r="V272" s="84"/>
      <c r="W272" s="87"/>
      <c r="X272" s="84"/>
      <c r="Y272" s="84"/>
      <c r="Z272" s="87"/>
    </row>
    <row r="273" spans="1:26" ht="15.75" customHeight="1">
      <c r="A273" s="83"/>
      <c r="B273" s="83"/>
      <c r="C273" s="83"/>
      <c r="D273" s="87"/>
      <c r="E273" s="84"/>
      <c r="F273" s="84"/>
      <c r="G273" s="83"/>
      <c r="H273" s="84"/>
      <c r="I273" s="84"/>
      <c r="J273" s="84"/>
      <c r="K273" s="88"/>
      <c r="L273" s="84"/>
      <c r="M273" s="88"/>
      <c r="N273" s="84"/>
      <c r="O273" s="88"/>
      <c r="P273" s="85"/>
      <c r="Q273" s="75"/>
      <c r="R273" s="75"/>
      <c r="S273" s="75"/>
      <c r="T273" s="75"/>
      <c r="U273" s="86"/>
      <c r="V273" s="84"/>
      <c r="W273" s="87"/>
      <c r="X273" s="84"/>
      <c r="Y273" s="84"/>
      <c r="Z273" s="87"/>
    </row>
    <row r="274" spans="1:26" ht="15.75" customHeight="1">
      <c r="A274" s="83"/>
      <c r="B274" s="83"/>
      <c r="C274" s="83"/>
      <c r="D274" s="87"/>
      <c r="E274" s="84"/>
      <c r="F274" s="84"/>
      <c r="G274" s="83"/>
      <c r="H274" s="84"/>
      <c r="I274" s="84"/>
      <c r="J274" s="84"/>
      <c r="K274" s="88"/>
      <c r="L274" s="84"/>
      <c r="M274" s="88"/>
      <c r="N274" s="84"/>
      <c r="O274" s="88"/>
      <c r="P274" s="85"/>
      <c r="Q274" s="75"/>
      <c r="R274" s="75"/>
      <c r="S274" s="75"/>
      <c r="T274" s="75"/>
      <c r="U274" s="86"/>
      <c r="V274" s="84"/>
      <c r="W274" s="87"/>
      <c r="X274" s="84"/>
      <c r="Y274" s="84"/>
      <c r="Z274" s="87"/>
    </row>
    <row r="275" spans="1:26" ht="15.75" customHeight="1">
      <c r="A275" s="83"/>
      <c r="B275" s="83"/>
      <c r="C275" s="83"/>
      <c r="D275" s="87"/>
      <c r="E275" s="84"/>
      <c r="F275" s="84"/>
      <c r="G275" s="83"/>
      <c r="H275" s="84"/>
      <c r="I275" s="84"/>
      <c r="J275" s="84"/>
      <c r="K275" s="88"/>
      <c r="L275" s="84"/>
      <c r="M275" s="88"/>
      <c r="N275" s="84"/>
      <c r="O275" s="88"/>
      <c r="P275" s="85"/>
      <c r="Q275" s="75"/>
      <c r="R275" s="75"/>
      <c r="S275" s="75"/>
      <c r="T275" s="75"/>
      <c r="U275" s="86"/>
      <c r="V275" s="84"/>
      <c r="W275" s="87"/>
      <c r="X275" s="84"/>
      <c r="Y275" s="84"/>
      <c r="Z275" s="87"/>
    </row>
    <row r="276" spans="1:26" ht="15.75" customHeight="1">
      <c r="A276" s="83"/>
      <c r="B276" s="83"/>
      <c r="C276" s="83"/>
      <c r="D276" s="87"/>
      <c r="E276" s="84"/>
      <c r="F276" s="84"/>
      <c r="G276" s="83"/>
      <c r="H276" s="84"/>
      <c r="I276" s="84"/>
      <c r="J276" s="84"/>
      <c r="K276" s="88"/>
      <c r="L276" s="84"/>
      <c r="M276" s="88"/>
      <c r="N276" s="84"/>
      <c r="O276" s="88"/>
      <c r="P276" s="85"/>
      <c r="Q276" s="75"/>
      <c r="R276" s="75"/>
      <c r="S276" s="75"/>
      <c r="T276" s="75"/>
      <c r="U276" s="86"/>
      <c r="V276" s="84"/>
      <c r="W276" s="87"/>
      <c r="X276" s="84"/>
      <c r="Y276" s="84"/>
      <c r="Z276" s="87"/>
    </row>
    <row r="277" spans="1:26" ht="15.75" customHeight="1">
      <c r="A277" s="83"/>
      <c r="B277" s="83"/>
      <c r="C277" s="83"/>
      <c r="D277" s="87"/>
      <c r="E277" s="84"/>
      <c r="F277" s="84"/>
      <c r="G277" s="83"/>
      <c r="H277" s="84"/>
      <c r="I277" s="84"/>
      <c r="J277" s="84"/>
      <c r="K277" s="88"/>
      <c r="L277" s="84"/>
      <c r="M277" s="88"/>
      <c r="N277" s="84"/>
      <c r="O277" s="88"/>
      <c r="P277" s="85"/>
      <c r="Q277" s="75"/>
      <c r="R277" s="75"/>
      <c r="S277" s="75"/>
      <c r="T277" s="75"/>
      <c r="U277" s="86"/>
      <c r="V277" s="84"/>
      <c r="W277" s="87"/>
      <c r="X277" s="84"/>
      <c r="Y277" s="84"/>
      <c r="Z277" s="87"/>
    </row>
    <row r="278" spans="1:26" ht="15.75" customHeight="1">
      <c r="A278" s="83"/>
      <c r="B278" s="83"/>
      <c r="C278" s="83"/>
      <c r="D278" s="87"/>
      <c r="E278" s="84"/>
      <c r="F278" s="84"/>
      <c r="G278" s="83"/>
      <c r="H278" s="84"/>
      <c r="I278" s="84"/>
      <c r="J278" s="84"/>
      <c r="K278" s="88"/>
      <c r="L278" s="84"/>
      <c r="M278" s="88"/>
      <c r="N278" s="84"/>
      <c r="O278" s="88"/>
      <c r="P278" s="85"/>
      <c r="Q278" s="75"/>
      <c r="R278" s="75"/>
      <c r="S278" s="75"/>
      <c r="T278" s="75"/>
      <c r="U278" s="86"/>
      <c r="V278" s="84"/>
      <c r="W278" s="87"/>
      <c r="X278" s="84"/>
      <c r="Y278" s="84"/>
      <c r="Z278" s="87"/>
    </row>
    <row r="279" spans="1:26" ht="15.75" customHeight="1">
      <c r="A279" s="83"/>
      <c r="B279" s="83"/>
      <c r="C279" s="83"/>
      <c r="D279" s="87"/>
      <c r="E279" s="84"/>
      <c r="F279" s="84"/>
      <c r="G279" s="83"/>
      <c r="H279" s="84"/>
      <c r="I279" s="84"/>
      <c r="J279" s="84"/>
      <c r="K279" s="88"/>
      <c r="L279" s="84"/>
      <c r="M279" s="88"/>
      <c r="N279" s="84"/>
      <c r="O279" s="88"/>
      <c r="P279" s="85"/>
      <c r="Q279" s="75"/>
      <c r="R279" s="75"/>
      <c r="S279" s="75"/>
      <c r="T279" s="75"/>
      <c r="U279" s="86"/>
      <c r="V279" s="84"/>
      <c r="W279" s="87"/>
      <c r="X279" s="84"/>
      <c r="Y279" s="84"/>
      <c r="Z279" s="87"/>
    </row>
    <row r="280" spans="1:26" ht="15.75" customHeight="1">
      <c r="A280" s="83"/>
      <c r="B280" s="83"/>
      <c r="C280" s="83"/>
      <c r="D280" s="87"/>
      <c r="E280" s="84"/>
      <c r="F280" s="84"/>
      <c r="G280" s="83"/>
      <c r="H280" s="84"/>
      <c r="I280" s="84"/>
      <c r="J280" s="84"/>
      <c r="K280" s="88"/>
      <c r="L280" s="84"/>
      <c r="M280" s="88"/>
      <c r="N280" s="84"/>
      <c r="O280" s="88"/>
      <c r="P280" s="85"/>
      <c r="Q280" s="75"/>
      <c r="R280" s="75"/>
      <c r="S280" s="75"/>
      <c r="T280" s="75"/>
      <c r="U280" s="86"/>
      <c r="V280" s="84"/>
      <c r="W280" s="87"/>
      <c r="X280" s="84"/>
      <c r="Y280" s="84"/>
      <c r="Z280" s="87"/>
    </row>
    <row r="281" spans="1:26" ht="15.75" customHeight="1">
      <c r="A281" s="83"/>
      <c r="B281" s="83"/>
      <c r="C281" s="83"/>
      <c r="D281" s="87"/>
      <c r="E281" s="84"/>
      <c r="F281" s="84"/>
      <c r="G281" s="83"/>
      <c r="H281" s="84"/>
      <c r="I281" s="84"/>
      <c r="J281" s="84"/>
      <c r="K281" s="88"/>
      <c r="L281" s="84"/>
      <c r="M281" s="88"/>
      <c r="N281" s="84"/>
      <c r="O281" s="88"/>
      <c r="P281" s="85"/>
      <c r="Q281" s="75"/>
      <c r="R281" s="75"/>
      <c r="S281" s="75"/>
      <c r="T281" s="75"/>
      <c r="U281" s="86"/>
      <c r="V281" s="84"/>
      <c r="W281" s="87"/>
      <c r="X281" s="84"/>
      <c r="Y281" s="84"/>
      <c r="Z281" s="87"/>
    </row>
    <row r="282" spans="1:26" ht="15.75" customHeight="1">
      <c r="A282" s="83"/>
      <c r="B282" s="83"/>
      <c r="C282" s="83"/>
      <c r="D282" s="87"/>
      <c r="E282" s="84"/>
      <c r="F282" s="84"/>
      <c r="G282" s="83"/>
      <c r="H282" s="84"/>
      <c r="I282" s="84"/>
      <c r="J282" s="84"/>
      <c r="K282" s="88"/>
      <c r="L282" s="84"/>
      <c r="M282" s="88"/>
      <c r="N282" s="84"/>
      <c r="O282" s="88"/>
      <c r="P282" s="85"/>
      <c r="Q282" s="75"/>
      <c r="R282" s="75"/>
      <c r="S282" s="75"/>
      <c r="T282" s="75"/>
      <c r="U282" s="86"/>
      <c r="V282" s="84"/>
      <c r="W282" s="87"/>
      <c r="X282" s="84"/>
      <c r="Y282" s="84"/>
      <c r="Z282" s="87"/>
    </row>
    <row r="283" spans="1:26" ht="15.75" customHeight="1">
      <c r="A283" s="83"/>
      <c r="B283" s="83"/>
      <c r="C283" s="83"/>
      <c r="D283" s="87"/>
      <c r="E283" s="84"/>
      <c r="F283" s="84"/>
      <c r="G283" s="83"/>
      <c r="H283" s="84"/>
      <c r="I283" s="84"/>
      <c r="J283" s="84"/>
      <c r="K283" s="88"/>
      <c r="L283" s="84"/>
      <c r="M283" s="88"/>
      <c r="N283" s="84"/>
      <c r="O283" s="88"/>
      <c r="P283" s="85"/>
      <c r="Q283" s="75"/>
      <c r="R283" s="75"/>
      <c r="S283" s="75"/>
      <c r="T283" s="75"/>
      <c r="U283" s="86"/>
      <c r="V283" s="84"/>
      <c r="W283" s="87"/>
      <c r="X283" s="84"/>
      <c r="Y283" s="84"/>
      <c r="Z283" s="87"/>
    </row>
    <row r="284" spans="1:26" ht="15.75" customHeight="1">
      <c r="A284" s="83"/>
      <c r="B284" s="83"/>
      <c r="C284" s="83"/>
      <c r="D284" s="87"/>
      <c r="E284" s="84"/>
      <c r="F284" s="84"/>
      <c r="G284" s="83"/>
      <c r="H284" s="84"/>
      <c r="I284" s="84"/>
      <c r="J284" s="84"/>
      <c r="K284" s="88"/>
      <c r="L284" s="84"/>
      <c r="M284" s="88"/>
      <c r="N284" s="84"/>
      <c r="O284" s="88"/>
      <c r="P284" s="85"/>
      <c r="Q284" s="75"/>
      <c r="R284" s="75"/>
      <c r="S284" s="75"/>
      <c r="T284" s="75"/>
      <c r="U284" s="86"/>
      <c r="V284" s="84"/>
      <c r="W284" s="87"/>
      <c r="X284" s="84"/>
      <c r="Y284" s="84"/>
      <c r="Z284" s="87"/>
    </row>
    <row r="285" spans="1:26" ht="15.75" customHeight="1">
      <c r="A285" s="83"/>
      <c r="B285" s="83"/>
      <c r="C285" s="83"/>
      <c r="D285" s="87"/>
      <c r="E285" s="84"/>
      <c r="F285" s="84"/>
      <c r="G285" s="83"/>
      <c r="H285" s="84"/>
      <c r="I285" s="84"/>
      <c r="J285" s="84"/>
      <c r="K285" s="88"/>
      <c r="L285" s="84"/>
      <c r="M285" s="88"/>
      <c r="N285" s="84"/>
      <c r="O285" s="88"/>
      <c r="P285" s="85"/>
      <c r="Q285" s="75"/>
      <c r="R285" s="75"/>
      <c r="S285" s="75"/>
      <c r="T285" s="75"/>
      <c r="U285" s="86"/>
      <c r="V285" s="84"/>
      <c r="W285" s="87"/>
      <c r="X285" s="84"/>
      <c r="Y285" s="84"/>
      <c r="Z285" s="87"/>
    </row>
    <row r="286" spans="1:26" ht="15.75" customHeight="1">
      <c r="A286" s="83"/>
      <c r="B286" s="83"/>
      <c r="C286" s="83"/>
      <c r="D286" s="87"/>
      <c r="E286" s="84"/>
      <c r="F286" s="84"/>
      <c r="G286" s="83"/>
      <c r="H286" s="84"/>
      <c r="I286" s="84"/>
      <c r="J286" s="84"/>
      <c r="K286" s="88"/>
      <c r="L286" s="84"/>
      <c r="M286" s="88"/>
      <c r="N286" s="84"/>
      <c r="O286" s="88"/>
      <c r="P286" s="85"/>
      <c r="Q286" s="75"/>
      <c r="R286" s="75"/>
      <c r="S286" s="75"/>
      <c r="T286" s="75"/>
      <c r="U286" s="86"/>
      <c r="V286" s="84"/>
      <c r="W286" s="87"/>
      <c r="X286" s="84"/>
      <c r="Y286" s="84"/>
      <c r="Z286" s="87"/>
    </row>
    <row r="287" spans="1:26" ht="15.75" customHeight="1">
      <c r="A287" s="83"/>
      <c r="B287" s="83"/>
      <c r="C287" s="83"/>
      <c r="D287" s="87"/>
      <c r="E287" s="84"/>
      <c r="F287" s="84"/>
      <c r="G287" s="83"/>
      <c r="H287" s="84"/>
      <c r="I287" s="84"/>
      <c r="J287" s="84"/>
      <c r="K287" s="88"/>
      <c r="L287" s="84"/>
      <c r="M287" s="88"/>
      <c r="N287" s="84"/>
      <c r="O287" s="88"/>
      <c r="P287" s="85"/>
      <c r="Q287" s="75"/>
      <c r="R287" s="75"/>
      <c r="S287" s="75"/>
      <c r="T287" s="75"/>
      <c r="U287" s="86"/>
      <c r="V287" s="84"/>
      <c r="W287" s="87"/>
      <c r="X287" s="84"/>
      <c r="Y287" s="84"/>
      <c r="Z287" s="87"/>
    </row>
    <row r="288" spans="1:26" ht="15.75" customHeight="1">
      <c r="A288" s="83"/>
      <c r="B288" s="83"/>
      <c r="C288" s="83"/>
      <c r="D288" s="87"/>
      <c r="E288" s="84"/>
      <c r="F288" s="84"/>
      <c r="G288" s="83"/>
      <c r="H288" s="84"/>
      <c r="I288" s="84"/>
      <c r="J288" s="84"/>
      <c r="K288" s="88"/>
      <c r="L288" s="84"/>
      <c r="M288" s="88"/>
      <c r="N288" s="84"/>
      <c r="O288" s="88"/>
      <c r="P288" s="85"/>
      <c r="Q288" s="75"/>
      <c r="R288" s="75"/>
      <c r="S288" s="75"/>
      <c r="T288" s="75"/>
      <c r="U288" s="86"/>
      <c r="V288" s="84"/>
      <c r="W288" s="87"/>
      <c r="X288" s="84"/>
      <c r="Y288" s="84"/>
      <c r="Z288" s="87"/>
    </row>
    <row r="289" spans="1:26" ht="15.75" customHeight="1">
      <c r="A289" s="83"/>
      <c r="B289" s="83"/>
      <c r="C289" s="83"/>
      <c r="D289" s="87"/>
      <c r="E289" s="84"/>
      <c r="F289" s="84"/>
      <c r="G289" s="83"/>
      <c r="H289" s="84"/>
      <c r="I289" s="84"/>
      <c r="J289" s="84"/>
      <c r="K289" s="88"/>
      <c r="L289" s="84"/>
      <c r="M289" s="88"/>
      <c r="N289" s="84"/>
      <c r="O289" s="88"/>
      <c r="P289" s="85"/>
      <c r="Q289" s="75"/>
      <c r="R289" s="75"/>
      <c r="S289" s="75"/>
      <c r="T289" s="75"/>
      <c r="U289" s="86"/>
      <c r="V289" s="84"/>
      <c r="W289" s="87"/>
      <c r="X289" s="84"/>
      <c r="Y289" s="84"/>
      <c r="Z289" s="87"/>
    </row>
    <row r="290" spans="1:26" ht="15.75" customHeight="1">
      <c r="A290" s="83"/>
      <c r="B290" s="83"/>
      <c r="C290" s="83"/>
      <c r="D290" s="87"/>
      <c r="E290" s="84"/>
      <c r="F290" s="84"/>
      <c r="G290" s="83"/>
      <c r="H290" s="84"/>
      <c r="I290" s="84"/>
      <c r="J290" s="84"/>
      <c r="K290" s="88"/>
      <c r="L290" s="84"/>
      <c r="M290" s="88"/>
      <c r="N290" s="84"/>
      <c r="O290" s="88"/>
      <c r="P290" s="85"/>
      <c r="Q290" s="75"/>
      <c r="R290" s="75"/>
      <c r="S290" s="75"/>
      <c r="T290" s="75"/>
      <c r="U290" s="86"/>
      <c r="V290" s="84"/>
      <c r="W290" s="87"/>
      <c r="X290" s="84"/>
      <c r="Y290" s="84"/>
      <c r="Z290" s="87"/>
    </row>
    <row r="291" spans="1:26" ht="15.75" customHeight="1">
      <c r="A291" s="83"/>
      <c r="B291" s="83"/>
      <c r="C291" s="83"/>
      <c r="D291" s="87"/>
      <c r="E291" s="84"/>
      <c r="F291" s="84"/>
      <c r="G291" s="83"/>
      <c r="H291" s="84"/>
      <c r="I291" s="84"/>
      <c r="J291" s="84"/>
      <c r="K291" s="88"/>
      <c r="L291" s="84"/>
      <c r="M291" s="88"/>
      <c r="N291" s="84"/>
      <c r="O291" s="88"/>
      <c r="P291" s="85"/>
      <c r="Q291" s="75"/>
      <c r="R291" s="75"/>
      <c r="S291" s="75"/>
      <c r="T291" s="75"/>
      <c r="U291" s="86"/>
      <c r="V291" s="84"/>
      <c r="W291" s="87"/>
      <c r="X291" s="84"/>
      <c r="Y291" s="84"/>
      <c r="Z291" s="87"/>
    </row>
    <row r="292" spans="1:26" ht="15.75" customHeight="1">
      <c r="A292" s="83"/>
      <c r="B292" s="83"/>
      <c r="C292" s="83"/>
      <c r="D292" s="87"/>
      <c r="E292" s="84"/>
      <c r="F292" s="84"/>
      <c r="G292" s="83"/>
      <c r="H292" s="84"/>
      <c r="I292" s="84"/>
      <c r="J292" s="84"/>
      <c r="K292" s="88"/>
      <c r="L292" s="84"/>
      <c r="M292" s="88"/>
      <c r="N292" s="84"/>
      <c r="O292" s="88"/>
      <c r="P292" s="85"/>
      <c r="Q292" s="75"/>
      <c r="R292" s="75"/>
      <c r="S292" s="75"/>
      <c r="T292" s="75"/>
      <c r="U292" s="86"/>
      <c r="V292" s="84"/>
      <c r="W292" s="87"/>
      <c r="X292" s="84"/>
      <c r="Y292" s="84"/>
      <c r="Z292" s="87"/>
    </row>
    <row r="293" spans="1:26" ht="15.75" customHeight="1">
      <c r="A293" s="83"/>
      <c r="B293" s="83"/>
      <c r="C293" s="83"/>
      <c r="D293" s="87"/>
      <c r="E293" s="84"/>
      <c r="F293" s="84"/>
      <c r="G293" s="83"/>
      <c r="H293" s="84"/>
      <c r="I293" s="84"/>
      <c r="J293" s="84"/>
      <c r="K293" s="88"/>
      <c r="L293" s="84"/>
      <c r="M293" s="88"/>
      <c r="N293" s="84"/>
      <c r="O293" s="88"/>
      <c r="P293" s="85"/>
      <c r="Q293" s="75"/>
      <c r="R293" s="75"/>
      <c r="S293" s="75"/>
      <c r="T293" s="75"/>
      <c r="U293" s="86"/>
      <c r="V293" s="84"/>
      <c r="W293" s="87"/>
      <c r="X293" s="84"/>
      <c r="Y293" s="84"/>
      <c r="Z293" s="87"/>
    </row>
    <row r="294" spans="1:26" ht="15.75" customHeight="1">
      <c r="A294" s="83"/>
      <c r="B294" s="83"/>
      <c r="C294" s="83"/>
      <c r="D294" s="87"/>
      <c r="E294" s="84"/>
      <c r="F294" s="84"/>
      <c r="G294" s="83"/>
      <c r="H294" s="84"/>
      <c r="I294" s="84"/>
      <c r="J294" s="84"/>
      <c r="K294" s="88"/>
      <c r="L294" s="84"/>
      <c r="M294" s="88"/>
      <c r="N294" s="84"/>
      <c r="O294" s="88"/>
      <c r="P294" s="85"/>
      <c r="Q294" s="75"/>
      <c r="R294" s="75"/>
      <c r="S294" s="75"/>
      <c r="T294" s="75"/>
      <c r="U294" s="86"/>
      <c r="V294" s="84"/>
      <c r="W294" s="87"/>
      <c r="X294" s="84"/>
      <c r="Y294" s="84"/>
      <c r="Z294" s="87"/>
    </row>
    <row r="295" spans="1:26" ht="15.75" customHeight="1">
      <c r="A295" s="83"/>
      <c r="B295" s="83"/>
      <c r="C295" s="83"/>
      <c r="D295" s="87"/>
      <c r="E295" s="84"/>
      <c r="F295" s="84"/>
      <c r="G295" s="83"/>
      <c r="H295" s="84"/>
      <c r="I295" s="84"/>
      <c r="J295" s="84"/>
      <c r="K295" s="88"/>
      <c r="L295" s="84"/>
      <c r="M295" s="88"/>
      <c r="N295" s="84"/>
      <c r="O295" s="88"/>
      <c r="P295" s="85"/>
      <c r="Q295" s="75"/>
      <c r="R295" s="75"/>
      <c r="S295" s="75"/>
      <c r="T295" s="75"/>
      <c r="U295" s="86"/>
      <c r="V295" s="84"/>
      <c r="W295" s="87"/>
      <c r="X295" s="84"/>
      <c r="Y295" s="84"/>
      <c r="Z295" s="87"/>
    </row>
    <row r="296" spans="1:26" ht="15.75" customHeight="1">
      <c r="A296" s="83"/>
      <c r="B296" s="83"/>
      <c r="C296" s="83"/>
      <c r="D296" s="87"/>
      <c r="E296" s="84"/>
      <c r="F296" s="84"/>
      <c r="G296" s="83"/>
      <c r="H296" s="84"/>
      <c r="I296" s="84"/>
      <c r="J296" s="84"/>
      <c r="K296" s="88"/>
      <c r="L296" s="84"/>
      <c r="M296" s="88"/>
      <c r="N296" s="84"/>
      <c r="O296" s="88"/>
      <c r="P296" s="85"/>
      <c r="Q296" s="75"/>
      <c r="R296" s="75"/>
      <c r="S296" s="75"/>
      <c r="T296" s="75"/>
      <c r="U296" s="86"/>
      <c r="V296" s="84"/>
      <c r="W296" s="87"/>
      <c r="X296" s="84"/>
      <c r="Y296" s="84"/>
      <c r="Z296" s="87"/>
    </row>
    <row r="297" spans="1:26" ht="15.75" customHeight="1">
      <c r="A297" s="83"/>
      <c r="B297" s="83"/>
      <c r="C297" s="83"/>
      <c r="D297" s="87"/>
      <c r="E297" s="84"/>
      <c r="F297" s="84"/>
      <c r="G297" s="83"/>
      <c r="H297" s="84"/>
      <c r="I297" s="84"/>
      <c r="J297" s="84"/>
      <c r="K297" s="88"/>
      <c r="L297" s="84"/>
      <c r="M297" s="88"/>
      <c r="N297" s="84"/>
      <c r="O297" s="88"/>
      <c r="P297" s="85"/>
      <c r="Q297" s="75"/>
      <c r="R297" s="75"/>
      <c r="S297" s="75"/>
      <c r="T297" s="75"/>
      <c r="U297" s="86"/>
      <c r="V297" s="84"/>
      <c r="W297" s="87"/>
      <c r="X297" s="84"/>
      <c r="Y297" s="84"/>
      <c r="Z297" s="87"/>
    </row>
    <row r="298" spans="1:26" ht="15.75" customHeight="1">
      <c r="A298" s="83"/>
      <c r="B298" s="83"/>
      <c r="C298" s="83"/>
      <c r="D298" s="87"/>
      <c r="E298" s="84"/>
      <c r="F298" s="84"/>
      <c r="G298" s="83"/>
      <c r="H298" s="84"/>
      <c r="I298" s="84"/>
      <c r="J298" s="84"/>
      <c r="K298" s="88"/>
      <c r="L298" s="84"/>
      <c r="M298" s="88"/>
      <c r="N298" s="84"/>
      <c r="O298" s="88"/>
      <c r="P298" s="85"/>
      <c r="Q298" s="75"/>
      <c r="R298" s="75"/>
      <c r="S298" s="75"/>
      <c r="T298" s="75"/>
      <c r="U298" s="86"/>
      <c r="V298" s="84"/>
      <c r="W298" s="87"/>
      <c r="X298" s="84"/>
      <c r="Y298" s="84"/>
      <c r="Z298" s="87"/>
    </row>
    <row r="299" spans="1:26" ht="15.75" customHeight="1">
      <c r="A299" s="83"/>
      <c r="B299" s="83"/>
      <c r="C299" s="83"/>
      <c r="D299" s="87"/>
      <c r="E299" s="84"/>
      <c r="F299" s="84"/>
      <c r="G299" s="83"/>
      <c r="H299" s="84"/>
      <c r="I299" s="84"/>
      <c r="J299" s="84"/>
      <c r="K299" s="88"/>
      <c r="L299" s="84"/>
      <c r="M299" s="88"/>
      <c r="N299" s="84"/>
      <c r="O299" s="88"/>
      <c r="P299" s="85"/>
      <c r="Q299" s="75"/>
      <c r="R299" s="75"/>
      <c r="S299" s="75"/>
      <c r="T299" s="75"/>
      <c r="U299" s="86"/>
      <c r="V299" s="84"/>
      <c r="W299" s="87"/>
      <c r="X299" s="84"/>
      <c r="Y299" s="84"/>
      <c r="Z299" s="87"/>
    </row>
    <row r="300" spans="1:26" ht="15.75" customHeight="1">
      <c r="A300" s="83"/>
      <c r="B300" s="83"/>
      <c r="C300" s="83"/>
      <c r="D300" s="87"/>
      <c r="E300" s="84"/>
      <c r="F300" s="84"/>
      <c r="G300" s="83"/>
      <c r="H300" s="84"/>
      <c r="I300" s="84"/>
      <c r="J300" s="84"/>
      <c r="K300" s="88"/>
      <c r="L300" s="84"/>
      <c r="M300" s="88"/>
      <c r="N300" s="84"/>
      <c r="O300" s="88"/>
      <c r="P300" s="85"/>
      <c r="Q300" s="75"/>
      <c r="R300" s="75"/>
      <c r="S300" s="75"/>
      <c r="T300" s="75"/>
      <c r="U300" s="86"/>
      <c r="V300" s="84"/>
      <c r="W300" s="87"/>
      <c r="X300" s="84"/>
      <c r="Y300" s="84"/>
      <c r="Z300" s="87"/>
    </row>
    <row r="301" spans="1:26" ht="15.75" customHeight="1">
      <c r="A301" s="83"/>
      <c r="B301" s="83"/>
      <c r="C301" s="83"/>
      <c r="D301" s="87"/>
      <c r="E301" s="84"/>
      <c r="F301" s="84"/>
      <c r="G301" s="83"/>
      <c r="H301" s="84"/>
      <c r="I301" s="84"/>
      <c r="J301" s="84"/>
      <c r="K301" s="88"/>
      <c r="L301" s="84"/>
      <c r="M301" s="88"/>
      <c r="N301" s="84"/>
      <c r="O301" s="88"/>
      <c r="P301" s="85"/>
      <c r="Q301" s="75"/>
      <c r="R301" s="75"/>
      <c r="S301" s="75"/>
      <c r="T301" s="75"/>
      <c r="U301" s="86"/>
      <c r="V301" s="84"/>
      <c r="W301" s="87"/>
      <c r="X301" s="84"/>
      <c r="Y301" s="84"/>
      <c r="Z301" s="87"/>
    </row>
    <row r="302" spans="1:26" ht="15.75" customHeight="1">
      <c r="A302" s="83"/>
      <c r="B302" s="83"/>
      <c r="C302" s="83"/>
      <c r="D302" s="87"/>
      <c r="E302" s="84"/>
      <c r="F302" s="84"/>
      <c r="G302" s="83"/>
      <c r="H302" s="84"/>
      <c r="I302" s="84"/>
      <c r="J302" s="84"/>
      <c r="K302" s="88"/>
      <c r="L302" s="84"/>
      <c r="M302" s="88"/>
      <c r="N302" s="84"/>
      <c r="O302" s="88"/>
      <c r="P302" s="85"/>
      <c r="Q302" s="75"/>
      <c r="R302" s="75"/>
      <c r="S302" s="75"/>
      <c r="T302" s="75"/>
      <c r="U302" s="86"/>
      <c r="V302" s="84"/>
      <c r="W302" s="87"/>
      <c r="X302" s="84"/>
      <c r="Y302" s="84"/>
      <c r="Z302" s="87"/>
    </row>
    <row r="303" spans="1:26" ht="15.75" customHeight="1">
      <c r="A303" s="83"/>
      <c r="B303" s="83"/>
      <c r="C303" s="83"/>
      <c r="D303" s="87"/>
      <c r="E303" s="84"/>
      <c r="F303" s="84"/>
      <c r="G303" s="83"/>
      <c r="H303" s="84"/>
      <c r="I303" s="84"/>
      <c r="J303" s="84"/>
      <c r="K303" s="88"/>
      <c r="L303" s="84"/>
      <c r="M303" s="88"/>
      <c r="N303" s="84"/>
      <c r="O303" s="88"/>
      <c r="P303" s="85"/>
      <c r="Q303" s="75"/>
      <c r="R303" s="75"/>
      <c r="S303" s="75"/>
      <c r="T303" s="75"/>
      <c r="U303" s="86"/>
      <c r="V303" s="84"/>
      <c r="W303" s="87"/>
      <c r="X303" s="84"/>
      <c r="Y303" s="84"/>
      <c r="Z303" s="87"/>
    </row>
    <row r="304" spans="1:26" ht="15.75" customHeight="1">
      <c r="A304" s="83"/>
      <c r="B304" s="83"/>
      <c r="C304" s="83"/>
      <c r="D304" s="87"/>
      <c r="E304" s="84"/>
      <c r="F304" s="84"/>
      <c r="G304" s="83"/>
      <c r="H304" s="84"/>
      <c r="I304" s="84"/>
      <c r="J304" s="84"/>
      <c r="K304" s="88"/>
      <c r="L304" s="84"/>
      <c r="M304" s="88"/>
      <c r="N304" s="84"/>
      <c r="O304" s="88"/>
      <c r="P304" s="85"/>
      <c r="Q304" s="75"/>
      <c r="R304" s="75"/>
      <c r="S304" s="75"/>
      <c r="T304" s="75"/>
      <c r="U304" s="86"/>
      <c r="V304" s="84"/>
      <c r="W304" s="87"/>
      <c r="X304" s="84"/>
      <c r="Y304" s="84"/>
      <c r="Z304" s="87"/>
    </row>
    <row r="305" spans="1:26" ht="15.75" customHeight="1">
      <c r="A305" s="83"/>
      <c r="B305" s="83"/>
      <c r="C305" s="83"/>
      <c r="D305" s="87"/>
      <c r="E305" s="84"/>
      <c r="F305" s="84"/>
      <c r="G305" s="83"/>
      <c r="H305" s="84"/>
      <c r="I305" s="84"/>
      <c r="J305" s="84"/>
      <c r="K305" s="88"/>
      <c r="L305" s="84"/>
      <c r="M305" s="88"/>
      <c r="N305" s="84"/>
      <c r="O305" s="88"/>
      <c r="P305" s="85"/>
      <c r="Q305" s="75"/>
      <c r="R305" s="75"/>
      <c r="S305" s="75"/>
      <c r="T305" s="75"/>
      <c r="U305" s="86"/>
      <c r="V305" s="84"/>
      <c r="W305" s="87"/>
      <c r="X305" s="84"/>
      <c r="Y305" s="84"/>
      <c r="Z305" s="87"/>
    </row>
    <row r="306" spans="1:26" ht="15.75" customHeight="1">
      <c r="A306" s="83"/>
      <c r="B306" s="83"/>
      <c r="C306" s="83"/>
      <c r="D306" s="87"/>
      <c r="E306" s="84"/>
      <c r="F306" s="84"/>
      <c r="G306" s="83"/>
      <c r="H306" s="84"/>
      <c r="I306" s="84"/>
      <c r="J306" s="84"/>
      <c r="K306" s="88"/>
      <c r="L306" s="84"/>
      <c r="M306" s="88"/>
      <c r="N306" s="84"/>
      <c r="O306" s="88"/>
      <c r="P306" s="85"/>
      <c r="Q306" s="75"/>
      <c r="R306" s="75"/>
      <c r="S306" s="75"/>
      <c r="T306" s="75"/>
      <c r="U306" s="86"/>
      <c r="V306" s="84"/>
      <c r="W306" s="87"/>
      <c r="X306" s="84"/>
      <c r="Y306" s="84"/>
      <c r="Z306" s="87"/>
    </row>
    <row r="307" spans="1:26" ht="15.75" customHeight="1">
      <c r="A307" s="83"/>
      <c r="B307" s="83"/>
      <c r="C307" s="83"/>
      <c r="D307" s="87"/>
      <c r="E307" s="84"/>
      <c r="F307" s="84"/>
      <c r="G307" s="83"/>
      <c r="H307" s="84"/>
      <c r="I307" s="84"/>
      <c r="J307" s="84"/>
      <c r="K307" s="88"/>
      <c r="L307" s="84"/>
      <c r="M307" s="88"/>
      <c r="N307" s="84"/>
      <c r="O307" s="88"/>
      <c r="P307" s="85"/>
      <c r="Q307" s="75"/>
      <c r="R307" s="75"/>
      <c r="S307" s="75"/>
      <c r="T307" s="75"/>
      <c r="U307" s="86"/>
      <c r="V307" s="84"/>
      <c r="W307" s="87"/>
      <c r="X307" s="84"/>
      <c r="Y307" s="84"/>
      <c r="Z307" s="87"/>
    </row>
    <row r="308" spans="1:26" ht="15.75" customHeight="1">
      <c r="A308" s="83"/>
      <c r="B308" s="83"/>
      <c r="C308" s="83"/>
      <c r="D308" s="87"/>
      <c r="E308" s="84"/>
      <c r="F308" s="84"/>
      <c r="G308" s="83"/>
      <c r="H308" s="84"/>
      <c r="I308" s="84"/>
      <c r="J308" s="84"/>
      <c r="K308" s="88"/>
      <c r="L308" s="84"/>
      <c r="M308" s="88"/>
      <c r="N308" s="84"/>
      <c r="O308" s="88"/>
      <c r="P308" s="85"/>
      <c r="Q308" s="75"/>
      <c r="R308" s="75"/>
      <c r="S308" s="75"/>
      <c r="T308" s="75"/>
      <c r="U308" s="86"/>
      <c r="V308" s="84"/>
      <c r="W308" s="87"/>
      <c r="X308" s="84"/>
      <c r="Y308" s="84"/>
      <c r="Z308" s="87"/>
    </row>
    <row r="309" spans="1:26" ht="15.75" customHeight="1">
      <c r="A309" s="83"/>
      <c r="B309" s="83"/>
      <c r="C309" s="83"/>
      <c r="D309" s="87"/>
      <c r="E309" s="84"/>
      <c r="F309" s="84"/>
      <c r="G309" s="83"/>
      <c r="H309" s="84"/>
      <c r="I309" s="84"/>
      <c r="J309" s="84"/>
      <c r="K309" s="88"/>
      <c r="L309" s="84"/>
      <c r="M309" s="88"/>
      <c r="N309" s="84"/>
      <c r="O309" s="88"/>
      <c r="P309" s="85"/>
      <c r="Q309" s="75"/>
      <c r="R309" s="75"/>
      <c r="S309" s="75"/>
      <c r="T309" s="75"/>
      <c r="U309" s="86"/>
      <c r="V309" s="84"/>
      <c r="W309" s="87"/>
      <c r="X309" s="84"/>
      <c r="Y309" s="84"/>
      <c r="Z309" s="87"/>
    </row>
    <row r="310" spans="1:26" ht="15.75" customHeight="1">
      <c r="A310" s="83"/>
      <c r="B310" s="83"/>
      <c r="C310" s="83"/>
      <c r="D310" s="87"/>
      <c r="E310" s="84"/>
      <c r="F310" s="84"/>
      <c r="G310" s="83"/>
      <c r="H310" s="84"/>
      <c r="I310" s="84"/>
      <c r="J310" s="84"/>
      <c r="K310" s="88"/>
      <c r="L310" s="84"/>
      <c r="M310" s="88"/>
      <c r="N310" s="84"/>
      <c r="O310" s="88"/>
      <c r="P310" s="85"/>
      <c r="Q310" s="75"/>
      <c r="R310" s="75"/>
      <c r="S310" s="75"/>
      <c r="T310" s="75"/>
      <c r="U310" s="86"/>
      <c r="V310" s="84"/>
      <c r="W310" s="87"/>
      <c r="X310" s="84"/>
      <c r="Y310" s="84"/>
      <c r="Z310" s="87"/>
    </row>
    <row r="311" spans="1:26" ht="15.75" customHeight="1">
      <c r="A311" s="83"/>
      <c r="B311" s="83"/>
      <c r="C311" s="83"/>
      <c r="D311" s="87"/>
      <c r="E311" s="84"/>
      <c r="F311" s="84"/>
      <c r="G311" s="83"/>
      <c r="H311" s="84"/>
      <c r="I311" s="84"/>
      <c r="J311" s="84"/>
      <c r="K311" s="88"/>
      <c r="L311" s="84"/>
      <c r="M311" s="88"/>
      <c r="N311" s="84"/>
      <c r="O311" s="88"/>
      <c r="P311" s="85"/>
      <c r="Q311" s="75"/>
      <c r="R311" s="75"/>
      <c r="S311" s="75"/>
      <c r="T311" s="75"/>
      <c r="U311" s="86"/>
      <c r="V311" s="84"/>
      <c r="W311" s="87"/>
      <c r="X311" s="84"/>
      <c r="Y311" s="84"/>
      <c r="Z311" s="87"/>
    </row>
    <row r="312" spans="1:26" ht="15.75" customHeight="1">
      <c r="A312" s="83"/>
      <c r="B312" s="83"/>
      <c r="C312" s="83"/>
      <c r="D312" s="87"/>
      <c r="E312" s="84"/>
      <c r="F312" s="84"/>
      <c r="G312" s="83"/>
      <c r="H312" s="84"/>
      <c r="I312" s="84"/>
      <c r="J312" s="84"/>
      <c r="K312" s="88"/>
      <c r="L312" s="84"/>
      <c r="M312" s="88"/>
      <c r="N312" s="84"/>
      <c r="O312" s="88"/>
      <c r="P312" s="85"/>
      <c r="Q312" s="75"/>
      <c r="R312" s="75"/>
      <c r="S312" s="75"/>
      <c r="T312" s="75"/>
      <c r="U312" s="86"/>
      <c r="V312" s="84"/>
      <c r="W312" s="87"/>
      <c r="X312" s="84"/>
      <c r="Y312" s="84"/>
      <c r="Z312" s="87"/>
    </row>
    <row r="313" spans="1:26" ht="15.75" customHeight="1">
      <c r="A313" s="83"/>
      <c r="B313" s="83"/>
      <c r="C313" s="83"/>
      <c r="D313" s="87"/>
      <c r="E313" s="84"/>
      <c r="F313" s="84"/>
      <c r="G313" s="83"/>
      <c r="H313" s="84"/>
      <c r="I313" s="84"/>
      <c r="J313" s="84"/>
      <c r="K313" s="88"/>
      <c r="L313" s="84"/>
      <c r="M313" s="88"/>
      <c r="N313" s="84"/>
      <c r="O313" s="88"/>
      <c r="P313" s="85"/>
      <c r="Q313" s="75"/>
      <c r="R313" s="75"/>
      <c r="S313" s="75"/>
      <c r="T313" s="75"/>
      <c r="U313" s="86"/>
      <c r="V313" s="84"/>
      <c r="W313" s="87"/>
      <c r="X313" s="84"/>
      <c r="Y313" s="84"/>
      <c r="Z313" s="87"/>
    </row>
    <row r="314" spans="1:26" ht="15.75" customHeight="1">
      <c r="A314" s="83"/>
      <c r="B314" s="83"/>
      <c r="C314" s="83"/>
      <c r="D314" s="87"/>
      <c r="E314" s="84"/>
      <c r="F314" s="84"/>
      <c r="G314" s="83"/>
      <c r="H314" s="84"/>
      <c r="I314" s="84"/>
      <c r="J314" s="84"/>
      <c r="K314" s="88"/>
      <c r="L314" s="84"/>
      <c r="M314" s="88"/>
      <c r="N314" s="84"/>
      <c r="O314" s="88"/>
      <c r="P314" s="85"/>
      <c r="Q314" s="75"/>
      <c r="R314" s="75"/>
      <c r="S314" s="75"/>
      <c r="T314" s="75"/>
      <c r="U314" s="86"/>
      <c r="V314" s="84"/>
      <c r="W314" s="87"/>
      <c r="X314" s="84"/>
      <c r="Y314" s="84"/>
      <c r="Z314" s="87"/>
    </row>
    <row r="315" spans="1:26" ht="15.75" customHeight="1">
      <c r="A315" s="83"/>
      <c r="B315" s="83"/>
      <c r="C315" s="83"/>
      <c r="D315" s="87"/>
      <c r="E315" s="84"/>
      <c r="F315" s="84"/>
      <c r="G315" s="83"/>
      <c r="H315" s="84"/>
      <c r="I315" s="84"/>
      <c r="J315" s="84"/>
      <c r="K315" s="88"/>
      <c r="L315" s="84"/>
      <c r="M315" s="88"/>
      <c r="N315" s="84"/>
      <c r="O315" s="88"/>
      <c r="P315" s="85"/>
      <c r="Q315" s="75"/>
      <c r="R315" s="75"/>
      <c r="S315" s="75"/>
      <c r="T315" s="75"/>
      <c r="U315" s="86"/>
      <c r="V315" s="84"/>
      <c r="W315" s="87"/>
      <c r="X315" s="84"/>
      <c r="Y315" s="84"/>
      <c r="Z315" s="87"/>
    </row>
    <row r="316" spans="1:26" ht="15.75" customHeight="1">
      <c r="A316" s="83"/>
      <c r="B316" s="83"/>
      <c r="C316" s="83"/>
      <c r="D316" s="87"/>
      <c r="E316" s="84"/>
      <c r="F316" s="84"/>
      <c r="G316" s="83"/>
      <c r="H316" s="84"/>
      <c r="I316" s="84"/>
      <c r="J316" s="84"/>
      <c r="K316" s="88"/>
      <c r="L316" s="84"/>
      <c r="M316" s="88"/>
      <c r="N316" s="84"/>
      <c r="O316" s="88"/>
      <c r="P316" s="85"/>
      <c r="Q316" s="75"/>
      <c r="R316" s="75"/>
      <c r="S316" s="75"/>
      <c r="T316" s="75"/>
      <c r="U316" s="86"/>
      <c r="V316" s="84"/>
      <c r="W316" s="87"/>
      <c r="X316" s="84"/>
      <c r="Y316" s="84"/>
      <c r="Z316" s="87"/>
    </row>
    <row r="317" spans="1:26" ht="15.75" customHeight="1">
      <c r="A317" s="83"/>
      <c r="B317" s="83"/>
      <c r="C317" s="83"/>
      <c r="D317" s="87"/>
      <c r="E317" s="84"/>
      <c r="F317" s="84"/>
      <c r="G317" s="83"/>
      <c r="H317" s="84"/>
      <c r="I317" s="84"/>
      <c r="J317" s="84"/>
      <c r="K317" s="88"/>
      <c r="L317" s="84"/>
      <c r="M317" s="88"/>
      <c r="N317" s="84"/>
      <c r="O317" s="88"/>
      <c r="P317" s="85"/>
      <c r="Q317" s="75"/>
      <c r="R317" s="75"/>
      <c r="S317" s="75"/>
      <c r="T317" s="75"/>
      <c r="U317" s="86"/>
      <c r="V317" s="84"/>
      <c r="W317" s="87"/>
      <c r="X317" s="84"/>
      <c r="Y317" s="84"/>
      <c r="Z317" s="87"/>
    </row>
    <row r="318" spans="1:26" ht="15.75" customHeight="1">
      <c r="A318" s="83"/>
      <c r="B318" s="83"/>
      <c r="C318" s="83"/>
      <c r="D318" s="87"/>
      <c r="E318" s="84"/>
      <c r="F318" s="84"/>
      <c r="G318" s="83"/>
      <c r="H318" s="84"/>
      <c r="I318" s="84"/>
      <c r="J318" s="84"/>
      <c r="K318" s="88"/>
      <c r="L318" s="84"/>
      <c r="M318" s="88"/>
      <c r="N318" s="84"/>
      <c r="O318" s="88"/>
      <c r="P318" s="85"/>
      <c r="Q318" s="75"/>
      <c r="R318" s="75"/>
      <c r="S318" s="75"/>
      <c r="T318" s="75"/>
      <c r="U318" s="86"/>
      <c r="V318" s="84"/>
      <c r="W318" s="87"/>
      <c r="X318" s="84"/>
      <c r="Y318" s="84"/>
      <c r="Z318" s="87"/>
    </row>
    <row r="319" spans="1:26" ht="15.75" customHeight="1">
      <c r="A319" s="83"/>
      <c r="B319" s="83"/>
      <c r="C319" s="83"/>
      <c r="D319" s="87"/>
      <c r="E319" s="84"/>
      <c r="F319" s="84"/>
      <c r="G319" s="83"/>
      <c r="H319" s="84"/>
      <c r="I319" s="84"/>
      <c r="J319" s="84"/>
      <c r="K319" s="88"/>
      <c r="L319" s="84"/>
      <c r="M319" s="88"/>
      <c r="N319" s="84"/>
      <c r="O319" s="88"/>
      <c r="P319" s="85"/>
      <c r="Q319" s="75"/>
      <c r="R319" s="75"/>
      <c r="S319" s="75"/>
      <c r="T319" s="75"/>
      <c r="U319" s="86"/>
      <c r="V319" s="84"/>
      <c r="W319" s="87"/>
      <c r="X319" s="84"/>
      <c r="Y319" s="84"/>
      <c r="Z319" s="87"/>
    </row>
    <row r="320" spans="1:26" ht="15.75" customHeight="1">
      <c r="A320" s="83"/>
      <c r="B320" s="83"/>
      <c r="C320" s="83"/>
      <c r="D320" s="87"/>
      <c r="E320" s="84"/>
      <c r="F320" s="84"/>
      <c r="G320" s="83"/>
      <c r="H320" s="84"/>
      <c r="I320" s="84"/>
      <c r="J320" s="84"/>
      <c r="K320" s="88"/>
      <c r="L320" s="84"/>
      <c r="M320" s="88"/>
      <c r="N320" s="84"/>
      <c r="O320" s="88"/>
      <c r="P320" s="85"/>
      <c r="Q320" s="75"/>
      <c r="R320" s="75"/>
      <c r="S320" s="75"/>
      <c r="T320" s="75"/>
      <c r="U320" s="86"/>
      <c r="V320" s="84"/>
      <c r="W320" s="87"/>
      <c r="X320" s="84"/>
      <c r="Y320" s="84"/>
      <c r="Z320" s="87"/>
    </row>
    <row r="321" spans="1:26" ht="15.75" customHeight="1">
      <c r="A321" s="83"/>
      <c r="B321" s="83"/>
      <c r="C321" s="83"/>
      <c r="D321" s="87"/>
      <c r="E321" s="84"/>
      <c r="F321" s="84"/>
      <c r="G321" s="83"/>
      <c r="H321" s="84"/>
      <c r="I321" s="84"/>
      <c r="J321" s="84"/>
      <c r="K321" s="88"/>
      <c r="L321" s="84"/>
      <c r="M321" s="88"/>
      <c r="N321" s="84"/>
      <c r="O321" s="88"/>
      <c r="P321" s="85"/>
      <c r="Q321" s="75"/>
      <c r="R321" s="75"/>
      <c r="S321" s="75"/>
      <c r="T321" s="75"/>
      <c r="U321" s="86"/>
      <c r="V321" s="84"/>
      <c r="W321" s="87"/>
      <c r="X321" s="84"/>
      <c r="Y321" s="84"/>
      <c r="Z321" s="87"/>
    </row>
    <row r="322" spans="1:26" ht="15.75" customHeight="1">
      <c r="A322" s="83"/>
      <c r="B322" s="83"/>
      <c r="C322" s="83"/>
      <c r="D322" s="87"/>
      <c r="E322" s="84"/>
      <c r="F322" s="84"/>
      <c r="G322" s="83"/>
      <c r="H322" s="84"/>
      <c r="I322" s="84"/>
      <c r="J322" s="84"/>
      <c r="K322" s="88"/>
      <c r="L322" s="84"/>
      <c r="M322" s="88"/>
      <c r="N322" s="84"/>
      <c r="O322" s="88"/>
      <c r="P322" s="85"/>
      <c r="Q322" s="75"/>
      <c r="R322" s="75"/>
      <c r="S322" s="75"/>
      <c r="T322" s="75"/>
      <c r="U322" s="86"/>
      <c r="V322" s="84"/>
      <c r="W322" s="87"/>
      <c r="X322" s="84"/>
      <c r="Y322" s="84"/>
      <c r="Z322" s="87"/>
    </row>
    <row r="323" spans="1:26" ht="15.75" customHeight="1">
      <c r="A323" s="83"/>
      <c r="B323" s="83"/>
      <c r="C323" s="83"/>
      <c r="D323" s="87"/>
      <c r="E323" s="84"/>
      <c r="F323" s="84"/>
      <c r="G323" s="83"/>
      <c r="H323" s="84"/>
      <c r="I323" s="84"/>
      <c r="J323" s="84"/>
      <c r="K323" s="88"/>
      <c r="L323" s="84"/>
      <c r="M323" s="88"/>
      <c r="N323" s="84"/>
      <c r="O323" s="88"/>
      <c r="P323" s="85"/>
      <c r="Q323" s="75"/>
      <c r="R323" s="75"/>
      <c r="S323" s="75"/>
      <c r="T323" s="75"/>
      <c r="U323" s="86"/>
      <c r="V323" s="84"/>
      <c r="W323" s="87"/>
      <c r="X323" s="84"/>
      <c r="Y323" s="84"/>
      <c r="Z323" s="87"/>
    </row>
    <row r="324" spans="1:26" ht="15.75" customHeight="1">
      <c r="A324" s="83"/>
      <c r="B324" s="83"/>
      <c r="C324" s="83"/>
      <c r="D324" s="87"/>
      <c r="E324" s="84"/>
      <c r="F324" s="84"/>
      <c r="G324" s="83"/>
      <c r="H324" s="84"/>
      <c r="I324" s="84"/>
      <c r="J324" s="84"/>
      <c r="K324" s="88"/>
      <c r="L324" s="84"/>
      <c r="M324" s="88"/>
      <c r="N324" s="84"/>
      <c r="O324" s="88"/>
      <c r="P324" s="85"/>
      <c r="Q324" s="75"/>
      <c r="R324" s="75"/>
      <c r="S324" s="75"/>
      <c r="T324" s="75"/>
      <c r="U324" s="86"/>
      <c r="V324" s="84"/>
      <c r="W324" s="87"/>
      <c r="X324" s="84"/>
      <c r="Y324" s="84"/>
      <c r="Z324" s="87"/>
    </row>
    <row r="325" spans="1:26" ht="15.75" customHeight="1">
      <c r="A325" s="83"/>
      <c r="B325" s="83"/>
      <c r="C325" s="83"/>
      <c r="D325" s="87"/>
      <c r="E325" s="84"/>
      <c r="F325" s="84"/>
      <c r="G325" s="83"/>
      <c r="H325" s="84"/>
      <c r="I325" s="84"/>
      <c r="J325" s="84"/>
      <c r="K325" s="88"/>
      <c r="L325" s="84"/>
      <c r="M325" s="88"/>
      <c r="N325" s="84"/>
      <c r="O325" s="88"/>
      <c r="P325" s="85"/>
      <c r="Q325" s="75"/>
      <c r="R325" s="75"/>
      <c r="S325" s="75"/>
      <c r="T325" s="75"/>
      <c r="U325" s="86"/>
      <c r="V325" s="84"/>
      <c r="W325" s="87"/>
      <c r="X325" s="84"/>
      <c r="Y325" s="84"/>
      <c r="Z325" s="87"/>
    </row>
    <row r="326" spans="1:26" ht="15.75" customHeight="1">
      <c r="A326" s="83"/>
      <c r="B326" s="83"/>
      <c r="C326" s="83"/>
      <c r="D326" s="87"/>
      <c r="E326" s="84"/>
      <c r="F326" s="84"/>
      <c r="G326" s="83"/>
      <c r="H326" s="84"/>
      <c r="I326" s="84"/>
      <c r="J326" s="84"/>
      <c r="K326" s="88"/>
      <c r="L326" s="84"/>
      <c r="M326" s="88"/>
      <c r="N326" s="84"/>
      <c r="O326" s="88"/>
      <c r="P326" s="85"/>
      <c r="Q326" s="75"/>
      <c r="R326" s="75"/>
      <c r="S326" s="75"/>
      <c r="T326" s="75"/>
      <c r="U326" s="86"/>
      <c r="V326" s="84"/>
      <c r="W326" s="87"/>
      <c r="X326" s="84"/>
      <c r="Y326" s="84"/>
      <c r="Z326" s="87"/>
    </row>
    <row r="327" spans="1:26" ht="15.75" customHeight="1">
      <c r="A327" s="83"/>
      <c r="B327" s="83"/>
      <c r="C327" s="83"/>
      <c r="D327" s="87"/>
      <c r="E327" s="84"/>
      <c r="F327" s="84"/>
      <c r="G327" s="83"/>
      <c r="H327" s="84"/>
      <c r="I327" s="84"/>
      <c r="J327" s="84"/>
      <c r="K327" s="88"/>
      <c r="L327" s="84"/>
      <c r="M327" s="88"/>
      <c r="N327" s="84"/>
      <c r="O327" s="88"/>
      <c r="P327" s="85"/>
      <c r="Q327" s="75"/>
      <c r="R327" s="75"/>
      <c r="S327" s="75"/>
      <c r="T327" s="75"/>
      <c r="U327" s="86"/>
      <c r="V327" s="84"/>
      <c r="W327" s="87"/>
      <c r="X327" s="84"/>
      <c r="Y327" s="84"/>
      <c r="Z327" s="87"/>
    </row>
    <row r="328" spans="1:26" ht="15.75" customHeight="1">
      <c r="A328" s="83"/>
      <c r="B328" s="83"/>
      <c r="C328" s="83"/>
      <c r="D328" s="87"/>
      <c r="E328" s="84"/>
      <c r="F328" s="84"/>
      <c r="G328" s="83"/>
      <c r="H328" s="84"/>
      <c r="I328" s="84"/>
      <c r="J328" s="84"/>
      <c r="K328" s="88"/>
      <c r="L328" s="84"/>
      <c r="M328" s="88"/>
      <c r="N328" s="84"/>
      <c r="O328" s="88"/>
      <c r="P328" s="85"/>
      <c r="Q328" s="75"/>
      <c r="R328" s="75"/>
      <c r="S328" s="75"/>
      <c r="T328" s="75"/>
      <c r="U328" s="86"/>
      <c r="V328" s="84"/>
      <c r="W328" s="87"/>
      <c r="X328" s="84"/>
      <c r="Y328" s="84"/>
      <c r="Z328" s="87"/>
    </row>
    <row r="329" spans="1:26" ht="15.75" customHeight="1">
      <c r="A329" s="83"/>
      <c r="B329" s="83"/>
      <c r="C329" s="83"/>
      <c r="D329" s="87"/>
      <c r="E329" s="84"/>
      <c r="F329" s="84"/>
      <c r="G329" s="83"/>
      <c r="H329" s="84"/>
      <c r="I329" s="84"/>
      <c r="J329" s="84"/>
      <c r="K329" s="88"/>
      <c r="L329" s="84"/>
      <c r="M329" s="88"/>
      <c r="N329" s="84"/>
      <c r="O329" s="88"/>
      <c r="P329" s="85"/>
      <c r="Q329" s="75"/>
      <c r="R329" s="75"/>
      <c r="S329" s="75"/>
      <c r="T329" s="75"/>
      <c r="U329" s="86"/>
      <c r="V329" s="84"/>
      <c r="W329" s="87"/>
      <c r="X329" s="84"/>
      <c r="Y329" s="84"/>
      <c r="Z329" s="87"/>
    </row>
    <row r="330" spans="1:26" ht="15.75" customHeight="1">
      <c r="A330" s="83"/>
      <c r="B330" s="83"/>
      <c r="C330" s="83"/>
      <c r="D330" s="87"/>
      <c r="E330" s="84"/>
      <c r="F330" s="84"/>
      <c r="G330" s="83"/>
      <c r="H330" s="84"/>
      <c r="I330" s="84"/>
      <c r="J330" s="84"/>
      <c r="K330" s="88"/>
      <c r="L330" s="84"/>
      <c r="M330" s="88"/>
      <c r="N330" s="84"/>
      <c r="O330" s="88"/>
      <c r="P330" s="85"/>
      <c r="Q330" s="75"/>
      <c r="R330" s="75"/>
      <c r="S330" s="75"/>
      <c r="T330" s="75"/>
      <c r="U330" s="86"/>
      <c r="V330" s="84"/>
      <c r="W330" s="87"/>
      <c r="X330" s="84"/>
      <c r="Y330" s="84"/>
      <c r="Z330" s="87"/>
    </row>
    <row r="331" spans="1:26" ht="15.75" customHeight="1">
      <c r="A331" s="83"/>
      <c r="B331" s="83"/>
      <c r="C331" s="83"/>
      <c r="D331" s="87"/>
      <c r="E331" s="84"/>
      <c r="F331" s="84"/>
      <c r="G331" s="83"/>
      <c r="H331" s="84"/>
      <c r="I331" s="84"/>
      <c r="J331" s="84"/>
      <c r="K331" s="88"/>
      <c r="L331" s="84"/>
      <c r="M331" s="88"/>
      <c r="N331" s="84"/>
      <c r="O331" s="88"/>
      <c r="P331" s="85"/>
      <c r="Q331" s="75"/>
      <c r="R331" s="75"/>
      <c r="S331" s="75"/>
      <c r="T331" s="75"/>
      <c r="U331" s="86"/>
      <c r="V331" s="84"/>
      <c r="W331" s="87"/>
      <c r="X331" s="84"/>
      <c r="Y331" s="84"/>
      <c r="Z331" s="87"/>
    </row>
    <row r="332" spans="1:26" ht="15.75" customHeight="1">
      <c r="A332" s="83"/>
      <c r="B332" s="83"/>
      <c r="C332" s="83"/>
      <c r="D332" s="87"/>
      <c r="E332" s="84"/>
      <c r="F332" s="84"/>
      <c r="G332" s="83"/>
      <c r="H332" s="84"/>
      <c r="I332" s="84"/>
      <c r="J332" s="84"/>
      <c r="K332" s="88"/>
      <c r="L332" s="84"/>
      <c r="M332" s="88"/>
      <c r="N332" s="84"/>
      <c r="O332" s="88"/>
      <c r="P332" s="85"/>
      <c r="Q332" s="75"/>
      <c r="R332" s="75"/>
      <c r="S332" s="75"/>
      <c r="T332" s="75"/>
      <c r="U332" s="86"/>
      <c r="V332" s="84"/>
      <c r="W332" s="87"/>
      <c r="X332" s="84"/>
      <c r="Y332" s="84"/>
      <c r="Z332" s="87"/>
    </row>
    <row r="333" spans="1:26" ht="15.75" customHeight="1">
      <c r="A333" s="83"/>
      <c r="B333" s="83"/>
      <c r="C333" s="83"/>
      <c r="D333" s="87"/>
      <c r="E333" s="84"/>
      <c r="F333" s="84"/>
      <c r="G333" s="83"/>
      <c r="H333" s="84"/>
      <c r="I333" s="84"/>
      <c r="J333" s="84"/>
      <c r="K333" s="88"/>
      <c r="L333" s="84"/>
      <c r="M333" s="88"/>
      <c r="N333" s="84"/>
      <c r="O333" s="88"/>
      <c r="P333" s="85"/>
      <c r="Q333" s="75"/>
      <c r="R333" s="75"/>
      <c r="S333" s="75"/>
      <c r="T333" s="75"/>
      <c r="U333" s="86"/>
      <c r="V333" s="84"/>
      <c r="W333" s="87"/>
      <c r="X333" s="84"/>
      <c r="Y333" s="84"/>
      <c r="Z333" s="87"/>
    </row>
    <row r="334" spans="1:26" ht="15.75" customHeight="1">
      <c r="A334" s="83"/>
      <c r="B334" s="83"/>
      <c r="C334" s="83"/>
      <c r="D334" s="87"/>
      <c r="E334" s="84"/>
      <c r="F334" s="84"/>
      <c r="G334" s="83"/>
      <c r="H334" s="84"/>
      <c r="I334" s="84"/>
      <c r="J334" s="84"/>
      <c r="K334" s="88"/>
      <c r="L334" s="84"/>
      <c r="M334" s="88"/>
      <c r="N334" s="84"/>
      <c r="O334" s="88"/>
      <c r="P334" s="85"/>
      <c r="Q334" s="75"/>
      <c r="R334" s="75"/>
      <c r="S334" s="75"/>
      <c r="T334" s="75"/>
      <c r="U334" s="86"/>
      <c r="V334" s="84"/>
      <c r="W334" s="87"/>
      <c r="X334" s="84"/>
      <c r="Y334" s="84"/>
      <c r="Z334" s="87"/>
    </row>
    <row r="335" spans="1:26" ht="15.75" customHeight="1">
      <c r="A335" s="83"/>
      <c r="B335" s="83"/>
      <c r="C335" s="83"/>
      <c r="D335" s="87"/>
      <c r="E335" s="84"/>
      <c r="F335" s="84"/>
      <c r="G335" s="83"/>
      <c r="H335" s="84"/>
      <c r="I335" s="84"/>
      <c r="J335" s="84"/>
      <c r="K335" s="88"/>
      <c r="L335" s="84"/>
      <c r="M335" s="88"/>
      <c r="N335" s="84"/>
      <c r="O335" s="88"/>
      <c r="P335" s="85"/>
      <c r="Q335" s="75"/>
      <c r="R335" s="75"/>
      <c r="S335" s="75"/>
      <c r="T335" s="75"/>
      <c r="U335" s="86"/>
      <c r="V335" s="84"/>
      <c r="W335" s="87"/>
      <c r="X335" s="84"/>
      <c r="Y335" s="84"/>
      <c r="Z335" s="87"/>
    </row>
    <row r="336" spans="1:26" ht="15.75" customHeight="1">
      <c r="A336" s="83"/>
      <c r="B336" s="83"/>
      <c r="C336" s="83"/>
      <c r="D336" s="87"/>
      <c r="E336" s="84"/>
      <c r="F336" s="84"/>
      <c r="G336" s="83"/>
      <c r="H336" s="84"/>
      <c r="I336" s="84"/>
      <c r="J336" s="84"/>
      <c r="K336" s="88"/>
      <c r="L336" s="84"/>
      <c r="M336" s="88"/>
      <c r="N336" s="84"/>
      <c r="O336" s="88"/>
      <c r="P336" s="85"/>
      <c r="Q336" s="75"/>
      <c r="R336" s="75"/>
      <c r="S336" s="75"/>
      <c r="T336" s="75"/>
      <c r="U336" s="86"/>
      <c r="V336" s="84"/>
      <c r="W336" s="87"/>
      <c r="X336" s="84"/>
      <c r="Y336" s="84"/>
      <c r="Z336" s="87"/>
    </row>
    <row r="337" spans="1:26" ht="15.75" customHeight="1">
      <c r="A337" s="83"/>
      <c r="B337" s="83"/>
      <c r="C337" s="83"/>
      <c r="D337" s="87"/>
      <c r="E337" s="84"/>
      <c r="F337" s="84"/>
      <c r="G337" s="83"/>
      <c r="H337" s="84"/>
      <c r="I337" s="84"/>
      <c r="J337" s="84"/>
      <c r="K337" s="88"/>
      <c r="L337" s="84"/>
      <c r="M337" s="88"/>
      <c r="N337" s="84"/>
      <c r="O337" s="88"/>
      <c r="P337" s="85"/>
      <c r="Q337" s="75"/>
      <c r="R337" s="75"/>
      <c r="S337" s="75"/>
      <c r="T337" s="75"/>
      <c r="U337" s="86"/>
      <c r="V337" s="84"/>
      <c r="W337" s="87"/>
      <c r="X337" s="84"/>
      <c r="Y337" s="84"/>
      <c r="Z337" s="87"/>
    </row>
    <row r="338" spans="1:26" ht="15.75" customHeight="1">
      <c r="A338" s="83"/>
      <c r="B338" s="83"/>
      <c r="C338" s="83"/>
      <c r="D338" s="87"/>
      <c r="E338" s="84"/>
      <c r="F338" s="84"/>
      <c r="G338" s="83"/>
      <c r="H338" s="84"/>
      <c r="I338" s="84"/>
      <c r="J338" s="84"/>
      <c r="K338" s="88"/>
      <c r="L338" s="84"/>
      <c r="M338" s="88"/>
      <c r="N338" s="84"/>
      <c r="O338" s="88"/>
      <c r="P338" s="85"/>
      <c r="Q338" s="75"/>
      <c r="R338" s="75"/>
      <c r="S338" s="75"/>
      <c r="T338" s="75"/>
      <c r="U338" s="86"/>
      <c r="V338" s="84"/>
      <c r="W338" s="87"/>
      <c r="X338" s="84"/>
      <c r="Y338" s="84"/>
      <c r="Z338" s="87"/>
    </row>
    <row r="339" spans="1:26" ht="15.75" customHeight="1">
      <c r="A339" s="83"/>
      <c r="B339" s="83"/>
      <c r="C339" s="83"/>
      <c r="D339" s="87"/>
      <c r="E339" s="84"/>
      <c r="F339" s="84"/>
      <c r="G339" s="83"/>
      <c r="H339" s="84"/>
      <c r="I339" s="84"/>
      <c r="J339" s="84"/>
      <c r="K339" s="88"/>
      <c r="L339" s="84"/>
      <c r="M339" s="88"/>
      <c r="N339" s="84"/>
      <c r="O339" s="88"/>
      <c r="P339" s="85"/>
      <c r="Q339" s="75"/>
      <c r="R339" s="75"/>
      <c r="S339" s="75"/>
      <c r="T339" s="75"/>
      <c r="U339" s="86"/>
      <c r="V339" s="84"/>
      <c r="W339" s="87"/>
      <c r="X339" s="84"/>
      <c r="Y339" s="84"/>
      <c r="Z339" s="87"/>
    </row>
    <row r="340" spans="1:26" ht="15.75" customHeight="1">
      <c r="A340" s="83"/>
      <c r="B340" s="83"/>
      <c r="C340" s="83"/>
      <c r="D340" s="87"/>
      <c r="E340" s="84"/>
      <c r="F340" s="84"/>
      <c r="G340" s="83"/>
      <c r="H340" s="84"/>
      <c r="I340" s="84"/>
      <c r="J340" s="84"/>
      <c r="K340" s="88"/>
      <c r="L340" s="84"/>
      <c r="M340" s="88"/>
      <c r="N340" s="84"/>
      <c r="O340" s="88"/>
      <c r="P340" s="85"/>
      <c r="Q340" s="75"/>
      <c r="R340" s="75"/>
      <c r="S340" s="75"/>
      <c r="T340" s="75"/>
      <c r="U340" s="86"/>
      <c r="V340" s="84"/>
      <c r="W340" s="87"/>
      <c r="X340" s="84"/>
      <c r="Y340" s="84"/>
      <c r="Z340" s="87"/>
    </row>
    <row r="341" spans="1:26" ht="15.75" customHeight="1">
      <c r="A341" s="83"/>
      <c r="B341" s="83"/>
      <c r="C341" s="83"/>
      <c r="D341" s="87"/>
      <c r="E341" s="84"/>
      <c r="F341" s="84"/>
      <c r="G341" s="83"/>
      <c r="H341" s="84"/>
      <c r="I341" s="84"/>
      <c r="J341" s="84"/>
      <c r="K341" s="88"/>
      <c r="L341" s="84"/>
      <c r="M341" s="88"/>
      <c r="N341" s="84"/>
      <c r="O341" s="88"/>
      <c r="P341" s="85"/>
      <c r="Q341" s="75"/>
      <c r="R341" s="75"/>
      <c r="S341" s="75"/>
      <c r="T341" s="75"/>
      <c r="U341" s="86"/>
      <c r="V341" s="84"/>
      <c r="W341" s="87"/>
      <c r="X341" s="84"/>
      <c r="Y341" s="84"/>
      <c r="Z341" s="87"/>
    </row>
    <row r="342" spans="1:26" ht="15.75" customHeight="1">
      <c r="A342" s="83"/>
      <c r="B342" s="83"/>
      <c r="C342" s="83"/>
      <c r="D342" s="87"/>
      <c r="E342" s="84"/>
      <c r="F342" s="84"/>
      <c r="G342" s="83"/>
      <c r="H342" s="84"/>
      <c r="I342" s="84"/>
      <c r="J342" s="84"/>
      <c r="K342" s="88"/>
      <c r="L342" s="84"/>
      <c r="M342" s="88"/>
      <c r="N342" s="84"/>
      <c r="O342" s="88"/>
      <c r="P342" s="85"/>
      <c r="Q342" s="75"/>
      <c r="R342" s="75"/>
      <c r="S342" s="75"/>
      <c r="T342" s="75"/>
      <c r="U342" s="86"/>
      <c r="V342" s="84"/>
      <c r="W342" s="87"/>
      <c r="X342" s="84"/>
      <c r="Y342" s="84"/>
      <c r="Z342" s="87"/>
    </row>
    <row r="343" spans="1:26" ht="15.75" customHeight="1">
      <c r="A343" s="83"/>
      <c r="B343" s="83"/>
      <c r="C343" s="83"/>
      <c r="D343" s="87"/>
      <c r="E343" s="84"/>
      <c r="F343" s="84"/>
      <c r="G343" s="83"/>
      <c r="H343" s="84"/>
      <c r="I343" s="84"/>
      <c r="J343" s="84"/>
      <c r="K343" s="88"/>
      <c r="L343" s="84"/>
      <c r="M343" s="88"/>
      <c r="N343" s="84"/>
      <c r="O343" s="88"/>
      <c r="P343" s="85"/>
      <c r="Q343" s="75"/>
      <c r="R343" s="75"/>
      <c r="S343" s="75"/>
      <c r="T343" s="75"/>
      <c r="U343" s="86"/>
      <c r="V343" s="84"/>
      <c r="W343" s="87"/>
      <c r="X343" s="84"/>
      <c r="Y343" s="84"/>
      <c r="Z343" s="87"/>
    </row>
    <row r="344" spans="1:26" ht="15.75" customHeight="1">
      <c r="A344" s="83"/>
      <c r="B344" s="83"/>
      <c r="C344" s="83"/>
      <c r="D344" s="87"/>
      <c r="E344" s="84"/>
      <c r="F344" s="84"/>
      <c r="G344" s="83"/>
      <c r="H344" s="84"/>
      <c r="I344" s="84"/>
      <c r="J344" s="84"/>
      <c r="K344" s="88"/>
      <c r="L344" s="84"/>
      <c r="M344" s="88"/>
      <c r="N344" s="84"/>
      <c r="O344" s="88"/>
      <c r="P344" s="85"/>
      <c r="Q344" s="75"/>
      <c r="R344" s="75"/>
      <c r="S344" s="75"/>
      <c r="T344" s="75"/>
      <c r="U344" s="86"/>
      <c r="V344" s="84"/>
      <c r="W344" s="87"/>
      <c r="X344" s="84"/>
      <c r="Y344" s="84"/>
      <c r="Z344" s="87"/>
    </row>
    <row r="345" spans="1:26" ht="15.75" customHeight="1">
      <c r="A345" s="83"/>
      <c r="B345" s="83"/>
      <c r="C345" s="83"/>
      <c r="D345" s="87"/>
      <c r="E345" s="84"/>
      <c r="F345" s="84"/>
      <c r="G345" s="83"/>
      <c r="H345" s="84"/>
      <c r="I345" s="84"/>
      <c r="J345" s="84"/>
      <c r="K345" s="88"/>
      <c r="L345" s="84"/>
      <c r="M345" s="88"/>
      <c r="N345" s="84"/>
      <c r="O345" s="88"/>
      <c r="P345" s="85"/>
      <c r="Q345" s="75"/>
      <c r="R345" s="75"/>
      <c r="S345" s="75"/>
      <c r="T345" s="75"/>
      <c r="U345" s="86"/>
      <c r="V345" s="84"/>
      <c r="W345" s="87"/>
      <c r="X345" s="84"/>
      <c r="Y345" s="84"/>
      <c r="Z345" s="87"/>
    </row>
    <row r="346" spans="1:26" ht="15.75" customHeight="1">
      <c r="A346" s="83"/>
      <c r="B346" s="83"/>
      <c r="C346" s="83"/>
      <c r="D346" s="87"/>
      <c r="E346" s="84"/>
      <c r="F346" s="84"/>
      <c r="G346" s="83"/>
      <c r="H346" s="84"/>
      <c r="I346" s="84"/>
      <c r="J346" s="84"/>
      <c r="K346" s="88"/>
      <c r="L346" s="84"/>
      <c r="M346" s="88"/>
      <c r="N346" s="84"/>
      <c r="O346" s="88"/>
      <c r="P346" s="85"/>
      <c r="Q346" s="75"/>
      <c r="R346" s="75"/>
      <c r="S346" s="75"/>
      <c r="T346" s="75"/>
      <c r="U346" s="86"/>
      <c r="V346" s="84"/>
      <c r="W346" s="87"/>
      <c r="X346" s="84"/>
      <c r="Y346" s="84"/>
      <c r="Z346" s="87"/>
    </row>
    <row r="347" spans="1:26" ht="15.75" customHeight="1">
      <c r="A347" s="83"/>
      <c r="B347" s="83"/>
      <c r="C347" s="83"/>
      <c r="D347" s="87"/>
      <c r="E347" s="84"/>
      <c r="F347" s="84"/>
      <c r="G347" s="83"/>
      <c r="H347" s="84"/>
      <c r="I347" s="84"/>
      <c r="J347" s="84"/>
      <c r="K347" s="88"/>
      <c r="L347" s="84"/>
      <c r="M347" s="88"/>
      <c r="N347" s="84"/>
      <c r="O347" s="88"/>
      <c r="P347" s="85"/>
      <c r="Q347" s="75"/>
      <c r="R347" s="75"/>
      <c r="S347" s="75"/>
      <c r="T347" s="75"/>
      <c r="U347" s="86"/>
      <c r="V347" s="84"/>
      <c r="W347" s="87"/>
      <c r="X347" s="84"/>
      <c r="Y347" s="84"/>
      <c r="Z347" s="87"/>
    </row>
    <row r="348" spans="1:26" ht="15.75" customHeight="1">
      <c r="A348" s="83"/>
      <c r="B348" s="83"/>
      <c r="C348" s="83"/>
      <c r="D348" s="87"/>
      <c r="E348" s="84"/>
      <c r="F348" s="84"/>
      <c r="G348" s="83"/>
      <c r="H348" s="84"/>
      <c r="I348" s="84"/>
      <c r="J348" s="84"/>
      <c r="K348" s="88"/>
      <c r="L348" s="84"/>
      <c r="M348" s="88"/>
      <c r="N348" s="84"/>
      <c r="O348" s="88"/>
      <c r="P348" s="85"/>
      <c r="Q348" s="75"/>
      <c r="R348" s="75"/>
      <c r="S348" s="75"/>
      <c r="T348" s="75"/>
      <c r="U348" s="86"/>
      <c r="V348" s="84"/>
      <c r="W348" s="87"/>
      <c r="X348" s="84"/>
      <c r="Y348" s="84"/>
      <c r="Z348" s="87"/>
    </row>
    <row r="349" spans="1:26" ht="15.75" customHeight="1">
      <c r="A349" s="83"/>
      <c r="B349" s="83"/>
      <c r="C349" s="83"/>
      <c r="D349" s="87"/>
      <c r="E349" s="84"/>
      <c r="F349" s="84"/>
      <c r="G349" s="83"/>
      <c r="H349" s="84"/>
      <c r="I349" s="84"/>
      <c r="J349" s="84"/>
      <c r="K349" s="88"/>
      <c r="L349" s="84"/>
      <c r="M349" s="88"/>
      <c r="N349" s="84"/>
      <c r="O349" s="88"/>
      <c r="P349" s="85"/>
      <c r="Q349" s="75"/>
      <c r="R349" s="75"/>
      <c r="S349" s="75"/>
      <c r="T349" s="75"/>
      <c r="U349" s="86"/>
      <c r="V349" s="84"/>
      <c r="W349" s="87"/>
      <c r="X349" s="84"/>
      <c r="Y349" s="84"/>
      <c r="Z349" s="87"/>
    </row>
    <row r="350" spans="1:26" ht="15.75" customHeight="1">
      <c r="A350" s="83"/>
      <c r="B350" s="83"/>
      <c r="C350" s="83"/>
      <c r="D350" s="87"/>
      <c r="E350" s="84"/>
      <c r="F350" s="84"/>
      <c r="G350" s="83"/>
      <c r="H350" s="84"/>
      <c r="I350" s="84"/>
      <c r="J350" s="84"/>
      <c r="K350" s="88"/>
      <c r="L350" s="84"/>
      <c r="M350" s="88"/>
      <c r="N350" s="84"/>
      <c r="O350" s="88"/>
      <c r="P350" s="85"/>
      <c r="Q350" s="75"/>
      <c r="R350" s="75"/>
      <c r="S350" s="75"/>
      <c r="T350" s="75"/>
      <c r="U350" s="86"/>
      <c r="V350" s="84"/>
      <c r="W350" s="87"/>
      <c r="X350" s="84"/>
      <c r="Y350" s="84"/>
      <c r="Z350" s="87"/>
    </row>
    <row r="351" spans="1:26" ht="15.75" customHeight="1">
      <c r="A351" s="83"/>
      <c r="B351" s="83"/>
      <c r="C351" s="83"/>
      <c r="D351" s="87"/>
      <c r="E351" s="84"/>
      <c r="F351" s="84"/>
      <c r="G351" s="83"/>
      <c r="H351" s="84"/>
      <c r="I351" s="84"/>
      <c r="J351" s="84"/>
      <c r="K351" s="88"/>
      <c r="L351" s="84"/>
      <c r="M351" s="88"/>
      <c r="N351" s="84"/>
      <c r="O351" s="88"/>
      <c r="P351" s="85"/>
      <c r="Q351" s="75"/>
      <c r="R351" s="75"/>
      <c r="S351" s="75"/>
      <c r="T351" s="75"/>
      <c r="U351" s="86"/>
      <c r="V351" s="84"/>
      <c r="W351" s="87"/>
      <c r="X351" s="84"/>
      <c r="Y351" s="84"/>
      <c r="Z351" s="87"/>
    </row>
    <row r="352" spans="1:26" ht="15.75" customHeight="1">
      <c r="A352" s="83"/>
      <c r="B352" s="83"/>
      <c r="C352" s="83"/>
      <c r="D352" s="87"/>
      <c r="E352" s="84"/>
      <c r="F352" s="84"/>
      <c r="G352" s="83"/>
      <c r="H352" s="84"/>
      <c r="I352" s="84"/>
      <c r="J352" s="84"/>
      <c r="K352" s="88"/>
      <c r="L352" s="84"/>
      <c r="M352" s="88"/>
      <c r="N352" s="84"/>
      <c r="O352" s="88"/>
      <c r="P352" s="85"/>
      <c r="Q352" s="75"/>
      <c r="R352" s="75"/>
      <c r="S352" s="75"/>
      <c r="T352" s="75"/>
      <c r="U352" s="86"/>
      <c r="V352" s="84"/>
      <c r="W352" s="87"/>
      <c r="X352" s="84"/>
      <c r="Y352" s="84"/>
      <c r="Z352" s="87"/>
    </row>
    <row r="353" spans="1:26" ht="15.75" customHeight="1">
      <c r="A353" s="83"/>
      <c r="B353" s="83"/>
      <c r="C353" s="83"/>
      <c r="D353" s="87"/>
      <c r="E353" s="84"/>
      <c r="F353" s="84"/>
      <c r="G353" s="83"/>
      <c r="H353" s="84"/>
      <c r="I353" s="84"/>
      <c r="J353" s="84"/>
      <c r="K353" s="88"/>
      <c r="L353" s="84"/>
      <c r="M353" s="88"/>
      <c r="N353" s="84"/>
      <c r="O353" s="88"/>
      <c r="P353" s="85"/>
      <c r="Q353" s="75"/>
      <c r="R353" s="75"/>
      <c r="S353" s="75"/>
      <c r="T353" s="75"/>
      <c r="U353" s="86"/>
      <c r="V353" s="84"/>
      <c r="W353" s="87"/>
      <c r="X353" s="84"/>
      <c r="Y353" s="84"/>
      <c r="Z353" s="87"/>
    </row>
    <row r="354" spans="1:26" ht="15.75" customHeight="1">
      <c r="A354" s="83"/>
      <c r="B354" s="83"/>
      <c r="C354" s="83"/>
      <c r="D354" s="87"/>
      <c r="E354" s="84"/>
      <c r="F354" s="84"/>
      <c r="G354" s="83"/>
      <c r="H354" s="84"/>
      <c r="I354" s="84"/>
      <c r="J354" s="84"/>
      <c r="K354" s="88"/>
      <c r="L354" s="84"/>
      <c r="M354" s="88"/>
      <c r="N354" s="84"/>
      <c r="O354" s="88"/>
      <c r="P354" s="85"/>
      <c r="Q354" s="75"/>
      <c r="R354" s="75"/>
      <c r="S354" s="75"/>
      <c r="T354" s="75"/>
      <c r="U354" s="86"/>
      <c r="V354" s="84"/>
      <c r="W354" s="87"/>
      <c r="X354" s="84"/>
      <c r="Y354" s="84"/>
      <c r="Z354" s="87"/>
    </row>
    <row r="355" spans="1:26" ht="15.75" customHeight="1">
      <c r="A355" s="83"/>
      <c r="B355" s="83"/>
      <c r="C355" s="83"/>
      <c r="D355" s="87"/>
      <c r="E355" s="84"/>
      <c r="F355" s="84"/>
      <c r="G355" s="83"/>
      <c r="H355" s="84"/>
      <c r="I355" s="84"/>
      <c r="J355" s="84"/>
      <c r="K355" s="88"/>
      <c r="L355" s="84"/>
      <c r="M355" s="88"/>
      <c r="N355" s="84"/>
      <c r="O355" s="88"/>
      <c r="P355" s="85"/>
      <c r="Q355" s="75"/>
      <c r="R355" s="75"/>
      <c r="S355" s="75"/>
      <c r="T355" s="75"/>
      <c r="U355" s="86"/>
      <c r="V355" s="84"/>
      <c r="W355" s="87"/>
      <c r="X355" s="84"/>
      <c r="Y355" s="84"/>
      <c r="Z355" s="87"/>
    </row>
    <row r="356" spans="1:26" ht="15.75" customHeight="1">
      <c r="A356" s="83"/>
      <c r="B356" s="83"/>
      <c r="C356" s="83"/>
      <c r="D356" s="87"/>
      <c r="E356" s="84"/>
      <c r="F356" s="84"/>
      <c r="G356" s="83"/>
      <c r="H356" s="84"/>
      <c r="I356" s="84"/>
      <c r="J356" s="84"/>
      <c r="K356" s="88"/>
      <c r="L356" s="84"/>
      <c r="M356" s="88"/>
      <c r="N356" s="84"/>
      <c r="O356" s="88"/>
      <c r="P356" s="85"/>
      <c r="Q356" s="75"/>
      <c r="R356" s="75"/>
      <c r="S356" s="75"/>
      <c r="T356" s="75"/>
      <c r="U356" s="86"/>
      <c r="V356" s="84"/>
      <c r="W356" s="87"/>
      <c r="X356" s="84"/>
      <c r="Y356" s="84"/>
      <c r="Z356" s="87"/>
    </row>
    <row r="357" spans="1:26" ht="15.75" customHeight="1">
      <c r="A357" s="83"/>
      <c r="B357" s="83"/>
      <c r="C357" s="83"/>
      <c r="D357" s="87"/>
      <c r="E357" s="84"/>
      <c r="F357" s="84"/>
      <c r="G357" s="83"/>
      <c r="H357" s="84"/>
      <c r="I357" s="84"/>
      <c r="J357" s="84"/>
      <c r="K357" s="88"/>
      <c r="L357" s="84"/>
      <c r="M357" s="88"/>
      <c r="N357" s="84"/>
      <c r="O357" s="88"/>
      <c r="P357" s="85"/>
      <c r="Q357" s="75"/>
      <c r="R357" s="75"/>
      <c r="S357" s="75"/>
      <c r="T357" s="75"/>
      <c r="U357" s="86"/>
      <c r="V357" s="84"/>
      <c r="W357" s="87"/>
      <c r="X357" s="84"/>
      <c r="Y357" s="84"/>
      <c r="Z357" s="87"/>
    </row>
    <row r="358" spans="1:26" ht="15.75" customHeight="1">
      <c r="A358" s="83"/>
      <c r="B358" s="83"/>
      <c r="C358" s="83"/>
      <c r="D358" s="87"/>
      <c r="E358" s="84"/>
      <c r="F358" s="84"/>
      <c r="G358" s="83"/>
      <c r="H358" s="84"/>
      <c r="I358" s="84"/>
      <c r="J358" s="84"/>
      <c r="K358" s="88"/>
      <c r="L358" s="84"/>
      <c r="M358" s="88"/>
      <c r="N358" s="84"/>
      <c r="O358" s="88"/>
      <c r="P358" s="85"/>
      <c r="Q358" s="75"/>
      <c r="R358" s="75"/>
      <c r="S358" s="75"/>
      <c r="T358" s="75"/>
      <c r="U358" s="86"/>
      <c r="V358" s="84"/>
      <c r="W358" s="87"/>
      <c r="X358" s="84"/>
      <c r="Y358" s="84"/>
      <c r="Z358" s="87"/>
    </row>
    <row r="359" spans="1:26" ht="15.75" customHeight="1">
      <c r="A359" s="83"/>
      <c r="B359" s="83"/>
      <c r="C359" s="83"/>
      <c r="D359" s="87"/>
      <c r="E359" s="84"/>
      <c r="F359" s="84"/>
      <c r="G359" s="83"/>
      <c r="H359" s="84"/>
      <c r="I359" s="84"/>
      <c r="J359" s="84"/>
      <c r="K359" s="88"/>
      <c r="L359" s="84"/>
      <c r="M359" s="88"/>
      <c r="N359" s="84"/>
      <c r="O359" s="88"/>
      <c r="P359" s="85"/>
      <c r="Q359" s="75"/>
      <c r="R359" s="75"/>
      <c r="S359" s="75"/>
      <c r="T359" s="75"/>
      <c r="U359" s="86"/>
      <c r="V359" s="84"/>
      <c r="W359" s="87"/>
      <c r="X359" s="84"/>
      <c r="Y359" s="84"/>
      <c r="Z359" s="87"/>
    </row>
    <row r="360" spans="1:26" ht="15.75" customHeight="1">
      <c r="A360" s="83"/>
      <c r="B360" s="83"/>
      <c r="C360" s="83"/>
      <c r="D360" s="87"/>
      <c r="E360" s="84"/>
      <c r="F360" s="84"/>
      <c r="G360" s="83"/>
      <c r="H360" s="84"/>
      <c r="I360" s="84"/>
      <c r="J360" s="84"/>
      <c r="K360" s="88"/>
      <c r="L360" s="84"/>
      <c r="M360" s="88"/>
      <c r="N360" s="84"/>
      <c r="O360" s="88"/>
      <c r="P360" s="85"/>
      <c r="Q360" s="75"/>
      <c r="R360" s="75"/>
      <c r="S360" s="75"/>
      <c r="T360" s="75"/>
      <c r="U360" s="86"/>
      <c r="V360" s="84"/>
      <c r="W360" s="87"/>
      <c r="X360" s="84"/>
      <c r="Y360" s="84"/>
      <c r="Z360" s="87"/>
    </row>
    <row r="361" spans="1:26" ht="15.75" customHeight="1">
      <c r="A361" s="83"/>
      <c r="B361" s="83"/>
      <c r="C361" s="83"/>
      <c r="D361" s="87"/>
      <c r="E361" s="84"/>
      <c r="F361" s="84"/>
      <c r="G361" s="83"/>
      <c r="H361" s="84"/>
      <c r="I361" s="84"/>
      <c r="J361" s="84"/>
      <c r="K361" s="88"/>
      <c r="L361" s="84"/>
      <c r="M361" s="88"/>
      <c r="N361" s="84"/>
      <c r="O361" s="88"/>
      <c r="P361" s="85"/>
      <c r="Q361" s="75"/>
      <c r="R361" s="75"/>
      <c r="S361" s="75"/>
      <c r="T361" s="75"/>
      <c r="U361" s="86"/>
      <c r="V361" s="84"/>
      <c r="W361" s="87"/>
      <c r="X361" s="84"/>
      <c r="Y361" s="84"/>
      <c r="Z361" s="87"/>
    </row>
    <row r="362" spans="1:26" ht="15.75" customHeight="1">
      <c r="A362" s="83"/>
      <c r="B362" s="83"/>
      <c r="C362" s="83"/>
      <c r="D362" s="87"/>
      <c r="E362" s="84"/>
      <c r="F362" s="84"/>
      <c r="G362" s="83"/>
      <c r="H362" s="84"/>
      <c r="I362" s="84"/>
      <c r="J362" s="84"/>
      <c r="K362" s="88"/>
      <c r="L362" s="84"/>
      <c r="M362" s="88"/>
      <c r="N362" s="84"/>
      <c r="O362" s="88"/>
      <c r="P362" s="85"/>
      <c r="Q362" s="75"/>
      <c r="R362" s="75"/>
      <c r="S362" s="75"/>
      <c r="T362" s="75"/>
      <c r="U362" s="86"/>
      <c r="V362" s="84"/>
      <c r="W362" s="87"/>
      <c r="X362" s="84"/>
      <c r="Y362" s="84"/>
      <c r="Z362" s="87"/>
    </row>
    <row r="363" spans="1:26" ht="15.75" customHeight="1">
      <c r="A363" s="83"/>
      <c r="B363" s="83"/>
      <c r="C363" s="83"/>
      <c r="D363" s="87"/>
      <c r="E363" s="84"/>
      <c r="F363" s="84"/>
      <c r="G363" s="83"/>
      <c r="H363" s="84"/>
      <c r="I363" s="84"/>
      <c r="J363" s="84"/>
      <c r="K363" s="88"/>
      <c r="L363" s="84"/>
      <c r="M363" s="88"/>
      <c r="N363" s="84"/>
      <c r="O363" s="88"/>
      <c r="P363" s="85"/>
      <c r="Q363" s="75"/>
      <c r="R363" s="75"/>
      <c r="S363" s="75"/>
      <c r="T363" s="75"/>
      <c r="U363" s="86"/>
      <c r="V363" s="84"/>
      <c r="W363" s="87"/>
      <c r="X363" s="84"/>
      <c r="Y363" s="84"/>
      <c r="Z363" s="87"/>
    </row>
    <row r="364" spans="1:26" ht="15.75" customHeight="1">
      <c r="A364" s="83"/>
      <c r="B364" s="83"/>
      <c r="C364" s="83"/>
      <c r="D364" s="87"/>
      <c r="E364" s="84"/>
      <c r="F364" s="84"/>
      <c r="G364" s="83"/>
      <c r="H364" s="84"/>
      <c r="I364" s="84"/>
      <c r="J364" s="84"/>
      <c r="K364" s="88"/>
      <c r="L364" s="84"/>
      <c r="M364" s="88"/>
      <c r="N364" s="84"/>
      <c r="O364" s="88"/>
      <c r="P364" s="85"/>
      <c r="Q364" s="75"/>
      <c r="R364" s="75"/>
      <c r="S364" s="75"/>
      <c r="T364" s="75"/>
      <c r="U364" s="86"/>
      <c r="V364" s="84"/>
      <c r="W364" s="87"/>
      <c r="X364" s="84"/>
      <c r="Y364" s="84"/>
      <c r="Z364" s="87"/>
    </row>
    <row r="365" spans="1:26" ht="15.75" customHeight="1">
      <c r="A365" s="83"/>
      <c r="B365" s="83"/>
      <c r="C365" s="83"/>
      <c r="D365" s="87"/>
      <c r="E365" s="84"/>
      <c r="F365" s="84"/>
      <c r="G365" s="83"/>
      <c r="H365" s="84"/>
      <c r="I365" s="84"/>
      <c r="J365" s="84"/>
      <c r="K365" s="88"/>
      <c r="L365" s="84"/>
      <c r="M365" s="88"/>
      <c r="N365" s="84"/>
      <c r="O365" s="88"/>
      <c r="P365" s="85"/>
      <c r="Q365" s="75"/>
      <c r="R365" s="75"/>
      <c r="S365" s="75"/>
      <c r="T365" s="75"/>
      <c r="U365" s="86"/>
      <c r="V365" s="84"/>
      <c r="W365" s="87"/>
      <c r="X365" s="84"/>
      <c r="Y365" s="84"/>
      <c r="Z365" s="87"/>
    </row>
    <row r="366" spans="1:26" ht="15.75" customHeight="1">
      <c r="A366" s="83"/>
      <c r="B366" s="83"/>
      <c r="C366" s="83"/>
      <c r="D366" s="87"/>
      <c r="E366" s="84"/>
      <c r="F366" s="84"/>
      <c r="G366" s="83"/>
      <c r="H366" s="84"/>
      <c r="I366" s="84"/>
      <c r="J366" s="84"/>
      <c r="K366" s="88"/>
      <c r="L366" s="84"/>
      <c r="M366" s="88"/>
      <c r="N366" s="84"/>
      <c r="O366" s="88"/>
      <c r="P366" s="85"/>
      <c r="Q366" s="75"/>
      <c r="R366" s="75"/>
      <c r="S366" s="75"/>
      <c r="T366" s="75"/>
      <c r="U366" s="86"/>
      <c r="V366" s="84"/>
      <c r="W366" s="87"/>
      <c r="X366" s="84"/>
      <c r="Y366" s="84"/>
      <c r="Z366" s="87"/>
    </row>
    <row r="367" spans="1:26" ht="15.75" customHeight="1">
      <c r="A367" s="83"/>
      <c r="B367" s="83"/>
      <c r="C367" s="83"/>
      <c r="D367" s="87"/>
      <c r="E367" s="84"/>
      <c r="F367" s="84"/>
      <c r="G367" s="83"/>
      <c r="H367" s="84"/>
      <c r="I367" s="84"/>
      <c r="J367" s="84"/>
      <c r="K367" s="88"/>
      <c r="L367" s="84"/>
      <c r="M367" s="88"/>
      <c r="N367" s="84"/>
      <c r="O367" s="88"/>
      <c r="P367" s="85"/>
      <c r="Q367" s="75"/>
      <c r="R367" s="75"/>
      <c r="S367" s="75"/>
      <c r="T367" s="75"/>
      <c r="U367" s="86"/>
      <c r="V367" s="84"/>
      <c r="W367" s="87"/>
      <c r="X367" s="84"/>
      <c r="Y367" s="84"/>
      <c r="Z367" s="87"/>
    </row>
    <row r="368" spans="1:26" ht="15.75" customHeight="1">
      <c r="A368" s="83"/>
      <c r="B368" s="83"/>
      <c r="C368" s="83"/>
      <c r="D368" s="87"/>
      <c r="E368" s="84"/>
      <c r="F368" s="84"/>
      <c r="G368" s="83"/>
      <c r="H368" s="84"/>
      <c r="I368" s="84"/>
      <c r="J368" s="84"/>
      <c r="K368" s="88"/>
      <c r="L368" s="84"/>
      <c r="M368" s="88"/>
      <c r="N368" s="84"/>
      <c r="O368" s="88"/>
      <c r="P368" s="85"/>
      <c r="Q368" s="75"/>
      <c r="R368" s="75"/>
      <c r="S368" s="75"/>
      <c r="T368" s="75"/>
      <c r="U368" s="86"/>
      <c r="V368" s="84"/>
      <c r="W368" s="87"/>
      <c r="X368" s="84"/>
      <c r="Y368" s="84"/>
      <c r="Z368" s="87"/>
    </row>
    <row r="369" spans="1:26" ht="15.75" customHeight="1">
      <c r="A369" s="83"/>
      <c r="B369" s="83"/>
      <c r="C369" s="83"/>
      <c r="D369" s="87"/>
      <c r="E369" s="84"/>
      <c r="F369" s="84"/>
      <c r="G369" s="83"/>
      <c r="H369" s="84"/>
      <c r="I369" s="84"/>
      <c r="J369" s="84"/>
      <c r="K369" s="88"/>
      <c r="L369" s="84"/>
      <c r="M369" s="88"/>
      <c r="N369" s="84"/>
      <c r="O369" s="88"/>
      <c r="P369" s="85"/>
      <c r="Q369" s="75"/>
      <c r="R369" s="75"/>
      <c r="S369" s="75"/>
      <c r="T369" s="75"/>
      <c r="U369" s="86"/>
      <c r="V369" s="84"/>
      <c r="W369" s="87"/>
      <c r="X369" s="84"/>
      <c r="Y369" s="84"/>
      <c r="Z369" s="87"/>
    </row>
    <row r="370" spans="1:26" ht="15.75" customHeight="1">
      <c r="A370" s="83"/>
      <c r="B370" s="83"/>
      <c r="C370" s="83"/>
      <c r="D370" s="87"/>
      <c r="E370" s="84"/>
      <c r="F370" s="84"/>
      <c r="G370" s="83"/>
      <c r="H370" s="84"/>
      <c r="I370" s="84"/>
      <c r="J370" s="84"/>
      <c r="K370" s="88"/>
      <c r="L370" s="84"/>
      <c r="M370" s="88"/>
      <c r="N370" s="84"/>
      <c r="O370" s="88"/>
      <c r="P370" s="85"/>
      <c r="Q370" s="75"/>
      <c r="R370" s="75"/>
      <c r="S370" s="75"/>
      <c r="T370" s="75"/>
      <c r="U370" s="86"/>
      <c r="V370" s="84"/>
      <c r="W370" s="87"/>
      <c r="X370" s="84"/>
      <c r="Y370" s="84"/>
      <c r="Z370" s="87"/>
    </row>
    <row r="371" spans="1:26" ht="15.75" customHeight="1">
      <c r="A371" s="83"/>
      <c r="B371" s="83"/>
      <c r="C371" s="83"/>
      <c r="D371" s="84"/>
      <c r="E371" s="84"/>
      <c r="F371" s="84"/>
      <c r="G371" s="83"/>
      <c r="H371" s="84"/>
      <c r="I371" s="84"/>
      <c r="J371" s="84"/>
      <c r="K371" s="84"/>
      <c r="L371" s="84"/>
      <c r="M371" s="84"/>
      <c r="N371" s="84"/>
      <c r="O371" s="84"/>
      <c r="P371" s="85"/>
      <c r="Q371" s="75"/>
      <c r="R371" s="75"/>
      <c r="S371" s="75"/>
      <c r="T371" s="75"/>
      <c r="U371" s="89"/>
      <c r="V371" s="84"/>
      <c r="W371" s="84"/>
      <c r="X371" s="84"/>
      <c r="Y371" s="84"/>
      <c r="Z371" s="84"/>
    </row>
    <row r="372" spans="1:26" ht="15.75" customHeight="1">
      <c r="A372" s="83"/>
      <c r="B372" s="83"/>
      <c r="C372" s="83"/>
      <c r="D372" s="84"/>
      <c r="E372" s="84"/>
      <c r="F372" s="84"/>
      <c r="G372" s="83"/>
      <c r="H372" s="84"/>
      <c r="I372" s="84"/>
      <c r="J372" s="84"/>
      <c r="K372" s="84"/>
      <c r="L372" s="84"/>
      <c r="M372" s="84"/>
      <c r="N372" s="84"/>
      <c r="O372" s="84"/>
      <c r="P372" s="85"/>
      <c r="Q372" s="75"/>
      <c r="R372" s="75"/>
      <c r="S372" s="75"/>
      <c r="T372" s="75"/>
      <c r="U372" s="89"/>
      <c r="V372" s="84"/>
      <c r="W372" s="84"/>
      <c r="X372" s="84"/>
      <c r="Y372" s="84"/>
      <c r="Z372" s="84"/>
    </row>
    <row r="373" spans="1:26" ht="15.75" customHeight="1">
      <c r="A373" s="83"/>
      <c r="B373" s="83"/>
      <c r="C373" s="83"/>
      <c r="D373" s="84"/>
      <c r="E373" s="84"/>
      <c r="F373" s="84"/>
      <c r="G373" s="83"/>
      <c r="H373" s="84"/>
      <c r="I373" s="84"/>
      <c r="J373" s="84"/>
      <c r="K373" s="84"/>
      <c r="L373" s="84"/>
      <c r="M373" s="84"/>
      <c r="N373" s="84"/>
      <c r="O373" s="84"/>
      <c r="P373" s="85"/>
      <c r="Q373" s="75"/>
      <c r="R373" s="75"/>
      <c r="S373" s="75"/>
      <c r="T373" s="75"/>
      <c r="U373" s="89"/>
      <c r="V373" s="84"/>
      <c r="W373" s="84"/>
      <c r="X373" s="84"/>
      <c r="Y373" s="84"/>
      <c r="Z373" s="84"/>
    </row>
    <row r="374" spans="1:26" ht="15.75" customHeight="1">
      <c r="A374" s="83"/>
      <c r="B374" s="83"/>
      <c r="C374" s="83"/>
      <c r="D374" s="84"/>
      <c r="E374" s="84"/>
      <c r="F374" s="84"/>
      <c r="G374" s="83"/>
      <c r="H374" s="84"/>
      <c r="I374" s="84"/>
      <c r="J374" s="84"/>
      <c r="K374" s="84"/>
      <c r="L374" s="84"/>
      <c r="M374" s="84"/>
      <c r="N374" s="84"/>
      <c r="O374" s="84"/>
      <c r="P374" s="85"/>
      <c r="Q374" s="75"/>
      <c r="R374" s="75"/>
      <c r="S374" s="75"/>
      <c r="T374" s="75"/>
      <c r="U374" s="89"/>
      <c r="V374" s="84"/>
      <c r="W374" s="84"/>
      <c r="X374" s="84"/>
      <c r="Y374" s="84"/>
      <c r="Z374" s="84"/>
    </row>
    <row r="375" spans="1:26" ht="15.75" customHeight="1">
      <c r="A375" s="83"/>
      <c r="B375" s="83"/>
      <c r="C375" s="83"/>
      <c r="D375" s="84"/>
      <c r="E375" s="84"/>
      <c r="F375" s="84"/>
      <c r="G375" s="83"/>
      <c r="H375" s="84"/>
      <c r="I375" s="84"/>
      <c r="J375" s="84"/>
      <c r="K375" s="84"/>
      <c r="L375" s="84"/>
      <c r="M375" s="84"/>
      <c r="N375" s="84"/>
      <c r="O375" s="84"/>
      <c r="P375" s="85"/>
      <c r="Q375" s="75"/>
      <c r="R375" s="75"/>
      <c r="S375" s="75"/>
      <c r="T375" s="75"/>
      <c r="U375" s="89"/>
      <c r="V375" s="84"/>
      <c r="W375" s="84"/>
      <c r="X375" s="84"/>
      <c r="Y375" s="84"/>
      <c r="Z375" s="84"/>
    </row>
    <row r="376" spans="1:26" ht="15.75" customHeight="1">
      <c r="A376" s="83"/>
      <c r="B376" s="83"/>
      <c r="C376" s="83"/>
      <c r="D376" s="84"/>
      <c r="E376" s="84"/>
      <c r="F376" s="84"/>
      <c r="G376" s="83"/>
      <c r="H376" s="84"/>
      <c r="I376" s="84"/>
      <c r="J376" s="84"/>
      <c r="K376" s="84"/>
      <c r="L376" s="84"/>
      <c r="M376" s="84"/>
      <c r="N376" s="84"/>
      <c r="O376" s="84"/>
      <c r="P376" s="85"/>
      <c r="Q376" s="75"/>
      <c r="R376" s="75"/>
      <c r="S376" s="75"/>
      <c r="T376" s="75"/>
      <c r="U376" s="89"/>
      <c r="V376" s="84"/>
      <c r="W376" s="84"/>
      <c r="X376" s="84"/>
      <c r="Y376" s="84"/>
      <c r="Z376" s="84"/>
    </row>
    <row r="377" spans="1:26" ht="15.75" customHeight="1">
      <c r="A377" s="83"/>
      <c r="B377" s="83"/>
      <c r="C377" s="83"/>
      <c r="D377" s="84"/>
      <c r="E377" s="84"/>
      <c r="F377" s="84"/>
      <c r="G377" s="83"/>
      <c r="H377" s="84"/>
      <c r="I377" s="84"/>
      <c r="J377" s="84"/>
      <c r="K377" s="84"/>
      <c r="L377" s="84"/>
      <c r="M377" s="84"/>
      <c r="N377" s="84"/>
      <c r="O377" s="84"/>
      <c r="P377" s="85"/>
      <c r="Q377" s="75"/>
      <c r="R377" s="75"/>
      <c r="S377" s="75"/>
      <c r="T377" s="75"/>
      <c r="U377" s="89"/>
      <c r="V377" s="84"/>
      <c r="W377" s="84"/>
      <c r="X377" s="84"/>
      <c r="Y377" s="84"/>
      <c r="Z377" s="84"/>
    </row>
    <row r="378" spans="1:26" ht="15.75" customHeight="1">
      <c r="A378" s="83"/>
      <c r="B378" s="83"/>
      <c r="C378" s="83"/>
      <c r="D378" s="84"/>
      <c r="E378" s="84"/>
      <c r="F378" s="84"/>
      <c r="G378" s="83"/>
      <c r="H378" s="84"/>
      <c r="I378" s="84"/>
      <c r="J378" s="84"/>
      <c r="K378" s="84"/>
      <c r="L378" s="84"/>
      <c r="M378" s="84"/>
      <c r="N378" s="84"/>
      <c r="O378" s="84"/>
      <c r="P378" s="85"/>
      <c r="Q378" s="75"/>
      <c r="R378" s="75"/>
      <c r="S378" s="75"/>
      <c r="T378" s="75"/>
      <c r="U378" s="89"/>
      <c r="V378" s="84"/>
      <c r="W378" s="84"/>
      <c r="X378" s="84"/>
      <c r="Y378" s="84"/>
      <c r="Z378" s="84"/>
    </row>
    <row r="379" spans="1:26" ht="15.75" customHeight="1">
      <c r="A379" s="83"/>
      <c r="B379" s="83"/>
      <c r="C379" s="83"/>
      <c r="D379" s="84"/>
      <c r="E379" s="84"/>
      <c r="F379" s="84"/>
      <c r="G379" s="83"/>
      <c r="H379" s="84"/>
      <c r="I379" s="84"/>
      <c r="J379" s="84"/>
      <c r="K379" s="84"/>
      <c r="L379" s="84"/>
      <c r="M379" s="84"/>
      <c r="N379" s="84"/>
      <c r="O379" s="84"/>
      <c r="P379" s="85"/>
      <c r="Q379" s="75"/>
      <c r="R379" s="75"/>
      <c r="S379" s="75"/>
      <c r="T379" s="75"/>
      <c r="U379" s="89"/>
      <c r="V379" s="84"/>
      <c r="W379" s="84"/>
      <c r="X379" s="84"/>
      <c r="Y379" s="84"/>
      <c r="Z379" s="84"/>
    </row>
    <row r="380" spans="1:26" ht="15.75" customHeight="1">
      <c r="A380" s="83"/>
      <c r="B380" s="83"/>
      <c r="C380" s="83"/>
      <c r="D380" s="84"/>
      <c r="E380" s="84"/>
      <c r="F380" s="84"/>
      <c r="G380" s="83"/>
      <c r="H380" s="84"/>
      <c r="I380" s="84"/>
      <c r="J380" s="84"/>
      <c r="K380" s="84"/>
      <c r="L380" s="84"/>
      <c r="M380" s="84"/>
      <c r="N380" s="84"/>
      <c r="O380" s="84"/>
      <c r="P380" s="85"/>
      <c r="Q380" s="75"/>
      <c r="R380" s="75"/>
      <c r="S380" s="75"/>
      <c r="T380" s="75"/>
      <c r="U380" s="89"/>
      <c r="V380" s="84"/>
      <c r="W380" s="84"/>
      <c r="X380" s="84"/>
      <c r="Y380" s="84"/>
      <c r="Z380" s="84"/>
    </row>
    <row r="381" spans="1:26" ht="15.75" customHeight="1">
      <c r="A381" s="83"/>
      <c r="B381" s="83"/>
      <c r="C381" s="83"/>
      <c r="D381" s="84"/>
      <c r="E381" s="84"/>
      <c r="F381" s="84"/>
      <c r="G381" s="83"/>
      <c r="H381" s="84"/>
      <c r="I381" s="84"/>
      <c r="J381" s="84"/>
      <c r="K381" s="84"/>
      <c r="L381" s="84"/>
      <c r="M381" s="84"/>
      <c r="N381" s="84"/>
      <c r="O381" s="84"/>
      <c r="P381" s="85"/>
      <c r="Q381" s="75"/>
      <c r="R381" s="75"/>
      <c r="S381" s="75"/>
      <c r="T381" s="75"/>
      <c r="U381" s="89"/>
      <c r="V381" s="84"/>
      <c r="W381" s="84"/>
      <c r="X381" s="84"/>
      <c r="Y381" s="84"/>
      <c r="Z381" s="84"/>
    </row>
    <row r="382" spans="1:26" ht="15.75" customHeight="1">
      <c r="A382" s="83"/>
      <c r="B382" s="83"/>
      <c r="C382" s="83"/>
      <c r="D382" s="84"/>
      <c r="E382" s="84"/>
      <c r="F382" s="84"/>
      <c r="G382" s="83"/>
      <c r="H382" s="84"/>
      <c r="I382" s="84"/>
      <c r="J382" s="84"/>
      <c r="K382" s="84"/>
      <c r="L382" s="84"/>
      <c r="M382" s="84"/>
      <c r="N382" s="84"/>
      <c r="O382" s="84"/>
      <c r="P382" s="85"/>
      <c r="Q382" s="75"/>
      <c r="R382" s="75"/>
      <c r="S382" s="75"/>
      <c r="T382" s="75"/>
      <c r="U382" s="89"/>
      <c r="V382" s="84"/>
      <c r="W382" s="84"/>
      <c r="X382" s="84"/>
      <c r="Y382" s="84"/>
      <c r="Z382" s="84"/>
    </row>
    <row r="383" spans="1:26" ht="15.75" customHeight="1">
      <c r="A383" s="83"/>
      <c r="B383" s="83"/>
      <c r="C383" s="83"/>
      <c r="D383" s="84"/>
      <c r="E383" s="84"/>
      <c r="F383" s="84"/>
      <c r="G383" s="83"/>
      <c r="H383" s="84"/>
      <c r="I383" s="84"/>
      <c r="J383" s="84"/>
      <c r="K383" s="84"/>
      <c r="L383" s="84"/>
      <c r="M383" s="84"/>
      <c r="N383" s="84"/>
      <c r="O383" s="84"/>
      <c r="P383" s="85"/>
      <c r="Q383" s="75"/>
      <c r="R383" s="75"/>
      <c r="S383" s="75"/>
      <c r="T383" s="75"/>
      <c r="U383" s="89"/>
      <c r="V383" s="84"/>
      <c r="W383" s="84"/>
      <c r="X383" s="84"/>
      <c r="Y383" s="84"/>
      <c r="Z383" s="84"/>
    </row>
    <row r="384" spans="1:26" ht="15.75" customHeight="1">
      <c r="A384" s="83"/>
      <c r="B384" s="83"/>
      <c r="C384" s="83"/>
      <c r="D384" s="84"/>
      <c r="E384" s="84"/>
      <c r="F384" s="84"/>
      <c r="G384" s="83"/>
      <c r="H384" s="84"/>
      <c r="I384" s="84"/>
      <c r="J384" s="84"/>
      <c r="K384" s="84"/>
      <c r="L384" s="84"/>
      <c r="M384" s="84"/>
      <c r="N384" s="84"/>
      <c r="O384" s="84"/>
      <c r="P384" s="85"/>
      <c r="Q384" s="75"/>
      <c r="R384" s="75"/>
      <c r="S384" s="75"/>
      <c r="T384" s="75"/>
      <c r="U384" s="89"/>
      <c r="V384" s="84"/>
      <c r="W384" s="84"/>
      <c r="X384" s="84"/>
      <c r="Y384" s="84"/>
      <c r="Z384" s="84"/>
    </row>
    <row r="385" spans="1:26" ht="15.75" customHeight="1">
      <c r="A385" s="83"/>
      <c r="B385" s="83"/>
      <c r="C385" s="83"/>
      <c r="D385" s="84"/>
      <c r="E385" s="84"/>
      <c r="F385" s="84"/>
      <c r="G385" s="83"/>
      <c r="H385" s="84"/>
      <c r="I385" s="84"/>
      <c r="J385" s="84"/>
      <c r="K385" s="84"/>
      <c r="L385" s="84"/>
      <c r="M385" s="84"/>
      <c r="N385" s="84"/>
      <c r="O385" s="84"/>
      <c r="P385" s="85"/>
      <c r="Q385" s="75"/>
      <c r="R385" s="75"/>
      <c r="S385" s="75"/>
      <c r="T385" s="75"/>
      <c r="U385" s="89"/>
      <c r="V385" s="84"/>
      <c r="W385" s="84"/>
      <c r="X385" s="84"/>
      <c r="Y385" s="84"/>
      <c r="Z385" s="84"/>
    </row>
    <row r="386" spans="1:26" ht="15.75" customHeight="1">
      <c r="A386" s="83"/>
      <c r="B386" s="83"/>
      <c r="C386" s="83"/>
      <c r="D386" s="84"/>
      <c r="E386" s="84"/>
      <c r="F386" s="84"/>
      <c r="G386" s="83"/>
      <c r="H386" s="84"/>
      <c r="I386" s="84"/>
      <c r="J386" s="84"/>
      <c r="K386" s="84"/>
      <c r="L386" s="84"/>
      <c r="M386" s="84"/>
      <c r="N386" s="84"/>
      <c r="O386" s="84"/>
      <c r="P386" s="85"/>
      <c r="Q386" s="75"/>
      <c r="R386" s="75"/>
      <c r="S386" s="75"/>
      <c r="T386" s="75"/>
      <c r="U386" s="89"/>
      <c r="V386" s="84"/>
      <c r="W386" s="84"/>
      <c r="X386" s="84"/>
      <c r="Y386" s="84"/>
      <c r="Z386" s="84"/>
    </row>
    <row r="387" spans="1:26" ht="15.75" customHeight="1">
      <c r="A387" s="83"/>
      <c r="B387" s="83"/>
      <c r="C387" s="83"/>
      <c r="D387" s="84"/>
      <c r="E387" s="84"/>
      <c r="F387" s="84"/>
      <c r="G387" s="83"/>
      <c r="H387" s="84"/>
      <c r="I387" s="84"/>
      <c r="J387" s="84"/>
      <c r="K387" s="84"/>
      <c r="L387" s="84"/>
      <c r="M387" s="84"/>
      <c r="N387" s="84"/>
      <c r="O387" s="84"/>
      <c r="P387" s="85"/>
      <c r="Q387" s="75"/>
      <c r="R387" s="75"/>
      <c r="S387" s="75"/>
      <c r="T387" s="75"/>
      <c r="U387" s="89"/>
      <c r="V387" s="84"/>
      <c r="W387" s="84"/>
      <c r="X387" s="84"/>
      <c r="Y387" s="84"/>
      <c r="Z387" s="84"/>
    </row>
    <row r="388" spans="1:26" ht="15.75" customHeight="1">
      <c r="A388" s="83"/>
      <c r="B388" s="83"/>
      <c r="C388" s="83"/>
      <c r="D388" s="84"/>
      <c r="E388" s="84"/>
      <c r="F388" s="84"/>
      <c r="G388" s="83"/>
      <c r="H388" s="84"/>
      <c r="I388" s="84"/>
      <c r="J388" s="84"/>
      <c r="K388" s="84"/>
      <c r="L388" s="84"/>
      <c r="M388" s="84"/>
      <c r="N388" s="84"/>
      <c r="O388" s="84"/>
      <c r="P388" s="85"/>
      <c r="Q388" s="75"/>
      <c r="R388" s="75"/>
      <c r="S388" s="75"/>
      <c r="T388" s="75"/>
      <c r="U388" s="89"/>
      <c r="V388" s="84"/>
      <c r="W388" s="84"/>
      <c r="X388" s="84"/>
      <c r="Y388" s="84"/>
      <c r="Z388" s="84"/>
    </row>
    <row r="389" spans="1:26" ht="15.75" customHeight="1">
      <c r="A389" s="83"/>
      <c r="B389" s="83"/>
      <c r="C389" s="83"/>
      <c r="D389" s="84"/>
      <c r="E389" s="84"/>
      <c r="F389" s="84"/>
      <c r="G389" s="83"/>
      <c r="H389" s="84"/>
      <c r="I389" s="84"/>
      <c r="J389" s="84"/>
      <c r="K389" s="84"/>
      <c r="L389" s="84"/>
      <c r="M389" s="84"/>
      <c r="N389" s="84"/>
      <c r="O389" s="84"/>
      <c r="P389" s="85"/>
      <c r="Q389" s="75"/>
      <c r="R389" s="75"/>
      <c r="S389" s="75"/>
      <c r="T389" s="75"/>
      <c r="U389" s="89"/>
      <c r="V389" s="84"/>
      <c r="W389" s="84"/>
      <c r="X389" s="84"/>
      <c r="Y389" s="84"/>
      <c r="Z389" s="84"/>
    </row>
    <row r="390" spans="1:26" ht="15.75" customHeight="1">
      <c r="A390" s="83"/>
      <c r="B390" s="83"/>
      <c r="C390" s="83"/>
      <c r="D390" s="84"/>
      <c r="E390" s="84"/>
      <c r="F390" s="84"/>
      <c r="G390" s="83"/>
      <c r="H390" s="84"/>
      <c r="I390" s="84"/>
      <c r="J390" s="84"/>
      <c r="K390" s="84"/>
      <c r="L390" s="84"/>
      <c r="M390" s="84"/>
      <c r="N390" s="84"/>
      <c r="O390" s="84"/>
      <c r="P390" s="85"/>
      <c r="Q390" s="75"/>
      <c r="R390" s="75"/>
      <c r="S390" s="75"/>
      <c r="T390" s="75"/>
      <c r="U390" s="89"/>
      <c r="V390" s="84"/>
      <c r="W390" s="84"/>
      <c r="X390" s="84"/>
      <c r="Y390" s="84"/>
      <c r="Z390" s="84"/>
    </row>
    <row r="391" spans="1:26" ht="15.75" customHeight="1">
      <c r="A391" s="83"/>
      <c r="B391" s="83"/>
      <c r="C391" s="83"/>
      <c r="D391" s="84"/>
      <c r="E391" s="84"/>
      <c r="F391" s="84"/>
      <c r="G391" s="83"/>
      <c r="H391" s="84"/>
      <c r="I391" s="84"/>
      <c r="J391" s="84"/>
      <c r="K391" s="84"/>
      <c r="L391" s="84"/>
      <c r="M391" s="84"/>
      <c r="N391" s="84"/>
      <c r="O391" s="84"/>
      <c r="P391" s="85"/>
      <c r="Q391" s="75"/>
      <c r="R391" s="75"/>
      <c r="S391" s="75"/>
      <c r="T391" s="75"/>
      <c r="U391" s="89"/>
      <c r="V391" s="84"/>
      <c r="W391" s="84"/>
      <c r="X391" s="84"/>
      <c r="Y391" s="84"/>
      <c r="Z391" s="84"/>
    </row>
    <row r="392" spans="1:26" ht="15.75" customHeight="1">
      <c r="A392" s="83"/>
      <c r="B392" s="83"/>
      <c r="C392" s="83"/>
      <c r="D392" s="84"/>
      <c r="E392" s="84"/>
      <c r="F392" s="84"/>
      <c r="G392" s="83"/>
      <c r="H392" s="84"/>
      <c r="I392" s="84"/>
      <c r="J392" s="84"/>
      <c r="K392" s="84"/>
      <c r="L392" s="84"/>
      <c r="M392" s="84"/>
      <c r="N392" s="84"/>
      <c r="O392" s="84"/>
      <c r="P392" s="85"/>
      <c r="Q392" s="75"/>
      <c r="R392" s="75"/>
      <c r="S392" s="75"/>
      <c r="T392" s="75"/>
      <c r="U392" s="89"/>
      <c r="V392" s="84"/>
      <c r="W392" s="84"/>
      <c r="X392" s="84"/>
      <c r="Y392" s="84"/>
      <c r="Z392" s="84"/>
    </row>
    <row r="393" spans="1:26" ht="15.75" customHeight="1">
      <c r="A393" s="83"/>
      <c r="B393" s="83"/>
      <c r="C393" s="83"/>
      <c r="D393" s="84"/>
      <c r="E393" s="84"/>
      <c r="F393" s="84"/>
      <c r="G393" s="83"/>
      <c r="H393" s="84"/>
      <c r="I393" s="84"/>
      <c r="J393" s="84"/>
      <c r="K393" s="84"/>
      <c r="L393" s="84"/>
      <c r="M393" s="84"/>
      <c r="N393" s="84"/>
      <c r="O393" s="84"/>
      <c r="P393" s="85"/>
      <c r="Q393" s="75"/>
      <c r="R393" s="75"/>
      <c r="S393" s="75"/>
      <c r="T393" s="75"/>
      <c r="U393" s="89"/>
      <c r="V393" s="84"/>
      <c r="W393" s="84"/>
      <c r="X393" s="84"/>
      <c r="Y393" s="84"/>
      <c r="Z393" s="84"/>
    </row>
    <row r="394" spans="1:26" ht="15.75" customHeight="1">
      <c r="A394" s="83"/>
      <c r="B394" s="83"/>
      <c r="C394" s="83"/>
      <c r="D394" s="84"/>
      <c r="E394" s="84"/>
      <c r="F394" s="84"/>
      <c r="G394" s="83"/>
      <c r="H394" s="84"/>
      <c r="I394" s="84"/>
      <c r="J394" s="84"/>
      <c r="K394" s="84"/>
      <c r="L394" s="84"/>
      <c r="M394" s="84"/>
      <c r="N394" s="84"/>
      <c r="O394" s="84"/>
      <c r="P394" s="85"/>
      <c r="Q394" s="75"/>
      <c r="R394" s="75"/>
      <c r="S394" s="75"/>
      <c r="T394" s="75"/>
      <c r="U394" s="89"/>
      <c r="V394" s="84"/>
      <c r="W394" s="84"/>
      <c r="X394" s="84"/>
      <c r="Y394" s="84"/>
      <c r="Z394" s="84"/>
    </row>
    <row r="395" spans="1:26" ht="15.75" customHeight="1">
      <c r="A395" s="83"/>
      <c r="B395" s="83"/>
      <c r="C395" s="83"/>
      <c r="D395" s="84"/>
      <c r="E395" s="84"/>
      <c r="F395" s="84"/>
      <c r="G395" s="83"/>
      <c r="H395" s="84"/>
      <c r="I395" s="84"/>
      <c r="J395" s="84"/>
      <c r="K395" s="84"/>
      <c r="L395" s="84"/>
      <c r="M395" s="84"/>
      <c r="N395" s="84"/>
      <c r="O395" s="84"/>
      <c r="P395" s="85"/>
      <c r="Q395" s="75"/>
      <c r="R395" s="75"/>
      <c r="S395" s="75"/>
      <c r="T395" s="75"/>
      <c r="U395" s="89"/>
      <c r="V395" s="84"/>
      <c r="W395" s="84"/>
      <c r="X395" s="84"/>
      <c r="Y395" s="84"/>
      <c r="Z395" s="84"/>
    </row>
    <row r="396" spans="1:26" ht="15.75" customHeight="1">
      <c r="A396" s="83"/>
      <c r="B396" s="83"/>
      <c r="C396" s="83"/>
      <c r="D396" s="84"/>
      <c r="E396" s="84"/>
      <c r="F396" s="84"/>
      <c r="G396" s="83"/>
      <c r="H396" s="84"/>
      <c r="I396" s="84"/>
      <c r="J396" s="84"/>
      <c r="K396" s="84"/>
      <c r="L396" s="84"/>
      <c r="M396" s="84"/>
      <c r="N396" s="84"/>
      <c r="O396" s="84"/>
      <c r="P396" s="85"/>
      <c r="Q396" s="75"/>
      <c r="R396" s="75"/>
      <c r="S396" s="75"/>
      <c r="T396" s="75"/>
      <c r="U396" s="89"/>
      <c r="V396" s="84"/>
      <c r="W396" s="84"/>
      <c r="X396" s="84"/>
      <c r="Y396" s="84"/>
      <c r="Z396" s="84"/>
    </row>
    <row r="397" spans="1:26" ht="15.75" customHeight="1">
      <c r="A397" s="83"/>
      <c r="B397" s="83"/>
      <c r="C397" s="83"/>
      <c r="D397" s="84"/>
      <c r="E397" s="84"/>
      <c r="F397" s="84"/>
      <c r="G397" s="83"/>
      <c r="H397" s="84"/>
      <c r="I397" s="84"/>
      <c r="J397" s="84"/>
      <c r="K397" s="84"/>
      <c r="L397" s="84"/>
      <c r="M397" s="84"/>
      <c r="N397" s="84"/>
      <c r="O397" s="84"/>
      <c r="P397" s="85"/>
      <c r="Q397" s="75"/>
      <c r="R397" s="75"/>
      <c r="S397" s="75"/>
      <c r="T397" s="75"/>
      <c r="U397" s="89"/>
      <c r="V397" s="84"/>
      <c r="W397" s="84"/>
      <c r="X397" s="84"/>
      <c r="Y397" s="84"/>
      <c r="Z397" s="84"/>
    </row>
    <row r="398" spans="1:26" ht="15.75" customHeight="1">
      <c r="A398" s="83"/>
      <c r="B398" s="83"/>
      <c r="C398" s="83"/>
      <c r="D398" s="84"/>
      <c r="E398" s="84"/>
      <c r="F398" s="84"/>
      <c r="G398" s="83"/>
      <c r="H398" s="84"/>
      <c r="I398" s="84"/>
      <c r="J398" s="84"/>
      <c r="K398" s="84"/>
      <c r="L398" s="84"/>
      <c r="M398" s="84"/>
      <c r="N398" s="84"/>
      <c r="O398" s="84"/>
      <c r="P398" s="85"/>
      <c r="Q398" s="75"/>
      <c r="R398" s="75"/>
      <c r="S398" s="75"/>
      <c r="T398" s="75"/>
      <c r="U398" s="89"/>
      <c r="V398" s="84"/>
      <c r="W398" s="84"/>
      <c r="X398" s="84"/>
      <c r="Y398" s="84"/>
      <c r="Z398" s="84"/>
    </row>
    <row r="399" spans="1:26" ht="15.75" customHeight="1">
      <c r="A399" s="83"/>
      <c r="B399" s="83"/>
      <c r="C399" s="83"/>
      <c r="D399" s="84"/>
      <c r="E399" s="84"/>
      <c r="F399" s="84"/>
      <c r="G399" s="83"/>
      <c r="H399" s="84"/>
      <c r="I399" s="84"/>
      <c r="J399" s="84"/>
      <c r="K399" s="84"/>
      <c r="L399" s="84"/>
      <c r="M399" s="84"/>
      <c r="N399" s="84"/>
      <c r="O399" s="84"/>
      <c r="P399" s="85"/>
      <c r="Q399" s="75"/>
      <c r="R399" s="75"/>
      <c r="S399" s="75"/>
      <c r="T399" s="75"/>
      <c r="U399" s="89"/>
      <c r="V399" s="84"/>
      <c r="W399" s="84"/>
      <c r="X399" s="84"/>
      <c r="Y399" s="84"/>
      <c r="Z399" s="84"/>
    </row>
    <row r="400" spans="1:26" ht="15.75" customHeight="1">
      <c r="A400" s="83"/>
      <c r="B400" s="83"/>
      <c r="C400" s="83"/>
      <c r="D400" s="84"/>
      <c r="E400" s="84"/>
      <c r="F400" s="84"/>
      <c r="G400" s="83"/>
      <c r="H400" s="84"/>
      <c r="I400" s="84"/>
      <c r="J400" s="84"/>
      <c r="K400" s="84"/>
      <c r="L400" s="84"/>
      <c r="M400" s="84"/>
      <c r="N400" s="84"/>
      <c r="O400" s="84"/>
      <c r="P400" s="85"/>
      <c r="Q400" s="75"/>
      <c r="R400" s="75"/>
      <c r="S400" s="75"/>
      <c r="T400" s="75"/>
      <c r="U400" s="89"/>
      <c r="V400" s="84"/>
      <c r="W400" s="84"/>
      <c r="X400" s="84"/>
      <c r="Y400" s="84"/>
      <c r="Z400" s="84"/>
    </row>
    <row r="401" spans="1:26" ht="15.75" customHeight="1">
      <c r="A401" s="83"/>
      <c r="B401" s="83"/>
      <c r="C401" s="83"/>
      <c r="D401" s="84"/>
      <c r="E401" s="84"/>
      <c r="F401" s="84"/>
      <c r="G401" s="83"/>
      <c r="H401" s="84"/>
      <c r="I401" s="84"/>
      <c r="J401" s="84"/>
      <c r="K401" s="84"/>
      <c r="L401" s="84"/>
      <c r="M401" s="84"/>
      <c r="N401" s="84"/>
      <c r="O401" s="84"/>
      <c r="P401" s="85"/>
      <c r="Q401" s="75"/>
      <c r="R401" s="75"/>
      <c r="S401" s="75"/>
      <c r="T401" s="75"/>
      <c r="U401" s="89"/>
      <c r="V401" s="84"/>
      <c r="W401" s="84"/>
      <c r="X401" s="84"/>
      <c r="Y401" s="84"/>
      <c r="Z401" s="84"/>
    </row>
    <row r="402" spans="1:26" ht="15.75" customHeight="1">
      <c r="A402" s="83"/>
      <c r="B402" s="83"/>
      <c r="C402" s="83"/>
      <c r="D402" s="84"/>
      <c r="E402" s="84"/>
      <c r="F402" s="84"/>
      <c r="G402" s="83"/>
      <c r="H402" s="84"/>
      <c r="I402" s="84"/>
      <c r="J402" s="84"/>
      <c r="K402" s="84"/>
      <c r="L402" s="84"/>
      <c r="M402" s="84"/>
      <c r="N402" s="84"/>
      <c r="O402" s="84"/>
      <c r="P402" s="85"/>
      <c r="Q402" s="75"/>
      <c r="R402" s="75"/>
      <c r="S402" s="75"/>
      <c r="T402" s="75"/>
      <c r="U402" s="89"/>
      <c r="V402" s="84"/>
      <c r="W402" s="84"/>
      <c r="X402" s="84"/>
      <c r="Y402" s="84"/>
      <c r="Z402" s="84"/>
    </row>
    <row r="403" spans="1:26" ht="15.75" customHeight="1">
      <c r="A403" s="83"/>
      <c r="B403" s="83"/>
      <c r="C403" s="83"/>
      <c r="D403" s="84"/>
      <c r="E403" s="84"/>
      <c r="F403" s="84"/>
      <c r="G403" s="83"/>
      <c r="H403" s="84"/>
      <c r="I403" s="84"/>
      <c r="J403" s="84"/>
      <c r="K403" s="84"/>
      <c r="L403" s="84"/>
      <c r="M403" s="84"/>
      <c r="N403" s="84"/>
      <c r="O403" s="84"/>
      <c r="P403" s="85"/>
      <c r="Q403" s="75"/>
      <c r="R403" s="75"/>
      <c r="S403" s="75"/>
      <c r="T403" s="75"/>
      <c r="U403" s="89"/>
      <c r="V403" s="84"/>
      <c r="W403" s="84"/>
      <c r="X403" s="84"/>
      <c r="Y403" s="84"/>
      <c r="Z403" s="84"/>
    </row>
    <row r="404" spans="1:26" ht="15.75" customHeight="1">
      <c r="A404" s="83"/>
      <c r="B404" s="83"/>
      <c r="C404" s="83"/>
      <c r="D404" s="84"/>
      <c r="E404" s="84"/>
      <c r="F404" s="84"/>
      <c r="G404" s="83"/>
      <c r="H404" s="84"/>
      <c r="I404" s="84"/>
      <c r="J404" s="84"/>
      <c r="K404" s="84"/>
      <c r="L404" s="84"/>
      <c r="M404" s="84"/>
      <c r="N404" s="84"/>
      <c r="O404" s="84"/>
      <c r="P404" s="85"/>
      <c r="Q404" s="75"/>
      <c r="R404" s="75"/>
      <c r="S404" s="75"/>
      <c r="T404" s="75"/>
      <c r="U404" s="89"/>
      <c r="V404" s="84"/>
      <c r="W404" s="84"/>
      <c r="X404" s="84"/>
      <c r="Y404" s="84"/>
      <c r="Z404" s="84"/>
    </row>
    <row r="405" spans="1:26" ht="15.75" customHeight="1">
      <c r="A405" s="83"/>
      <c r="B405" s="83"/>
      <c r="C405" s="83"/>
      <c r="D405" s="84"/>
      <c r="E405" s="84"/>
      <c r="F405" s="84"/>
      <c r="G405" s="83"/>
      <c r="H405" s="84"/>
      <c r="I405" s="84"/>
      <c r="J405" s="84"/>
      <c r="K405" s="84"/>
      <c r="L405" s="84"/>
      <c r="M405" s="84"/>
      <c r="N405" s="84"/>
      <c r="O405" s="84"/>
      <c r="P405" s="85"/>
      <c r="Q405" s="75"/>
      <c r="R405" s="75"/>
      <c r="S405" s="75"/>
      <c r="T405" s="75"/>
      <c r="U405" s="89"/>
      <c r="V405" s="84"/>
      <c r="W405" s="84"/>
      <c r="X405" s="84"/>
      <c r="Y405" s="84"/>
      <c r="Z405" s="84"/>
    </row>
    <row r="406" spans="1:26" ht="15.75" customHeight="1">
      <c r="A406" s="83"/>
      <c r="B406" s="83"/>
      <c r="C406" s="83"/>
      <c r="D406" s="84"/>
      <c r="E406" s="84"/>
      <c r="F406" s="84"/>
      <c r="G406" s="83"/>
      <c r="H406" s="84"/>
      <c r="I406" s="84"/>
      <c r="J406" s="84"/>
      <c r="K406" s="84"/>
      <c r="L406" s="84"/>
      <c r="M406" s="84"/>
      <c r="N406" s="84"/>
      <c r="O406" s="84"/>
      <c r="P406" s="85"/>
      <c r="Q406" s="75"/>
      <c r="R406" s="75"/>
      <c r="S406" s="75"/>
      <c r="T406" s="75"/>
      <c r="U406" s="89"/>
      <c r="V406" s="84"/>
      <c r="W406" s="84"/>
      <c r="X406" s="84"/>
      <c r="Y406" s="84"/>
      <c r="Z406" s="84"/>
    </row>
    <row r="407" spans="1:26" ht="15.75" customHeight="1">
      <c r="A407" s="83"/>
      <c r="B407" s="83"/>
      <c r="C407" s="83"/>
      <c r="D407" s="84"/>
      <c r="E407" s="84"/>
      <c r="F407" s="84"/>
      <c r="G407" s="83"/>
      <c r="H407" s="84"/>
      <c r="I407" s="84"/>
      <c r="J407" s="84"/>
      <c r="K407" s="84"/>
      <c r="L407" s="84"/>
      <c r="M407" s="84"/>
      <c r="N407" s="84"/>
      <c r="O407" s="84"/>
      <c r="P407" s="85"/>
      <c r="Q407" s="75"/>
      <c r="R407" s="75"/>
      <c r="S407" s="75"/>
      <c r="T407" s="75"/>
      <c r="U407" s="89"/>
      <c r="V407" s="84"/>
      <c r="W407" s="84"/>
      <c r="X407" s="84"/>
      <c r="Y407" s="84"/>
      <c r="Z407" s="84"/>
    </row>
    <row r="408" spans="1:26" ht="15.75" customHeight="1">
      <c r="A408" s="83"/>
      <c r="B408" s="83"/>
      <c r="C408" s="83"/>
      <c r="D408" s="84"/>
      <c r="E408" s="84"/>
      <c r="F408" s="84"/>
      <c r="G408" s="83"/>
      <c r="H408" s="84"/>
      <c r="I408" s="84"/>
      <c r="J408" s="84"/>
      <c r="K408" s="84"/>
      <c r="L408" s="84"/>
      <c r="M408" s="84"/>
      <c r="N408" s="84"/>
      <c r="O408" s="84"/>
      <c r="P408" s="85"/>
      <c r="Q408" s="75"/>
      <c r="R408" s="75"/>
      <c r="S408" s="75"/>
      <c r="T408" s="75"/>
      <c r="U408" s="89"/>
      <c r="V408" s="84"/>
      <c r="W408" s="84"/>
      <c r="X408" s="84"/>
      <c r="Y408" s="84"/>
      <c r="Z408" s="84"/>
    </row>
    <row r="409" spans="1:26" ht="15.75" customHeight="1">
      <c r="A409" s="83"/>
      <c r="B409" s="83"/>
      <c r="C409" s="83"/>
      <c r="D409" s="84"/>
      <c r="E409" s="84"/>
      <c r="F409" s="84"/>
      <c r="G409" s="83"/>
      <c r="H409" s="84"/>
      <c r="I409" s="84"/>
      <c r="J409" s="84"/>
      <c r="K409" s="84"/>
      <c r="L409" s="84"/>
      <c r="M409" s="84"/>
      <c r="N409" s="84"/>
      <c r="O409" s="84"/>
      <c r="P409" s="85"/>
      <c r="Q409" s="75"/>
      <c r="R409" s="75"/>
      <c r="S409" s="75"/>
      <c r="T409" s="75"/>
      <c r="U409" s="89"/>
      <c r="V409" s="84"/>
      <c r="W409" s="84"/>
      <c r="X409" s="84"/>
      <c r="Y409" s="84"/>
      <c r="Z409" s="84"/>
    </row>
    <row r="410" spans="1:26" ht="15.75" customHeight="1">
      <c r="A410" s="83"/>
      <c r="B410" s="83"/>
      <c r="C410" s="83"/>
      <c r="D410" s="84"/>
      <c r="E410" s="84"/>
      <c r="F410" s="84"/>
      <c r="G410" s="83"/>
      <c r="H410" s="84"/>
      <c r="I410" s="84"/>
      <c r="J410" s="84"/>
      <c r="K410" s="84"/>
      <c r="L410" s="84"/>
      <c r="M410" s="84"/>
      <c r="N410" s="84"/>
      <c r="O410" s="84"/>
      <c r="P410" s="85"/>
      <c r="Q410" s="75"/>
      <c r="R410" s="75"/>
      <c r="S410" s="75"/>
      <c r="T410" s="75"/>
      <c r="U410" s="89"/>
      <c r="V410" s="84"/>
      <c r="W410" s="84"/>
      <c r="X410" s="84"/>
      <c r="Y410" s="84"/>
      <c r="Z410" s="84"/>
    </row>
    <row r="411" spans="1:26" ht="15.75" customHeight="1">
      <c r="A411" s="83"/>
      <c r="B411" s="83"/>
      <c r="C411" s="83"/>
      <c r="D411" s="84"/>
      <c r="E411" s="84"/>
      <c r="F411" s="84"/>
      <c r="G411" s="83"/>
      <c r="H411" s="84"/>
      <c r="I411" s="84"/>
      <c r="J411" s="84"/>
      <c r="K411" s="84"/>
      <c r="L411" s="84"/>
      <c r="M411" s="84"/>
      <c r="N411" s="84"/>
      <c r="O411" s="84"/>
      <c r="P411" s="85"/>
      <c r="Q411" s="75"/>
      <c r="R411" s="75"/>
      <c r="S411" s="75"/>
      <c r="T411" s="75"/>
      <c r="U411" s="89"/>
      <c r="V411" s="84"/>
      <c r="W411" s="84"/>
      <c r="X411" s="84"/>
      <c r="Y411" s="84"/>
      <c r="Z411" s="84"/>
    </row>
    <row r="412" spans="1:26" ht="15.75" customHeight="1">
      <c r="A412" s="83"/>
      <c r="B412" s="83"/>
      <c r="C412" s="83"/>
      <c r="D412" s="84"/>
      <c r="E412" s="84"/>
      <c r="F412" s="84"/>
      <c r="G412" s="83"/>
      <c r="H412" s="84"/>
      <c r="I412" s="84"/>
      <c r="J412" s="84"/>
      <c r="K412" s="84"/>
      <c r="L412" s="84"/>
      <c r="M412" s="84"/>
      <c r="N412" s="84"/>
      <c r="O412" s="84"/>
      <c r="P412" s="85"/>
      <c r="Q412" s="75"/>
      <c r="R412" s="75"/>
      <c r="S412" s="75"/>
      <c r="T412" s="75"/>
      <c r="U412" s="89"/>
      <c r="V412" s="84"/>
      <c r="W412" s="84"/>
      <c r="X412" s="84"/>
      <c r="Y412" s="84"/>
      <c r="Z412" s="84"/>
    </row>
    <row r="413" spans="1:26" ht="15.75" customHeight="1">
      <c r="A413" s="83"/>
      <c r="B413" s="83"/>
      <c r="C413" s="83"/>
      <c r="D413" s="84"/>
      <c r="E413" s="84"/>
      <c r="F413" s="84"/>
      <c r="G413" s="83"/>
      <c r="H413" s="84"/>
      <c r="I413" s="84"/>
      <c r="J413" s="84"/>
      <c r="K413" s="84"/>
      <c r="L413" s="84"/>
      <c r="M413" s="84"/>
      <c r="N413" s="84"/>
      <c r="O413" s="84"/>
      <c r="P413" s="85"/>
      <c r="Q413" s="75"/>
      <c r="R413" s="75"/>
      <c r="S413" s="75"/>
      <c r="T413" s="75"/>
      <c r="U413" s="89"/>
      <c r="V413" s="84"/>
      <c r="W413" s="84"/>
      <c r="X413" s="84"/>
      <c r="Y413" s="84"/>
      <c r="Z413" s="84"/>
    </row>
    <row r="414" spans="1:26" ht="15.75" customHeight="1">
      <c r="A414" s="83"/>
      <c r="B414" s="83"/>
      <c r="C414" s="83"/>
      <c r="D414" s="84"/>
      <c r="E414" s="84"/>
      <c r="F414" s="84"/>
      <c r="G414" s="83"/>
      <c r="H414" s="84"/>
      <c r="I414" s="84"/>
      <c r="J414" s="84"/>
      <c r="K414" s="84"/>
      <c r="L414" s="84"/>
      <c r="M414" s="84"/>
      <c r="N414" s="84"/>
      <c r="O414" s="84"/>
      <c r="P414" s="85"/>
      <c r="Q414" s="75"/>
      <c r="R414" s="75"/>
      <c r="S414" s="75"/>
      <c r="T414" s="75"/>
      <c r="U414" s="89"/>
      <c r="V414" s="84"/>
      <c r="W414" s="84"/>
      <c r="X414" s="84"/>
      <c r="Y414" s="84"/>
      <c r="Z414" s="84"/>
    </row>
    <row r="415" spans="1:26" ht="15.75" customHeight="1">
      <c r="A415" s="83"/>
      <c r="B415" s="83"/>
      <c r="C415" s="83"/>
      <c r="D415" s="84"/>
      <c r="E415" s="84"/>
      <c r="F415" s="84"/>
      <c r="G415" s="83"/>
      <c r="H415" s="84"/>
      <c r="I415" s="84"/>
      <c r="J415" s="84"/>
      <c r="K415" s="84"/>
      <c r="L415" s="84"/>
      <c r="M415" s="84"/>
      <c r="N415" s="84"/>
      <c r="O415" s="84"/>
      <c r="P415" s="85"/>
      <c r="Q415" s="75"/>
      <c r="R415" s="75"/>
      <c r="S415" s="75"/>
      <c r="T415" s="75"/>
      <c r="U415" s="89"/>
      <c r="V415" s="84"/>
      <c r="W415" s="84"/>
      <c r="X415" s="84"/>
      <c r="Y415" s="84"/>
      <c r="Z415" s="84"/>
    </row>
    <row r="416" spans="1:26" ht="15.75" customHeight="1">
      <c r="A416" s="83"/>
      <c r="B416" s="83"/>
      <c r="C416" s="83"/>
      <c r="D416" s="84"/>
      <c r="E416" s="84"/>
      <c r="F416" s="84"/>
      <c r="G416" s="83"/>
      <c r="H416" s="84"/>
      <c r="I416" s="84"/>
      <c r="J416" s="84"/>
      <c r="K416" s="84"/>
      <c r="L416" s="84"/>
      <c r="M416" s="84"/>
      <c r="N416" s="84"/>
      <c r="O416" s="84"/>
      <c r="P416" s="85"/>
      <c r="Q416" s="75"/>
      <c r="R416" s="75"/>
      <c r="S416" s="75"/>
      <c r="T416" s="75"/>
      <c r="U416" s="89"/>
      <c r="V416" s="84"/>
      <c r="W416" s="84"/>
      <c r="X416" s="84"/>
      <c r="Y416" s="84"/>
      <c r="Z416" s="84"/>
    </row>
    <row r="417" spans="1:26" ht="15.75" customHeight="1">
      <c r="A417" s="83"/>
      <c r="B417" s="83"/>
      <c r="C417" s="83"/>
      <c r="D417" s="84"/>
      <c r="E417" s="84"/>
      <c r="F417" s="84"/>
      <c r="G417" s="83"/>
      <c r="H417" s="84"/>
      <c r="I417" s="84"/>
      <c r="J417" s="84"/>
      <c r="K417" s="84"/>
      <c r="L417" s="84"/>
      <c r="M417" s="84"/>
      <c r="N417" s="84"/>
      <c r="O417" s="84"/>
      <c r="P417" s="85"/>
      <c r="Q417" s="75"/>
      <c r="R417" s="75"/>
      <c r="S417" s="75"/>
      <c r="T417" s="75"/>
      <c r="U417" s="89"/>
      <c r="V417" s="84"/>
      <c r="W417" s="84"/>
      <c r="X417" s="84"/>
      <c r="Y417" s="84"/>
      <c r="Z417" s="84"/>
    </row>
    <row r="418" spans="1:26" ht="15.75" customHeight="1">
      <c r="A418" s="83"/>
      <c r="B418" s="83"/>
      <c r="C418" s="83"/>
      <c r="D418" s="84"/>
      <c r="E418" s="84"/>
      <c r="F418" s="84"/>
      <c r="G418" s="83"/>
      <c r="H418" s="84"/>
      <c r="I418" s="84"/>
      <c r="J418" s="84"/>
      <c r="K418" s="84"/>
      <c r="L418" s="84"/>
      <c r="M418" s="84"/>
      <c r="N418" s="84"/>
      <c r="O418" s="84"/>
      <c r="P418" s="85"/>
      <c r="Q418" s="75"/>
      <c r="R418" s="75"/>
      <c r="S418" s="75"/>
      <c r="T418" s="75"/>
      <c r="U418" s="89"/>
      <c r="V418" s="84"/>
      <c r="W418" s="84"/>
      <c r="X418" s="84"/>
      <c r="Y418" s="84"/>
      <c r="Z418" s="84"/>
    </row>
    <row r="419" spans="1:26" ht="15.75" customHeight="1">
      <c r="A419" s="83"/>
      <c r="B419" s="83"/>
      <c r="C419" s="83"/>
      <c r="D419" s="84"/>
      <c r="E419" s="84"/>
      <c r="F419" s="84"/>
      <c r="G419" s="83"/>
      <c r="H419" s="84"/>
      <c r="I419" s="84"/>
      <c r="J419" s="84"/>
      <c r="K419" s="84"/>
      <c r="L419" s="84"/>
      <c r="M419" s="84"/>
      <c r="N419" s="84"/>
      <c r="O419" s="84"/>
      <c r="P419" s="85"/>
      <c r="Q419" s="75"/>
      <c r="R419" s="75"/>
      <c r="S419" s="75"/>
      <c r="T419" s="75"/>
      <c r="U419" s="89"/>
      <c r="V419" s="84"/>
      <c r="W419" s="84"/>
      <c r="X419" s="84"/>
      <c r="Y419" s="84"/>
      <c r="Z419" s="84"/>
    </row>
    <row r="420" spans="1:26" ht="15.75" customHeight="1">
      <c r="A420" s="83"/>
      <c r="B420" s="83"/>
      <c r="C420" s="83"/>
      <c r="D420" s="84"/>
      <c r="E420" s="84"/>
      <c r="F420" s="84"/>
      <c r="G420" s="83"/>
      <c r="H420" s="84"/>
      <c r="I420" s="84"/>
      <c r="J420" s="84"/>
      <c r="K420" s="84"/>
      <c r="L420" s="84"/>
      <c r="M420" s="84"/>
      <c r="N420" s="84"/>
      <c r="O420" s="84"/>
      <c r="P420" s="85"/>
      <c r="Q420" s="75"/>
      <c r="R420" s="75"/>
      <c r="S420" s="75"/>
      <c r="T420" s="75"/>
      <c r="U420" s="89"/>
      <c r="V420" s="84"/>
      <c r="W420" s="84"/>
      <c r="X420" s="84"/>
      <c r="Y420" s="84"/>
      <c r="Z420" s="84"/>
    </row>
    <row r="421" spans="1:26" ht="15.75" customHeight="1">
      <c r="A421" s="83"/>
      <c r="B421" s="83"/>
      <c r="C421" s="83"/>
      <c r="D421" s="84"/>
      <c r="E421" s="84"/>
      <c r="F421" s="84"/>
      <c r="G421" s="83"/>
      <c r="H421" s="84"/>
      <c r="I421" s="84"/>
      <c r="J421" s="84"/>
      <c r="K421" s="84"/>
      <c r="L421" s="84"/>
      <c r="M421" s="84"/>
      <c r="N421" s="84"/>
      <c r="O421" s="84"/>
      <c r="P421" s="85"/>
      <c r="Q421" s="75"/>
      <c r="R421" s="75"/>
      <c r="S421" s="75"/>
      <c r="T421" s="75"/>
      <c r="U421" s="89"/>
      <c r="V421" s="84"/>
      <c r="W421" s="84"/>
      <c r="X421" s="84"/>
      <c r="Y421" s="84"/>
      <c r="Z421" s="84"/>
    </row>
    <row r="422" spans="1:26" ht="15.75" customHeight="1">
      <c r="A422" s="83"/>
      <c r="B422" s="83"/>
      <c r="C422" s="83"/>
      <c r="D422" s="84"/>
      <c r="E422" s="84"/>
      <c r="F422" s="84"/>
      <c r="G422" s="83"/>
      <c r="H422" s="84"/>
      <c r="I422" s="84"/>
      <c r="J422" s="84"/>
      <c r="K422" s="84"/>
      <c r="L422" s="84"/>
      <c r="M422" s="84"/>
      <c r="N422" s="84"/>
      <c r="O422" s="84"/>
      <c r="P422" s="85"/>
      <c r="Q422" s="75"/>
      <c r="R422" s="75"/>
      <c r="S422" s="75"/>
      <c r="T422" s="75"/>
      <c r="U422" s="89"/>
      <c r="V422" s="84"/>
      <c r="W422" s="84"/>
      <c r="X422" s="84"/>
      <c r="Y422" s="84"/>
      <c r="Z422" s="84"/>
    </row>
    <row r="423" spans="1:26" ht="15.75" customHeight="1">
      <c r="A423" s="83"/>
      <c r="B423" s="83"/>
      <c r="C423" s="83"/>
      <c r="D423" s="84"/>
      <c r="E423" s="84"/>
      <c r="F423" s="84"/>
      <c r="G423" s="83"/>
      <c r="H423" s="84"/>
      <c r="I423" s="84"/>
      <c r="J423" s="84"/>
      <c r="K423" s="84"/>
      <c r="L423" s="84"/>
      <c r="M423" s="84"/>
      <c r="N423" s="84"/>
      <c r="O423" s="84"/>
      <c r="P423" s="85"/>
      <c r="Q423" s="75"/>
      <c r="R423" s="75"/>
      <c r="S423" s="75"/>
      <c r="T423" s="75"/>
      <c r="U423" s="89"/>
      <c r="V423" s="84"/>
      <c r="W423" s="84"/>
      <c r="X423" s="84"/>
      <c r="Y423" s="84"/>
      <c r="Z423" s="84"/>
    </row>
    <row r="424" spans="1:26" ht="15.75" customHeight="1">
      <c r="A424" s="83"/>
      <c r="B424" s="83"/>
      <c r="C424" s="83"/>
      <c r="D424" s="84"/>
      <c r="E424" s="84"/>
      <c r="F424" s="84"/>
      <c r="G424" s="83"/>
      <c r="H424" s="84"/>
      <c r="I424" s="84"/>
      <c r="J424" s="84"/>
      <c r="K424" s="84"/>
      <c r="L424" s="84"/>
      <c r="M424" s="84"/>
      <c r="N424" s="84"/>
      <c r="O424" s="84"/>
      <c r="P424" s="85"/>
      <c r="Q424" s="75"/>
      <c r="R424" s="75"/>
      <c r="S424" s="75"/>
      <c r="T424" s="75"/>
      <c r="U424" s="89"/>
      <c r="V424" s="84"/>
      <c r="W424" s="84"/>
      <c r="X424" s="84"/>
      <c r="Y424" s="84"/>
      <c r="Z424" s="84"/>
    </row>
    <row r="425" spans="1:26" ht="15.75" customHeight="1">
      <c r="A425" s="83"/>
      <c r="B425" s="83"/>
      <c r="C425" s="83"/>
      <c r="D425" s="84"/>
      <c r="E425" s="84"/>
      <c r="F425" s="84"/>
      <c r="G425" s="83"/>
      <c r="H425" s="84"/>
      <c r="I425" s="84"/>
      <c r="J425" s="84"/>
      <c r="K425" s="84"/>
      <c r="L425" s="84"/>
      <c r="M425" s="84"/>
      <c r="N425" s="84"/>
      <c r="O425" s="84"/>
      <c r="P425" s="85"/>
      <c r="Q425" s="75"/>
      <c r="R425" s="75"/>
      <c r="S425" s="75"/>
      <c r="T425" s="75"/>
      <c r="U425" s="89"/>
      <c r="V425" s="84"/>
      <c r="W425" s="84"/>
      <c r="X425" s="84"/>
      <c r="Y425" s="84"/>
      <c r="Z425" s="84"/>
    </row>
    <row r="426" spans="1:26" ht="15.75" customHeight="1">
      <c r="A426" s="83"/>
      <c r="B426" s="83"/>
      <c r="C426" s="83"/>
      <c r="D426" s="84"/>
      <c r="E426" s="84"/>
      <c r="F426" s="84"/>
      <c r="G426" s="83"/>
      <c r="H426" s="84"/>
      <c r="I426" s="84"/>
      <c r="J426" s="84"/>
      <c r="K426" s="84"/>
      <c r="L426" s="84"/>
      <c r="M426" s="84"/>
      <c r="N426" s="84"/>
      <c r="O426" s="84"/>
      <c r="P426" s="85"/>
      <c r="Q426" s="75"/>
      <c r="R426" s="75"/>
      <c r="S426" s="75"/>
      <c r="T426" s="75"/>
      <c r="U426" s="89"/>
      <c r="V426" s="84"/>
      <c r="W426" s="84"/>
      <c r="X426" s="84"/>
      <c r="Y426" s="84"/>
      <c r="Z426" s="84"/>
    </row>
    <row r="427" spans="1:26" ht="15.75" customHeight="1">
      <c r="A427" s="83"/>
      <c r="B427" s="83"/>
      <c r="C427" s="83"/>
      <c r="D427" s="84"/>
      <c r="E427" s="84"/>
      <c r="F427" s="84"/>
      <c r="G427" s="83"/>
      <c r="H427" s="84"/>
      <c r="I427" s="84"/>
      <c r="J427" s="84"/>
      <c r="K427" s="84"/>
      <c r="L427" s="84"/>
      <c r="M427" s="84"/>
      <c r="N427" s="84"/>
      <c r="O427" s="84"/>
      <c r="P427" s="85"/>
      <c r="Q427" s="75"/>
      <c r="R427" s="75"/>
      <c r="S427" s="75"/>
      <c r="T427" s="75"/>
      <c r="U427" s="89"/>
      <c r="V427" s="84"/>
      <c r="W427" s="84"/>
      <c r="X427" s="84"/>
      <c r="Y427" s="84"/>
      <c r="Z427" s="84"/>
    </row>
    <row r="428" spans="1:26" ht="15.75" customHeight="1">
      <c r="A428" s="83"/>
      <c r="B428" s="83"/>
      <c r="C428" s="83"/>
      <c r="D428" s="84"/>
      <c r="E428" s="84"/>
      <c r="F428" s="84"/>
      <c r="G428" s="83"/>
      <c r="H428" s="84"/>
      <c r="I428" s="84"/>
      <c r="J428" s="84"/>
      <c r="K428" s="84"/>
      <c r="L428" s="84"/>
      <c r="M428" s="84"/>
      <c r="N428" s="84"/>
      <c r="O428" s="84"/>
      <c r="P428" s="85"/>
      <c r="Q428" s="75"/>
      <c r="R428" s="75"/>
      <c r="S428" s="75"/>
      <c r="T428" s="75"/>
      <c r="U428" s="89"/>
      <c r="V428" s="84"/>
      <c r="W428" s="84"/>
      <c r="X428" s="84"/>
      <c r="Y428" s="84"/>
      <c r="Z428" s="84"/>
    </row>
    <row r="429" spans="1:26" ht="15.75" customHeight="1">
      <c r="A429" s="83"/>
      <c r="B429" s="83"/>
      <c r="C429" s="83"/>
      <c r="D429" s="84"/>
      <c r="E429" s="84"/>
      <c r="F429" s="84"/>
      <c r="G429" s="83"/>
      <c r="H429" s="84"/>
      <c r="I429" s="84"/>
      <c r="J429" s="84"/>
      <c r="K429" s="84"/>
      <c r="L429" s="84"/>
      <c r="M429" s="84"/>
      <c r="N429" s="84"/>
      <c r="O429" s="84"/>
      <c r="P429" s="85"/>
      <c r="Q429" s="75"/>
      <c r="R429" s="75"/>
      <c r="S429" s="75"/>
      <c r="T429" s="75"/>
      <c r="U429" s="89"/>
      <c r="V429" s="84"/>
      <c r="W429" s="84"/>
      <c r="X429" s="84"/>
      <c r="Y429" s="84"/>
      <c r="Z429" s="84"/>
    </row>
    <row r="430" spans="1:26" ht="15.75" customHeight="1">
      <c r="A430" s="83"/>
      <c r="B430" s="83"/>
      <c r="C430" s="83"/>
      <c r="D430" s="84"/>
      <c r="E430" s="84"/>
      <c r="F430" s="84"/>
      <c r="G430" s="83"/>
      <c r="H430" s="84"/>
      <c r="I430" s="84"/>
      <c r="J430" s="84"/>
      <c r="K430" s="84"/>
      <c r="L430" s="84"/>
      <c r="M430" s="84"/>
      <c r="N430" s="84"/>
      <c r="O430" s="84"/>
      <c r="P430" s="85"/>
      <c r="Q430" s="75"/>
      <c r="R430" s="75"/>
      <c r="S430" s="75"/>
      <c r="T430" s="75"/>
      <c r="U430" s="89"/>
      <c r="V430" s="84"/>
      <c r="W430" s="84"/>
      <c r="X430" s="84"/>
      <c r="Y430" s="84"/>
      <c r="Z430" s="84"/>
    </row>
    <row r="431" spans="1:26" ht="15.75" customHeight="1">
      <c r="A431" s="83"/>
      <c r="B431" s="83"/>
      <c r="C431" s="83"/>
      <c r="D431" s="84"/>
      <c r="E431" s="84"/>
      <c r="F431" s="84"/>
      <c r="G431" s="83"/>
      <c r="H431" s="84"/>
      <c r="I431" s="84"/>
      <c r="J431" s="84"/>
      <c r="K431" s="84"/>
      <c r="L431" s="84"/>
      <c r="M431" s="84"/>
      <c r="N431" s="84"/>
      <c r="O431" s="84"/>
      <c r="P431" s="85"/>
      <c r="Q431" s="75"/>
      <c r="R431" s="75"/>
      <c r="S431" s="75"/>
      <c r="T431" s="75"/>
      <c r="U431" s="89"/>
      <c r="V431" s="84"/>
      <c r="W431" s="84"/>
      <c r="X431" s="84"/>
      <c r="Y431" s="84"/>
      <c r="Z431" s="84"/>
    </row>
    <row r="432" spans="1:26" ht="15.75" customHeight="1">
      <c r="A432" s="83"/>
      <c r="B432" s="83"/>
      <c r="C432" s="83"/>
      <c r="D432" s="84"/>
      <c r="E432" s="84"/>
      <c r="F432" s="84"/>
      <c r="G432" s="83"/>
      <c r="H432" s="84"/>
      <c r="I432" s="84"/>
      <c r="J432" s="84"/>
      <c r="K432" s="84"/>
      <c r="L432" s="84"/>
      <c r="M432" s="84"/>
      <c r="N432" s="84"/>
      <c r="O432" s="84"/>
      <c r="P432" s="85"/>
      <c r="Q432" s="75"/>
      <c r="R432" s="75"/>
      <c r="S432" s="75"/>
      <c r="T432" s="75"/>
      <c r="U432" s="89"/>
      <c r="V432" s="84"/>
      <c r="W432" s="84"/>
      <c r="X432" s="84"/>
      <c r="Y432" s="84"/>
      <c r="Z432" s="84"/>
    </row>
    <row r="433" spans="1:26" ht="15.75" customHeight="1">
      <c r="A433" s="83"/>
      <c r="B433" s="83"/>
      <c r="C433" s="83"/>
      <c r="D433" s="84"/>
      <c r="E433" s="84"/>
      <c r="F433" s="84"/>
      <c r="G433" s="83"/>
      <c r="H433" s="84"/>
      <c r="I433" s="84"/>
      <c r="J433" s="84"/>
      <c r="K433" s="84"/>
      <c r="L433" s="84"/>
      <c r="M433" s="84"/>
      <c r="N433" s="84"/>
      <c r="O433" s="84"/>
      <c r="P433" s="85"/>
      <c r="Q433" s="75"/>
      <c r="R433" s="75"/>
      <c r="S433" s="75"/>
      <c r="T433" s="75"/>
      <c r="U433" s="89"/>
      <c r="V433" s="84"/>
      <c r="W433" s="84"/>
      <c r="X433" s="84"/>
      <c r="Y433" s="84"/>
      <c r="Z433" s="84"/>
    </row>
    <row r="434" spans="1:26" ht="15.75" customHeight="1">
      <c r="A434" s="83"/>
      <c r="B434" s="83"/>
      <c r="C434" s="83"/>
      <c r="D434" s="84"/>
      <c r="E434" s="84"/>
      <c r="F434" s="84"/>
      <c r="G434" s="83"/>
      <c r="H434" s="84"/>
      <c r="I434" s="84"/>
      <c r="J434" s="84"/>
      <c r="K434" s="84"/>
      <c r="L434" s="84"/>
      <c r="M434" s="84"/>
      <c r="N434" s="84"/>
      <c r="O434" s="84"/>
      <c r="P434" s="85"/>
      <c r="Q434" s="75"/>
      <c r="R434" s="75"/>
      <c r="S434" s="75"/>
      <c r="T434" s="75"/>
      <c r="U434" s="89"/>
      <c r="V434" s="84"/>
      <c r="W434" s="84"/>
      <c r="X434" s="84"/>
      <c r="Y434" s="84"/>
      <c r="Z434" s="84"/>
    </row>
    <row r="435" spans="1:26" ht="15.75" customHeight="1">
      <c r="A435" s="83"/>
      <c r="B435" s="83"/>
      <c r="C435" s="83"/>
      <c r="D435" s="84"/>
      <c r="E435" s="84"/>
      <c r="F435" s="84"/>
      <c r="G435" s="83"/>
      <c r="H435" s="84"/>
      <c r="I435" s="84"/>
      <c r="J435" s="84"/>
      <c r="K435" s="84"/>
      <c r="L435" s="84"/>
      <c r="M435" s="84"/>
      <c r="N435" s="84"/>
      <c r="O435" s="84"/>
      <c r="P435" s="85"/>
      <c r="Q435" s="75"/>
      <c r="R435" s="75"/>
      <c r="S435" s="75"/>
      <c r="T435" s="75"/>
      <c r="U435" s="89"/>
      <c r="V435" s="84"/>
      <c r="W435" s="84"/>
      <c r="X435" s="84"/>
      <c r="Y435" s="84"/>
      <c r="Z435" s="84"/>
    </row>
    <row r="436" spans="1:26" ht="15.75" customHeight="1">
      <c r="A436" s="83"/>
      <c r="B436" s="83"/>
      <c r="C436" s="83"/>
      <c r="D436" s="84"/>
      <c r="E436" s="84"/>
      <c r="F436" s="84"/>
      <c r="G436" s="83"/>
      <c r="H436" s="84"/>
      <c r="I436" s="84"/>
      <c r="J436" s="84"/>
      <c r="K436" s="84"/>
      <c r="L436" s="84"/>
      <c r="M436" s="84"/>
      <c r="N436" s="84"/>
      <c r="O436" s="84"/>
      <c r="P436" s="85"/>
      <c r="Q436" s="75"/>
      <c r="R436" s="75"/>
      <c r="S436" s="75"/>
      <c r="T436" s="75"/>
      <c r="U436" s="89"/>
      <c r="V436" s="84"/>
      <c r="W436" s="84"/>
      <c r="X436" s="84"/>
      <c r="Y436" s="84"/>
      <c r="Z436" s="84"/>
    </row>
    <row r="437" spans="1:26" ht="15.75" customHeight="1">
      <c r="A437" s="83"/>
      <c r="B437" s="83"/>
      <c r="C437" s="83"/>
      <c r="D437" s="84"/>
      <c r="E437" s="84"/>
      <c r="F437" s="84"/>
      <c r="G437" s="83"/>
      <c r="H437" s="84"/>
      <c r="I437" s="84"/>
      <c r="J437" s="84"/>
      <c r="K437" s="84"/>
      <c r="L437" s="84"/>
      <c r="M437" s="84"/>
      <c r="N437" s="84"/>
      <c r="O437" s="84"/>
      <c r="P437" s="85"/>
      <c r="Q437" s="75"/>
      <c r="R437" s="75"/>
      <c r="S437" s="75"/>
      <c r="T437" s="75"/>
      <c r="U437" s="89"/>
      <c r="V437" s="84"/>
      <c r="W437" s="84"/>
      <c r="X437" s="84"/>
      <c r="Y437" s="84"/>
      <c r="Z437" s="84"/>
    </row>
    <row r="438" spans="1:26" ht="15.75" customHeight="1">
      <c r="A438" s="83"/>
      <c r="B438" s="83"/>
      <c r="C438" s="83"/>
      <c r="D438" s="84"/>
      <c r="E438" s="84"/>
      <c r="F438" s="84"/>
      <c r="G438" s="83"/>
      <c r="H438" s="84"/>
      <c r="I438" s="84"/>
      <c r="J438" s="84"/>
      <c r="K438" s="84"/>
      <c r="L438" s="84"/>
      <c r="M438" s="84"/>
      <c r="N438" s="84"/>
      <c r="O438" s="84"/>
      <c r="P438" s="85"/>
      <c r="Q438" s="75"/>
      <c r="R438" s="75"/>
      <c r="S438" s="75"/>
      <c r="T438" s="75"/>
      <c r="U438" s="89"/>
      <c r="V438" s="84"/>
      <c r="W438" s="84"/>
      <c r="X438" s="84"/>
      <c r="Y438" s="84"/>
      <c r="Z438" s="84"/>
    </row>
    <row r="439" spans="1:26" ht="15.75" customHeight="1">
      <c r="A439" s="83"/>
      <c r="B439" s="83"/>
      <c r="C439" s="83"/>
      <c r="D439" s="84"/>
      <c r="E439" s="84"/>
      <c r="F439" s="84"/>
      <c r="G439" s="83"/>
      <c r="H439" s="84"/>
      <c r="I439" s="84"/>
      <c r="J439" s="84"/>
      <c r="K439" s="84"/>
      <c r="L439" s="84"/>
      <c r="M439" s="84"/>
      <c r="N439" s="84"/>
      <c r="O439" s="84"/>
      <c r="P439" s="85"/>
      <c r="Q439" s="75"/>
      <c r="R439" s="75"/>
      <c r="S439" s="75"/>
      <c r="T439" s="75"/>
      <c r="U439" s="89"/>
      <c r="V439" s="84"/>
      <c r="W439" s="84"/>
      <c r="X439" s="84"/>
      <c r="Y439" s="84"/>
      <c r="Z439" s="84"/>
    </row>
    <row r="440" spans="1:26" ht="15.75" customHeight="1">
      <c r="A440" s="83"/>
      <c r="B440" s="83"/>
      <c r="C440" s="83"/>
      <c r="D440" s="84"/>
      <c r="E440" s="84"/>
      <c r="F440" s="84"/>
      <c r="G440" s="83"/>
      <c r="H440" s="84"/>
      <c r="I440" s="84"/>
      <c r="J440" s="84"/>
      <c r="K440" s="84"/>
      <c r="L440" s="84"/>
      <c r="M440" s="84"/>
      <c r="N440" s="84"/>
      <c r="O440" s="84"/>
      <c r="P440" s="85"/>
      <c r="Q440" s="75"/>
      <c r="R440" s="75"/>
      <c r="S440" s="75"/>
      <c r="T440" s="75"/>
      <c r="U440" s="89"/>
      <c r="V440" s="84"/>
      <c r="W440" s="84"/>
      <c r="X440" s="84"/>
      <c r="Y440" s="84"/>
      <c r="Z440" s="84"/>
    </row>
    <row r="441" spans="1:26" ht="15.75" customHeight="1">
      <c r="A441" s="83"/>
      <c r="B441" s="83"/>
      <c r="C441" s="83"/>
      <c r="D441" s="84"/>
      <c r="E441" s="84"/>
      <c r="F441" s="84"/>
      <c r="G441" s="83"/>
      <c r="H441" s="84"/>
      <c r="I441" s="84"/>
      <c r="J441" s="84"/>
      <c r="K441" s="84"/>
      <c r="L441" s="84"/>
      <c r="M441" s="84"/>
      <c r="N441" s="84"/>
      <c r="O441" s="84"/>
      <c r="P441" s="85"/>
      <c r="Q441" s="75"/>
      <c r="R441" s="75"/>
      <c r="S441" s="75"/>
      <c r="T441" s="75"/>
      <c r="U441" s="89"/>
      <c r="V441" s="84"/>
      <c r="W441" s="84"/>
      <c r="X441" s="84"/>
      <c r="Y441" s="84"/>
      <c r="Z441" s="84"/>
    </row>
    <row r="442" spans="1:26" ht="15.75" customHeight="1">
      <c r="A442" s="83"/>
      <c r="B442" s="83"/>
      <c r="C442" s="83"/>
      <c r="D442" s="84"/>
      <c r="E442" s="84"/>
      <c r="F442" s="84"/>
      <c r="G442" s="83"/>
      <c r="H442" s="84"/>
      <c r="I442" s="84"/>
      <c r="J442" s="84"/>
      <c r="K442" s="84"/>
      <c r="L442" s="84"/>
      <c r="M442" s="84"/>
      <c r="N442" s="84"/>
      <c r="O442" s="84"/>
      <c r="P442" s="85"/>
      <c r="Q442" s="75"/>
      <c r="R442" s="75"/>
      <c r="S442" s="75"/>
      <c r="T442" s="75"/>
      <c r="U442" s="89"/>
      <c r="V442" s="84"/>
      <c r="W442" s="84"/>
      <c r="X442" s="84"/>
      <c r="Y442" s="84"/>
      <c r="Z442" s="84"/>
    </row>
    <row r="443" spans="1:26" ht="15.75" customHeight="1">
      <c r="A443" s="83"/>
      <c r="B443" s="83"/>
      <c r="C443" s="83"/>
      <c r="D443" s="84"/>
      <c r="E443" s="84"/>
      <c r="F443" s="84"/>
      <c r="G443" s="83"/>
      <c r="H443" s="84"/>
      <c r="I443" s="84"/>
      <c r="J443" s="84"/>
      <c r="K443" s="84"/>
      <c r="L443" s="84"/>
      <c r="M443" s="84"/>
      <c r="N443" s="84"/>
      <c r="O443" s="84"/>
      <c r="P443" s="85"/>
      <c r="Q443" s="75"/>
      <c r="R443" s="75"/>
      <c r="S443" s="75"/>
      <c r="T443" s="75"/>
      <c r="U443" s="89"/>
      <c r="V443" s="84"/>
      <c r="W443" s="84"/>
      <c r="X443" s="84"/>
      <c r="Y443" s="84"/>
      <c r="Z443" s="84"/>
    </row>
    <row r="444" spans="1:26" ht="15.75" customHeight="1">
      <c r="A444" s="83"/>
      <c r="B444" s="83"/>
      <c r="C444" s="83"/>
      <c r="D444" s="84"/>
      <c r="E444" s="84"/>
      <c r="F444" s="84"/>
      <c r="G444" s="83"/>
      <c r="H444" s="84"/>
      <c r="I444" s="84"/>
      <c r="J444" s="84"/>
      <c r="K444" s="84"/>
      <c r="L444" s="84"/>
      <c r="M444" s="84"/>
      <c r="N444" s="84"/>
      <c r="O444" s="84"/>
      <c r="P444" s="85"/>
      <c r="Q444" s="75"/>
      <c r="R444" s="75"/>
      <c r="S444" s="75"/>
      <c r="T444" s="75"/>
      <c r="U444" s="89"/>
      <c r="V444" s="84"/>
      <c r="W444" s="84"/>
      <c r="X444" s="84"/>
      <c r="Y444" s="84"/>
      <c r="Z444" s="84"/>
    </row>
    <row r="445" spans="1:26" ht="15.75" customHeight="1">
      <c r="A445" s="83"/>
      <c r="B445" s="83"/>
      <c r="C445" s="83"/>
      <c r="D445" s="84"/>
      <c r="E445" s="84"/>
      <c r="F445" s="84"/>
      <c r="G445" s="83"/>
      <c r="H445" s="84"/>
      <c r="I445" s="84"/>
      <c r="J445" s="84"/>
      <c r="K445" s="84"/>
      <c r="L445" s="84"/>
      <c r="M445" s="84"/>
      <c r="N445" s="84"/>
      <c r="O445" s="84"/>
      <c r="P445" s="85"/>
      <c r="Q445" s="75"/>
      <c r="R445" s="75"/>
      <c r="S445" s="75"/>
      <c r="T445" s="75"/>
      <c r="U445" s="89"/>
      <c r="V445" s="84"/>
      <c r="W445" s="84"/>
      <c r="X445" s="84"/>
      <c r="Y445" s="84"/>
      <c r="Z445" s="84"/>
    </row>
    <row r="446" spans="1:26" ht="15.75" customHeight="1">
      <c r="A446" s="83"/>
      <c r="B446" s="83"/>
      <c r="C446" s="83"/>
      <c r="D446" s="84"/>
      <c r="E446" s="84"/>
      <c r="F446" s="84"/>
      <c r="G446" s="83"/>
      <c r="H446" s="84"/>
      <c r="I446" s="84"/>
      <c r="J446" s="84"/>
      <c r="K446" s="84"/>
      <c r="L446" s="84"/>
      <c r="M446" s="84"/>
      <c r="N446" s="84"/>
      <c r="O446" s="84"/>
      <c r="P446" s="85"/>
      <c r="Q446" s="75"/>
      <c r="R446" s="75"/>
      <c r="S446" s="75"/>
      <c r="T446" s="75"/>
      <c r="U446" s="89"/>
      <c r="V446" s="84"/>
      <c r="W446" s="84"/>
      <c r="X446" s="84"/>
      <c r="Y446" s="84"/>
      <c r="Z446" s="84"/>
    </row>
    <row r="447" spans="1:26" ht="15.75" customHeight="1">
      <c r="A447" s="83"/>
      <c r="B447" s="83"/>
      <c r="C447" s="83"/>
      <c r="D447" s="84"/>
      <c r="E447" s="84"/>
      <c r="F447" s="84"/>
      <c r="G447" s="83"/>
      <c r="H447" s="84"/>
      <c r="I447" s="84"/>
      <c r="J447" s="84"/>
      <c r="K447" s="84"/>
      <c r="L447" s="84"/>
      <c r="M447" s="84"/>
      <c r="N447" s="84"/>
      <c r="O447" s="84"/>
      <c r="P447" s="85"/>
      <c r="Q447" s="75"/>
      <c r="R447" s="75"/>
      <c r="S447" s="75"/>
      <c r="T447" s="75"/>
      <c r="U447" s="89"/>
      <c r="V447" s="84"/>
      <c r="W447" s="84"/>
      <c r="X447" s="84"/>
      <c r="Y447" s="84"/>
      <c r="Z447" s="84"/>
    </row>
    <row r="448" spans="1:26" ht="15.75" customHeight="1">
      <c r="A448" s="83"/>
      <c r="B448" s="83"/>
      <c r="C448" s="83"/>
      <c r="D448" s="84"/>
      <c r="E448" s="84"/>
      <c r="F448" s="84"/>
      <c r="G448" s="83"/>
      <c r="H448" s="84"/>
      <c r="I448" s="84"/>
      <c r="J448" s="84"/>
      <c r="K448" s="84"/>
      <c r="L448" s="84"/>
      <c r="M448" s="84"/>
      <c r="N448" s="84"/>
      <c r="O448" s="84"/>
      <c r="P448" s="85"/>
      <c r="Q448" s="75"/>
      <c r="R448" s="75"/>
      <c r="S448" s="75"/>
      <c r="T448" s="75"/>
      <c r="U448" s="89"/>
      <c r="V448" s="84"/>
      <c r="W448" s="84"/>
      <c r="X448" s="84"/>
      <c r="Y448" s="84"/>
      <c r="Z448" s="84"/>
    </row>
    <row r="449" spans="1:26" ht="15.75" customHeight="1">
      <c r="A449" s="83"/>
      <c r="B449" s="83"/>
      <c r="C449" s="83"/>
      <c r="D449" s="84"/>
      <c r="E449" s="84"/>
      <c r="F449" s="84"/>
      <c r="G449" s="83"/>
      <c r="H449" s="84"/>
      <c r="I449" s="84"/>
      <c r="J449" s="84"/>
      <c r="K449" s="84"/>
      <c r="L449" s="84"/>
      <c r="M449" s="84"/>
      <c r="N449" s="84"/>
      <c r="O449" s="84"/>
      <c r="P449" s="85"/>
      <c r="Q449" s="75"/>
      <c r="R449" s="75"/>
      <c r="S449" s="75"/>
      <c r="T449" s="75"/>
      <c r="U449" s="89"/>
      <c r="V449" s="84"/>
      <c r="W449" s="84"/>
      <c r="X449" s="84"/>
      <c r="Y449" s="84"/>
      <c r="Z449" s="84"/>
    </row>
    <row r="450" spans="1:26" ht="15.75" customHeight="1">
      <c r="A450" s="83"/>
      <c r="B450" s="83"/>
      <c r="C450" s="83"/>
      <c r="D450" s="84"/>
      <c r="E450" s="84"/>
      <c r="F450" s="84"/>
      <c r="G450" s="83"/>
      <c r="H450" s="84"/>
      <c r="I450" s="84"/>
      <c r="J450" s="84"/>
      <c r="K450" s="84"/>
      <c r="L450" s="84"/>
      <c r="M450" s="84"/>
      <c r="N450" s="84"/>
      <c r="O450" s="84"/>
      <c r="P450" s="85"/>
      <c r="Q450" s="75"/>
      <c r="R450" s="75"/>
      <c r="S450" s="75"/>
      <c r="T450" s="75"/>
      <c r="U450" s="89"/>
      <c r="V450" s="84"/>
      <c r="W450" s="84"/>
      <c r="X450" s="84"/>
      <c r="Y450" s="84"/>
      <c r="Z450" s="84"/>
    </row>
    <row r="451" spans="1:26" ht="15.75" customHeight="1">
      <c r="A451" s="83"/>
      <c r="B451" s="83"/>
      <c r="C451" s="83"/>
      <c r="D451" s="84"/>
      <c r="E451" s="84"/>
      <c r="F451" s="84"/>
      <c r="G451" s="83"/>
      <c r="H451" s="84"/>
      <c r="I451" s="84"/>
      <c r="J451" s="84"/>
      <c r="K451" s="84"/>
      <c r="L451" s="84"/>
      <c r="M451" s="84"/>
      <c r="N451" s="84"/>
      <c r="O451" s="84"/>
      <c r="P451" s="85"/>
      <c r="Q451" s="75"/>
      <c r="R451" s="75"/>
      <c r="S451" s="75"/>
      <c r="T451" s="75"/>
      <c r="U451" s="89"/>
      <c r="V451" s="84"/>
      <c r="W451" s="84"/>
      <c r="X451" s="84"/>
      <c r="Y451" s="84"/>
      <c r="Z451" s="84"/>
    </row>
    <row r="452" spans="1:26" ht="15.75" customHeight="1">
      <c r="A452" s="83"/>
      <c r="B452" s="83"/>
      <c r="C452" s="83"/>
      <c r="D452" s="84"/>
      <c r="E452" s="84"/>
      <c r="F452" s="84"/>
      <c r="G452" s="83"/>
      <c r="H452" s="84"/>
      <c r="I452" s="84"/>
      <c r="J452" s="84"/>
      <c r="K452" s="84"/>
      <c r="L452" s="84"/>
      <c r="M452" s="84"/>
      <c r="N452" s="84"/>
      <c r="O452" s="84"/>
      <c r="P452" s="85"/>
      <c r="Q452" s="75"/>
      <c r="R452" s="75"/>
      <c r="S452" s="75"/>
      <c r="T452" s="75"/>
      <c r="U452" s="89"/>
      <c r="V452" s="84"/>
      <c r="W452" s="84"/>
      <c r="X452" s="84"/>
      <c r="Y452" s="84"/>
      <c r="Z452" s="84"/>
    </row>
    <row r="453" spans="1:26" ht="15.75" customHeight="1">
      <c r="A453" s="83"/>
      <c r="B453" s="83"/>
      <c r="C453" s="83"/>
      <c r="D453" s="84"/>
      <c r="E453" s="84"/>
      <c r="F453" s="84"/>
      <c r="G453" s="83"/>
      <c r="H453" s="84"/>
      <c r="I453" s="84"/>
      <c r="J453" s="84"/>
      <c r="K453" s="84"/>
      <c r="L453" s="84"/>
      <c r="M453" s="84"/>
      <c r="N453" s="84"/>
      <c r="O453" s="84"/>
      <c r="P453" s="85"/>
      <c r="Q453" s="75"/>
      <c r="R453" s="75"/>
      <c r="S453" s="75"/>
      <c r="T453" s="75"/>
      <c r="U453" s="89"/>
      <c r="V453" s="84"/>
      <c r="W453" s="84"/>
      <c r="X453" s="84"/>
      <c r="Y453" s="84"/>
      <c r="Z453" s="84"/>
    </row>
    <row r="454" spans="1:26" ht="15.75" customHeight="1">
      <c r="A454" s="83"/>
      <c r="B454" s="83"/>
      <c r="C454" s="83"/>
      <c r="D454" s="84"/>
      <c r="E454" s="84"/>
      <c r="F454" s="84"/>
      <c r="G454" s="83"/>
      <c r="H454" s="84"/>
      <c r="I454" s="84"/>
      <c r="J454" s="84"/>
      <c r="K454" s="84"/>
      <c r="L454" s="84"/>
      <c r="M454" s="84"/>
      <c r="N454" s="84"/>
      <c r="O454" s="84"/>
      <c r="P454" s="85"/>
      <c r="Q454" s="75"/>
      <c r="R454" s="75"/>
      <c r="S454" s="75"/>
      <c r="T454" s="75"/>
      <c r="U454" s="89"/>
      <c r="V454" s="84"/>
      <c r="W454" s="84"/>
      <c r="X454" s="84"/>
      <c r="Y454" s="84"/>
      <c r="Z454" s="84"/>
    </row>
    <row r="455" spans="1:26" ht="15.75" customHeight="1">
      <c r="A455" s="83"/>
      <c r="B455" s="83"/>
      <c r="C455" s="83"/>
      <c r="D455" s="84"/>
      <c r="E455" s="84"/>
      <c r="F455" s="84"/>
      <c r="G455" s="83"/>
      <c r="H455" s="84"/>
      <c r="I455" s="84"/>
      <c r="J455" s="84"/>
      <c r="K455" s="84"/>
      <c r="L455" s="84"/>
      <c r="M455" s="84"/>
      <c r="N455" s="84"/>
      <c r="O455" s="84"/>
      <c r="P455" s="85"/>
      <c r="Q455" s="75"/>
      <c r="R455" s="75"/>
      <c r="S455" s="75"/>
      <c r="T455" s="75"/>
      <c r="U455" s="89"/>
      <c r="V455" s="84"/>
      <c r="W455" s="84"/>
      <c r="X455" s="84"/>
      <c r="Y455" s="84"/>
      <c r="Z455" s="84"/>
    </row>
    <row r="456" spans="1:26" ht="15.75" customHeight="1">
      <c r="A456" s="83"/>
      <c r="B456" s="83"/>
      <c r="C456" s="83"/>
      <c r="D456" s="84"/>
      <c r="E456" s="84"/>
      <c r="F456" s="84"/>
      <c r="G456" s="83"/>
      <c r="H456" s="84"/>
      <c r="I456" s="84"/>
      <c r="J456" s="84"/>
      <c r="K456" s="84"/>
      <c r="L456" s="84"/>
      <c r="M456" s="84"/>
      <c r="N456" s="84"/>
      <c r="O456" s="84"/>
      <c r="P456" s="85"/>
      <c r="Q456" s="75"/>
      <c r="R456" s="75"/>
      <c r="S456" s="75"/>
      <c r="T456" s="75"/>
      <c r="U456" s="89"/>
      <c r="V456" s="84"/>
      <c r="W456" s="84"/>
      <c r="X456" s="84"/>
      <c r="Y456" s="84"/>
      <c r="Z456" s="84"/>
    </row>
    <row r="457" spans="1:26" ht="15.75" customHeight="1">
      <c r="A457" s="83"/>
      <c r="B457" s="83"/>
      <c r="C457" s="83"/>
      <c r="D457" s="84"/>
      <c r="E457" s="84"/>
      <c r="F457" s="84"/>
      <c r="G457" s="83"/>
      <c r="H457" s="84"/>
      <c r="I457" s="84"/>
      <c r="J457" s="84"/>
      <c r="K457" s="84"/>
      <c r="L457" s="84"/>
      <c r="M457" s="84"/>
      <c r="N457" s="84"/>
      <c r="O457" s="84"/>
      <c r="P457" s="85"/>
      <c r="Q457" s="75"/>
      <c r="R457" s="75"/>
      <c r="S457" s="75"/>
      <c r="T457" s="75"/>
      <c r="U457" s="89"/>
      <c r="V457" s="84"/>
      <c r="W457" s="84"/>
      <c r="X457" s="84"/>
      <c r="Y457" s="84"/>
      <c r="Z457" s="84"/>
    </row>
    <row r="458" spans="1:26" ht="15.75" customHeight="1">
      <c r="A458" s="83"/>
      <c r="B458" s="83"/>
      <c r="C458" s="83"/>
      <c r="D458" s="84"/>
      <c r="E458" s="84"/>
      <c r="F458" s="84"/>
      <c r="G458" s="83"/>
      <c r="H458" s="84"/>
      <c r="I458" s="84"/>
      <c r="J458" s="84"/>
      <c r="K458" s="84"/>
      <c r="L458" s="84"/>
      <c r="M458" s="84"/>
      <c r="N458" s="84"/>
      <c r="O458" s="84"/>
      <c r="P458" s="85"/>
      <c r="Q458" s="75"/>
      <c r="R458" s="75"/>
      <c r="S458" s="75"/>
      <c r="T458" s="75"/>
      <c r="U458" s="89"/>
      <c r="V458" s="84"/>
      <c r="W458" s="84"/>
      <c r="X458" s="84"/>
      <c r="Y458" s="84"/>
      <c r="Z458" s="84"/>
    </row>
    <row r="459" spans="1:26" ht="15.75" customHeight="1">
      <c r="A459" s="83"/>
      <c r="B459" s="83"/>
      <c r="C459" s="83"/>
      <c r="D459" s="84"/>
      <c r="E459" s="84"/>
      <c r="F459" s="84"/>
      <c r="G459" s="83"/>
      <c r="H459" s="84"/>
      <c r="I459" s="84"/>
      <c r="J459" s="84"/>
      <c r="K459" s="84"/>
      <c r="L459" s="84"/>
      <c r="M459" s="84"/>
      <c r="N459" s="84"/>
      <c r="O459" s="84"/>
      <c r="P459" s="85"/>
      <c r="Q459" s="75"/>
      <c r="R459" s="75"/>
      <c r="S459" s="75"/>
      <c r="T459" s="75"/>
      <c r="U459" s="89"/>
      <c r="V459" s="84"/>
      <c r="W459" s="84"/>
      <c r="X459" s="84"/>
      <c r="Y459" s="84"/>
      <c r="Z459" s="84"/>
    </row>
    <row r="460" spans="1:26" ht="15.75" customHeight="1">
      <c r="A460" s="83"/>
      <c r="B460" s="83"/>
      <c r="C460" s="83"/>
      <c r="D460" s="84"/>
      <c r="E460" s="84"/>
      <c r="F460" s="84"/>
      <c r="G460" s="83"/>
      <c r="H460" s="84"/>
      <c r="I460" s="84"/>
      <c r="J460" s="84"/>
      <c r="K460" s="84"/>
      <c r="L460" s="84"/>
      <c r="M460" s="84"/>
      <c r="N460" s="84"/>
      <c r="O460" s="84"/>
      <c r="P460" s="85"/>
      <c r="Q460" s="75"/>
      <c r="R460" s="75"/>
      <c r="S460" s="75"/>
      <c r="T460" s="75"/>
      <c r="U460" s="89"/>
      <c r="V460" s="84"/>
      <c r="W460" s="84"/>
      <c r="X460" s="84"/>
      <c r="Y460" s="84"/>
      <c r="Z460" s="84"/>
    </row>
    <row r="461" spans="1:26" ht="15.75" customHeight="1">
      <c r="A461" s="83"/>
      <c r="B461" s="83"/>
      <c r="C461" s="83"/>
      <c r="D461" s="84"/>
      <c r="E461" s="84"/>
      <c r="F461" s="84"/>
      <c r="G461" s="83"/>
      <c r="H461" s="84"/>
      <c r="I461" s="84"/>
      <c r="J461" s="84"/>
      <c r="K461" s="84"/>
      <c r="L461" s="84"/>
      <c r="M461" s="84"/>
      <c r="N461" s="84"/>
      <c r="O461" s="84"/>
      <c r="P461" s="85"/>
      <c r="Q461" s="75"/>
      <c r="R461" s="75"/>
      <c r="S461" s="75"/>
      <c r="T461" s="75"/>
      <c r="U461" s="89"/>
      <c r="V461" s="84"/>
      <c r="W461" s="84"/>
      <c r="X461" s="84"/>
      <c r="Y461" s="84"/>
      <c r="Z461" s="84"/>
    </row>
    <row r="462" spans="1:26" ht="15.75" customHeight="1">
      <c r="A462" s="83"/>
      <c r="B462" s="83"/>
      <c r="C462" s="83"/>
      <c r="D462" s="84"/>
      <c r="E462" s="84"/>
      <c r="F462" s="84"/>
      <c r="G462" s="83"/>
      <c r="H462" s="84"/>
      <c r="I462" s="84"/>
      <c r="J462" s="84"/>
      <c r="K462" s="84"/>
      <c r="L462" s="84"/>
      <c r="M462" s="84"/>
      <c r="N462" s="84"/>
      <c r="O462" s="84"/>
      <c r="P462" s="85"/>
      <c r="Q462" s="75"/>
      <c r="R462" s="75"/>
      <c r="S462" s="75"/>
      <c r="T462" s="75"/>
      <c r="U462" s="89"/>
      <c r="V462" s="84"/>
      <c r="W462" s="84"/>
      <c r="X462" s="84"/>
      <c r="Y462" s="84"/>
      <c r="Z462" s="84"/>
    </row>
    <row r="463" spans="1:26" ht="15.75" customHeight="1">
      <c r="A463" s="83"/>
      <c r="B463" s="83"/>
      <c r="C463" s="83"/>
      <c r="D463" s="84"/>
      <c r="E463" s="84"/>
      <c r="F463" s="84"/>
      <c r="G463" s="83"/>
      <c r="H463" s="84"/>
      <c r="I463" s="84"/>
      <c r="J463" s="84"/>
      <c r="K463" s="84"/>
      <c r="L463" s="84"/>
      <c r="M463" s="84"/>
      <c r="N463" s="84"/>
      <c r="O463" s="84"/>
      <c r="P463" s="85"/>
      <c r="Q463" s="75"/>
      <c r="R463" s="75"/>
      <c r="S463" s="75"/>
      <c r="T463" s="75"/>
      <c r="U463" s="89"/>
      <c r="V463" s="84"/>
      <c r="W463" s="84"/>
      <c r="X463" s="84"/>
      <c r="Y463" s="84"/>
      <c r="Z463" s="84"/>
    </row>
    <row r="464" spans="1:26" ht="15.75" customHeight="1">
      <c r="A464" s="83"/>
      <c r="B464" s="83"/>
      <c r="C464" s="83"/>
      <c r="D464" s="84"/>
      <c r="E464" s="84"/>
      <c r="F464" s="84"/>
      <c r="G464" s="83"/>
      <c r="H464" s="84"/>
      <c r="I464" s="84"/>
      <c r="J464" s="84"/>
      <c r="K464" s="84"/>
      <c r="L464" s="84"/>
      <c r="M464" s="84"/>
      <c r="N464" s="84"/>
      <c r="O464" s="84"/>
      <c r="P464" s="85"/>
      <c r="Q464" s="75"/>
      <c r="R464" s="75"/>
      <c r="S464" s="75"/>
      <c r="T464" s="75"/>
      <c r="U464" s="89"/>
      <c r="V464" s="84"/>
      <c r="W464" s="84"/>
      <c r="X464" s="84"/>
      <c r="Y464" s="84"/>
      <c r="Z464" s="84"/>
    </row>
    <row r="465" spans="1:26" ht="15.75" customHeight="1">
      <c r="A465" s="83"/>
      <c r="B465" s="83"/>
      <c r="C465" s="83"/>
      <c r="D465" s="84"/>
      <c r="E465" s="84"/>
      <c r="F465" s="84"/>
      <c r="G465" s="83"/>
      <c r="H465" s="84"/>
      <c r="I465" s="84"/>
      <c r="J465" s="84"/>
      <c r="K465" s="84"/>
      <c r="L465" s="84"/>
      <c r="M465" s="84"/>
      <c r="N465" s="84"/>
      <c r="O465" s="84"/>
      <c r="P465" s="85"/>
      <c r="Q465" s="75"/>
      <c r="R465" s="75"/>
      <c r="S465" s="75"/>
      <c r="T465" s="75"/>
      <c r="U465" s="89"/>
      <c r="V465" s="84"/>
      <c r="W465" s="84"/>
      <c r="X465" s="84"/>
      <c r="Y465" s="84"/>
      <c r="Z465" s="84"/>
    </row>
    <row r="466" spans="1:26" ht="15.75" customHeight="1">
      <c r="A466" s="83"/>
      <c r="B466" s="83"/>
      <c r="C466" s="83"/>
      <c r="D466" s="84"/>
      <c r="E466" s="84"/>
      <c r="F466" s="84"/>
      <c r="G466" s="83"/>
      <c r="H466" s="84"/>
      <c r="I466" s="84"/>
      <c r="J466" s="84"/>
      <c r="K466" s="84"/>
      <c r="L466" s="84"/>
      <c r="M466" s="84"/>
      <c r="N466" s="84"/>
      <c r="O466" s="84"/>
      <c r="P466" s="85"/>
      <c r="Q466" s="75"/>
      <c r="R466" s="75"/>
      <c r="S466" s="75"/>
      <c r="T466" s="75"/>
      <c r="U466" s="89"/>
      <c r="V466" s="84"/>
      <c r="W466" s="84"/>
      <c r="X466" s="84"/>
      <c r="Y466" s="84"/>
      <c r="Z466" s="84"/>
    </row>
    <row r="467" spans="1:26" ht="15.75" customHeight="1">
      <c r="A467" s="83"/>
      <c r="B467" s="83"/>
      <c r="C467" s="83"/>
      <c r="D467" s="84"/>
      <c r="E467" s="84"/>
      <c r="F467" s="84"/>
      <c r="G467" s="83"/>
      <c r="H467" s="84"/>
      <c r="I467" s="84"/>
      <c r="J467" s="84"/>
      <c r="K467" s="84"/>
      <c r="L467" s="84"/>
      <c r="M467" s="84"/>
      <c r="N467" s="84"/>
      <c r="O467" s="84"/>
      <c r="P467" s="85"/>
      <c r="Q467" s="75"/>
      <c r="R467" s="75"/>
      <c r="S467" s="75"/>
      <c r="T467" s="75"/>
      <c r="U467" s="89"/>
      <c r="V467" s="84"/>
      <c r="W467" s="84"/>
      <c r="X467" s="84"/>
      <c r="Y467" s="84"/>
      <c r="Z467" s="84"/>
    </row>
    <row r="468" spans="1:26" ht="15.75" customHeight="1">
      <c r="A468" s="83"/>
      <c r="B468" s="83"/>
      <c r="C468" s="83"/>
      <c r="D468" s="84"/>
      <c r="E468" s="84"/>
      <c r="F468" s="84"/>
      <c r="G468" s="83"/>
      <c r="H468" s="84"/>
      <c r="I468" s="84"/>
      <c r="J468" s="84"/>
      <c r="K468" s="84"/>
      <c r="L468" s="84"/>
      <c r="M468" s="84"/>
      <c r="N468" s="84"/>
      <c r="O468" s="84"/>
      <c r="P468" s="85"/>
      <c r="Q468" s="75"/>
      <c r="R468" s="75"/>
      <c r="S468" s="75"/>
      <c r="T468" s="75"/>
      <c r="U468" s="89"/>
      <c r="V468" s="84"/>
      <c r="W468" s="84"/>
      <c r="X468" s="84"/>
      <c r="Y468" s="84"/>
      <c r="Z468" s="84"/>
    </row>
    <row r="469" spans="1:26" ht="15.75" customHeight="1">
      <c r="A469" s="83"/>
      <c r="B469" s="83"/>
      <c r="C469" s="83"/>
      <c r="D469" s="84"/>
      <c r="E469" s="84"/>
      <c r="F469" s="84"/>
      <c r="G469" s="83"/>
      <c r="H469" s="84"/>
      <c r="I469" s="84"/>
      <c r="J469" s="84"/>
      <c r="K469" s="84"/>
      <c r="L469" s="84"/>
      <c r="M469" s="84"/>
      <c r="N469" s="84"/>
      <c r="O469" s="84"/>
      <c r="P469" s="85"/>
      <c r="Q469" s="75"/>
      <c r="R469" s="75"/>
      <c r="S469" s="75"/>
      <c r="T469" s="75"/>
      <c r="U469" s="89"/>
      <c r="V469" s="84"/>
      <c r="W469" s="84"/>
      <c r="X469" s="84"/>
      <c r="Y469" s="84"/>
      <c r="Z469" s="84"/>
    </row>
    <row r="470" spans="1:26" ht="15.75" customHeight="1">
      <c r="A470" s="83"/>
      <c r="B470" s="83"/>
      <c r="C470" s="83"/>
      <c r="D470" s="84"/>
      <c r="E470" s="84"/>
      <c r="F470" s="84"/>
      <c r="G470" s="83"/>
      <c r="H470" s="84"/>
      <c r="I470" s="84"/>
      <c r="J470" s="84"/>
      <c r="K470" s="84"/>
      <c r="L470" s="84"/>
      <c r="M470" s="84"/>
      <c r="N470" s="84"/>
      <c r="O470" s="84"/>
      <c r="P470" s="85"/>
      <c r="Q470" s="75"/>
      <c r="R470" s="75"/>
      <c r="S470" s="75"/>
      <c r="T470" s="75"/>
      <c r="U470" s="89"/>
      <c r="V470" s="84"/>
      <c r="W470" s="84"/>
      <c r="X470" s="84"/>
      <c r="Y470" s="84"/>
      <c r="Z470" s="84"/>
    </row>
    <row r="471" spans="1:26" ht="15.75" customHeight="1">
      <c r="A471" s="83"/>
      <c r="B471" s="83"/>
      <c r="C471" s="83"/>
      <c r="D471" s="84"/>
      <c r="E471" s="84"/>
      <c r="F471" s="84"/>
      <c r="G471" s="83"/>
      <c r="H471" s="84"/>
      <c r="I471" s="84"/>
      <c r="J471" s="84"/>
      <c r="K471" s="84"/>
      <c r="L471" s="84"/>
      <c r="M471" s="84"/>
      <c r="N471" s="84"/>
      <c r="O471" s="84"/>
      <c r="P471" s="85"/>
      <c r="Q471" s="75"/>
      <c r="R471" s="75"/>
      <c r="S471" s="75"/>
      <c r="T471" s="75"/>
      <c r="U471" s="89"/>
      <c r="V471" s="84"/>
      <c r="W471" s="84"/>
      <c r="X471" s="84"/>
      <c r="Y471" s="84"/>
      <c r="Z471" s="84"/>
    </row>
    <row r="472" spans="1:26" ht="15.75" customHeight="1">
      <c r="A472" s="83"/>
      <c r="B472" s="83"/>
      <c r="C472" s="83"/>
      <c r="D472" s="84"/>
      <c r="E472" s="84"/>
      <c r="F472" s="84"/>
      <c r="G472" s="83"/>
      <c r="H472" s="84"/>
      <c r="I472" s="84"/>
      <c r="J472" s="84"/>
      <c r="K472" s="84"/>
      <c r="L472" s="84"/>
      <c r="M472" s="84"/>
      <c r="N472" s="84"/>
      <c r="O472" s="84"/>
      <c r="P472" s="85"/>
      <c r="Q472" s="75"/>
      <c r="R472" s="75"/>
      <c r="S472" s="75"/>
      <c r="T472" s="75"/>
      <c r="U472" s="89"/>
      <c r="V472" s="84"/>
      <c r="W472" s="84"/>
      <c r="X472" s="84"/>
      <c r="Y472" s="84"/>
      <c r="Z472" s="84"/>
    </row>
    <row r="473" spans="1:26" ht="15.75" customHeight="1">
      <c r="A473" s="83"/>
      <c r="B473" s="83"/>
      <c r="C473" s="83"/>
      <c r="D473" s="84"/>
      <c r="E473" s="84"/>
      <c r="F473" s="84"/>
      <c r="G473" s="83"/>
      <c r="H473" s="84"/>
      <c r="I473" s="84"/>
      <c r="J473" s="84"/>
      <c r="K473" s="84"/>
      <c r="L473" s="84"/>
      <c r="M473" s="84"/>
      <c r="N473" s="84"/>
      <c r="O473" s="84"/>
      <c r="P473" s="85"/>
      <c r="Q473" s="75"/>
      <c r="R473" s="75"/>
      <c r="S473" s="75"/>
      <c r="T473" s="75"/>
      <c r="U473" s="89"/>
      <c r="V473" s="84"/>
      <c r="W473" s="84"/>
      <c r="X473" s="84"/>
      <c r="Y473" s="84"/>
      <c r="Z473" s="84"/>
    </row>
    <row r="474" spans="1:26" ht="15.75" customHeight="1">
      <c r="A474" s="83"/>
      <c r="B474" s="83"/>
      <c r="C474" s="83"/>
      <c r="D474" s="84"/>
      <c r="E474" s="84"/>
      <c r="F474" s="84"/>
      <c r="G474" s="83"/>
      <c r="H474" s="84"/>
      <c r="I474" s="84"/>
      <c r="J474" s="84"/>
      <c r="K474" s="84"/>
      <c r="L474" s="84"/>
      <c r="M474" s="84"/>
      <c r="N474" s="84"/>
      <c r="O474" s="84"/>
      <c r="P474" s="85"/>
      <c r="Q474" s="75"/>
      <c r="R474" s="75"/>
      <c r="S474" s="75"/>
      <c r="T474" s="75"/>
      <c r="U474" s="89"/>
      <c r="V474" s="84"/>
      <c r="W474" s="84"/>
      <c r="X474" s="84"/>
      <c r="Y474" s="84"/>
      <c r="Z474" s="84"/>
    </row>
    <row r="475" spans="1:26" ht="15.75" customHeight="1">
      <c r="A475" s="83"/>
      <c r="B475" s="83"/>
      <c r="C475" s="83"/>
      <c r="D475" s="84"/>
      <c r="E475" s="84"/>
      <c r="F475" s="84"/>
      <c r="G475" s="83"/>
      <c r="H475" s="84"/>
      <c r="I475" s="84"/>
      <c r="J475" s="84"/>
      <c r="K475" s="84"/>
      <c r="L475" s="84"/>
      <c r="M475" s="84"/>
      <c r="N475" s="84"/>
      <c r="O475" s="84"/>
      <c r="P475" s="85"/>
      <c r="Q475" s="75"/>
      <c r="R475" s="75"/>
      <c r="S475" s="75"/>
      <c r="T475" s="75"/>
      <c r="U475" s="89"/>
      <c r="V475" s="84"/>
      <c r="W475" s="84"/>
      <c r="X475" s="84"/>
      <c r="Y475" s="84"/>
      <c r="Z475" s="84"/>
    </row>
    <row r="476" spans="1:26" ht="15.75" customHeight="1">
      <c r="A476" s="83"/>
      <c r="B476" s="83"/>
      <c r="C476" s="83"/>
      <c r="D476" s="84"/>
      <c r="E476" s="84"/>
      <c r="F476" s="84"/>
      <c r="G476" s="83"/>
      <c r="H476" s="84"/>
      <c r="I476" s="84"/>
      <c r="J476" s="84"/>
      <c r="K476" s="84"/>
      <c r="L476" s="84"/>
      <c r="M476" s="84"/>
      <c r="N476" s="84"/>
      <c r="O476" s="84"/>
      <c r="P476" s="85"/>
      <c r="Q476" s="75"/>
      <c r="R476" s="75"/>
      <c r="S476" s="75"/>
      <c r="T476" s="75"/>
      <c r="U476" s="89"/>
      <c r="V476" s="84"/>
      <c r="W476" s="84"/>
      <c r="X476" s="84"/>
      <c r="Y476" s="84"/>
      <c r="Z476" s="84"/>
    </row>
    <row r="477" spans="1:26" ht="15.75" customHeight="1">
      <c r="A477" s="83"/>
      <c r="B477" s="83"/>
      <c r="C477" s="83"/>
      <c r="D477" s="84"/>
      <c r="E477" s="84"/>
      <c r="F477" s="84"/>
      <c r="G477" s="83"/>
      <c r="H477" s="84"/>
      <c r="I477" s="84"/>
      <c r="J477" s="84"/>
      <c r="K477" s="84"/>
      <c r="L477" s="84"/>
      <c r="M477" s="84"/>
      <c r="N477" s="84"/>
      <c r="O477" s="84"/>
      <c r="P477" s="85"/>
      <c r="Q477" s="75"/>
      <c r="R477" s="75"/>
      <c r="S477" s="75"/>
      <c r="T477" s="75"/>
      <c r="U477" s="89"/>
      <c r="V477" s="84"/>
      <c r="W477" s="84"/>
      <c r="X477" s="84"/>
      <c r="Y477" s="84"/>
      <c r="Z477" s="84"/>
    </row>
    <row r="478" spans="1:26" ht="15.75" customHeight="1">
      <c r="A478" s="83"/>
      <c r="B478" s="83"/>
      <c r="C478" s="83"/>
      <c r="D478" s="84"/>
      <c r="E478" s="84"/>
      <c r="F478" s="84"/>
      <c r="G478" s="83"/>
      <c r="H478" s="84"/>
      <c r="I478" s="84"/>
      <c r="J478" s="84"/>
      <c r="K478" s="84"/>
      <c r="L478" s="84"/>
      <c r="M478" s="84"/>
      <c r="N478" s="84"/>
      <c r="O478" s="84"/>
      <c r="P478" s="85"/>
      <c r="Q478" s="75"/>
      <c r="R478" s="75"/>
      <c r="S478" s="75"/>
      <c r="T478" s="75"/>
      <c r="U478" s="89"/>
      <c r="V478" s="84"/>
      <c r="W478" s="84"/>
      <c r="X478" s="84"/>
      <c r="Y478" s="84"/>
      <c r="Z478" s="84"/>
    </row>
    <row r="479" spans="1:26" ht="15.75" customHeight="1">
      <c r="A479" s="83"/>
      <c r="B479" s="83"/>
      <c r="C479" s="83"/>
      <c r="D479" s="84"/>
      <c r="E479" s="84"/>
      <c r="F479" s="84"/>
      <c r="G479" s="83"/>
      <c r="H479" s="84"/>
      <c r="I479" s="84"/>
      <c r="J479" s="84"/>
      <c r="K479" s="84"/>
      <c r="L479" s="84"/>
      <c r="M479" s="84"/>
      <c r="N479" s="84"/>
      <c r="O479" s="84"/>
      <c r="P479" s="85"/>
      <c r="Q479" s="75"/>
      <c r="R479" s="75"/>
      <c r="S479" s="75"/>
      <c r="T479" s="75"/>
      <c r="U479" s="89"/>
      <c r="V479" s="84"/>
      <c r="W479" s="84"/>
      <c r="X479" s="84"/>
      <c r="Y479" s="84"/>
      <c r="Z479" s="84"/>
    </row>
    <row r="480" spans="1:26" ht="15.75" customHeight="1">
      <c r="A480" s="83"/>
      <c r="B480" s="83"/>
      <c r="C480" s="83"/>
      <c r="D480" s="84"/>
      <c r="E480" s="84"/>
      <c r="F480" s="84"/>
      <c r="G480" s="83"/>
      <c r="H480" s="84"/>
      <c r="I480" s="84"/>
      <c r="J480" s="84"/>
      <c r="K480" s="84"/>
      <c r="L480" s="84"/>
      <c r="M480" s="84"/>
      <c r="N480" s="84"/>
      <c r="O480" s="84"/>
      <c r="P480" s="85"/>
      <c r="Q480" s="75"/>
      <c r="R480" s="75"/>
      <c r="S480" s="75"/>
      <c r="T480" s="75"/>
      <c r="U480" s="89"/>
      <c r="V480" s="84"/>
      <c r="W480" s="84"/>
      <c r="X480" s="84"/>
      <c r="Y480" s="84"/>
      <c r="Z480" s="84"/>
    </row>
    <row r="481" spans="1:26" ht="15.75" customHeight="1">
      <c r="A481" s="83"/>
      <c r="B481" s="83"/>
      <c r="C481" s="83"/>
      <c r="D481" s="84"/>
      <c r="E481" s="84"/>
      <c r="F481" s="84"/>
      <c r="G481" s="83"/>
      <c r="H481" s="84"/>
      <c r="I481" s="84"/>
      <c r="J481" s="84"/>
      <c r="K481" s="84"/>
      <c r="L481" s="84"/>
      <c r="M481" s="84"/>
      <c r="N481" s="84"/>
      <c r="O481" s="84"/>
      <c r="P481" s="85"/>
      <c r="Q481" s="75"/>
      <c r="R481" s="75"/>
      <c r="S481" s="75"/>
      <c r="T481" s="75"/>
      <c r="U481" s="89"/>
      <c r="V481" s="84"/>
      <c r="W481" s="84"/>
      <c r="X481" s="84"/>
      <c r="Y481" s="84"/>
      <c r="Z481" s="84"/>
    </row>
    <row r="482" spans="1:26" ht="15.75" customHeight="1">
      <c r="A482" s="83"/>
      <c r="B482" s="83"/>
      <c r="C482" s="83"/>
      <c r="D482" s="84"/>
      <c r="E482" s="84"/>
      <c r="F482" s="84"/>
      <c r="G482" s="83"/>
      <c r="H482" s="84"/>
      <c r="I482" s="84"/>
      <c r="J482" s="84"/>
      <c r="K482" s="84"/>
      <c r="L482" s="84"/>
      <c r="M482" s="84"/>
      <c r="N482" s="84"/>
      <c r="O482" s="84"/>
      <c r="P482" s="85"/>
      <c r="Q482" s="75"/>
      <c r="R482" s="75"/>
      <c r="S482" s="75"/>
      <c r="T482" s="75"/>
      <c r="U482" s="89"/>
      <c r="V482" s="84"/>
      <c r="W482" s="84"/>
      <c r="X482" s="84"/>
      <c r="Y482" s="84"/>
      <c r="Z482" s="84"/>
    </row>
    <row r="483" spans="1:26" ht="15.75" customHeight="1">
      <c r="A483" s="83"/>
      <c r="B483" s="83"/>
      <c r="C483" s="83"/>
      <c r="D483" s="84"/>
      <c r="E483" s="84"/>
      <c r="F483" s="84"/>
      <c r="G483" s="83"/>
      <c r="H483" s="84"/>
      <c r="I483" s="84"/>
      <c r="J483" s="84"/>
      <c r="K483" s="84"/>
      <c r="L483" s="84"/>
      <c r="M483" s="84"/>
      <c r="N483" s="84"/>
      <c r="O483" s="84"/>
      <c r="P483" s="85"/>
      <c r="Q483" s="75"/>
      <c r="R483" s="75"/>
      <c r="S483" s="75"/>
      <c r="T483" s="75"/>
      <c r="U483" s="89"/>
      <c r="V483" s="84"/>
      <c r="W483" s="84"/>
      <c r="X483" s="84"/>
      <c r="Y483" s="84"/>
      <c r="Z483" s="84"/>
    </row>
    <row r="484" spans="1:26" ht="15.75" customHeight="1">
      <c r="A484" s="83"/>
      <c r="B484" s="83"/>
      <c r="C484" s="83"/>
      <c r="D484" s="84"/>
      <c r="E484" s="84"/>
      <c r="F484" s="84"/>
      <c r="G484" s="83"/>
      <c r="H484" s="84"/>
      <c r="I484" s="84"/>
      <c r="J484" s="84"/>
      <c r="K484" s="84"/>
      <c r="L484" s="84"/>
      <c r="M484" s="84"/>
      <c r="N484" s="84"/>
      <c r="O484" s="84"/>
      <c r="P484" s="85"/>
      <c r="Q484" s="75"/>
      <c r="R484" s="75"/>
      <c r="S484" s="75"/>
      <c r="T484" s="75"/>
      <c r="U484" s="89"/>
      <c r="V484" s="84"/>
      <c r="W484" s="84"/>
      <c r="X484" s="84"/>
      <c r="Y484" s="84"/>
      <c r="Z484" s="84"/>
    </row>
    <row r="485" spans="1:26" ht="15.75" customHeight="1">
      <c r="A485" s="83"/>
      <c r="B485" s="83"/>
      <c r="C485" s="83"/>
      <c r="D485" s="84"/>
      <c r="E485" s="84"/>
      <c r="F485" s="84"/>
      <c r="G485" s="83"/>
      <c r="H485" s="84"/>
      <c r="I485" s="84"/>
      <c r="J485" s="84"/>
      <c r="K485" s="84"/>
      <c r="L485" s="84"/>
      <c r="M485" s="84"/>
      <c r="N485" s="84"/>
      <c r="O485" s="84"/>
      <c r="P485" s="85"/>
      <c r="Q485" s="75"/>
      <c r="R485" s="75"/>
      <c r="S485" s="75"/>
      <c r="T485" s="75"/>
      <c r="U485" s="89"/>
      <c r="V485" s="84"/>
      <c r="W485" s="84"/>
      <c r="X485" s="84"/>
      <c r="Y485" s="84"/>
      <c r="Z485" s="84"/>
    </row>
    <row r="486" spans="1:26" ht="15.75" customHeight="1">
      <c r="A486" s="83"/>
      <c r="B486" s="83"/>
      <c r="C486" s="83"/>
      <c r="D486" s="84"/>
      <c r="E486" s="84"/>
      <c r="F486" s="84"/>
      <c r="G486" s="83"/>
      <c r="H486" s="84"/>
      <c r="I486" s="84"/>
      <c r="J486" s="84"/>
      <c r="K486" s="84"/>
      <c r="L486" s="84"/>
      <c r="M486" s="84"/>
      <c r="N486" s="84"/>
      <c r="O486" s="84"/>
      <c r="P486" s="85"/>
      <c r="Q486" s="75"/>
      <c r="R486" s="75"/>
      <c r="S486" s="75"/>
      <c r="T486" s="75"/>
      <c r="U486" s="89"/>
      <c r="V486" s="84"/>
      <c r="W486" s="84"/>
      <c r="X486" s="84"/>
      <c r="Y486" s="84"/>
      <c r="Z486" s="84"/>
    </row>
    <row r="487" spans="1:26" ht="15.75" customHeight="1">
      <c r="A487" s="83"/>
      <c r="B487" s="83"/>
      <c r="C487" s="83"/>
      <c r="D487" s="84"/>
      <c r="E487" s="84"/>
      <c r="F487" s="84"/>
      <c r="G487" s="83"/>
      <c r="H487" s="84"/>
      <c r="I487" s="84"/>
      <c r="J487" s="84"/>
      <c r="K487" s="84"/>
      <c r="L487" s="84"/>
      <c r="M487" s="84"/>
      <c r="N487" s="84"/>
      <c r="O487" s="84"/>
      <c r="P487" s="85"/>
      <c r="Q487" s="75"/>
      <c r="R487" s="75"/>
      <c r="S487" s="75"/>
      <c r="T487" s="75"/>
      <c r="U487" s="89"/>
      <c r="V487" s="84"/>
      <c r="W487" s="84"/>
      <c r="X487" s="84"/>
      <c r="Y487" s="84"/>
      <c r="Z487" s="84"/>
    </row>
    <row r="488" spans="1:26" ht="15.75" customHeight="1">
      <c r="A488" s="83"/>
      <c r="B488" s="83"/>
      <c r="C488" s="83"/>
      <c r="D488" s="84"/>
      <c r="E488" s="84"/>
      <c r="F488" s="84"/>
      <c r="G488" s="83"/>
      <c r="H488" s="84"/>
      <c r="I488" s="84"/>
      <c r="J488" s="84"/>
      <c r="K488" s="84"/>
      <c r="L488" s="84"/>
      <c r="M488" s="84"/>
      <c r="N488" s="84"/>
      <c r="O488" s="84"/>
      <c r="P488" s="85"/>
      <c r="Q488" s="75"/>
      <c r="R488" s="75"/>
      <c r="S488" s="75"/>
      <c r="T488" s="75"/>
      <c r="U488" s="89"/>
      <c r="V488" s="84"/>
      <c r="W488" s="84"/>
      <c r="X488" s="84"/>
      <c r="Y488" s="84"/>
      <c r="Z488" s="84"/>
    </row>
    <row r="489" spans="1:26" ht="15.75" customHeight="1">
      <c r="A489" s="83"/>
      <c r="B489" s="83"/>
      <c r="C489" s="83"/>
      <c r="D489" s="84"/>
      <c r="E489" s="84"/>
      <c r="F489" s="84"/>
      <c r="G489" s="83"/>
      <c r="H489" s="84"/>
      <c r="I489" s="84"/>
      <c r="J489" s="84"/>
      <c r="K489" s="84"/>
      <c r="L489" s="84"/>
      <c r="M489" s="84"/>
      <c r="N489" s="84"/>
      <c r="O489" s="84"/>
      <c r="P489" s="85"/>
      <c r="Q489" s="75"/>
      <c r="R489" s="75"/>
      <c r="S489" s="75"/>
      <c r="T489" s="75"/>
      <c r="U489" s="89"/>
      <c r="V489" s="84"/>
      <c r="W489" s="84"/>
      <c r="X489" s="84"/>
      <c r="Y489" s="84"/>
      <c r="Z489" s="84"/>
    </row>
    <row r="490" spans="1:26" ht="15.75" customHeight="1">
      <c r="A490" s="83"/>
      <c r="B490" s="83"/>
      <c r="C490" s="83"/>
      <c r="D490" s="84"/>
      <c r="E490" s="84"/>
      <c r="F490" s="84"/>
      <c r="G490" s="83"/>
      <c r="H490" s="84"/>
      <c r="I490" s="84"/>
      <c r="J490" s="84"/>
      <c r="K490" s="84"/>
      <c r="L490" s="84"/>
      <c r="M490" s="84"/>
      <c r="N490" s="84"/>
      <c r="O490" s="84"/>
      <c r="P490" s="85"/>
      <c r="Q490" s="75"/>
      <c r="R490" s="75"/>
      <c r="S490" s="75"/>
      <c r="T490" s="75"/>
      <c r="U490" s="89"/>
      <c r="V490" s="84"/>
      <c r="W490" s="84"/>
      <c r="X490" s="84"/>
      <c r="Y490" s="84"/>
      <c r="Z490" s="84"/>
    </row>
    <row r="491" spans="1:26" ht="15.75" customHeight="1">
      <c r="A491" s="83"/>
      <c r="B491" s="83"/>
      <c r="C491" s="83"/>
      <c r="D491" s="84"/>
      <c r="E491" s="84"/>
      <c r="F491" s="84"/>
      <c r="G491" s="83"/>
      <c r="H491" s="84"/>
      <c r="I491" s="84"/>
      <c r="J491" s="84"/>
      <c r="K491" s="84"/>
      <c r="L491" s="84"/>
      <c r="M491" s="84"/>
      <c r="N491" s="84"/>
      <c r="O491" s="84"/>
      <c r="P491" s="85"/>
      <c r="Q491" s="75"/>
      <c r="R491" s="75"/>
      <c r="S491" s="75"/>
      <c r="T491" s="75"/>
      <c r="U491" s="89"/>
      <c r="V491" s="84"/>
      <c r="W491" s="84"/>
      <c r="X491" s="84"/>
      <c r="Y491" s="84"/>
      <c r="Z491" s="84"/>
    </row>
    <row r="492" spans="1:26" ht="15.75" customHeight="1">
      <c r="A492" s="83"/>
      <c r="B492" s="83"/>
      <c r="C492" s="83"/>
      <c r="D492" s="84"/>
      <c r="E492" s="84"/>
      <c r="F492" s="84"/>
      <c r="G492" s="83"/>
      <c r="H492" s="84"/>
      <c r="I492" s="84"/>
      <c r="J492" s="84"/>
      <c r="K492" s="84"/>
      <c r="L492" s="84"/>
      <c r="M492" s="84"/>
      <c r="N492" s="84"/>
      <c r="O492" s="84"/>
      <c r="P492" s="85"/>
      <c r="Q492" s="75"/>
      <c r="R492" s="75"/>
      <c r="S492" s="75"/>
      <c r="T492" s="75"/>
      <c r="U492" s="89"/>
      <c r="V492" s="84"/>
      <c r="W492" s="84"/>
      <c r="X492" s="84"/>
      <c r="Y492" s="84"/>
      <c r="Z492" s="84"/>
    </row>
    <row r="493" spans="1:26" ht="15.75" customHeight="1">
      <c r="A493" s="83"/>
      <c r="B493" s="83"/>
      <c r="C493" s="83"/>
      <c r="D493" s="84"/>
      <c r="E493" s="84"/>
      <c r="F493" s="84"/>
      <c r="G493" s="83"/>
      <c r="H493" s="84"/>
      <c r="I493" s="84"/>
      <c r="J493" s="84"/>
      <c r="K493" s="84"/>
      <c r="L493" s="84"/>
      <c r="M493" s="84"/>
      <c r="N493" s="84"/>
      <c r="O493" s="84"/>
      <c r="P493" s="85"/>
      <c r="Q493" s="75"/>
      <c r="R493" s="75"/>
      <c r="S493" s="75"/>
      <c r="T493" s="75"/>
      <c r="U493" s="89"/>
      <c r="V493" s="84"/>
      <c r="W493" s="84"/>
      <c r="X493" s="84"/>
      <c r="Y493" s="84"/>
      <c r="Z493" s="84"/>
    </row>
    <row r="494" spans="1:26" ht="15.75" customHeight="1">
      <c r="A494" s="83"/>
      <c r="B494" s="83"/>
      <c r="C494" s="83"/>
      <c r="D494" s="84"/>
      <c r="E494" s="84"/>
      <c r="F494" s="84"/>
      <c r="G494" s="83"/>
      <c r="H494" s="84"/>
      <c r="I494" s="84"/>
      <c r="J494" s="84"/>
      <c r="K494" s="84"/>
      <c r="L494" s="84"/>
      <c r="M494" s="84"/>
      <c r="N494" s="84"/>
      <c r="O494" s="84"/>
      <c r="P494" s="85"/>
      <c r="Q494" s="75"/>
      <c r="R494" s="75"/>
      <c r="S494" s="75"/>
      <c r="T494" s="75"/>
      <c r="U494" s="89"/>
      <c r="V494" s="84"/>
      <c r="W494" s="84"/>
      <c r="X494" s="84"/>
      <c r="Y494" s="84"/>
      <c r="Z494" s="84"/>
    </row>
    <row r="495" spans="1:26" ht="15.75" customHeight="1">
      <c r="A495" s="83"/>
      <c r="B495" s="83"/>
      <c r="C495" s="83"/>
      <c r="D495" s="84"/>
      <c r="E495" s="84"/>
      <c r="F495" s="84"/>
      <c r="G495" s="83"/>
      <c r="H495" s="84"/>
      <c r="I495" s="84"/>
      <c r="J495" s="84"/>
      <c r="K495" s="84"/>
      <c r="L495" s="84"/>
      <c r="M495" s="84"/>
      <c r="N495" s="84"/>
      <c r="O495" s="84"/>
      <c r="P495" s="85"/>
      <c r="Q495" s="75"/>
      <c r="R495" s="75"/>
      <c r="S495" s="75"/>
      <c r="T495" s="75"/>
      <c r="U495" s="89"/>
      <c r="V495" s="84"/>
      <c r="W495" s="84"/>
      <c r="X495" s="84"/>
      <c r="Y495" s="84"/>
      <c r="Z495" s="84"/>
    </row>
    <row r="496" spans="1:26" ht="15.75" customHeight="1">
      <c r="A496" s="83"/>
      <c r="B496" s="83"/>
      <c r="C496" s="83"/>
      <c r="D496" s="84"/>
      <c r="E496" s="84"/>
      <c r="F496" s="84"/>
      <c r="G496" s="83"/>
      <c r="H496" s="84"/>
      <c r="I496" s="84"/>
      <c r="J496" s="84"/>
      <c r="K496" s="84"/>
      <c r="L496" s="84"/>
      <c r="M496" s="84"/>
      <c r="N496" s="84"/>
      <c r="O496" s="84"/>
      <c r="P496" s="85"/>
      <c r="Q496" s="75"/>
      <c r="R496" s="75"/>
      <c r="S496" s="75"/>
      <c r="T496" s="75"/>
      <c r="U496" s="89"/>
      <c r="V496" s="84"/>
      <c r="W496" s="84"/>
      <c r="X496" s="84"/>
      <c r="Y496" s="84"/>
      <c r="Z496" s="84"/>
    </row>
    <row r="497" spans="1:26" ht="15.75" customHeight="1">
      <c r="A497" s="83"/>
      <c r="B497" s="83"/>
      <c r="C497" s="83"/>
      <c r="D497" s="84"/>
      <c r="E497" s="84"/>
      <c r="F497" s="84"/>
      <c r="G497" s="83"/>
      <c r="H497" s="84"/>
      <c r="I497" s="84"/>
      <c r="J497" s="84"/>
      <c r="K497" s="84"/>
      <c r="L497" s="84"/>
      <c r="M497" s="84"/>
      <c r="N497" s="84"/>
      <c r="O497" s="84"/>
      <c r="P497" s="85"/>
      <c r="Q497" s="75"/>
      <c r="R497" s="75"/>
      <c r="S497" s="75"/>
      <c r="T497" s="75"/>
      <c r="U497" s="89"/>
      <c r="V497" s="84"/>
      <c r="W497" s="84"/>
      <c r="X497" s="84"/>
      <c r="Y497" s="84"/>
      <c r="Z497" s="84"/>
    </row>
    <row r="498" spans="1:26" ht="15.75" customHeight="1">
      <c r="A498" s="83"/>
      <c r="B498" s="83"/>
      <c r="C498" s="83"/>
      <c r="D498" s="84"/>
      <c r="E498" s="84"/>
      <c r="F498" s="84"/>
      <c r="G498" s="83"/>
      <c r="H498" s="84"/>
      <c r="I498" s="84"/>
      <c r="J498" s="84"/>
      <c r="K498" s="84"/>
      <c r="L498" s="84"/>
      <c r="M498" s="84"/>
      <c r="N498" s="84"/>
      <c r="O498" s="84"/>
      <c r="P498" s="85"/>
      <c r="Q498" s="75"/>
      <c r="R498" s="75"/>
      <c r="S498" s="75"/>
      <c r="T498" s="75"/>
      <c r="U498" s="89"/>
      <c r="V498" s="84"/>
      <c r="W498" s="84"/>
      <c r="X498" s="84"/>
      <c r="Y498" s="84"/>
      <c r="Z498" s="84"/>
    </row>
    <row r="499" spans="1:26" ht="15.75" customHeight="1">
      <c r="A499" s="83"/>
      <c r="B499" s="83"/>
      <c r="C499" s="83"/>
      <c r="D499" s="84"/>
      <c r="E499" s="84"/>
      <c r="F499" s="84"/>
      <c r="G499" s="83"/>
      <c r="H499" s="84"/>
      <c r="I499" s="84"/>
      <c r="J499" s="84"/>
      <c r="K499" s="84"/>
      <c r="L499" s="84"/>
      <c r="M499" s="84"/>
      <c r="N499" s="84"/>
      <c r="O499" s="84"/>
      <c r="P499" s="85"/>
      <c r="Q499" s="75"/>
      <c r="R499" s="75"/>
      <c r="S499" s="75"/>
      <c r="T499" s="75"/>
      <c r="U499" s="89"/>
      <c r="V499" s="84"/>
      <c r="W499" s="84"/>
      <c r="X499" s="84"/>
      <c r="Y499" s="84"/>
      <c r="Z499" s="84"/>
    </row>
    <row r="500" spans="1:26" ht="15.75" customHeight="1">
      <c r="A500" s="83"/>
      <c r="B500" s="83"/>
      <c r="C500" s="83"/>
      <c r="D500" s="84"/>
      <c r="E500" s="84"/>
      <c r="F500" s="84"/>
      <c r="G500" s="83"/>
      <c r="H500" s="84"/>
      <c r="I500" s="84"/>
      <c r="J500" s="84"/>
      <c r="K500" s="84"/>
      <c r="L500" s="84"/>
      <c r="M500" s="84"/>
      <c r="N500" s="84"/>
      <c r="O500" s="84"/>
      <c r="P500" s="85"/>
      <c r="Q500" s="75"/>
      <c r="R500" s="75"/>
      <c r="S500" s="75"/>
      <c r="T500" s="75"/>
      <c r="U500" s="89"/>
      <c r="V500" s="84"/>
      <c r="W500" s="84"/>
      <c r="X500" s="84"/>
      <c r="Y500" s="84"/>
      <c r="Z500" s="84"/>
    </row>
    <row r="501" spans="1:26" ht="15.75" customHeight="1">
      <c r="A501" s="83"/>
      <c r="B501" s="83"/>
      <c r="C501" s="83"/>
      <c r="D501" s="84"/>
      <c r="E501" s="84"/>
      <c r="F501" s="84"/>
      <c r="G501" s="83"/>
      <c r="H501" s="84"/>
      <c r="I501" s="84"/>
      <c r="J501" s="84"/>
      <c r="K501" s="84"/>
      <c r="L501" s="84"/>
      <c r="M501" s="84"/>
      <c r="N501" s="84"/>
      <c r="O501" s="84"/>
      <c r="P501" s="85"/>
      <c r="Q501" s="75"/>
      <c r="R501" s="75"/>
      <c r="S501" s="75"/>
      <c r="T501" s="75"/>
      <c r="U501" s="89"/>
      <c r="V501" s="84"/>
      <c r="W501" s="84"/>
      <c r="X501" s="84"/>
      <c r="Y501" s="84"/>
      <c r="Z501" s="84"/>
    </row>
    <row r="502" spans="1:26" ht="15.75" customHeight="1">
      <c r="A502" s="83"/>
      <c r="B502" s="83"/>
      <c r="C502" s="83"/>
      <c r="D502" s="84"/>
      <c r="E502" s="84"/>
      <c r="F502" s="84"/>
      <c r="G502" s="83"/>
      <c r="H502" s="84"/>
      <c r="I502" s="84"/>
      <c r="J502" s="84"/>
      <c r="K502" s="84"/>
      <c r="L502" s="84"/>
      <c r="M502" s="84"/>
      <c r="N502" s="84"/>
      <c r="O502" s="84"/>
      <c r="P502" s="85"/>
      <c r="Q502" s="75"/>
      <c r="R502" s="75"/>
      <c r="S502" s="75"/>
      <c r="T502" s="75"/>
      <c r="U502" s="89"/>
      <c r="V502" s="84"/>
      <c r="W502" s="84"/>
      <c r="X502" s="84"/>
      <c r="Y502" s="84"/>
      <c r="Z502" s="84"/>
    </row>
    <row r="503" spans="1:26" ht="15.75" customHeight="1">
      <c r="A503" s="83"/>
      <c r="B503" s="83"/>
      <c r="C503" s="83"/>
      <c r="D503" s="84"/>
      <c r="E503" s="84"/>
      <c r="F503" s="84"/>
      <c r="G503" s="83"/>
      <c r="H503" s="84"/>
      <c r="I503" s="84"/>
      <c r="J503" s="84"/>
      <c r="K503" s="84"/>
      <c r="L503" s="84"/>
      <c r="M503" s="84"/>
      <c r="N503" s="84"/>
      <c r="O503" s="84"/>
      <c r="P503" s="85"/>
      <c r="Q503" s="75"/>
      <c r="R503" s="75"/>
      <c r="S503" s="75"/>
      <c r="T503" s="75"/>
      <c r="U503" s="89"/>
      <c r="V503" s="84"/>
      <c r="W503" s="84"/>
      <c r="X503" s="84"/>
      <c r="Y503" s="84"/>
      <c r="Z503" s="84"/>
    </row>
    <row r="504" spans="1:26" ht="15.75" customHeight="1">
      <c r="A504" s="83"/>
      <c r="B504" s="83"/>
      <c r="C504" s="83"/>
      <c r="D504" s="84"/>
      <c r="E504" s="84"/>
      <c r="F504" s="84"/>
      <c r="G504" s="83"/>
      <c r="H504" s="84"/>
      <c r="I504" s="84"/>
      <c r="J504" s="84"/>
      <c r="K504" s="84"/>
      <c r="L504" s="84"/>
      <c r="M504" s="84"/>
      <c r="N504" s="84"/>
      <c r="O504" s="84"/>
      <c r="P504" s="85"/>
      <c r="Q504" s="75"/>
      <c r="R504" s="75"/>
      <c r="S504" s="75"/>
      <c r="T504" s="75"/>
      <c r="U504" s="89"/>
      <c r="V504" s="84"/>
      <c r="W504" s="84"/>
      <c r="X504" s="84"/>
      <c r="Y504" s="84"/>
      <c r="Z504" s="84"/>
    </row>
    <row r="505" spans="1:26" ht="15.75" customHeight="1">
      <c r="A505" s="83"/>
      <c r="B505" s="83"/>
      <c r="C505" s="83"/>
      <c r="D505" s="84"/>
      <c r="E505" s="84"/>
      <c r="F505" s="84"/>
      <c r="G505" s="83"/>
      <c r="H505" s="84"/>
      <c r="I505" s="84"/>
      <c r="J505" s="84"/>
      <c r="K505" s="84"/>
      <c r="L505" s="84"/>
      <c r="M505" s="84"/>
      <c r="N505" s="84"/>
      <c r="O505" s="84"/>
      <c r="P505" s="85"/>
      <c r="Q505" s="75"/>
      <c r="R505" s="75"/>
      <c r="S505" s="75"/>
      <c r="T505" s="75"/>
      <c r="U505" s="89"/>
      <c r="V505" s="84"/>
      <c r="W505" s="84"/>
      <c r="X505" s="84"/>
      <c r="Y505" s="84"/>
      <c r="Z505" s="84"/>
    </row>
    <row r="506" spans="1:26" ht="15.75" customHeight="1">
      <c r="A506" s="83"/>
      <c r="B506" s="83"/>
      <c r="C506" s="83"/>
      <c r="D506" s="84"/>
      <c r="E506" s="84"/>
      <c r="F506" s="84"/>
      <c r="G506" s="83"/>
      <c r="H506" s="84"/>
      <c r="I506" s="84"/>
      <c r="J506" s="84"/>
      <c r="K506" s="84"/>
      <c r="L506" s="84"/>
      <c r="M506" s="84"/>
      <c r="N506" s="84"/>
      <c r="O506" s="84"/>
      <c r="P506" s="85"/>
      <c r="Q506" s="75"/>
      <c r="R506" s="75"/>
      <c r="S506" s="75"/>
      <c r="T506" s="75"/>
      <c r="U506" s="89"/>
      <c r="V506" s="84"/>
      <c r="W506" s="84"/>
      <c r="X506" s="84"/>
      <c r="Y506" s="84"/>
      <c r="Z506" s="84"/>
    </row>
    <row r="507" spans="1:26" ht="15.75" customHeight="1">
      <c r="A507" s="83"/>
      <c r="B507" s="83"/>
      <c r="C507" s="83"/>
      <c r="D507" s="84"/>
      <c r="E507" s="84"/>
      <c r="F507" s="84"/>
      <c r="G507" s="83"/>
      <c r="H507" s="84"/>
      <c r="I507" s="84"/>
      <c r="J507" s="84"/>
      <c r="K507" s="84"/>
      <c r="L507" s="84"/>
      <c r="M507" s="84"/>
      <c r="N507" s="84"/>
      <c r="O507" s="84"/>
      <c r="P507" s="85"/>
      <c r="Q507" s="75"/>
      <c r="R507" s="75"/>
      <c r="S507" s="75"/>
      <c r="T507" s="75"/>
      <c r="U507" s="89"/>
      <c r="V507" s="84"/>
      <c r="W507" s="84"/>
      <c r="X507" s="84"/>
      <c r="Y507" s="84"/>
      <c r="Z507" s="84"/>
    </row>
    <row r="508" spans="1:26" ht="15.75" customHeight="1">
      <c r="A508" s="83"/>
      <c r="B508" s="83"/>
      <c r="C508" s="83"/>
      <c r="D508" s="84"/>
      <c r="E508" s="84"/>
      <c r="F508" s="84"/>
      <c r="G508" s="83"/>
      <c r="H508" s="84"/>
      <c r="I508" s="84"/>
      <c r="J508" s="84"/>
      <c r="K508" s="84"/>
      <c r="L508" s="84"/>
      <c r="M508" s="84"/>
      <c r="N508" s="84"/>
      <c r="O508" s="84"/>
      <c r="P508" s="85"/>
      <c r="Q508" s="75"/>
      <c r="R508" s="75"/>
      <c r="S508" s="75"/>
      <c r="T508" s="75"/>
      <c r="U508" s="89"/>
      <c r="V508" s="84"/>
      <c r="W508" s="84"/>
      <c r="X508" s="84"/>
      <c r="Y508" s="84"/>
      <c r="Z508" s="84"/>
    </row>
    <row r="509" spans="1:26" ht="15.75" customHeight="1">
      <c r="A509" s="83"/>
      <c r="B509" s="83"/>
      <c r="C509" s="83"/>
      <c r="D509" s="84"/>
      <c r="E509" s="84"/>
      <c r="F509" s="84"/>
      <c r="G509" s="83"/>
      <c r="H509" s="84"/>
      <c r="I509" s="84"/>
      <c r="J509" s="84"/>
      <c r="K509" s="84"/>
      <c r="L509" s="84"/>
      <c r="M509" s="84"/>
      <c r="N509" s="84"/>
      <c r="O509" s="84"/>
      <c r="P509" s="85"/>
      <c r="Q509" s="75"/>
      <c r="R509" s="75"/>
      <c r="S509" s="75"/>
      <c r="T509" s="75"/>
      <c r="U509" s="89"/>
      <c r="V509" s="84"/>
      <c r="W509" s="84"/>
      <c r="X509" s="84"/>
      <c r="Y509" s="84"/>
      <c r="Z509" s="84"/>
    </row>
    <row r="510" spans="1:26" ht="15.75" customHeight="1">
      <c r="A510" s="83"/>
      <c r="B510" s="83"/>
      <c r="C510" s="83"/>
      <c r="D510" s="84"/>
      <c r="E510" s="84"/>
      <c r="F510" s="84"/>
      <c r="G510" s="83"/>
      <c r="H510" s="84"/>
      <c r="I510" s="84"/>
      <c r="J510" s="84"/>
      <c r="K510" s="84"/>
      <c r="L510" s="84"/>
      <c r="M510" s="84"/>
      <c r="N510" s="84"/>
      <c r="O510" s="84"/>
      <c r="P510" s="85"/>
      <c r="Q510" s="75"/>
      <c r="R510" s="75"/>
      <c r="S510" s="75"/>
      <c r="T510" s="75"/>
      <c r="U510" s="89"/>
      <c r="V510" s="84"/>
      <c r="W510" s="84"/>
      <c r="X510" s="84"/>
      <c r="Y510" s="84"/>
      <c r="Z510" s="84"/>
    </row>
    <row r="511" spans="1:26" ht="15.75" customHeight="1">
      <c r="A511" s="83"/>
      <c r="B511" s="83"/>
      <c r="C511" s="83"/>
      <c r="D511" s="84"/>
      <c r="E511" s="84"/>
      <c r="F511" s="84"/>
      <c r="G511" s="83"/>
      <c r="H511" s="84"/>
      <c r="I511" s="84"/>
      <c r="J511" s="84"/>
      <c r="K511" s="84"/>
      <c r="L511" s="84"/>
      <c r="M511" s="84"/>
      <c r="N511" s="84"/>
      <c r="O511" s="84"/>
      <c r="P511" s="85"/>
      <c r="Q511" s="75"/>
      <c r="R511" s="75"/>
      <c r="S511" s="75"/>
      <c r="T511" s="75"/>
      <c r="U511" s="89"/>
      <c r="V511" s="84"/>
      <c r="W511" s="84"/>
      <c r="X511" s="84"/>
      <c r="Y511" s="84"/>
      <c r="Z511" s="84"/>
    </row>
    <row r="512" spans="1:26" ht="15.75" customHeight="1">
      <c r="A512" s="83"/>
      <c r="B512" s="83"/>
      <c r="C512" s="83"/>
      <c r="D512" s="84"/>
      <c r="E512" s="84"/>
      <c r="F512" s="84"/>
      <c r="G512" s="83"/>
      <c r="H512" s="84"/>
      <c r="I512" s="84"/>
      <c r="J512" s="84"/>
      <c r="K512" s="84"/>
      <c r="L512" s="84"/>
      <c r="M512" s="84"/>
      <c r="N512" s="84"/>
      <c r="O512" s="84"/>
      <c r="P512" s="85"/>
      <c r="Q512" s="75"/>
      <c r="R512" s="75"/>
      <c r="S512" s="75"/>
      <c r="T512" s="75"/>
      <c r="U512" s="89"/>
      <c r="V512" s="84"/>
      <c r="W512" s="84"/>
      <c r="X512" s="84"/>
      <c r="Y512" s="84"/>
      <c r="Z512" s="84"/>
    </row>
    <row r="513" spans="1:26" ht="15.75" customHeight="1">
      <c r="A513" s="83"/>
      <c r="B513" s="83"/>
      <c r="C513" s="83"/>
      <c r="D513" s="84"/>
      <c r="E513" s="84"/>
      <c r="F513" s="84"/>
      <c r="G513" s="83"/>
      <c r="H513" s="84"/>
      <c r="I513" s="84"/>
      <c r="J513" s="84"/>
      <c r="K513" s="84"/>
      <c r="L513" s="84"/>
      <c r="M513" s="84"/>
      <c r="N513" s="84"/>
      <c r="O513" s="84"/>
      <c r="P513" s="85"/>
      <c r="Q513" s="75"/>
      <c r="R513" s="75"/>
      <c r="S513" s="75"/>
      <c r="T513" s="75"/>
      <c r="U513" s="89"/>
      <c r="V513" s="84"/>
      <c r="W513" s="84"/>
      <c r="X513" s="84"/>
      <c r="Y513" s="84"/>
      <c r="Z513" s="84"/>
    </row>
    <row r="514" spans="1:26" ht="15.75" customHeight="1">
      <c r="A514" s="83"/>
      <c r="B514" s="83"/>
      <c r="C514" s="83"/>
      <c r="D514" s="84"/>
      <c r="E514" s="84"/>
      <c r="F514" s="84"/>
      <c r="G514" s="83"/>
      <c r="H514" s="84"/>
      <c r="I514" s="84"/>
      <c r="J514" s="84"/>
      <c r="K514" s="84"/>
      <c r="L514" s="84"/>
      <c r="M514" s="84"/>
      <c r="N514" s="84"/>
      <c r="O514" s="84"/>
      <c r="P514" s="85"/>
      <c r="Q514" s="75"/>
      <c r="R514" s="75"/>
      <c r="S514" s="75"/>
      <c r="T514" s="75"/>
      <c r="U514" s="89"/>
      <c r="V514" s="84"/>
      <c r="W514" s="84"/>
      <c r="X514" s="84"/>
      <c r="Y514" s="84"/>
      <c r="Z514" s="84"/>
    </row>
    <row r="515" spans="1:26" ht="15.75" customHeight="1">
      <c r="A515" s="83"/>
      <c r="B515" s="83"/>
      <c r="C515" s="83"/>
      <c r="D515" s="84"/>
      <c r="E515" s="84"/>
      <c r="F515" s="84"/>
      <c r="G515" s="83"/>
      <c r="H515" s="84"/>
      <c r="I515" s="84"/>
      <c r="J515" s="84"/>
      <c r="K515" s="84"/>
      <c r="L515" s="84"/>
      <c r="M515" s="84"/>
      <c r="N515" s="84"/>
      <c r="O515" s="84"/>
      <c r="P515" s="85"/>
      <c r="Q515" s="75"/>
      <c r="R515" s="75"/>
      <c r="S515" s="75"/>
      <c r="T515" s="75"/>
      <c r="U515" s="89"/>
      <c r="V515" s="84"/>
      <c r="W515" s="84"/>
      <c r="X515" s="84"/>
      <c r="Y515" s="84"/>
      <c r="Z515" s="84"/>
    </row>
    <row r="516" spans="1:26" ht="15.75" customHeight="1">
      <c r="A516" s="83"/>
      <c r="B516" s="83"/>
      <c r="C516" s="83"/>
      <c r="D516" s="84"/>
      <c r="E516" s="84"/>
      <c r="F516" s="84"/>
      <c r="G516" s="83"/>
      <c r="H516" s="84"/>
      <c r="I516" s="84"/>
      <c r="J516" s="84"/>
      <c r="K516" s="84"/>
      <c r="L516" s="84"/>
      <c r="M516" s="84"/>
      <c r="N516" s="84"/>
      <c r="O516" s="84"/>
      <c r="P516" s="85"/>
      <c r="Q516" s="75"/>
      <c r="R516" s="75"/>
      <c r="S516" s="75"/>
      <c r="T516" s="75"/>
      <c r="U516" s="89"/>
      <c r="V516" s="84"/>
      <c r="W516" s="84"/>
      <c r="X516" s="84"/>
      <c r="Y516" s="84"/>
      <c r="Z516" s="84"/>
    </row>
    <row r="517" spans="1:26" ht="15.75" customHeight="1">
      <c r="A517" s="83"/>
      <c r="B517" s="83"/>
      <c r="C517" s="83"/>
      <c r="D517" s="84"/>
      <c r="E517" s="84"/>
      <c r="F517" s="84"/>
      <c r="G517" s="83"/>
      <c r="H517" s="84"/>
      <c r="I517" s="84"/>
      <c r="J517" s="84"/>
      <c r="K517" s="84"/>
      <c r="L517" s="84"/>
      <c r="M517" s="84"/>
      <c r="N517" s="84"/>
      <c r="O517" s="84"/>
      <c r="P517" s="85"/>
      <c r="Q517" s="75"/>
      <c r="R517" s="75"/>
      <c r="S517" s="75"/>
      <c r="T517" s="75"/>
      <c r="U517" s="89"/>
      <c r="V517" s="84"/>
      <c r="W517" s="84"/>
      <c r="X517" s="84"/>
      <c r="Y517" s="84"/>
      <c r="Z517" s="84"/>
    </row>
    <row r="518" spans="1:26" ht="15.75" customHeight="1">
      <c r="A518" s="83"/>
      <c r="B518" s="83"/>
      <c r="C518" s="83"/>
      <c r="D518" s="84"/>
      <c r="E518" s="84"/>
      <c r="F518" s="84"/>
      <c r="G518" s="83"/>
      <c r="H518" s="84"/>
      <c r="I518" s="84"/>
      <c r="J518" s="84"/>
      <c r="K518" s="84"/>
      <c r="L518" s="84"/>
      <c r="M518" s="84"/>
      <c r="N518" s="84"/>
      <c r="O518" s="84"/>
      <c r="P518" s="85"/>
      <c r="Q518" s="75"/>
      <c r="R518" s="75"/>
      <c r="S518" s="75"/>
      <c r="T518" s="75"/>
      <c r="U518" s="89"/>
      <c r="V518" s="84"/>
      <c r="W518" s="84"/>
      <c r="X518" s="84"/>
      <c r="Y518" s="84"/>
      <c r="Z518" s="84"/>
    </row>
    <row r="519" spans="1:26" ht="15.75" customHeight="1">
      <c r="A519" s="83"/>
      <c r="B519" s="83"/>
      <c r="C519" s="83"/>
      <c r="D519" s="84"/>
      <c r="E519" s="84"/>
      <c r="F519" s="84"/>
      <c r="G519" s="83"/>
      <c r="H519" s="84"/>
      <c r="I519" s="84"/>
      <c r="J519" s="84"/>
      <c r="K519" s="84"/>
      <c r="L519" s="84"/>
      <c r="M519" s="84"/>
      <c r="N519" s="84"/>
      <c r="O519" s="84"/>
      <c r="P519" s="85"/>
      <c r="Q519" s="75"/>
      <c r="R519" s="75"/>
      <c r="S519" s="75"/>
      <c r="T519" s="75"/>
      <c r="U519" s="89"/>
      <c r="V519" s="84"/>
      <c r="W519" s="84"/>
      <c r="X519" s="84"/>
      <c r="Y519" s="84"/>
      <c r="Z519" s="84"/>
    </row>
    <row r="520" spans="1:26" ht="15.75" customHeight="1">
      <c r="A520" s="83"/>
      <c r="B520" s="83"/>
      <c r="C520" s="83"/>
      <c r="D520" s="84"/>
      <c r="E520" s="84"/>
      <c r="F520" s="84"/>
      <c r="G520" s="83"/>
      <c r="H520" s="84"/>
      <c r="I520" s="84"/>
      <c r="J520" s="84"/>
      <c r="K520" s="84"/>
      <c r="L520" s="84"/>
      <c r="M520" s="84"/>
      <c r="N520" s="84"/>
      <c r="O520" s="84"/>
      <c r="P520" s="85"/>
      <c r="Q520" s="75"/>
      <c r="R520" s="75"/>
      <c r="S520" s="75"/>
      <c r="T520" s="75"/>
      <c r="U520" s="89"/>
      <c r="V520" s="84"/>
      <c r="W520" s="84"/>
      <c r="X520" s="84"/>
      <c r="Y520" s="84"/>
      <c r="Z520" s="84"/>
    </row>
    <row r="521" spans="1:26" ht="15.75" customHeight="1">
      <c r="A521" s="83"/>
      <c r="B521" s="83"/>
      <c r="C521" s="83"/>
      <c r="D521" s="84"/>
      <c r="E521" s="84"/>
      <c r="F521" s="84"/>
      <c r="G521" s="83"/>
      <c r="H521" s="84"/>
      <c r="I521" s="84"/>
      <c r="J521" s="84"/>
      <c r="K521" s="84"/>
      <c r="L521" s="84"/>
      <c r="M521" s="84"/>
      <c r="N521" s="84"/>
      <c r="O521" s="84"/>
      <c r="P521" s="85"/>
      <c r="Q521" s="75"/>
      <c r="R521" s="75"/>
      <c r="S521" s="75"/>
      <c r="T521" s="75"/>
      <c r="U521" s="89"/>
      <c r="V521" s="84"/>
      <c r="W521" s="84"/>
      <c r="X521" s="84"/>
      <c r="Y521" s="84"/>
      <c r="Z521" s="84"/>
    </row>
    <row r="522" spans="1:26" ht="15.75" customHeight="1">
      <c r="A522" s="83"/>
      <c r="B522" s="83"/>
      <c r="C522" s="83"/>
      <c r="D522" s="84"/>
      <c r="E522" s="84"/>
      <c r="F522" s="84"/>
      <c r="G522" s="83"/>
      <c r="H522" s="84"/>
      <c r="I522" s="84"/>
      <c r="J522" s="84"/>
      <c r="K522" s="84"/>
      <c r="L522" s="84"/>
      <c r="M522" s="84"/>
      <c r="N522" s="84"/>
      <c r="O522" s="84"/>
      <c r="P522" s="85"/>
      <c r="Q522" s="75"/>
      <c r="R522" s="75"/>
      <c r="S522" s="75"/>
      <c r="T522" s="75"/>
      <c r="U522" s="89"/>
      <c r="V522" s="84"/>
      <c r="W522" s="84"/>
      <c r="X522" s="84"/>
      <c r="Y522" s="84"/>
      <c r="Z522" s="84"/>
    </row>
    <row r="523" spans="1:26" ht="15.75" customHeight="1">
      <c r="A523" s="83"/>
      <c r="B523" s="83"/>
      <c r="C523" s="83"/>
      <c r="D523" s="84"/>
      <c r="E523" s="84"/>
      <c r="F523" s="84"/>
      <c r="G523" s="83"/>
      <c r="H523" s="84"/>
      <c r="I523" s="84"/>
      <c r="J523" s="84"/>
      <c r="K523" s="84"/>
      <c r="L523" s="84"/>
      <c r="M523" s="84"/>
      <c r="N523" s="84"/>
      <c r="O523" s="84"/>
      <c r="P523" s="85"/>
      <c r="Q523" s="75"/>
      <c r="R523" s="75"/>
      <c r="S523" s="75"/>
      <c r="T523" s="75"/>
      <c r="U523" s="89"/>
      <c r="V523" s="84"/>
      <c r="W523" s="84"/>
      <c r="X523" s="84"/>
      <c r="Y523" s="84"/>
      <c r="Z523" s="84"/>
    </row>
    <row r="524" spans="1:26" ht="15.75" customHeight="1">
      <c r="A524" s="83"/>
      <c r="B524" s="83"/>
      <c r="C524" s="83"/>
      <c r="D524" s="84"/>
      <c r="E524" s="84"/>
      <c r="F524" s="84"/>
      <c r="G524" s="83"/>
      <c r="H524" s="84"/>
      <c r="I524" s="84"/>
      <c r="J524" s="84"/>
      <c r="K524" s="84"/>
      <c r="L524" s="84"/>
      <c r="M524" s="84"/>
      <c r="N524" s="84"/>
      <c r="O524" s="84"/>
      <c r="P524" s="85"/>
      <c r="Q524" s="75"/>
      <c r="R524" s="75"/>
      <c r="S524" s="75"/>
      <c r="T524" s="75"/>
      <c r="U524" s="89"/>
      <c r="V524" s="84"/>
      <c r="W524" s="84"/>
      <c r="X524" s="84"/>
      <c r="Y524" s="84"/>
      <c r="Z524" s="84"/>
    </row>
    <row r="525" spans="1:26" ht="15.75" customHeight="1">
      <c r="A525" s="83"/>
      <c r="B525" s="83"/>
      <c r="C525" s="83"/>
      <c r="D525" s="84"/>
      <c r="E525" s="84"/>
      <c r="F525" s="84"/>
      <c r="G525" s="83"/>
      <c r="H525" s="84"/>
      <c r="I525" s="84"/>
      <c r="J525" s="84"/>
      <c r="K525" s="84"/>
      <c r="L525" s="84"/>
      <c r="M525" s="84"/>
      <c r="N525" s="84"/>
      <c r="O525" s="84"/>
      <c r="P525" s="85"/>
      <c r="Q525" s="75"/>
      <c r="R525" s="75"/>
      <c r="S525" s="75"/>
      <c r="T525" s="75"/>
      <c r="U525" s="89"/>
      <c r="V525" s="84"/>
      <c r="W525" s="84"/>
      <c r="X525" s="84"/>
      <c r="Y525" s="84"/>
      <c r="Z525" s="84"/>
    </row>
    <row r="526" spans="1:26" ht="15.75" customHeight="1">
      <c r="A526" s="83"/>
      <c r="B526" s="83"/>
      <c r="C526" s="83"/>
      <c r="D526" s="84"/>
      <c r="E526" s="84"/>
      <c r="F526" s="84"/>
      <c r="G526" s="83"/>
      <c r="H526" s="84"/>
      <c r="I526" s="84"/>
      <c r="J526" s="84"/>
      <c r="K526" s="84"/>
      <c r="L526" s="84"/>
      <c r="M526" s="84"/>
      <c r="N526" s="84"/>
      <c r="O526" s="84"/>
      <c r="P526" s="85"/>
      <c r="Q526" s="75"/>
      <c r="R526" s="75"/>
      <c r="S526" s="75"/>
      <c r="T526" s="75"/>
      <c r="U526" s="89"/>
      <c r="V526" s="84"/>
      <c r="W526" s="84"/>
      <c r="X526" s="84"/>
      <c r="Y526" s="84"/>
      <c r="Z526" s="84"/>
    </row>
    <row r="527" spans="1:26" ht="15.75" customHeight="1">
      <c r="A527" s="83"/>
      <c r="B527" s="83"/>
      <c r="C527" s="83"/>
      <c r="D527" s="84"/>
      <c r="E527" s="84"/>
      <c r="F527" s="84"/>
      <c r="G527" s="83"/>
      <c r="H527" s="84"/>
      <c r="I527" s="84"/>
      <c r="J527" s="84"/>
      <c r="K527" s="84"/>
      <c r="L527" s="84"/>
      <c r="M527" s="84"/>
      <c r="N527" s="84"/>
      <c r="O527" s="84"/>
      <c r="P527" s="85"/>
      <c r="Q527" s="75"/>
      <c r="R527" s="75"/>
      <c r="S527" s="75"/>
      <c r="T527" s="75"/>
      <c r="U527" s="89"/>
      <c r="V527" s="84"/>
      <c r="W527" s="84"/>
      <c r="X527" s="84"/>
      <c r="Y527" s="84"/>
      <c r="Z527" s="84"/>
    </row>
    <row r="528" spans="1:26" ht="15.75" customHeight="1">
      <c r="A528" s="83"/>
      <c r="B528" s="83"/>
      <c r="C528" s="83"/>
      <c r="D528" s="84"/>
      <c r="E528" s="84"/>
      <c r="F528" s="84"/>
      <c r="G528" s="83"/>
      <c r="H528" s="84"/>
      <c r="I528" s="84"/>
      <c r="J528" s="84"/>
      <c r="K528" s="84"/>
      <c r="L528" s="84"/>
      <c r="M528" s="84"/>
      <c r="N528" s="84"/>
      <c r="O528" s="84"/>
      <c r="P528" s="85"/>
      <c r="Q528" s="75"/>
      <c r="R528" s="75"/>
      <c r="S528" s="75"/>
      <c r="T528" s="75"/>
      <c r="U528" s="89"/>
      <c r="V528" s="84"/>
      <c r="W528" s="84"/>
      <c r="X528" s="84"/>
      <c r="Y528" s="84"/>
      <c r="Z528" s="84"/>
    </row>
    <row r="529" spans="1:26" ht="15.75" customHeight="1">
      <c r="A529" s="83"/>
      <c r="B529" s="83"/>
      <c r="C529" s="83"/>
      <c r="D529" s="84"/>
      <c r="E529" s="84"/>
      <c r="F529" s="84"/>
      <c r="G529" s="83"/>
      <c r="H529" s="84"/>
      <c r="I529" s="84"/>
      <c r="J529" s="84"/>
      <c r="K529" s="84"/>
      <c r="L529" s="84"/>
      <c r="M529" s="84"/>
      <c r="N529" s="84"/>
      <c r="O529" s="84"/>
      <c r="P529" s="85"/>
      <c r="Q529" s="75"/>
      <c r="R529" s="75"/>
      <c r="S529" s="75"/>
      <c r="T529" s="75"/>
      <c r="U529" s="89"/>
      <c r="V529" s="84"/>
      <c r="W529" s="84"/>
      <c r="X529" s="84"/>
      <c r="Y529" s="84"/>
      <c r="Z529" s="84"/>
    </row>
    <row r="530" spans="1:26" ht="15.75" customHeight="1">
      <c r="A530" s="83"/>
      <c r="B530" s="83"/>
      <c r="C530" s="83"/>
      <c r="D530" s="84"/>
      <c r="E530" s="84"/>
      <c r="F530" s="84"/>
      <c r="G530" s="83"/>
      <c r="H530" s="84"/>
      <c r="I530" s="84"/>
      <c r="J530" s="84"/>
      <c r="K530" s="84"/>
      <c r="L530" s="84"/>
      <c r="M530" s="84"/>
      <c r="N530" s="84"/>
      <c r="O530" s="84"/>
      <c r="P530" s="85"/>
      <c r="Q530" s="75"/>
      <c r="R530" s="75"/>
      <c r="S530" s="75"/>
      <c r="T530" s="75"/>
      <c r="U530" s="89"/>
      <c r="V530" s="84"/>
      <c r="W530" s="84"/>
      <c r="X530" s="84"/>
      <c r="Y530" s="84"/>
      <c r="Z530" s="84"/>
    </row>
    <row r="531" spans="1:26" ht="15.75" customHeight="1">
      <c r="A531" s="83"/>
      <c r="B531" s="83"/>
      <c r="C531" s="83"/>
      <c r="D531" s="84"/>
      <c r="E531" s="84"/>
      <c r="F531" s="84"/>
      <c r="G531" s="83"/>
      <c r="H531" s="84"/>
      <c r="I531" s="84"/>
      <c r="J531" s="84"/>
      <c r="K531" s="84"/>
      <c r="L531" s="84"/>
      <c r="M531" s="84"/>
      <c r="N531" s="84"/>
      <c r="O531" s="84"/>
      <c r="P531" s="85"/>
      <c r="Q531" s="75"/>
      <c r="R531" s="75"/>
      <c r="S531" s="75"/>
      <c r="T531" s="75"/>
      <c r="U531" s="89"/>
      <c r="V531" s="84"/>
      <c r="W531" s="84"/>
      <c r="X531" s="84"/>
      <c r="Y531" s="84"/>
      <c r="Z531" s="84"/>
    </row>
    <row r="532" spans="1:26" ht="15.75" customHeight="1">
      <c r="A532" s="83"/>
      <c r="B532" s="83"/>
      <c r="C532" s="83"/>
      <c r="D532" s="84"/>
      <c r="E532" s="84"/>
      <c r="F532" s="84"/>
      <c r="G532" s="83"/>
      <c r="H532" s="84"/>
      <c r="I532" s="84"/>
      <c r="J532" s="84"/>
      <c r="K532" s="84"/>
      <c r="L532" s="84"/>
      <c r="M532" s="84"/>
      <c r="N532" s="84"/>
      <c r="O532" s="84"/>
      <c r="P532" s="85"/>
      <c r="Q532" s="75"/>
      <c r="R532" s="75"/>
      <c r="S532" s="75"/>
      <c r="T532" s="75"/>
      <c r="U532" s="89"/>
      <c r="V532" s="84"/>
      <c r="W532" s="84"/>
      <c r="X532" s="84"/>
      <c r="Y532" s="84"/>
      <c r="Z532" s="84"/>
    </row>
    <row r="533" spans="1:26" ht="15.75" customHeight="1">
      <c r="A533" s="83"/>
      <c r="B533" s="83"/>
      <c r="C533" s="83"/>
      <c r="D533" s="84"/>
      <c r="E533" s="84"/>
      <c r="F533" s="84"/>
      <c r="G533" s="83"/>
      <c r="H533" s="84"/>
      <c r="I533" s="84"/>
      <c r="J533" s="84"/>
      <c r="K533" s="84"/>
      <c r="L533" s="84"/>
      <c r="M533" s="84"/>
      <c r="N533" s="84"/>
      <c r="O533" s="84"/>
      <c r="P533" s="85"/>
      <c r="Q533" s="75"/>
      <c r="R533" s="75"/>
      <c r="S533" s="75"/>
      <c r="T533" s="75"/>
      <c r="U533" s="89"/>
      <c r="V533" s="84"/>
      <c r="W533" s="84"/>
      <c r="X533" s="84"/>
      <c r="Y533" s="84"/>
      <c r="Z533" s="84"/>
    </row>
    <row r="534" spans="1:26" ht="15.75" customHeight="1">
      <c r="A534" s="83"/>
      <c r="B534" s="83"/>
      <c r="C534" s="83"/>
      <c r="D534" s="84"/>
      <c r="E534" s="84"/>
      <c r="F534" s="84"/>
      <c r="G534" s="83"/>
      <c r="H534" s="84"/>
      <c r="I534" s="84"/>
      <c r="J534" s="84"/>
      <c r="K534" s="84"/>
      <c r="L534" s="84"/>
      <c r="M534" s="84"/>
      <c r="N534" s="84"/>
      <c r="O534" s="84"/>
      <c r="P534" s="85"/>
      <c r="Q534" s="75"/>
      <c r="R534" s="75"/>
      <c r="S534" s="75"/>
      <c r="T534" s="75"/>
      <c r="U534" s="89"/>
      <c r="V534" s="84"/>
      <c r="W534" s="84"/>
      <c r="X534" s="84"/>
      <c r="Y534" s="84"/>
      <c r="Z534" s="84"/>
    </row>
    <row r="535" spans="1:26" ht="15.75" customHeight="1">
      <c r="A535" s="83"/>
      <c r="B535" s="83"/>
      <c r="C535" s="83"/>
      <c r="D535" s="84"/>
      <c r="E535" s="84"/>
      <c r="F535" s="84"/>
      <c r="G535" s="83"/>
      <c r="H535" s="84"/>
      <c r="I535" s="84"/>
      <c r="J535" s="84"/>
      <c r="K535" s="84"/>
      <c r="L535" s="84"/>
      <c r="M535" s="84"/>
      <c r="N535" s="84"/>
      <c r="O535" s="84"/>
      <c r="P535" s="85"/>
      <c r="Q535" s="75"/>
      <c r="R535" s="75"/>
      <c r="S535" s="75"/>
      <c r="T535" s="75"/>
      <c r="U535" s="89"/>
      <c r="V535" s="84"/>
      <c r="W535" s="84"/>
      <c r="X535" s="84"/>
      <c r="Y535" s="84"/>
      <c r="Z535" s="84"/>
    </row>
    <row r="536" spans="1:26" ht="15.75" customHeight="1">
      <c r="A536" s="83"/>
      <c r="B536" s="83"/>
      <c r="C536" s="83"/>
      <c r="D536" s="84"/>
      <c r="E536" s="84"/>
      <c r="F536" s="84"/>
      <c r="G536" s="83"/>
      <c r="H536" s="84"/>
      <c r="I536" s="84"/>
      <c r="J536" s="84"/>
      <c r="K536" s="84"/>
      <c r="L536" s="84"/>
      <c r="M536" s="84"/>
      <c r="N536" s="84"/>
      <c r="O536" s="84"/>
      <c r="P536" s="85"/>
      <c r="Q536" s="75"/>
      <c r="R536" s="75"/>
      <c r="S536" s="75"/>
      <c r="T536" s="75"/>
      <c r="U536" s="89"/>
      <c r="V536" s="84"/>
      <c r="W536" s="84"/>
      <c r="X536" s="84"/>
      <c r="Y536" s="84"/>
      <c r="Z536" s="84"/>
    </row>
    <row r="537" spans="1:26" ht="15.75" customHeight="1">
      <c r="A537" s="83"/>
      <c r="B537" s="83"/>
      <c r="C537" s="83"/>
      <c r="D537" s="84"/>
      <c r="E537" s="84"/>
      <c r="F537" s="84"/>
      <c r="G537" s="83"/>
      <c r="H537" s="84"/>
      <c r="I537" s="84"/>
      <c r="J537" s="84"/>
      <c r="K537" s="84"/>
      <c r="L537" s="84"/>
      <c r="M537" s="84"/>
      <c r="N537" s="84"/>
      <c r="O537" s="84"/>
      <c r="P537" s="85"/>
      <c r="Q537" s="75"/>
      <c r="R537" s="75"/>
      <c r="S537" s="75"/>
      <c r="T537" s="75"/>
      <c r="U537" s="89"/>
      <c r="V537" s="84"/>
      <c r="W537" s="84"/>
      <c r="X537" s="84"/>
      <c r="Y537" s="84"/>
      <c r="Z537" s="84"/>
    </row>
    <row r="538" spans="1:26" ht="15.75" customHeight="1">
      <c r="A538" s="83"/>
      <c r="B538" s="83"/>
      <c r="C538" s="83"/>
      <c r="D538" s="84"/>
      <c r="E538" s="84"/>
      <c r="F538" s="84"/>
      <c r="G538" s="83"/>
      <c r="H538" s="84"/>
      <c r="I538" s="84"/>
      <c r="J538" s="84"/>
      <c r="K538" s="84"/>
      <c r="L538" s="84"/>
      <c r="M538" s="84"/>
      <c r="N538" s="84"/>
      <c r="O538" s="84"/>
      <c r="P538" s="85"/>
      <c r="Q538" s="75"/>
      <c r="R538" s="75"/>
      <c r="S538" s="75"/>
      <c r="T538" s="75"/>
      <c r="U538" s="89"/>
      <c r="V538" s="84"/>
      <c r="W538" s="84"/>
      <c r="X538" s="84"/>
      <c r="Y538" s="84"/>
      <c r="Z538" s="84"/>
    </row>
    <row r="539" spans="1:26" ht="15.75" customHeight="1">
      <c r="A539" s="83"/>
      <c r="B539" s="83"/>
      <c r="C539" s="83"/>
      <c r="D539" s="84"/>
      <c r="E539" s="84"/>
      <c r="F539" s="84"/>
      <c r="G539" s="83"/>
      <c r="H539" s="84"/>
      <c r="I539" s="84"/>
      <c r="J539" s="84"/>
      <c r="K539" s="84"/>
      <c r="L539" s="84"/>
      <c r="M539" s="84"/>
      <c r="N539" s="84"/>
      <c r="O539" s="84"/>
      <c r="P539" s="85"/>
      <c r="Q539" s="75"/>
      <c r="R539" s="75"/>
      <c r="S539" s="75"/>
      <c r="T539" s="75"/>
      <c r="U539" s="89"/>
      <c r="V539" s="84"/>
      <c r="W539" s="84"/>
      <c r="X539" s="84"/>
      <c r="Y539" s="84"/>
      <c r="Z539" s="84"/>
    </row>
    <row r="540" spans="1:26" ht="15.75" customHeight="1">
      <c r="A540" s="83"/>
      <c r="B540" s="83"/>
      <c r="C540" s="83"/>
      <c r="D540" s="84"/>
      <c r="E540" s="84"/>
      <c r="F540" s="84"/>
      <c r="G540" s="83"/>
      <c r="H540" s="84"/>
      <c r="I540" s="84"/>
      <c r="J540" s="84"/>
      <c r="K540" s="84"/>
      <c r="L540" s="84"/>
      <c r="M540" s="84"/>
      <c r="N540" s="84"/>
      <c r="O540" s="84"/>
      <c r="P540" s="85"/>
      <c r="Q540" s="75"/>
      <c r="R540" s="75"/>
      <c r="S540" s="75"/>
      <c r="T540" s="75"/>
      <c r="U540" s="89"/>
      <c r="V540" s="84"/>
      <c r="W540" s="84"/>
      <c r="X540" s="84"/>
      <c r="Y540" s="84"/>
      <c r="Z540" s="84"/>
    </row>
    <row r="541" spans="1:26" ht="15.75" customHeight="1">
      <c r="A541" s="83"/>
      <c r="B541" s="83"/>
      <c r="C541" s="83"/>
      <c r="D541" s="84"/>
      <c r="E541" s="84"/>
      <c r="F541" s="84"/>
      <c r="G541" s="83"/>
      <c r="H541" s="84"/>
      <c r="I541" s="84"/>
      <c r="J541" s="84"/>
      <c r="K541" s="84"/>
      <c r="L541" s="84"/>
      <c r="M541" s="84"/>
      <c r="N541" s="84"/>
      <c r="O541" s="84"/>
      <c r="P541" s="85"/>
      <c r="Q541" s="75"/>
      <c r="R541" s="75"/>
      <c r="S541" s="75"/>
      <c r="T541" s="75"/>
      <c r="U541" s="89"/>
      <c r="V541" s="84"/>
      <c r="W541" s="84"/>
      <c r="X541" s="84"/>
      <c r="Y541" s="84"/>
      <c r="Z541" s="84"/>
    </row>
    <row r="542" spans="1:26" ht="15.75" customHeight="1">
      <c r="A542" s="83"/>
      <c r="B542" s="83"/>
      <c r="C542" s="83"/>
      <c r="D542" s="84"/>
      <c r="E542" s="84"/>
      <c r="F542" s="84"/>
      <c r="G542" s="83"/>
      <c r="H542" s="84"/>
      <c r="I542" s="84"/>
      <c r="J542" s="84"/>
      <c r="K542" s="84"/>
      <c r="L542" s="84"/>
      <c r="M542" s="84"/>
      <c r="N542" s="84"/>
      <c r="O542" s="84"/>
      <c r="P542" s="85"/>
      <c r="Q542" s="75"/>
      <c r="R542" s="75"/>
      <c r="S542" s="75"/>
      <c r="T542" s="75"/>
      <c r="U542" s="89"/>
      <c r="V542" s="84"/>
      <c r="W542" s="84"/>
      <c r="X542" s="84"/>
      <c r="Y542" s="84"/>
      <c r="Z542" s="84"/>
    </row>
    <row r="543" spans="1:26" ht="15.75" customHeight="1">
      <c r="A543" s="83"/>
      <c r="B543" s="83"/>
      <c r="C543" s="83"/>
      <c r="D543" s="84"/>
      <c r="E543" s="84"/>
      <c r="F543" s="84"/>
      <c r="G543" s="83"/>
      <c r="H543" s="84"/>
      <c r="I543" s="84"/>
      <c r="J543" s="84"/>
      <c r="K543" s="84"/>
      <c r="L543" s="84"/>
      <c r="M543" s="84"/>
      <c r="N543" s="84"/>
      <c r="O543" s="84"/>
      <c r="P543" s="85"/>
      <c r="Q543" s="75"/>
      <c r="R543" s="75"/>
      <c r="S543" s="75"/>
      <c r="T543" s="75"/>
      <c r="U543" s="89"/>
      <c r="V543" s="84"/>
      <c r="W543" s="84"/>
      <c r="X543" s="84"/>
      <c r="Y543" s="84"/>
      <c r="Z543" s="84"/>
    </row>
    <row r="544" spans="1:26" ht="15.75" customHeight="1">
      <c r="A544" s="83"/>
      <c r="B544" s="83"/>
      <c r="C544" s="83"/>
      <c r="D544" s="84"/>
      <c r="E544" s="84"/>
      <c r="F544" s="84"/>
      <c r="G544" s="83"/>
      <c r="H544" s="84"/>
      <c r="I544" s="84"/>
      <c r="J544" s="84"/>
      <c r="K544" s="84"/>
      <c r="L544" s="84"/>
      <c r="M544" s="84"/>
      <c r="N544" s="84"/>
      <c r="O544" s="84"/>
      <c r="P544" s="85"/>
      <c r="Q544" s="75"/>
      <c r="R544" s="75"/>
      <c r="S544" s="75"/>
      <c r="T544" s="75"/>
      <c r="U544" s="89"/>
      <c r="V544" s="84"/>
      <c r="W544" s="84"/>
      <c r="X544" s="84"/>
      <c r="Y544" s="84"/>
      <c r="Z544" s="84"/>
    </row>
    <row r="545" spans="1:26" ht="15.75" customHeight="1">
      <c r="A545" s="83"/>
      <c r="B545" s="83"/>
      <c r="C545" s="83"/>
      <c r="D545" s="84"/>
      <c r="E545" s="84"/>
      <c r="F545" s="84"/>
      <c r="G545" s="83"/>
      <c r="H545" s="84"/>
      <c r="I545" s="84"/>
      <c r="J545" s="84"/>
      <c r="K545" s="84"/>
      <c r="L545" s="84"/>
      <c r="M545" s="84"/>
      <c r="N545" s="84"/>
      <c r="O545" s="84"/>
      <c r="P545" s="85"/>
      <c r="Q545" s="75"/>
      <c r="R545" s="75"/>
      <c r="S545" s="75"/>
      <c r="T545" s="75"/>
      <c r="U545" s="89"/>
      <c r="V545" s="84"/>
      <c r="W545" s="84"/>
      <c r="X545" s="84"/>
      <c r="Y545" s="84"/>
      <c r="Z545" s="84"/>
    </row>
    <row r="546" spans="1:26" ht="15.75" customHeight="1">
      <c r="A546" s="83"/>
      <c r="B546" s="83"/>
      <c r="C546" s="83"/>
      <c r="D546" s="84"/>
      <c r="E546" s="84"/>
      <c r="F546" s="84"/>
      <c r="G546" s="83"/>
      <c r="H546" s="84"/>
      <c r="I546" s="84"/>
      <c r="J546" s="84"/>
      <c r="K546" s="84"/>
      <c r="L546" s="84"/>
      <c r="M546" s="84"/>
      <c r="N546" s="84"/>
      <c r="O546" s="84"/>
      <c r="P546" s="85"/>
      <c r="Q546" s="75"/>
      <c r="R546" s="75"/>
      <c r="S546" s="75"/>
      <c r="T546" s="75"/>
      <c r="U546" s="89"/>
      <c r="V546" s="84"/>
      <c r="W546" s="84"/>
      <c r="X546" s="84"/>
      <c r="Y546" s="84"/>
      <c r="Z546" s="84"/>
    </row>
    <row r="547" spans="1:26" ht="15.75" customHeight="1">
      <c r="A547" s="83"/>
      <c r="B547" s="83"/>
      <c r="C547" s="83"/>
      <c r="D547" s="84"/>
      <c r="E547" s="84"/>
      <c r="F547" s="84"/>
      <c r="G547" s="83"/>
      <c r="H547" s="84"/>
      <c r="I547" s="84"/>
      <c r="J547" s="84"/>
      <c r="K547" s="84"/>
      <c r="L547" s="84"/>
      <c r="M547" s="84"/>
      <c r="N547" s="84"/>
      <c r="O547" s="84"/>
      <c r="P547" s="85"/>
      <c r="Q547" s="75"/>
      <c r="R547" s="75"/>
      <c r="S547" s="75"/>
      <c r="T547" s="75"/>
      <c r="U547" s="89"/>
      <c r="V547" s="84"/>
      <c r="W547" s="84"/>
      <c r="X547" s="84"/>
      <c r="Y547" s="84"/>
      <c r="Z547" s="84"/>
    </row>
    <row r="548" spans="1:26" ht="15.75" customHeight="1">
      <c r="A548" s="83"/>
      <c r="B548" s="83"/>
      <c r="C548" s="83"/>
      <c r="D548" s="84"/>
      <c r="E548" s="84"/>
      <c r="F548" s="84"/>
      <c r="G548" s="83"/>
      <c r="H548" s="84"/>
      <c r="I548" s="84"/>
      <c r="J548" s="84"/>
      <c r="K548" s="84"/>
      <c r="L548" s="84"/>
      <c r="M548" s="84"/>
      <c r="N548" s="84"/>
      <c r="O548" s="84"/>
      <c r="P548" s="85"/>
      <c r="Q548" s="75"/>
      <c r="R548" s="75"/>
      <c r="S548" s="75"/>
      <c r="T548" s="75"/>
      <c r="U548" s="89"/>
      <c r="V548" s="84"/>
      <c r="W548" s="84"/>
      <c r="X548" s="84"/>
      <c r="Y548" s="84"/>
      <c r="Z548" s="84"/>
    </row>
    <row r="549" spans="1:26" ht="15.75" customHeight="1">
      <c r="A549" s="83"/>
      <c r="B549" s="83"/>
      <c r="C549" s="83"/>
      <c r="D549" s="84"/>
      <c r="E549" s="84"/>
      <c r="F549" s="84"/>
      <c r="G549" s="83"/>
      <c r="H549" s="84"/>
      <c r="I549" s="84"/>
      <c r="J549" s="84"/>
      <c r="K549" s="84"/>
      <c r="L549" s="84"/>
      <c r="M549" s="84"/>
      <c r="N549" s="84"/>
      <c r="O549" s="84"/>
      <c r="P549" s="85"/>
      <c r="Q549" s="75"/>
      <c r="R549" s="75"/>
      <c r="S549" s="75"/>
      <c r="T549" s="75"/>
      <c r="U549" s="89"/>
      <c r="V549" s="84"/>
      <c r="W549" s="84"/>
      <c r="X549" s="84"/>
      <c r="Y549" s="84"/>
      <c r="Z549" s="84"/>
    </row>
    <row r="550" spans="1:26" ht="15.75" customHeight="1">
      <c r="A550" s="83"/>
      <c r="B550" s="83"/>
      <c r="C550" s="83"/>
      <c r="D550" s="84"/>
      <c r="E550" s="84"/>
      <c r="F550" s="84"/>
      <c r="G550" s="83"/>
      <c r="H550" s="84"/>
      <c r="I550" s="84"/>
      <c r="J550" s="84"/>
      <c r="K550" s="84"/>
      <c r="L550" s="84"/>
      <c r="M550" s="84"/>
      <c r="N550" s="84"/>
      <c r="O550" s="84"/>
      <c r="P550" s="85"/>
      <c r="Q550" s="75"/>
      <c r="R550" s="75"/>
      <c r="S550" s="75"/>
      <c r="T550" s="75"/>
      <c r="U550" s="89"/>
      <c r="V550" s="84"/>
      <c r="W550" s="84"/>
      <c r="X550" s="84"/>
      <c r="Y550" s="84"/>
      <c r="Z550" s="84"/>
    </row>
    <row r="551" spans="1:26" ht="15.75" customHeight="1">
      <c r="A551" s="83"/>
      <c r="B551" s="83"/>
      <c r="C551" s="83"/>
      <c r="D551" s="84"/>
      <c r="E551" s="84"/>
      <c r="F551" s="84"/>
      <c r="G551" s="83"/>
      <c r="H551" s="84"/>
      <c r="I551" s="84"/>
      <c r="J551" s="84"/>
      <c r="K551" s="84"/>
      <c r="L551" s="84"/>
      <c r="M551" s="84"/>
      <c r="N551" s="84"/>
      <c r="O551" s="84"/>
      <c r="P551" s="85"/>
      <c r="Q551" s="75"/>
      <c r="R551" s="75"/>
      <c r="S551" s="75"/>
      <c r="T551" s="75"/>
      <c r="U551" s="89"/>
      <c r="V551" s="84"/>
      <c r="W551" s="84"/>
      <c r="X551" s="84"/>
      <c r="Y551" s="84"/>
      <c r="Z551" s="84"/>
    </row>
    <row r="552" spans="1:26" ht="15.75" customHeight="1">
      <c r="A552" s="83"/>
      <c r="B552" s="83"/>
      <c r="C552" s="83"/>
      <c r="D552" s="84"/>
      <c r="E552" s="84"/>
      <c r="F552" s="84"/>
      <c r="G552" s="83"/>
      <c r="H552" s="84"/>
      <c r="I552" s="84"/>
      <c r="J552" s="84"/>
      <c r="K552" s="84"/>
      <c r="L552" s="84"/>
      <c r="M552" s="84"/>
      <c r="N552" s="84"/>
      <c r="O552" s="84"/>
      <c r="P552" s="85"/>
      <c r="Q552" s="75"/>
      <c r="R552" s="75"/>
      <c r="S552" s="75"/>
      <c r="T552" s="75"/>
      <c r="U552" s="89"/>
      <c r="V552" s="84"/>
      <c r="W552" s="84"/>
      <c r="X552" s="84"/>
      <c r="Y552" s="84"/>
      <c r="Z552" s="84"/>
    </row>
    <row r="553" spans="1:26" ht="15.75" customHeight="1">
      <c r="A553" s="83"/>
      <c r="B553" s="83"/>
      <c r="C553" s="83"/>
      <c r="D553" s="84"/>
      <c r="E553" s="84"/>
      <c r="F553" s="84"/>
      <c r="G553" s="83"/>
      <c r="H553" s="84"/>
      <c r="I553" s="84"/>
      <c r="J553" s="84"/>
      <c r="K553" s="84"/>
      <c r="L553" s="84"/>
      <c r="M553" s="84"/>
      <c r="N553" s="84"/>
      <c r="O553" s="84"/>
      <c r="P553" s="85"/>
      <c r="Q553" s="75"/>
      <c r="R553" s="75"/>
      <c r="S553" s="75"/>
      <c r="T553" s="75"/>
      <c r="U553" s="89"/>
      <c r="V553" s="84"/>
      <c r="W553" s="84"/>
      <c r="X553" s="84"/>
      <c r="Y553" s="84"/>
      <c r="Z553" s="84"/>
    </row>
    <row r="554" spans="1:26" ht="15.75" customHeight="1">
      <c r="A554" s="83"/>
      <c r="B554" s="83"/>
      <c r="C554" s="83"/>
      <c r="D554" s="84"/>
      <c r="E554" s="84"/>
      <c r="F554" s="84"/>
      <c r="G554" s="83"/>
      <c r="H554" s="84"/>
      <c r="I554" s="84"/>
      <c r="J554" s="84"/>
      <c r="K554" s="84"/>
      <c r="L554" s="84"/>
      <c r="M554" s="84"/>
      <c r="N554" s="84"/>
      <c r="O554" s="84"/>
      <c r="P554" s="85"/>
      <c r="Q554" s="75"/>
      <c r="R554" s="75"/>
      <c r="S554" s="75"/>
      <c r="T554" s="75"/>
      <c r="U554" s="89"/>
      <c r="V554" s="84"/>
      <c r="W554" s="84"/>
      <c r="X554" s="84"/>
      <c r="Y554" s="84"/>
      <c r="Z554" s="84"/>
    </row>
    <row r="555" spans="1:26" ht="15.75" customHeight="1">
      <c r="A555" s="83"/>
      <c r="B555" s="83"/>
      <c r="C555" s="83"/>
      <c r="D555" s="84"/>
      <c r="E555" s="84"/>
      <c r="F555" s="84"/>
      <c r="G555" s="83"/>
      <c r="H555" s="84"/>
      <c r="I555" s="84"/>
      <c r="J555" s="84"/>
      <c r="K555" s="84"/>
      <c r="L555" s="84"/>
      <c r="M555" s="84"/>
      <c r="N555" s="84"/>
      <c r="O555" s="84"/>
      <c r="P555" s="85"/>
      <c r="Q555" s="75"/>
      <c r="R555" s="75"/>
      <c r="S555" s="75"/>
      <c r="T555" s="75"/>
      <c r="U555" s="89"/>
      <c r="V555" s="84"/>
      <c r="W555" s="84"/>
      <c r="X555" s="84"/>
      <c r="Y555" s="84"/>
      <c r="Z555" s="84"/>
    </row>
    <row r="556" spans="1:26" ht="15.75" customHeight="1">
      <c r="A556" s="83"/>
      <c r="B556" s="83"/>
      <c r="C556" s="83"/>
      <c r="D556" s="84"/>
      <c r="E556" s="84"/>
      <c r="F556" s="84"/>
      <c r="G556" s="83"/>
      <c r="H556" s="84"/>
      <c r="I556" s="84"/>
      <c r="J556" s="84"/>
      <c r="K556" s="84"/>
      <c r="L556" s="84"/>
      <c r="M556" s="84"/>
      <c r="N556" s="84"/>
      <c r="O556" s="84"/>
      <c r="P556" s="85"/>
      <c r="Q556" s="75"/>
      <c r="R556" s="75"/>
      <c r="S556" s="75"/>
      <c r="T556" s="75"/>
      <c r="U556" s="89"/>
      <c r="V556" s="84"/>
      <c r="W556" s="84"/>
      <c r="X556" s="84"/>
      <c r="Y556" s="84"/>
      <c r="Z556" s="84"/>
    </row>
    <row r="557" spans="1:26" ht="15.75" customHeight="1">
      <c r="A557" s="83"/>
      <c r="B557" s="83"/>
      <c r="C557" s="83"/>
      <c r="D557" s="84"/>
      <c r="E557" s="84"/>
      <c r="F557" s="84"/>
      <c r="G557" s="83"/>
      <c r="H557" s="84"/>
      <c r="I557" s="84"/>
      <c r="J557" s="84"/>
      <c r="K557" s="84"/>
      <c r="L557" s="84"/>
      <c r="M557" s="84"/>
      <c r="N557" s="84"/>
      <c r="O557" s="84"/>
      <c r="P557" s="85"/>
      <c r="Q557" s="75"/>
      <c r="R557" s="75"/>
      <c r="S557" s="75"/>
      <c r="T557" s="75"/>
      <c r="U557" s="89"/>
      <c r="V557" s="84"/>
      <c r="W557" s="84"/>
      <c r="X557" s="84"/>
      <c r="Y557" s="84"/>
      <c r="Z557" s="84"/>
    </row>
    <row r="558" spans="1:26" ht="15.75" customHeight="1">
      <c r="A558" s="83"/>
      <c r="B558" s="83"/>
      <c r="C558" s="83"/>
      <c r="D558" s="84"/>
      <c r="E558" s="84"/>
      <c r="F558" s="84"/>
      <c r="G558" s="83"/>
      <c r="H558" s="84"/>
      <c r="I558" s="84"/>
      <c r="J558" s="84"/>
      <c r="K558" s="84"/>
      <c r="L558" s="84"/>
      <c r="M558" s="84"/>
      <c r="N558" s="84"/>
      <c r="O558" s="84"/>
      <c r="P558" s="85"/>
      <c r="Q558" s="75"/>
      <c r="R558" s="75"/>
      <c r="S558" s="75"/>
      <c r="T558" s="75"/>
      <c r="U558" s="89"/>
      <c r="V558" s="84"/>
      <c r="W558" s="84"/>
      <c r="X558" s="84"/>
      <c r="Y558" s="84"/>
      <c r="Z558" s="84"/>
    </row>
    <row r="559" spans="1:26" ht="15.75" customHeight="1">
      <c r="A559" s="83"/>
      <c r="B559" s="83"/>
      <c r="C559" s="83"/>
      <c r="D559" s="84"/>
      <c r="E559" s="84"/>
      <c r="F559" s="84"/>
      <c r="G559" s="83"/>
      <c r="H559" s="84"/>
      <c r="I559" s="84"/>
      <c r="J559" s="84"/>
      <c r="K559" s="84"/>
      <c r="L559" s="84"/>
      <c r="M559" s="84"/>
      <c r="N559" s="84"/>
      <c r="O559" s="84"/>
      <c r="P559" s="85"/>
      <c r="Q559" s="75"/>
      <c r="R559" s="75"/>
      <c r="S559" s="75"/>
      <c r="T559" s="75"/>
      <c r="U559" s="89"/>
      <c r="V559" s="84"/>
      <c r="W559" s="84"/>
      <c r="X559" s="84"/>
      <c r="Y559" s="84"/>
      <c r="Z559" s="84"/>
    </row>
    <row r="560" spans="1:26" ht="15.75" customHeight="1">
      <c r="A560" s="83"/>
      <c r="B560" s="83"/>
      <c r="C560" s="83"/>
      <c r="D560" s="84"/>
      <c r="E560" s="84"/>
      <c r="F560" s="84"/>
      <c r="G560" s="83"/>
      <c r="H560" s="84"/>
      <c r="I560" s="84"/>
      <c r="J560" s="84"/>
      <c r="K560" s="84"/>
      <c r="L560" s="84"/>
      <c r="M560" s="84"/>
      <c r="N560" s="84"/>
      <c r="O560" s="84"/>
      <c r="P560" s="85"/>
      <c r="Q560" s="75"/>
      <c r="R560" s="75"/>
      <c r="S560" s="75"/>
      <c r="T560" s="75"/>
      <c r="U560" s="89"/>
      <c r="V560" s="84"/>
      <c r="W560" s="84"/>
      <c r="X560" s="84"/>
      <c r="Y560" s="84"/>
      <c r="Z560" s="84"/>
    </row>
    <row r="561" spans="1:26" ht="15.75" customHeight="1">
      <c r="A561" s="83"/>
      <c r="B561" s="83"/>
      <c r="C561" s="83"/>
      <c r="D561" s="84"/>
      <c r="E561" s="84"/>
      <c r="F561" s="84"/>
      <c r="G561" s="83"/>
      <c r="H561" s="84"/>
      <c r="I561" s="84"/>
      <c r="J561" s="84"/>
      <c r="K561" s="84"/>
      <c r="L561" s="84"/>
      <c r="M561" s="84"/>
      <c r="N561" s="84"/>
      <c r="O561" s="84"/>
      <c r="P561" s="85"/>
      <c r="Q561" s="75"/>
      <c r="R561" s="75"/>
      <c r="S561" s="75"/>
      <c r="T561" s="75"/>
      <c r="U561" s="89"/>
      <c r="V561" s="84"/>
      <c r="W561" s="84"/>
      <c r="X561" s="84"/>
      <c r="Y561" s="84"/>
      <c r="Z561" s="84"/>
    </row>
    <row r="562" spans="1:26" ht="15.75" customHeight="1">
      <c r="A562" s="83"/>
      <c r="B562" s="83"/>
      <c r="C562" s="83"/>
      <c r="D562" s="84"/>
      <c r="E562" s="84"/>
      <c r="F562" s="84"/>
      <c r="G562" s="83"/>
      <c r="H562" s="84"/>
      <c r="I562" s="84"/>
      <c r="J562" s="84"/>
      <c r="K562" s="84"/>
      <c r="L562" s="84"/>
      <c r="M562" s="84"/>
      <c r="N562" s="84"/>
      <c r="O562" s="84"/>
      <c r="P562" s="85"/>
      <c r="Q562" s="75"/>
      <c r="R562" s="75"/>
      <c r="S562" s="75"/>
      <c r="T562" s="75"/>
      <c r="U562" s="89"/>
      <c r="V562" s="84"/>
      <c r="W562" s="84"/>
      <c r="X562" s="84"/>
      <c r="Y562" s="84"/>
      <c r="Z562" s="84"/>
    </row>
    <row r="563" spans="1:26" ht="15.75" customHeight="1">
      <c r="A563" s="83"/>
      <c r="B563" s="83"/>
      <c r="C563" s="83"/>
      <c r="D563" s="84"/>
      <c r="E563" s="84"/>
      <c r="F563" s="84"/>
      <c r="G563" s="83"/>
      <c r="H563" s="84"/>
      <c r="I563" s="84"/>
      <c r="J563" s="84"/>
      <c r="K563" s="84"/>
      <c r="L563" s="84"/>
      <c r="M563" s="84"/>
      <c r="N563" s="84"/>
      <c r="O563" s="84"/>
      <c r="P563" s="85"/>
      <c r="Q563" s="75"/>
      <c r="R563" s="75"/>
      <c r="S563" s="75"/>
      <c r="T563" s="75"/>
      <c r="U563" s="89"/>
      <c r="V563" s="84"/>
      <c r="W563" s="84"/>
      <c r="X563" s="84"/>
      <c r="Y563" s="84"/>
      <c r="Z563" s="84"/>
    </row>
    <row r="564" spans="1:26" ht="15.75" customHeight="1">
      <c r="A564" s="83"/>
      <c r="B564" s="83"/>
      <c r="C564" s="83"/>
      <c r="D564" s="84"/>
      <c r="E564" s="84"/>
      <c r="F564" s="84"/>
      <c r="G564" s="83"/>
      <c r="H564" s="84"/>
      <c r="I564" s="84"/>
      <c r="J564" s="84"/>
      <c r="K564" s="84"/>
      <c r="L564" s="84"/>
      <c r="M564" s="84"/>
      <c r="N564" s="84"/>
      <c r="O564" s="84"/>
      <c r="P564" s="85"/>
      <c r="Q564" s="75"/>
      <c r="R564" s="75"/>
      <c r="S564" s="75"/>
      <c r="T564" s="75"/>
      <c r="U564" s="89"/>
      <c r="V564" s="84"/>
      <c r="W564" s="84"/>
      <c r="X564" s="84"/>
      <c r="Y564" s="84"/>
      <c r="Z564" s="84"/>
    </row>
    <row r="565" spans="1:26" ht="15.75" customHeight="1">
      <c r="A565" s="83"/>
      <c r="B565" s="83"/>
      <c r="C565" s="83"/>
      <c r="D565" s="84"/>
      <c r="E565" s="84"/>
      <c r="F565" s="84"/>
      <c r="G565" s="83"/>
      <c r="H565" s="84"/>
      <c r="I565" s="84"/>
      <c r="J565" s="84"/>
      <c r="K565" s="84"/>
      <c r="L565" s="84"/>
      <c r="M565" s="84"/>
      <c r="N565" s="84"/>
      <c r="O565" s="84"/>
      <c r="P565" s="85"/>
      <c r="Q565" s="75"/>
      <c r="R565" s="75"/>
      <c r="S565" s="75"/>
      <c r="T565" s="75"/>
      <c r="U565" s="89"/>
      <c r="V565" s="84"/>
      <c r="W565" s="84"/>
      <c r="X565" s="84"/>
      <c r="Y565" s="84"/>
      <c r="Z565" s="84"/>
    </row>
    <row r="566" spans="1:26" ht="15.75" customHeight="1">
      <c r="A566" s="83"/>
      <c r="B566" s="83"/>
      <c r="C566" s="83"/>
      <c r="D566" s="84"/>
      <c r="E566" s="84"/>
      <c r="F566" s="84"/>
      <c r="G566" s="83"/>
      <c r="H566" s="84"/>
      <c r="I566" s="84"/>
      <c r="J566" s="84"/>
      <c r="K566" s="84"/>
      <c r="L566" s="84"/>
      <c r="M566" s="84"/>
      <c r="N566" s="84"/>
      <c r="O566" s="84"/>
      <c r="P566" s="85"/>
      <c r="Q566" s="75"/>
      <c r="R566" s="75"/>
      <c r="S566" s="75"/>
      <c r="T566" s="75"/>
      <c r="U566" s="89"/>
      <c r="V566" s="84"/>
      <c r="W566" s="84"/>
      <c r="X566" s="84"/>
      <c r="Y566" s="84"/>
      <c r="Z566" s="84"/>
    </row>
    <row r="567" spans="1:26" ht="15.75" customHeight="1">
      <c r="A567" s="83"/>
      <c r="B567" s="83"/>
      <c r="C567" s="83"/>
      <c r="D567" s="84"/>
      <c r="E567" s="84"/>
      <c r="F567" s="84"/>
      <c r="G567" s="83"/>
      <c r="H567" s="84"/>
      <c r="I567" s="84"/>
      <c r="J567" s="84"/>
      <c r="K567" s="84"/>
      <c r="L567" s="84"/>
      <c r="M567" s="84"/>
      <c r="N567" s="84"/>
      <c r="O567" s="84"/>
      <c r="P567" s="85"/>
      <c r="Q567" s="75"/>
      <c r="R567" s="75"/>
      <c r="S567" s="75"/>
      <c r="T567" s="75"/>
      <c r="U567" s="89"/>
      <c r="V567" s="84"/>
      <c r="W567" s="84"/>
      <c r="X567" s="84"/>
      <c r="Y567" s="84"/>
      <c r="Z567" s="84"/>
    </row>
    <row r="568" spans="1:26" ht="15.75" customHeight="1">
      <c r="A568" s="83"/>
      <c r="B568" s="83"/>
      <c r="C568" s="83"/>
      <c r="D568" s="84"/>
      <c r="E568" s="84"/>
      <c r="F568" s="84"/>
      <c r="G568" s="83"/>
      <c r="H568" s="84"/>
      <c r="I568" s="84"/>
      <c r="J568" s="84"/>
      <c r="K568" s="84"/>
      <c r="L568" s="84"/>
      <c r="M568" s="84"/>
      <c r="N568" s="84"/>
      <c r="O568" s="84"/>
      <c r="P568" s="85"/>
      <c r="Q568" s="75"/>
      <c r="R568" s="75"/>
      <c r="S568" s="75"/>
      <c r="T568" s="75"/>
      <c r="U568" s="89"/>
      <c r="V568" s="84"/>
      <c r="W568" s="84"/>
      <c r="X568" s="84"/>
      <c r="Y568" s="84"/>
      <c r="Z568" s="84"/>
    </row>
    <row r="569" spans="1:26" ht="15.75" customHeight="1">
      <c r="A569" s="83"/>
      <c r="B569" s="83"/>
      <c r="C569" s="83"/>
      <c r="D569" s="84"/>
      <c r="E569" s="84"/>
      <c r="F569" s="84"/>
      <c r="G569" s="83"/>
      <c r="H569" s="84"/>
      <c r="I569" s="84"/>
      <c r="J569" s="84"/>
      <c r="K569" s="84"/>
      <c r="L569" s="84"/>
      <c r="M569" s="84"/>
      <c r="N569" s="84"/>
      <c r="O569" s="84"/>
      <c r="P569" s="85"/>
      <c r="Q569" s="75"/>
      <c r="R569" s="75"/>
      <c r="S569" s="75"/>
      <c r="T569" s="75"/>
      <c r="U569" s="89"/>
      <c r="V569" s="84"/>
      <c r="W569" s="84"/>
      <c r="X569" s="84"/>
      <c r="Y569" s="84"/>
      <c r="Z569" s="84"/>
    </row>
    <row r="570" spans="1:26" ht="15.75" customHeight="1">
      <c r="A570" s="83"/>
      <c r="B570" s="83"/>
      <c r="C570" s="83"/>
      <c r="D570" s="84"/>
      <c r="E570" s="84"/>
      <c r="F570" s="84"/>
      <c r="G570" s="83"/>
      <c r="H570" s="84"/>
      <c r="I570" s="84"/>
      <c r="J570" s="84"/>
      <c r="K570" s="84"/>
      <c r="L570" s="84"/>
      <c r="M570" s="84"/>
      <c r="N570" s="84"/>
      <c r="O570" s="84"/>
      <c r="P570" s="85"/>
      <c r="Q570" s="75"/>
      <c r="R570" s="75"/>
      <c r="S570" s="75"/>
      <c r="T570" s="75"/>
      <c r="U570" s="89"/>
      <c r="V570" s="84"/>
      <c r="W570" s="84"/>
      <c r="X570" s="84"/>
      <c r="Y570" s="84"/>
      <c r="Z570" s="84"/>
    </row>
    <row r="571" spans="1:26" ht="15.75" customHeight="1">
      <c r="A571" s="83"/>
      <c r="B571" s="83"/>
      <c r="C571" s="83"/>
      <c r="D571" s="84"/>
      <c r="E571" s="84"/>
      <c r="F571" s="84"/>
      <c r="G571" s="83"/>
      <c r="H571" s="84"/>
      <c r="I571" s="84"/>
      <c r="J571" s="84"/>
      <c r="K571" s="84"/>
      <c r="L571" s="84"/>
      <c r="M571" s="84"/>
      <c r="N571" s="84"/>
      <c r="O571" s="84"/>
      <c r="P571" s="85"/>
      <c r="Q571" s="75"/>
      <c r="R571" s="75"/>
      <c r="S571" s="75"/>
      <c r="T571" s="75"/>
      <c r="U571" s="89"/>
      <c r="V571" s="84"/>
      <c r="W571" s="84"/>
      <c r="X571" s="84"/>
      <c r="Y571" s="84"/>
      <c r="Z571" s="84"/>
    </row>
    <row r="572" spans="1:26" ht="15.75" customHeight="1">
      <c r="A572" s="83"/>
      <c r="B572" s="83"/>
      <c r="C572" s="83"/>
      <c r="D572" s="84"/>
      <c r="E572" s="84"/>
      <c r="F572" s="84"/>
      <c r="G572" s="83"/>
      <c r="H572" s="84"/>
      <c r="I572" s="84"/>
      <c r="J572" s="84"/>
      <c r="K572" s="84"/>
      <c r="L572" s="84"/>
      <c r="M572" s="84"/>
      <c r="N572" s="84"/>
      <c r="O572" s="84"/>
      <c r="P572" s="85"/>
      <c r="Q572" s="75"/>
      <c r="R572" s="75"/>
      <c r="S572" s="75"/>
      <c r="T572" s="75"/>
      <c r="U572" s="89"/>
      <c r="V572" s="84"/>
      <c r="W572" s="84"/>
      <c r="X572" s="84"/>
      <c r="Y572" s="84"/>
      <c r="Z572" s="84"/>
    </row>
    <row r="573" spans="1:26" ht="15.75" customHeight="1">
      <c r="A573" s="83"/>
      <c r="B573" s="83"/>
      <c r="C573" s="83"/>
      <c r="D573" s="84"/>
      <c r="E573" s="84"/>
      <c r="F573" s="84"/>
      <c r="G573" s="83"/>
      <c r="H573" s="84"/>
      <c r="I573" s="84"/>
      <c r="J573" s="84"/>
      <c r="K573" s="84"/>
      <c r="L573" s="84"/>
      <c r="M573" s="84"/>
      <c r="N573" s="84"/>
      <c r="O573" s="84"/>
      <c r="P573" s="85"/>
      <c r="Q573" s="75"/>
      <c r="R573" s="75"/>
      <c r="S573" s="75"/>
      <c r="T573" s="75"/>
      <c r="U573" s="89"/>
      <c r="V573" s="84"/>
      <c r="W573" s="84"/>
      <c r="X573" s="84"/>
      <c r="Y573" s="84"/>
      <c r="Z573" s="84"/>
    </row>
    <row r="574" spans="1:26" ht="15.75" customHeight="1">
      <c r="A574" s="83"/>
      <c r="B574" s="83"/>
      <c r="C574" s="83"/>
      <c r="D574" s="84"/>
      <c r="E574" s="84"/>
      <c r="F574" s="84"/>
      <c r="G574" s="83"/>
      <c r="H574" s="84"/>
      <c r="I574" s="84"/>
      <c r="J574" s="84"/>
      <c r="K574" s="84"/>
      <c r="L574" s="84"/>
      <c r="M574" s="84"/>
      <c r="N574" s="84"/>
      <c r="O574" s="84"/>
      <c r="P574" s="85"/>
      <c r="Q574" s="75"/>
      <c r="R574" s="75"/>
      <c r="S574" s="75"/>
      <c r="T574" s="75"/>
      <c r="U574" s="89"/>
      <c r="V574" s="84"/>
      <c r="W574" s="84"/>
      <c r="X574" s="84"/>
      <c r="Y574" s="84"/>
      <c r="Z574" s="84"/>
    </row>
    <row r="575" spans="1:26" ht="15.75" customHeight="1">
      <c r="A575" s="83"/>
      <c r="B575" s="83"/>
      <c r="C575" s="83"/>
      <c r="D575" s="84"/>
      <c r="E575" s="84"/>
      <c r="F575" s="84"/>
      <c r="G575" s="83"/>
      <c r="H575" s="84"/>
      <c r="I575" s="84"/>
      <c r="J575" s="84"/>
      <c r="K575" s="84"/>
      <c r="L575" s="84"/>
      <c r="M575" s="84"/>
      <c r="N575" s="84"/>
      <c r="O575" s="84"/>
      <c r="P575" s="85"/>
      <c r="Q575" s="75"/>
      <c r="R575" s="75"/>
      <c r="S575" s="75"/>
      <c r="T575" s="75"/>
      <c r="U575" s="89"/>
      <c r="V575" s="84"/>
      <c r="W575" s="84"/>
      <c r="X575" s="84"/>
      <c r="Y575" s="84"/>
      <c r="Z575" s="84"/>
    </row>
    <row r="576" spans="1:26" ht="15.75" customHeight="1">
      <c r="A576" s="83"/>
      <c r="B576" s="83"/>
      <c r="C576" s="83"/>
      <c r="D576" s="84"/>
      <c r="E576" s="84"/>
      <c r="F576" s="84"/>
      <c r="G576" s="83"/>
      <c r="H576" s="84"/>
      <c r="I576" s="84"/>
      <c r="J576" s="84"/>
      <c r="K576" s="84"/>
      <c r="L576" s="84"/>
      <c r="M576" s="84"/>
      <c r="N576" s="84"/>
      <c r="O576" s="84"/>
      <c r="P576" s="85"/>
      <c r="Q576" s="75"/>
      <c r="R576" s="75"/>
      <c r="S576" s="75"/>
      <c r="T576" s="75"/>
      <c r="U576" s="89"/>
      <c r="V576" s="84"/>
      <c r="W576" s="84"/>
      <c r="X576" s="84"/>
      <c r="Y576" s="84"/>
      <c r="Z576" s="84"/>
    </row>
    <row r="577" spans="1:26" ht="15.75" customHeight="1">
      <c r="A577" s="83"/>
      <c r="B577" s="83"/>
      <c r="C577" s="83"/>
      <c r="D577" s="84"/>
      <c r="E577" s="84"/>
      <c r="F577" s="84"/>
      <c r="G577" s="83"/>
      <c r="H577" s="84"/>
      <c r="I577" s="84"/>
      <c r="J577" s="84"/>
      <c r="K577" s="84"/>
      <c r="L577" s="84"/>
      <c r="M577" s="84"/>
      <c r="N577" s="84"/>
      <c r="O577" s="84"/>
      <c r="P577" s="85"/>
      <c r="Q577" s="75"/>
      <c r="R577" s="75"/>
      <c r="S577" s="75"/>
      <c r="T577" s="75"/>
      <c r="U577" s="89"/>
      <c r="V577" s="84"/>
      <c r="W577" s="84"/>
      <c r="X577" s="84"/>
      <c r="Y577" s="84"/>
      <c r="Z577" s="84"/>
    </row>
    <row r="578" spans="1:26" ht="15.75" customHeight="1">
      <c r="A578" s="83"/>
      <c r="B578" s="83"/>
      <c r="C578" s="83"/>
      <c r="D578" s="84"/>
      <c r="E578" s="84"/>
      <c r="F578" s="84"/>
      <c r="G578" s="83"/>
      <c r="H578" s="84"/>
      <c r="I578" s="84"/>
      <c r="J578" s="84"/>
      <c r="K578" s="84"/>
      <c r="L578" s="84"/>
      <c r="M578" s="84"/>
      <c r="N578" s="84"/>
      <c r="O578" s="84"/>
      <c r="P578" s="85"/>
      <c r="Q578" s="75"/>
      <c r="R578" s="75"/>
      <c r="S578" s="75"/>
      <c r="T578" s="75"/>
      <c r="U578" s="89"/>
      <c r="V578" s="84"/>
      <c r="W578" s="84"/>
      <c r="X578" s="84"/>
      <c r="Y578" s="84"/>
      <c r="Z578" s="84"/>
    </row>
    <row r="579" spans="1:26" ht="15.75" customHeight="1">
      <c r="A579" s="83"/>
      <c r="B579" s="83"/>
      <c r="C579" s="83"/>
      <c r="D579" s="84"/>
      <c r="E579" s="84"/>
      <c r="F579" s="84"/>
      <c r="G579" s="83"/>
      <c r="H579" s="84"/>
      <c r="I579" s="84"/>
      <c r="J579" s="84"/>
      <c r="K579" s="84"/>
      <c r="L579" s="84"/>
      <c r="M579" s="84"/>
      <c r="N579" s="84"/>
      <c r="O579" s="84"/>
      <c r="P579" s="85"/>
      <c r="Q579" s="75"/>
      <c r="R579" s="75"/>
      <c r="S579" s="75"/>
      <c r="T579" s="75"/>
      <c r="U579" s="89"/>
      <c r="V579" s="84"/>
      <c r="W579" s="84"/>
      <c r="X579" s="84"/>
      <c r="Y579" s="84"/>
      <c r="Z579" s="84"/>
    </row>
    <row r="580" spans="1:26" ht="15.75" customHeight="1">
      <c r="A580" s="83"/>
      <c r="B580" s="83"/>
      <c r="C580" s="83"/>
      <c r="D580" s="84"/>
      <c r="E580" s="84"/>
      <c r="F580" s="84"/>
      <c r="G580" s="83"/>
      <c r="H580" s="84"/>
      <c r="I580" s="84"/>
      <c r="J580" s="84"/>
      <c r="K580" s="84"/>
      <c r="L580" s="84"/>
      <c r="M580" s="84"/>
      <c r="N580" s="84"/>
      <c r="O580" s="84"/>
      <c r="P580" s="85"/>
      <c r="Q580" s="75"/>
      <c r="R580" s="75"/>
      <c r="S580" s="75"/>
      <c r="T580" s="75"/>
      <c r="U580" s="89"/>
      <c r="V580" s="84"/>
      <c r="W580" s="84"/>
      <c r="X580" s="84"/>
      <c r="Y580" s="84"/>
      <c r="Z580" s="84"/>
    </row>
    <row r="581" spans="1:26" ht="15.75" customHeight="1">
      <c r="A581" s="83"/>
      <c r="B581" s="83"/>
      <c r="C581" s="83"/>
      <c r="D581" s="84"/>
      <c r="E581" s="84"/>
      <c r="F581" s="84"/>
      <c r="G581" s="83"/>
      <c r="H581" s="84"/>
      <c r="I581" s="84"/>
      <c r="J581" s="84"/>
      <c r="K581" s="84"/>
      <c r="L581" s="84"/>
      <c r="M581" s="84"/>
      <c r="N581" s="84"/>
      <c r="O581" s="84"/>
      <c r="P581" s="85"/>
      <c r="Q581" s="75"/>
      <c r="R581" s="75"/>
      <c r="S581" s="75"/>
      <c r="T581" s="75"/>
      <c r="U581" s="89"/>
      <c r="V581" s="84"/>
      <c r="W581" s="84"/>
      <c r="X581" s="84"/>
      <c r="Y581" s="84"/>
      <c r="Z581" s="84"/>
    </row>
    <row r="582" spans="1:26" ht="15.75" customHeight="1">
      <c r="A582" s="83"/>
      <c r="B582" s="83"/>
      <c r="C582" s="83"/>
      <c r="D582" s="84"/>
      <c r="E582" s="84"/>
      <c r="F582" s="84"/>
      <c r="G582" s="83"/>
      <c r="H582" s="84"/>
      <c r="I582" s="84"/>
      <c r="J582" s="84"/>
      <c r="K582" s="84"/>
      <c r="L582" s="84"/>
      <c r="M582" s="84"/>
      <c r="N582" s="84"/>
      <c r="O582" s="84"/>
      <c r="P582" s="85"/>
      <c r="Q582" s="75"/>
      <c r="R582" s="75"/>
      <c r="S582" s="75"/>
      <c r="T582" s="75"/>
      <c r="U582" s="89"/>
      <c r="V582" s="84"/>
      <c r="W582" s="84"/>
      <c r="X582" s="84"/>
      <c r="Y582" s="84"/>
      <c r="Z582" s="84"/>
    </row>
    <row r="583" spans="1:26" ht="15.75" customHeight="1">
      <c r="A583" s="83"/>
      <c r="B583" s="83"/>
      <c r="C583" s="83"/>
      <c r="D583" s="84"/>
      <c r="E583" s="84"/>
      <c r="F583" s="84"/>
      <c r="G583" s="83"/>
      <c r="H583" s="84"/>
      <c r="I583" s="84"/>
      <c r="J583" s="84"/>
      <c r="K583" s="84"/>
      <c r="L583" s="84"/>
      <c r="M583" s="84"/>
      <c r="N583" s="84"/>
      <c r="O583" s="84"/>
      <c r="P583" s="85"/>
      <c r="Q583" s="75"/>
      <c r="R583" s="75"/>
      <c r="S583" s="75"/>
      <c r="T583" s="75"/>
      <c r="U583" s="89"/>
      <c r="V583" s="84"/>
      <c r="W583" s="84"/>
      <c r="X583" s="84"/>
      <c r="Y583" s="84"/>
      <c r="Z583" s="84"/>
    </row>
    <row r="584" spans="1:26" ht="15.75" customHeight="1">
      <c r="A584" s="83"/>
      <c r="B584" s="83"/>
      <c r="C584" s="83"/>
      <c r="D584" s="84"/>
      <c r="E584" s="84"/>
      <c r="F584" s="84"/>
      <c r="G584" s="83"/>
      <c r="H584" s="84"/>
      <c r="I584" s="84"/>
      <c r="J584" s="84"/>
      <c r="K584" s="84"/>
      <c r="L584" s="84"/>
      <c r="M584" s="84"/>
      <c r="N584" s="84"/>
      <c r="O584" s="84"/>
      <c r="P584" s="85"/>
      <c r="Q584" s="75"/>
      <c r="R584" s="75"/>
      <c r="S584" s="75"/>
      <c r="T584" s="75"/>
      <c r="U584" s="89"/>
      <c r="V584" s="84"/>
      <c r="W584" s="84"/>
      <c r="X584" s="84"/>
      <c r="Y584" s="84"/>
      <c r="Z584" s="84"/>
    </row>
    <row r="585" spans="1:26" ht="15.75" customHeight="1">
      <c r="A585" s="83"/>
      <c r="B585" s="83"/>
      <c r="C585" s="83"/>
      <c r="D585" s="84"/>
      <c r="E585" s="84"/>
      <c r="F585" s="84"/>
      <c r="G585" s="83"/>
      <c r="H585" s="84"/>
      <c r="I585" s="84"/>
      <c r="J585" s="84"/>
      <c r="K585" s="84"/>
      <c r="L585" s="84"/>
      <c r="M585" s="84"/>
      <c r="N585" s="84"/>
      <c r="O585" s="84"/>
      <c r="P585" s="85"/>
      <c r="Q585" s="75"/>
      <c r="R585" s="75"/>
      <c r="S585" s="75"/>
      <c r="T585" s="75"/>
      <c r="U585" s="89"/>
      <c r="V585" s="84"/>
      <c r="W585" s="84"/>
      <c r="X585" s="84"/>
      <c r="Y585" s="84"/>
      <c r="Z585" s="84"/>
    </row>
    <row r="586" spans="1:26" ht="15.75" customHeight="1">
      <c r="A586" s="83"/>
      <c r="B586" s="83"/>
      <c r="C586" s="83"/>
      <c r="D586" s="84"/>
      <c r="E586" s="84"/>
      <c r="F586" s="84"/>
      <c r="G586" s="83"/>
      <c r="H586" s="84"/>
      <c r="I586" s="84"/>
      <c r="J586" s="84"/>
      <c r="K586" s="84"/>
      <c r="L586" s="84"/>
      <c r="M586" s="84"/>
      <c r="N586" s="84"/>
      <c r="O586" s="84"/>
      <c r="P586" s="85"/>
      <c r="Q586" s="75"/>
      <c r="R586" s="75"/>
      <c r="S586" s="75"/>
      <c r="T586" s="75"/>
      <c r="U586" s="89"/>
      <c r="V586" s="84"/>
      <c r="W586" s="84"/>
      <c r="X586" s="84"/>
      <c r="Y586" s="84"/>
      <c r="Z586" s="84"/>
    </row>
    <row r="587" spans="1:26" ht="15.75" customHeight="1">
      <c r="A587" s="83"/>
      <c r="B587" s="83"/>
      <c r="C587" s="83"/>
      <c r="D587" s="84"/>
      <c r="E587" s="84"/>
      <c r="F587" s="84"/>
      <c r="G587" s="83"/>
      <c r="H587" s="84"/>
      <c r="I587" s="84"/>
      <c r="J587" s="84"/>
      <c r="K587" s="84"/>
      <c r="L587" s="84"/>
      <c r="M587" s="84"/>
      <c r="N587" s="84"/>
      <c r="O587" s="84"/>
      <c r="P587" s="85"/>
      <c r="Q587" s="75"/>
      <c r="R587" s="75"/>
      <c r="S587" s="75"/>
      <c r="T587" s="75"/>
      <c r="U587" s="89"/>
      <c r="V587" s="84"/>
      <c r="W587" s="84"/>
      <c r="X587" s="84"/>
      <c r="Y587" s="84"/>
      <c r="Z587" s="84"/>
    </row>
    <row r="588" spans="1:26" ht="15.75" customHeight="1">
      <c r="A588" s="83"/>
      <c r="B588" s="83"/>
      <c r="C588" s="83"/>
      <c r="D588" s="84"/>
      <c r="E588" s="84"/>
      <c r="F588" s="84"/>
      <c r="G588" s="83"/>
      <c r="H588" s="84"/>
      <c r="I588" s="84"/>
      <c r="J588" s="84"/>
      <c r="K588" s="84"/>
      <c r="L588" s="84"/>
      <c r="M588" s="84"/>
      <c r="N588" s="84"/>
      <c r="O588" s="84"/>
      <c r="P588" s="85"/>
      <c r="Q588" s="75"/>
      <c r="R588" s="75"/>
      <c r="S588" s="75"/>
      <c r="T588" s="75"/>
      <c r="U588" s="89"/>
      <c r="V588" s="84"/>
      <c r="W588" s="84"/>
      <c r="X588" s="84"/>
      <c r="Y588" s="84"/>
      <c r="Z588" s="84"/>
    </row>
    <row r="589" spans="1:26" ht="15.75" customHeight="1">
      <c r="A589" s="83"/>
      <c r="B589" s="83"/>
      <c r="C589" s="83"/>
      <c r="D589" s="84"/>
      <c r="E589" s="84"/>
      <c r="F589" s="84"/>
      <c r="G589" s="83"/>
      <c r="H589" s="84"/>
      <c r="I589" s="84"/>
      <c r="J589" s="84"/>
      <c r="K589" s="84"/>
      <c r="L589" s="84"/>
      <c r="M589" s="84"/>
      <c r="N589" s="84"/>
      <c r="O589" s="84"/>
      <c r="P589" s="85"/>
      <c r="Q589" s="75"/>
      <c r="R589" s="75"/>
      <c r="S589" s="75"/>
      <c r="T589" s="75"/>
      <c r="U589" s="89"/>
      <c r="V589" s="84"/>
      <c r="W589" s="84"/>
      <c r="X589" s="84"/>
      <c r="Y589" s="84"/>
      <c r="Z589" s="84"/>
    </row>
    <row r="590" spans="1:26" ht="15.75" customHeight="1">
      <c r="A590" s="83"/>
      <c r="B590" s="83"/>
      <c r="C590" s="83"/>
      <c r="D590" s="84"/>
      <c r="E590" s="84"/>
      <c r="F590" s="84"/>
      <c r="G590" s="83"/>
      <c r="H590" s="84"/>
      <c r="I590" s="84"/>
      <c r="J590" s="84"/>
      <c r="K590" s="84"/>
      <c r="L590" s="84"/>
      <c r="M590" s="84"/>
      <c r="N590" s="84"/>
      <c r="O590" s="84"/>
      <c r="P590" s="85"/>
      <c r="Q590" s="75"/>
      <c r="R590" s="75"/>
      <c r="S590" s="75"/>
      <c r="T590" s="75"/>
      <c r="U590" s="89"/>
      <c r="V590" s="84"/>
      <c r="W590" s="84"/>
      <c r="X590" s="84"/>
      <c r="Y590" s="84"/>
      <c r="Z590" s="84"/>
    </row>
    <row r="591" spans="1:26" ht="15.75" customHeight="1">
      <c r="A591" s="83"/>
      <c r="B591" s="83"/>
      <c r="C591" s="83"/>
      <c r="D591" s="84"/>
      <c r="E591" s="84"/>
      <c r="F591" s="84"/>
      <c r="G591" s="83"/>
      <c r="H591" s="84"/>
      <c r="I591" s="84"/>
      <c r="J591" s="84"/>
      <c r="K591" s="84"/>
      <c r="L591" s="84"/>
      <c r="M591" s="84"/>
      <c r="N591" s="84"/>
      <c r="O591" s="84"/>
      <c r="P591" s="85"/>
      <c r="Q591" s="75"/>
      <c r="R591" s="75"/>
      <c r="S591" s="75"/>
      <c r="T591" s="75"/>
      <c r="U591" s="89"/>
      <c r="V591" s="84"/>
      <c r="W591" s="84"/>
      <c r="X591" s="84"/>
      <c r="Y591" s="84"/>
      <c r="Z591" s="84"/>
    </row>
    <row r="592" spans="1:26" ht="15.75" customHeight="1">
      <c r="A592" s="83"/>
      <c r="B592" s="83"/>
      <c r="C592" s="83"/>
      <c r="D592" s="84"/>
      <c r="E592" s="84"/>
      <c r="F592" s="84"/>
      <c r="G592" s="83"/>
      <c r="H592" s="84"/>
      <c r="I592" s="84"/>
      <c r="J592" s="84"/>
      <c r="K592" s="84"/>
      <c r="L592" s="84"/>
      <c r="M592" s="84"/>
      <c r="N592" s="84"/>
      <c r="O592" s="84"/>
      <c r="P592" s="85"/>
      <c r="Q592" s="75"/>
      <c r="R592" s="75"/>
      <c r="S592" s="75"/>
      <c r="T592" s="75"/>
      <c r="U592" s="89"/>
      <c r="V592" s="84"/>
      <c r="W592" s="84"/>
      <c r="X592" s="84"/>
      <c r="Y592" s="84"/>
      <c r="Z592" s="84"/>
    </row>
    <row r="593" spans="1:26" ht="15.75" customHeight="1">
      <c r="A593" s="83"/>
      <c r="B593" s="83"/>
      <c r="C593" s="83"/>
      <c r="D593" s="84"/>
      <c r="E593" s="84"/>
      <c r="F593" s="84"/>
      <c r="G593" s="83"/>
      <c r="H593" s="84"/>
      <c r="I593" s="84"/>
      <c r="J593" s="84"/>
      <c r="K593" s="84"/>
      <c r="L593" s="84"/>
      <c r="M593" s="84"/>
      <c r="N593" s="84"/>
      <c r="O593" s="84"/>
      <c r="P593" s="85"/>
      <c r="Q593" s="75"/>
      <c r="R593" s="75"/>
      <c r="S593" s="75"/>
      <c r="T593" s="75"/>
      <c r="U593" s="89"/>
      <c r="V593" s="84"/>
      <c r="W593" s="84"/>
      <c r="X593" s="84"/>
      <c r="Y593" s="84"/>
      <c r="Z593" s="84"/>
    </row>
    <row r="594" spans="1:26" ht="15.75" customHeight="1">
      <c r="A594" s="83"/>
      <c r="B594" s="83"/>
      <c r="C594" s="83"/>
      <c r="D594" s="84"/>
      <c r="E594" s="84"/>
      <c r="F594" s="84"/>
      <c r="G594" s="83"/>
      <c r="H594" s="84"/>
      <c r="I594" s="84"/>
      <c r="J594" s="84"/>
      <c r="K594" s="84"/>
      <c r="L594" s="84"/>
      <c r="M594" s="84"/>
      <c r="N594" s="84"/>
      <c r="O594" s="84"/>
      <c r="P594" s="85"/>
      <c r="Q594" s="75"/>
      <c r="R594" s="75"/>
      <c r="S594" s="75"/>
      <c r="T594" s="75"/>
      <c r="U594" s="89"/>
      <c r="V594" s="84"/>
      <c r="W594" s="84"/>
      <c r="X594" s="84"/>
      <c r="Y594" s="84"/>
      <c r="Z594" s="84"/>
    </row>
    <row r="595" spans="1:26" ht="15.75" customHeight="1">
      <c r="A595" s="83"/>
      <c r="B595" s="83"/>
      <c r="C595" s="83"/>
      <c r="D595" s="84"/>
      <c r="E595" s="84"/>
      <c r="F595" s="84"/>
      <c r="G595" s="83"/>
      <c r="H595" s="84"/>
      <c r="I595" s="84"/>
      <c r="J595" s="84"/>
      <c r="K595" s="84"/>
      <c r="L595" s="84"/>
      <c r="M595" s="84"/>
      <c r="N595" s="84"/>
      <c r="O595" s="84"/>
      <c r="P595" s="85"/>
      <c r="Q595" s="75"/>
      <c r="R595" s="75"/>
      <c r="S595" s="75"/>
      <c r="T595" s="75"/>
      <c r="U595" s="89"/>
      <c r="V595" s="84"/>
      <c r="W595" s="84"/>
      <c r="X595" s="84"/>
      <c r="Y595" s="84"/>
      <c r="Z595" s="84"/>
    </row>
    <row r="596" spans="1:26" ht="15.75" customHeight="1">
      <c r="A596" s="83"/>
      <c r="B596" s="83"/>
      <c r="C596" s="83"/>
      <c r="D596" s="84"/>
      <c r="E596" s="84"/>
      <c r="F596" s="84"/>
      <c r="G596" s="83"/>
      <c r="H596" s="84"/>
      <c r="I596" s="84"/>
      <c r="J596" s="84"/>
      <c r="K596" s="84"/>
      <c r="L596" s="84"/>
      <c r="M596" s="84"/>
      <c r="N596" s="84"/>
      <c r="O596" s="84"/>
      <c r="P596" s="85"/>
      <c r="Q596" s="75"/>
      <c r="R596" s="75"/>
      <c r="S596" s="75"/>
      <c r="T596" s="75"/>
      <c r="U596" s="89"/>
      <c r="V596" s="84"/>
      <c r="W596" s="84"/>
      <c r="X596" s="84"/>
      <c r="Y596" s="84"/>
      <c r="Z596" s="84"/>
    </row>
    <row r="597" spans="1:26" ht="15.75" customHeight="1">
      <c r="A597" s="83"/>
      <c r="B597" s="83"/>
      <c r="C597" s="83"/>
      <c r="D597" s="84"/>
      <c r="E597" s="84"/>
      <c r="F597" s="84"/>
      <c r="G597" s="83"/>
      <c r="H597" s="84"/>
      <c r="I597" s="84"/>
      <c r="J597" s="84"/>
      <c r="K597" s="84"/>
      <c r="L597" s="84"/>
      <c r="M597" s="84"/>
      <c r="N597" s="84"/>
      <c r="O597" s="84"/>
      <c r="P597" s="85"/>
      <c r="Q597" s="75"/>
      <c r="R597" s="75"/>
      <c r="S597" s="75"/>
      <c r="T597" s="75"/>
      <c r="U597" s="89"/>
      <c r="V597" s="84"/>
      <c r="W597" s="84"/>
      <c r="X597" s="84"/>
      <c r="Y597" s="84"/>
      <c r="Z597" s="84"/>
    </row>
    <row r="598" spans="1:26" ht="15.75" customHeight="1">
      <c r="A598" s="83"/>
      <c r="B598" s="83"/>
      <c r="C598" s="83"/>
      <c r="D598" s="84"/>
      <c r="E598" s="84"/>
      <c r="F598" s="84"/>
      <c r="G598" s="83"/>
      <c r="H598" s="84"/>
      <c r="I598" s="84"/>
      <c r="J598" s="84"/>
      <c r="K598" s="84"/>
      <c r="L598" s="84"/>
      <c r="M598" s="84"/>
      <c r="N598" s="84"/>
      <c r="O598" s="84"/>
      <c r="P598" s="85"/>
      <c r="Q598" s="75"/>
      <c r="R598" s="75"/>
      <c r="S598" s="75"/>
      <c r="T598" s="75"/>
      <c r="U598" s="89"/>
      <c r="V598" s="84"/>
      <c r="W598" s="84"/>
      <c r="X598" s="84"/>
      <c r="Y598" s="84"/>
      <c r="Z598" s="84"/>
    </row>
    <row r="599" spans="1:26" ht="15.75" customHeight="1">
      <c r="A599" s="83"/>
      <c r="B599" s="83"/>
      <c r="C599" s="83"/>
      <c r="D599" s="84"/>
      <c r="E599" s="84"/>
      <c r="F599" s="84"/>
      <c r="G599" s="83"/>
      <c r="H599" s="84"/>
      <c r="I599" s="84"/>
      <c r="J599" s="84"/>
      <c r="K599" s="84"/>
      <c r="L599" s="84"/>
      <c r="M599" s="84"/>
      <c r="N599" s="84"/>
      <c r="O599" s="84"/>
      <c r="P599" s="85"/>
      <c r="Q599" s="75"/>
      <c r="R599" s="75"/>
      <c r="S599" s="75"/>
      <c r="T599" s="75"/>
      <c r="U599" s="89"/>
      <c r="V599" s="84"/>
      <c r="W599" s="84"/>
      <c r="X599" s="84"/>
      <c r="Y599" s="84"/>
      <c r="Z599" s="84"/>
    </row>
    <row r="600" spans="1:26" ht="15.75" customHeight="1">
      <c r="A600" s="83"/>
      <c r="B600" s="83"/>
      <c r="C600" s="83"/>
      <c r="D600" s="84"/>
      <c r="E600" s="84"/>
      <c r="F600" s="84"/>
      <c r="G600" s="83"/>
      <c r="H600" s="84"/>
      <c r="I600" s="84"/>
      <c r="J600" s="84"/>
      <c r="K600" s="84"/>
      <c r="L600" s="84"/>
      <c r="M600" s="84"/>
      <c r="N600" s="84"/>
      <c r="O600" s="84"/>
      <c r="P600" s="85"/>
      <c r="Q600" s="75"/>
      <c r="R600" s="75"/>
      <c r="S600" s="75"/>
      <c r="T600" s="75"/>
      <c r="U600" s="89"/>
      <c r="V600" s="84"/>
      <c r="W600" s="84"/>
      <c r="X600" s="84"/>
      <c r="Y600" s="84"/>
      <c r="Z600" s="84"/>
    </row>
    <row r="601" spans="1:26" ht="15.75" customHeight="1">
      <c r="A601" s="83"/>
      <c r="B601" s="83"/>
      <c r="C601" s="83"/>
      <c r="D601" s="84"/>
      <c r="E601" s="84"/>
      <c r="F601" s="84"/>
      <c r="G601" s="83"/>
      <c r="H601" s="84"/>
      <c r="I601" s="84"/>
      <c r="J601" s="84"/>
      <c r="K601" s="84"/>
      <c r="L601" s="84"/>
      <c r="M601" s="84"/>
      <c r="N601" s="84"/>
      <c r="O601" s="84"/>
      <c r="P601" s="85"/>
      <c r="Q601" s="75"/>
      <c r="R601" s="75"/>
      <c r="S601" s="75"/>
      <c r="T601" s="75"/>
      <c r="U601" s="89"/>
      <c r="V601" s="84"/>
      <c r="W601" s="84"/>
      <c r="X601" s="84"/>
      <c r="Y601" s="84"/>
      <c r="Z601" s="84"/>
    </row>
    <row r="602" spans="1:26" ht="15.75" customHeight="1">
      <c r="A602" s="83"/>
      <c r="B602" s="83"/>
      <c r="C602" s="83"/>
      <c r="D602" s="84"/>
      <c r="E602" s="84"/>
      <c r="F602" s="84"/>
      <c r="G602" s="83"/>
      <c r="H602" s="84"/>
      <c r="I602" s="84"/>
      <c r="J602" s="84"/>
      <c r="K602" s="84"/>
      <c r="L602" s="84"/>
      <c r="M602" s="84"/>
      <c r="N602" s="84"/>
      <c r="O602" s="84"/>
      <c r="P602" s="85"/>
      <c r="Q602" s="75"/>
      <c r="R602" s="75"/>
      <c r="S602" s="75"/>
      <c r="T602" s="75"/>
      <c r="U602" s="89"/>
      <c r="V602" s="84"/>
      <c r="W602" s="84"/>
      <c r="X602" s="84"/>
      <c r="Y602" s="84"/>
      <c r="Z602" s="84"/>
    </row>
    <row r="603" spans="1:26" ht="15.75" customHeight="1">
      <c r="A603" s="83"/>
      <c r="B603" s="83"/>
      <c r="C603" s="83"/>
      <c r="D603" s="84"/>
      <c r="E603" s="84"/>
      <c r="F603" s="84"/>
      <c r="G603" s="83"/>
      <c r="H603" s="84"/>
      <c r="I603" s="84"/>
      <c r="J603" s="84"/>
      <c r="K603" s="84"/>
      <c r="L603" s="84"/>
      <c r="M603" s="84"/>
      <c r="N603" s="84"/>
      <c r="O603" s="84"/>
      <c r="P603" s="85"/>
      <c r="Q603" s="75"/>
      <c r="R603" s="75"/>
      <c r="S603" s="75"/>
      <c r="T603" s="75"/>
      <c r="U603" s="89"/>
      <c r="V603" s="84"/>
      <c r="W603" s="84"/>
      <c r="X603" s="84"/>
      <c r="Y603" s="84"/>
      <c r="Z603" s="84"/>
    </row>
    <row r="604" spans="1:26" ht="15.75" customHeight="1">
      <c r="A604" s="83"/>
      <c r="B604" s="83"/>
      <c r="C604" s="83"/>
      <c r="D604" s="84"/>
      <c r="E604" s="84"/>
      <c r="F604" s="84"/>
      <c r="G604" s="83"/>
      <c r="H604" s="84"/>
      <c r="I604" s="84"/>
      <c r="J604" s="84"/>
      <c r="K604" s="84"/>
      <c r="L604" s="84"/>
      <c r="M604" s="84"/>
      <c r="N604" s="84"/>
      <c r="O604" s="84"/>
      <c r="P604" s="85"/>
      <c r="Q604" s="75"/>
      <c r="R604" s="75"/>
      <c r="S604" s="75"/>
      <c r="T604" s="75"/>
      <c r="U604" s="89"/>
      <c r="V604" s="84"/>
      <c r="W604" s="84"/>
      <c r="X604" s="84"/>
      <c r="Y604" s="84"/>
      <c r="Z604" s="84"/>
    </row>
    <row r="605" spans="1:26" ht="15.75" customHeight="1">
      <c r="A605" s="83"/>
      <c r="B605" s="83"/>
      <c r="C605" s="83"/>
      <c r="D605" s="84"/>
      <c r="E605" s="84"/>
      <c r="F605" s="84"/>
      <c r="G605" s="83"/>
      <c r="H605" s="84"/>
      <c r="I605" s="84"/>
      <c r="J605" s="84"/>
      <c r="K605" s="84"/>
      <c r="L605" s="84"/>
      <c r="M605" s="84"/>
      <c r="N605" s="84"/>
      <c r="O605" s="84"/>
      <c r="P605" s="85"/>
      <c r="Q605" s="75"/>
      <c r="R605" s="75"/>
      <c r="S605" s="75"/>
      <c r="T605" s="75"/>
      <c r="U605" s="89"/>
      <c r="V605" s="84"/>
      <c r="W605" s="84"/>
      <c r="X605" s="84"/>
      <c r="Y605" s="84"/>
      <c r="Z605" s="84"/>
    </row>
    <row r="606" spans="1:26" ht="15.75" customHeight="1">
      <c r="A606" s="83"/>
      <c r="B606" s="83"/>
      <c r="C606" s="83"/>
      <c r="D606" s="84"/>
      <c r="E606" s="84"/>
      <c r="F606" s="84"/>
      <c r="G606" s="83"/>
      <c r="H606" s="84"/>
      <c r="I606" s="84"/>
      <c r="J606" s="84"/>
      <c r="K606" s="84"/>
      <c r="L606" s="84"/>
      <c r="M606" s="84"/>
      <c r="N606" s="84"/>
      <c r="O606" s="84"/>
      <c r="P606" s="85"/>
      <c r="Q606" s="75"/>
      <c r="R606" s="75"/>
      <c r="S606" s="75"/>
      <c r="T606" s="75"/>
      <c r="U606" s="89"/>
      <c r="V606" s="84"/>
      <c r="W606" s="84"/>
      <c r="X606" s="84"/>
      <c r="Y606" s="84"/>
      <c r="Z606" s="84"/>
    </row>
    <row r="607" spans="1:26" ht="15.75" customHeight="1">
      <c r="A607" s="83"/>
      <c r="B607" s="83"/>
      <c r="C607" s="83"/>
      <c r="D607" s="84"/>
      <c r="E607" s="84"/>
      <c r="F607" s="84"/>
      <c r="G607" s="83"/>
      <c r="H607" s="84"/>
      <c r="I607" s="84"/>
      <c r="J607" s="84"/>
      <c r="K607" s="84"/>
      <c r="L607" s="84"/>
      <c r="M607" s="84"/>
      <c r="N607" s="84"/>
      <c r="O607" s="84"/>
      <c r="P607" s="85"/>
      <c r="Q607" s="75"/>
      <c r="R607" s="75"/>
      <c r="S607" s="75"/>
      <c r="T607" s="75"/>
      <c r="U607" s="89"/>
      <c r="V607" s="84"/>
      <c r="W607" s="84"/>
      <c r="X607" s="84"/>
      <c r="Y607" s="84"/>
      <c r="Z607" s="84"/>
    </row>
    <row r="608" spans="1:26" ht="15.75" customHeight="1">
      <c r="A608" s="83"/>
      <c r="B608" s="83"/>
      <c r="C608" s="83"/>
      <c r="D608" s="84"/>
      <c r="E608" s="84"/>
      <c r="F608" s="84"/>
      <c r="G608" s="83"/>
      <c r="H608" s="84"/>
      <c r="I608" s="84"/>
      <c r="J608" s="84"/>
      <c r="K608" s="84"/>
      <c r="L608" s="84"/>
      <c r="M608" s="84"/>
      <c r="N608" s="84"/>
      <c r="O608" s="84"/>
      <c r="P608" s="85"/>
      <c r="Q608" s="75"/>
      <c r="R608" s="75"/>
      <c r="S608" s="75"/>
      <c r="T608" s="75"/>
      <c r="U608" s="89"/>
      <c r="V608" s="84"/>
      <c r="W608" s="84"/>
      <c r="X608" s="84"/>
      <c r="Y608" s="84"/>
      <c r="Z608" s="84"/>
    </row>
    <row r="609" spans="1:26" ht="15.75" customHeight="1">
      <c r="A609" s="83"/>
      <c r="B609" s="83"/>
      <c r="C609" s="83"/>
      <c r="D609" s="84"/>
      <c r="E609" s="84"/>
      <c r="F609" s="84"/>
      <c r="G609" s="83"/>
      <c r="H609" s="84"/>
      <c r="I609" s="84"/>
      <c r="J609" s="84"/>
      <c r="K609" s="84"/>
      <c r="L609" s="84"/>
      <c r="M609" s="84"/>
      <c r="N609" s="84"/>
      <c r="O609" s="84"/>
      <c r="P609" s="85"/>
      <c r="Q609" s="75"/>
      <c r="R609" s="75"/>
      <c r="S609" s="75"/>
      <c r="T609" s="75"/>
      <c r="U609" s="89"/>
      <c r="V609" s="84"/>
      <c r="W609" s="84"/>
      <c r="X609" s="84"/>
      <c r="Y609" s="84"/>
      <c r="Z609" s="84"/>
    </row>
    <row r="610" spans="1:26" ht="15.75" customHeight="1">
      <c r="A610" s="83"/>
      <c r="B610" s="83"/>
      <c r="C610" s="83"/>
      <c r="D610" s="84"/>
      <c r="E610" s="84"/>
      <c r="F610" s="84"/>
      <c r="G610" s="83"/>
      <c r="H610" s="84"/>
      <c r="I610" s="84"/>
      <c r="J610" s="84"/>
      <c r="K610" s="84"/>
      <c r="L610" s="84"/>
      <c r="M610" s="84"/>
      <c r="N610" s="84"/>
      <c r="O610" s="84"/>
      <c r="P610" s="85"/>
      <c r="Q610" s="75"/>
      <c r="R610" s="75"/>
      <c r="S610" s="75"/>
      <c r="T610" s="75"/>
      <c r="U610" s="89"/>
      <c r="V610" s="84"/>
      <c r="W610" s="84"/>
      <c r="X610" s="84"/>
      <c r="Y610" s="84"/>
      <c r="Z610" s="84"/>
    </row>
    <row r="611" spans="1:26" ht="15.75" customHeight="1">
      <c r="A611" s="83"/>
      <c r="B611" s="83"/>
      <c r="C611" s="83"/>
      <c r="D611" s="84"/>
      <c r="E611" s="84"/>
      <c r="F611" s="84"/>
      <c r="G611" s="83"/>
      <c r="H611" s="84"/>
      <c r="I611" s="84"/>
      <c r="J611" s="84"/>
      <c r="K611" s="84"/>
      <c r="L611" s="84"/>
      <c r="M611" s="84"/>
      <c r="N611" s="84"/>
      <c r="O611" s="84"/>
      <c r="P611" s="85"/>
      <c r="Q611" s="75"/>
      <c r="R611" s="75"/>
      <c r="S611" s="75"/>
      <c r="T611" s="75"/>
      <c r="U611" s="89"/>
      <c r="V611" s="84"/>
      <c r="W611" s="84"/>
      <c r="X611" s="84"/>
      <c r="Y611" s="84"/>
      <c r="Z611" s="84"/>
    </row>
    <row r="612" spans="1:26" ht="15.75" customHeight="1">
      <c r="A612" s="83"/>
      <c r="B612" s="83"/>
      <c r="C612" s="83"/>
      <c r="D612" s="84"/>
      <c r="E612" s="84"/>
      <c r="F612" s="84"/>
      <c r="G612" s="83"/>
      <c r="H612" s="84"/>
      <c r="I612" s="84"/>
      <c r="J612" s="84"/>
      <c r="K612" s="84"/>
      <c r="L612" s="84"/>
      <c r="M612" s="84"/>
      <c r="N612" s="84"/>
      <c r="O612" s="84"/>
      <c r="P612" s="85"/>
      <c r="Q612" s="75"/>
      <c r="R612" s="75"/>
      <c r="S612" s="75"/>
      <c r="T612" s="75"/>
      <c r="U612" s="89"/>
      <c r="V612" s="84"/>
      <c r="W612" s="84"/>
      <c r="X612" s="84"/>
      <c r="Y612" s="84"/>
      <c r="Z612" s="84"/>
    </row>
    <row r="613" spans="1:26" ht="15.75" customHeight="1">
      <c r="A613" s="83"/>
      <c r="B613" s="83"/>
      <c r="C613" s="83"/>
      <c r="D613" s="84"/>
      <c r="E613" s="84"/>
      <c r="F613" s="84"/>
      <c r="G613" s="83"/>
      <c r="H613" s="84"/>
      <c r="I613" s="84"/>
      <c r="J613" s="84"/>
      <c r="K613" s="84"/>
      <c r="L613" s="84"/>
      <c r="M613" s="84"/>
      <c r="N613" s="84"/>
      <c r="O613" s="84"/>
      <c r="P613" s="85"/>
      <c r="Q613" s="75"/>
      <c r="R613" s="75"/>
      <c r="S613" s="75"/>
      <c r="T613" s="75"/>
      <c r="U613" s="89"/>
      <c r="V613" s="84"/>
      <c r="W613" s="84"/>
      <c r="X613" s="84"/>
      <c r="Y613" s="84"/>
      <c r="Z613" s="84"/>
    </row>
    <row r="614" spans="1:26" ht="15.75" customHeight="1">
      <c r="A614" s="83"/>
      <c r="B614" s="83"/>
      <c r="C614" s="83"/>
      <c r="D614" s="84"/>
      <c r="E614" s="84"/>
      <c r="F614" s="84"/>
      <c r="G614" s="83"/>
      <c r="H614" s="84"/>
      <c r="I614" s="84"/>
      <c r="J614" s="84"/>
      <c r="K614" s="84"/>
      <c r="L614" s="84"/>
      <c r="M614" s="84"/>
      <c r="N614" s="84"/>
      <c r="O614" s="84"/>
      <c r="P614" s="85"/>
      <c r="Q614" s="75"/>
      <c r="R614" s="75"/>
      <c r="S614" s="75"/>
      <c r="T614" s="75"/>
      <c r="U614" s="89"/>
      <c r="V614" s="84"/>
      <c r="W614" s="84"/>
      <c r="X614" s="84"/>
      <c r="Y614" s="84"/>
      <c r="Z614" s="84"/>
    </row>
    <row r="615" spans="1:26" ht="15.75" customHeight="1">
      <c r="A615" s="83"/>
      <c r="B615" s="83"/>
      <c r="C615" s="83"/>
      <c r="D615" s="84"/>
      <c r="E615" s="84"/>
      <c r="F615" s="84"/>
      <c r="G615" s="83"/>
      <c r="H615" s="84"/>
      <c r="I615" s="84"/>
      <c r="J615" s="84"/>
      <c r="K615" s="84"/>
      <c r="L615" s="84"/>
      <c r="M615" s="84"/>
      <c r="N615" s="84"/>
      <c r="O615" s="84"/>
      <c r="P615" s="85"/>
      <c r="Q615" s="75"/>
      <c r="R615" s="75"/>
      <c r="S615" s="75"/>
      <c r="T615" s="75"/>
      <c r="U615" s="89"/>
      <c r="V615" s="84"/>
      <c r="W615" s="84"/>
      <c r="X615" s="84"/>
      <c r="Y615" s="84"/>
      <c r="Z615" s="84"/>
    </row>
    <row r="616" spans="1:26" ht="15.75" customHeight="1">
      <c r="A616" s="83"/>
      <c r="B616" s="83"/>
      <c r="C616" s="83"/>
      <c r="D616" s="84"/>
      <c r="E616" s="84"/>
      <c r="F616" s="84"/>
      <c r="G616" s="83"/>
      <c r="H616" s="84"/>
      <c r="I616" s="84"/>
      <c r="J616" s="84"/>
      <c r="K616" s="84"/>
      <c r="L616" s="84"/>
      <c r="M616" s="84"/>
      <c r="N616" s="84"/>
      <c r="O616" s="84"/>
      <c r="P616" s="85"/>
      <c r="Q616" s="75"/>
      <c r="R616" s="75"/>
      <c r="S616" s="75"/>
      <c r="T616" s="75"/>
      <c r="U616" s="89"/>
      <c r="V616" s="84"/>
      <c r="W616" s="84"/>
      <c r="X616" s="84"/>
      <c r="Y616" s="84"/>
      <c r="Z616" s="84"/>
    </row>
    <row r="617" spans="1:26" ht="15.75" customHeight="1">
      <c r="A617" s="83"/>
      <c r="B617" s="83"/>
      <c r="C617" s="83"/>
      <c r="D617" s="84"/>
      <c r="E617" s="84"/>
      <c r="F617" s="84"/>
      <c r="G617" s="83"/>
      <c r="H617" s="84"/>
      <c r="I617" s="84"/>
      <c r="J617" s="84"/>
      <c r="K617" s="84"/>
      <c r="L617" s="84"/>
      <c r="M617" s="84"/>
      <c r="N617" s="84"/>
      <c r="O617" s="84"/>
      <c r="P617" s="85"/>
      <c r="Q617" s="75"/>
      <c r="R617" s="75"/>
      <c r="S617" s="75"/>
      <c r="T617" s="75"/>
      <c r="U617" s="89"/>
      <c r="V617" s="84"/>
      <c r="W617" s="84"/>
      <c r="X617" s="84"/>
      <c r="Y617" s="84"/>
      <c r="Z617" s="84"/>
    </row>
    <row r="618" spans="1:26" ht="15.75" customHeight="1">
      <c r="A618" s="83"/>
      <c r="B618" s="83"/>
      <c r="C618" s="83"/>
      <c r="D618" s="84"/>
      <c r="E618" s="84"/>
      <c r="F618" s="84"/>
      <c r="G618" s="83"/>
      <c r="H618" s="84"/>
      <c r="I618" s="84"/>
      <c r="J618" s="84"/>
      <c r="K618" s="84"/>
      <c r="L618" s="84"/>
      <c r="M618" s="84"/>
      <c r="N618" s="84"/>
      <c r="O618" s="84"/>
      <c r="P618" s="85"/>
      <c r="Q618" s="75"/>
      <c r="R618" s="75"/>
      <c r="S618" s="75"/>
      <c r="T618" s="75"/>
      <c r="U618" s="89"/>
      <c r="V618" s="84"/>
      <c r="W618" s="84"/>
      <c r="X618" s="84"/>
      <c r="Y618" s="84"/>
      <c r="Z618" s="84"/>
    </row>
    <row r="619" spans="1:26" ht="15.75" customHeight="1">
      <c r="A619" s="83"/>
      <c r="B619" s="83"/>
      <c r="C619" s="83"/>
      <c r="D619" s="84"/>
      <c r="E619" s="84"/>
      <c r="F619" s="84"/>
      <c r="G619" s="83"/>
      <c r="H619" s="84"/>
      <c r="I619" s="84"/>
      <c r="J619" s="84"/>
      <c r="K619" s="84"/>
      <c r="L619" s="84"/>
      <c r="M619" s="84"/>
      <c r="N619" s="84"/>
      <c r="O619" s="84"/>
      <c r="P619" s="85"/>
      <c r="Q619" s="75"/>
      <c r="R619" s="75"/>
      <c r="S619" s="75"/>
      <c r="T619" s="75"/>
      <c r="U619" s="89"/>
      <c r="V619" s="84"/>
      <c r="W619" s="84"/>
      <c r="X619" s="84"/>
      <c r="Y619" s="84"/>
      <c r="Z619" s="84"/>
    </row>
    <row r="620" spans="1:26" ht="15.75" customHeight="1">
      <c r="A620" s="83"/>
      <c r="B620" s="83"/>
      <c r="C620" s="83"/>
      <c r="D620" s="84"/>
      <c r="E620" s="84"/>
      <c r="F620" s="84"/>
      <c r="G620" s="83"/>
      <c r="H620" s="84"/>
      <c r="I620" s="84"/>
      <c r="J620" s="84"/>
      <c r="K620" s="84"/>
      <c r="L620" s="84"/>
      <c r="M620" s="84"/>
      <c r="N620" s="84"/>
      <c r="O620" s="84"/>
      <c r="P620" s="85"/>
      <c r="Q620" s="75"/>
      <c r="R620" s="75"/>
      <c r="S620" s="75"/>
      <c r="T620" s="75"/>
      <c r="U620" s="89"/>
      <c r="V620" s="84"/>
      <c r="W620" s="84"/>
      <c r="X620" s="84"/>
      <c r="Y620" s="84"/>
      <c r="Z620" s="84"/>
    </row>
    <row r="621" spans="1:26" ht="15.75" customHeight="1">
      <c r="A621" s="83"/>
      <c r="B621" s="83"/>
      <c r="C621" s="83"/>
      <c r="D621" s="84"/>
      <c r="E621" s="84"/>
      <c r="F621" s="84"/>
      <c r="G621" s="83"/>
      <c r="H621" s="84"/>
      <c r="I621" s="84"/>
      <c r="J621" s="84"/>
      <c r="K621" s="84"/>
      <c r="L621" s="84"/>
      <c r="M621" s="84"/>
      <c r="N621" s="84"/>
      <c r="O621" s="84"/>
      <c r="P621" s="85"/>
      <c r="Q621" s="75"/>
      <c r="R621" s="75"/>
      <c r="S621" s="75"/>
      <c r="T621" s="75"/>
      <c r="U621" s="89"/>
      <c r="V621" s="84"/>
      <c r="W621" s="84"/>
      <c r="X621" s="84"/>
      <c r="Y621" s="84"/>
      <c r="Z621" s="84"/>
    </row>
    <row r="622" spans="1:26" ht="15.75" customHeight="1">
      <c r="A622" s="83"/>
      <c r="B622" s="83"/>
      <c r="C622" s="83"/>
      <c r="D622" s="84"/>
      <c r="E622" s="84"/>
      <c r="F622" s="84"/>
      <c r="G622" s="83"/>
      <c r="H622" s="84"/>
      <c r="I622" s="84"/>
      <c r="J622" s="84"/>
      <c r="K622" s="84"/>
      <c r="L622" s="84"/>
      <c r="M622" s="84"/>
      <c r="N622" s="84"/>
      <c r="O622" s="84"/>
      <c r="P622" s="85"/>
      <c r="Q622" s="75"/>
      <c r="R622" s="75"/>
      <c r="S622" s="75"/>
      <c r="T622" s="75"/>
      <c r="U622" s="89"/>
      <c r="V622" s="84"/>
      <c r="W622" s="84"/>
      <c r="X622" s="84"/>
      <c r="Y622" s="84"/>
      <c r="Z622" s="84"/>
    </row>
    <row r="623" spans="1:26" ht="15.75" customHeight="1">
      <c r="A623" s="83"/>
      <c r="B623" s="83"/>
      <c r="C623" s="83"/>
      <c r="D623" s="84"/>
      <c r="E623" s="84"/>
      <c r="F623" s="84"/>
      <c r="G623" s="83"/>
      <c r="H623" s="84"/>
      <c r="I623" s="84"/>
      <c r="J623" s="84"/>
      <c r="K623" s="84"/>
      <c r="L623" s="84"/>
      <c r="M623" s="84"/>
      <c r="N623" s="84"/>
      <c r="O623" s="84"/>
      <c r="P623" s="85"/>
      <c r="Q623" s="75"/>
      <c r="R623" s="75"/>
      <c r="S623" s="75"/>
      <c r="T623" s="75"/>
      <c r="U623" s="89"/>
      <c r="V623" s="84"/>
      <c r="W623" s="84"/>
      <c r="X623" s="84"/>
      <c r="Y623" s="84"/>
      <c r="Z623" s="84"/>
    </row>
    <row r="624" spans="1:26" ht="15.75" customHeight="1">
      <c r="A624" s="83"/>
      <c r="B624" s="83"/>
      <c r="C624" s="83"/>
      <c r="D624" s="84"/>
      <c r="E624" s="84"/>
      <c r="F624" s="84"/>
      <c r="G624" s="83"/>
      <c r="H624" s="84"/>
      <c r="I624" s="84"/>
      <c r="J624" s="84"/>
      <c r="K624" s="84"/>
      <c r="L624" s="84"/>
      <c r="M624" s="84"/>
      <c r="N624" s="84"/>
      <c r="O624" s="84"/>
      <c r="P624" s="85"/>
      <c r="Q624" s="75"/>
      <c r="R624" s="75"/>
      <c r="S624" s="75"/>
      <c r="T624" s="75"/>
      <c r="U624" s="89"/>
      <c r="V624" s="84"/>
      <c r="W624" s="84"/>
      <c r="X624" s="84"/>
      <c r="Y624" s="84"/>
      <c r="Z624" s="84"/>
    </row>
    <row r="625" spans="1:26" ht="15.75" customHeight="1">
      <c r="A625" s="83"/>
      <c r="B625" s="83"/>
      <c r="C625" s="83"/>
      <c r="D625" s="84"/>
      <c r="E625" s="84"/>
      <c r="F625" s="84"/>
      <c r="G625" s="83"/>
      <c r="H625" s="84"/>
      <c r="I625" s="84"/>
      <c r="J625" s="84"/>
      <c r="K625" s="84"/>
      <c r="L625" s="84"/>
      <c r="M625" s="84"/>
      <c r="N625" s="84"/>
      <c r="O625" s="84"/>
      <c r="P625" s="85"/>
      <c r="Q625" s="75"/>
      <c r="R625" s="75"/>
      <c r="S625" s="75"/>
      <c r="T625" s="75"/>
      <c r="U625" s="89"/>
      <c r="V625" s="84"/>
      <c r="W625" s="84"/>
      <c r="X625" s="84"/>
      <c r="Y625" s="84"/>
      <c r="Z625" s="84"/>
    </row>
    <row r="626" spans="1:26" ht="15.75" customHeight="1">
      <c r="A626" s="83"/>
      <c r="B626" s="83"/>
      <c r="C626" s="83"/>
      <c r="D626" s="84"/>
      <c r="E626" s="84"/>
      <c r="F626" s="84"/>
      <c r="G626" s="83"/>
      <c r="H626" s="84"/>
      <c r="I626" s="84"/>
      <c r="J626" s="84"/>
      <c r="K626" s="84"/>
      <c r="L626" s="84"/>
      <c r="M626" s="84"/>
      <c r="N626" s="84"/>
      <c r="O626" s="84"/>
      <c r="P626" s="85"/>
      <c r="Q626" s="75"/>
      <c r="R626" s="75"/>
      <c r="S626" s="75"/>
      <c r="T626" s="75"/>
      <c r="U626" s="89"/>
      <c r="V626" s="84"/>
      <c r="W626" s="84"/>
      <c r="X626" s="84"/>
      <c r="Y626" s="84"/>
      <c r="Z626" s="84"/>
    </row>
    <row r="627" spans="1:26" ht="15.75" customHeight="1">
      <c r="A627" s="83"/>
      <c r="B627" s="83"/>
      <c r="C627" s="83"/>
      <c r="D627" s="84"/>
      <c r="E627" s="84"/>
      <c r="F627" s="84"/>
      <c r="G627" s="83"/>
      <c r="H627" s="84"/>
      <c r="I627" s="84"/>
      <c r="J627" s="84"/>
      <c r="K627" s="84"/>
      <c r="L627" s="84"/>
      <c r="M627" s="84"/>
      <c r="N627" s="84"/>
      <c r="O627" s="84"/>
      <c r="P627" s="85"/>
      <c r="Q627" s="75"/>
      <c r="R627" s="75"/>
      <c r="S627" s="75"/>
      <c r="T627" s="75"/>
      <c r="U627" s="89"/>
      <c r="V627" s="84"/>
      <c r="W627" s="84"/>
      <c r="X627" s="84"/>
      <c r="Y627" s="84"/>
      <c r="Z627" s="84"/>
    </row>
    <row r="628" spans="1:26" ht="15.75" customHeight="1">
      <c r="A628" s="83"/>
      <c r="B628" s="83"/>
      <c r="C628" s="83"/>
      <c r="D628" s="84"/>
      <c r="E628" s="84"/>
      <c r="F628" s="84"/>
      <c r="G628" s="83"/>
      <c r="H628" s="84"/>
      <c r="I628" s="84"/>
      <c r="J628" s="84"/>
      <c r="K628" s="84"/>
      <c r="L628" s="84"/>
      <c r="M628" s="84"/>
      <c r="N628" s="84"/>
      <c r="O628" s="84"/>
      <c r="P628" s="85"/>
      <c r="Q628" s="75"/>
      <c r="R628" s="75"/>
      <c r="S628" s="75"/>
      <c r="T628" s="75"/>
      <c r="U628" s="89"/>
      <c r="V628" s="84"/>
      <c r="W628" s="84"/>
      <c r="X628" s="84"/>
      <c r="Y628" s="84"/>
      <c r="Z628" s="84"/>
    </row>
    <row r="629" spans="1:26" ht="15.75" customHeight="1">
      <c r="A629" s="83"/>
      <c r="B629" s="83"/>
      <c r="C629" s="83"/>
      <c r="D629" s="84"/>
      <c r="E629" s="84"/>
      <c r="F629" s="84"/>
      <c r="G629" s="83"/>
      <c r="H629" s="84"/>
      <c r="I629" s="84"/>
      <c r="J629" s="84"/>
      <c r="K629" s="84"/>
      <c r="L629" s="84"/>
      <c r="M629" s="84"/>
      <c r="N629" s="84"/>
      <c r="O629" s="84"/>
      <c r="P629" s="85"/>
      <c r="Q629" s="75"/>
      <c r="R629" s="75"/>
      <c r="S629" s="75"/>
      <c r="T629" s="75"/>
      <c r="U629" s="89"/>
      <c r="V629" s="84"/>
      <c r="W629" s="84"/>
      <c r="X629" s="84"/>
      <c r="Y629" s="84"/>
      <c r="Z629" s="84"/>
    </row>
    <row r="630" spans="1:26" ht="15.75" customHeight="1">
      <c r="A630" s="83"/>
      <c r="B630" s="83"/>
      <c r="C630" s="83"/>
      <c r="D630" s="84"/>
      <c r="E630" s="84"/>
      <c r="F630" s="84"/>
      <c r="G630" s="83"/>
      <c r="H630" s="84"/>
      <c r="I630" s="84"/>
      <c r="J630" s="84"/>
      <c r="K630" s="84"/>
      <c r="L630" s="84"/>
      <c r="M630" s="84"/>
      <c r="N630" s="84"/>
      <c r="O630" s="84"/>
      <c r="P630" s="85"/>
      <c r="Q630" s="75"/>
      <c r="R630" s="75"/>
      <c r="S630" s="75"/>
      <c r="T630" s="75"/>
      <c r="U630" s="89"/>
      <c r="V630" s="84"/>
      <c r="W630" s="84"/>
      <c r="X630" s="84"/>
      <c r="Y630" s="84"/>
      <c r="Z630" s="84"/>
    </row>
    <row r="631" spans="1:26" ht="15.75" customHeight="1">
      <c r="A631" s="83"/>
      <c r="B631" s="83"/>
      <c r="C631" s="83"/>
      <c r="D631" s="84"/>
      <c r="E631" s="84"/>
      <c r="F631" s="84"/>
      <c r="G631" s="83"/>
      <c r="H631" s="84"/>
      <c r="I631" s="84"/>
      <c r="J631" s="84"/>
      <c r="K631" s="84"/>
      <c r="L631" s="84"/>
      <c r="M631" s="84"/>
      <c r="N631" s="84"/>
      <c r="O631" s="84"/>
      <c r="P631" s="85"/>
      <c r="Q631" s="75"/>
      <c r="R631" s="75"/>
      <c r="S631" s="75"/>
      <c r="T631" s="75"/>
      <c r="U631" s="89"/>
      <c r="V631" s="84"/>
      <c r="W631" s="84"/>
      <c r="X631" s="84"/>
      <c r="Y631" s="84"/>
      <c r="Z631" s="84"/>
    </row>
    <row r="632" spans="1:26" ht="15.75" customHeight="1">
      <c r="A632" s="83"/>
      <c r="B632" s="83"/>
      <c r="C632" s="83"/>
      <c r="D632" s="84"/>
      <c r="E632" s="84"/>
      <c r="F632" s="84"/>
      <c r="G632" s="83"/>
      <c r="H632" s="84"/>
      <c r="I632" s="84"/>
      <c r="J632" s="84"/>
      <c r="K632" s="84"/>
      <c r="L632" s="84"/>
      <c r="M632" s="84"/>
      <c r="N632" s="84"/>
      <c r="O632" s="84"/>
      <c r="P632" s="85"/>
      <c r="Q632" s="75"/>
      <c r="R632" s="75"/>
      <c r="S632" s="75"/>
      <c r="T632" s="75"/>
      <c r="U632" s="89"/>
      <c r="V632" s="84"/>
      <c r="W632" s="84"/>
      <c r="X632" s="84"/>
      <c r="Y632" s="84"/>
      <c r="Z632" s="84"/>
    </row>
    <row r="633" spans="1:26" ht="15.75" customHeight="1">
      <c r="A633" s="83"/>
      <c r="B633" s="83"/>
      <c r="C633" s="83"/>
      <c r="D633" s="84"/>
      <c r="E633" s="84"/>
      <c r="F633" s="84"/>
      <c r="G633" s="83"/>
      <c r="H633" s="84"/>
      <c r="I633" s="84"/>
      <c r="J633" s="84"/>
      <c r="K633" s="84"/>
      <c r="L633" s="84"/>
      <c r="M633" s="84"/>
      <c r="N633" s="84"/>
      <c r="O633" s="84"/>
      <c r="P633" s="85"/>
      <c r="Q633" s="75"/>
      <c r="R633" s="75"/>
      <c r="S633" s="75"/>
      <c r="T633" s="75"/>
      <c r="U633" s="89"/>
      <c r="V633" s="84"/>
      <c r="W633" s="84"/>
      <c r="X633" s="84"/>
      <c r="Y633" s="84"/>
      <c r="Z633" s="84"/>
    </row>
    <row r="634" spans="1:26" ht="15.75" customHeight="1">
      <c r="A634" s="83"/>
      <c r="B634" s="83"/>
      <c r="C634" s="83"/>
      <c r="D634" s="84"/>
      <c r="E634" s="84"/>
      <c r="F634" s="84"/>
      <c r="G634" s="83"/>
      <c r="H634" s="84"/>
      <c r="I634" s="84"/>
      <c r="J634" s="84"/>
      <c r="K634" s="84"/>
      <c r="L634" s="84"/>
      <c r="M634" s="84"/>
      <c r="N634" s="84"/>
      <c r="O634" s="84"/>
      <c r="P634" s="85"/>
      <c r="Q634" s="75"/>
      <c r="R634" s="75"/>
      <c r="S634" s="75"/>
      <c r="T634" s="75"/>
      <c r="U634" s="89"/>
      <c r="V634" s="84"/>
      <c r="W634" s="84"/>
      <c r="X634" s="84"/>
      <c r="Y634" s="84"/>
      <c r="Z634" s="84"/>
    </row>
    <row r="635" spans="1:26" ht="15.75" customHeight="1">
      <c r="A635" s="83"/>
      <c r="B635" s="83"/>
      <c r="C635" s="83"/>
      <c r="D635" s="84"/>
      <c r="E635" s="84"/>
      <c r="F635" s="84"/>
      <c r="G635" s="83"/>
      <c r="H635" s="84"/>
      <c r="I635" s="84"/>
      <c r="J635" s="84"/>
      <c r="K635" s="84"/>
      <c r="L635" s="84"/>
      <c r="M635" s="84"/>
      <c r="N635" s="84"/>
      <c r="O635" s="84"/>
      <c r="P635" s="85"/>
      <c r="Q635" s="75"/>
      <c r="R635" s="75"/>
      <c r="S635" s="75"/>
      <c r="T635" s="75"/>
      <c r="U635" s="89"/>
      <c r="V635" s="84"/>
      <c r="W635" s="84"/>
      <c r="X635" s="84"/>
      <c r="Y635" s="84"/>
      <c r="Z635" s="84"/>
    </row>
    <row r="636" spans="1:26" ht="15.75" customHeight="1">
      <c r="A636" s="83"/>
      <c r="B636" s="83"/>
      <c r="C636" s="83"/>
      <c r="D636" s="84"/>
      <c r="E636" s="84"/>
      <c r="F636" s="84"/>
      <c r="G636" s="83"/>
      <c r="H636" s="84"/>
      <c r="I636" s="84"/>
      <c r="J636" s="84"/>
      <c r="K636" s="84"/>
      <c r="L636" s="84"/>
      <c r="M636" s="84"/>
      <c r="N636" s="84"/>
      <c r="O636" s="84"/>
      <c r="P636" s="85"/>
      <c r="Q636" s="75"/>
      <c r="R636" s="75"/>
      <c r="S636" s="75"/>
      <c r="T636" s="75"/>
      <c r="U636" s="89"/>
      <c r="V636" s="84"/>
      <c r="W636" s="84"/>
      <c r="X636" s="84"/>
      <c r="Y636" s="84"/>
      <c r="Z636" s="84"/>
    </row>
    <row r="637" spans="1:26" ht="15.75" customHeight="1">
      <c r="A637" s="83"/>
      <c r="B637" s="83"/>
      <c r="C637" s="83"/>
      <c r="D637" s="84"/>
      <c r="E637" s="84"/>
      <c r="F637" s="84"/>
      <c r="G637" s="83"/>
      <c r="H637" s="84"/>
      <c r="I637" s="84"/>
      <c r="J637" s="84"/>
      <c r="K637" s="84"/>
      <c r="L637" s="84"/>
      <c r="M637" s="84"/>
      <c r="N637" s="84"/>
      <c r="O637" s="84"/>
      <c r="P637" s="85"/>
      <c r="Q637" s="75"/>
      <c r="R637" s="75"/>
      <c r="S637" s="75"/>
      <c r="T637" s="75"/>
      <c r="U637" s="89"/>
      <c r="V637" s="84"/>
      <c r="W637" s="84"/>
      <c r="X637" s="84"/>
      <c r="Y637" s="84"/>
      <c r="Z637" s="84"/>
    </row>
    <row r="638" spans="1:26" ht="15.75" customHeight="1">
      <c r="A638" s="83"/>
      <c r="B638" s="83"/>
      <c r="C638" s="83"/>
      <c r="D638" s="84"/>
      <c r="E638" s="84"/>
      <c r="F638" s="84"/>
      <c r="G638" s="83"/>
      <c r="H638" s="84"/>
      <c r="I638" s="84"/>
      <c r="J638" s="84"/>
      <c r="K638" s="84"/>
      <c r="L638" s="84"/>
      <c r="M638" s="84"/>
      <c r="N638" s="84"/>
      <c r="O638" s="84"/>
      <c r="P638" s="85"/>
      <c r="Q638" s="75"/>
      <c r="R638" s="75"/>
      <c r="S638" s="75"/>
      <c r="T638" s="75"/>
      <c r="U638" s="89"/>
      <c r="V638" s="84"/>
      <c r="W638" s="84"/>
      <c r="X638" s="84"/>
      <c r="Y638" s="84"/>
      <c r="Z638" s="84"/>
    </row>
    <row r="639" spans="1:26" ht="15.75" customHeight="1">
      <c r="A639" s="83"/>
      <c r="B639" s="83"/>
      <c r="C639" s="83"/>
      <c r="D639" s="84"/>
      <c r="E639" s="84"/>
      <c r="F639" s="84"/>
      <c r="G639" s="83"/>
      <c r="H639" s="84"/>
      <c r="I639" s="84"/>
      <c r="J639" s="84"/>
      <c r="K639" s="84"/>
      <c r="L639" s="84"/>
      <c r="M639" s="84"/>
      <c r="N639" s="84"/>
      <c r="O639" s="84"/>
      <c r="P639" s="85"/>
      <c r="Q639" s="75"/>
      <c r="R639" s="75"/>
      <c r="S639" s="75"/>
      <c r="T639" s="75"/>
      <c r="U639" s="89"/>
      <c r="V639" s="84"/>
      <c r="W639" s="84"/>
      <c r="X639" s="84"/>
      <c r="Y639" s="84"/>
      <c r="Z639" s="84"/>
    </row>
    <row r="640" spans="1:26" ht="15.75" customHeight="1">
      <c r="A640" s="83"/>
      <c r="B640" s="83"/>
      <c r="C640" s="83"/>
      <c r="D640" s="84"/>
      <c r="E640" s="84"/>
      <c r="F640" s="84"/>
      <c r="G640" s="83"/>
      <c r="H640" s="84"/>
      <c r="I640" s="84"/>
      <c r="J640" s="84"/>
      <c r="K640" s="84"/>
      <c r="L640" s="84"/>
      <c r="M640" s="84"/>
      <c r="N640" s="84"/>
      <c r="O640" s="84"/>
      <c r="P640" s="85"/>
      <c r="Q640" s="75"/>
      <c r="R640" s="75"/>
      <c r="S640" s="75"/>
      <c r="T640" s="75"/>
      <c r="U640" s="89"/>
      <c r="V640" s="84"/>
      <c r="W640" s="84"/>
      <c r="X640" s="84"/>
      <c r="Y640" s="84"/>
      <c r="Z640" s="84"/>
    </row>
    <row r="641" spans="1:26" ht="15.75" customHeight="1">
      <c r="A641" s="83"/>
      <c r="B641" s="83"/>
      <c r="C641" s="83"/>
      <c r="D641" s="84"/>
      <c r="E641" s="84"/>
      <c r="F641" s="84"/>
      <c r="G641" s="83"/>
      <c r="H641" s="84"/>
      <c r="I641" s="84"/>
      <c r="J641" s="84"/>
      <c r="K641" s="84"/>
      <c r="L641" s="84"/>
      <c r="M641" s="84"/>
      <c r="N641" s="84"/>
      <c r="O641" s="84"/>
      <c r="P641" s="85"/>
      <c r="Q641" s="75"/>
      <c r="R641" s="75"/>
      <c r="S641" s="75"/>
      <c r="T641" s="75"/>
      <c r="U641" s="89"/>
      <c r="V641" s="84"/>
      <c r="W641" s="84"/>
      <c r="X641" s="84"/>
      <c r="Y641" s="84"/>
      <c r="Z641" s="84"/>
    </row>
    <row r="642" spans="1:26" ht="15.75" customHeight="1">
      <c r="A642" s="83"/>
      <c r="B642" s="83"/>
      <c r="C642" s="83"/>
      <c r="D642" s="84"/>
      <c r="E642" s="84"/>
      <c r="F642" s="84"/>
      <c r="G642" s="83"/>
      <c r="H642" s="84"/>
      <c r="I642" s="84"/>
      <c r="J642" s="84"/>
      <c r="K642" s="84"/>
      <c r="L642" s="84"/>
      <c r="M642" s="84"/>
      <c r="N642" s="84"/>
      <c r="O642" s="84"/>
      <c r="P642" s="85"/>
      <c r="Q642" s="75"/>
      <c r="R642" s="75"/>
      <c r="S642" s="75"/>
      <c r="T642" s="75"/>
      <c r="U642" s="89"/>
      <c r="V642" s="84"/>
      <c r="W642" s="84"/>
      <c r="X642" s="84"/>
      <c r="Y642" s="84"/>
      <c r="Z642" s="84"/>
    </row>
    <row r="643" spans="1:26" ht="15.75" customHeight="1">
      <c r="A643" s="83"/>
      <c r="B643" s="83"/>
      <c r="C643" s="83"/>
      <c r="D643" s="84"/>
      <c r="E643" s="84"/>
      <c r="F643" s="84"/>
      <c r="G643" s="83"/>
      <c r="H643" s="84"/>
      <c r="I643" s="84"/>
      <c r="J643" s="84"/>
      <c r="K643" s="84"/>
      <c r="L643" s="84"/>
      <c r="M643" s="84"/>
      <c r="N643" s="84"/>
      <c r="O643" s="84"/>
      <c r="P643" s="85"/>
      <c r="Q643" s="75"/>
      <c r="R643" s="75"/>
      <c r="S643" s="75"/>
      <c r="T643" s="75"/>
      <c r="U643" s="89"/>
      <c r="V643" s="84"/>
      <c r="W643" s="84"/>
      <c r="X643" s="84"/>
      <c r="Y643" s="84"/>
      <c r="Z643" s="84"/>
    </row>
    <row r="644" spans="1:26" ht="15.75" customHeight="1">
      <c r="A644" s="83"/>
      <c r="B644" s="83"/>
      <c r="C644" s="83"/>
      <c r="D644" s="84"/>
      <c r="E644" s="84"/>
      <c r="F644" s="84"/>
      <c r="G644" s="83"/>
      <c r="H644" s="84"/>
      <c r="I644" s="84"/>
      <c r="J644" s="84"/>
      <c r="K644" s="84"/>
      <c r="L644" s="84"/>
      <c r="M644" s="84"/>
      <c r="N644" s="84"/>
      <c r="O644" s="84"/>
      <c r="P644" s="85"/>
      <c r="Q644" s="75"/>
      <c r="R644" s="75"/>
      <c r="S644" s="75"/>
      <c r="T644" s="75"/>
      <c r="U644" s="89"/>
      <c r="V644" s="84"/>
      <c r="W644" s="84"/>
      <c r="X644" s="84"/>
      <c r="Y644" s="84"/>
      <c r="Z644" s="84"/>
    </row>
    <row r="645" spans="1:26" ht="15.75" customHeight="1">
      <c r="A645" s="83"/>
      <c r="B645" s="83"/>
      <c r="C645" s="83"/>
      <c r="D645" s="84"/>
      <c r="E645" s="84"/>
      <c r="F645" s="84"/>
      <c r="G645" s="83"/>
      <c r="H645" s="84"/>
      <c r="I645" s="84"/>
      <c r="J645" s="84"/>
      <c r="K645" s="84"/>
      <c r="L645" s="84"/>
      <c r="M645" s="84"/>
      <c r="N645" s="84"/>
      <c r="O645" s="84"/>
      <c r="P645" s="85"/>
      <c r="Q645" s="75"/>
      <c r="R645" s="75"/>
      <c r="S645" s="75"/>
      <c r="T645" s="75"/>
      <c r="U645" s="89"/>
      <c r="V645" s="84"/>
      <c r="W645" s="84"/>
      <c r="X645" s="84"/>
      <c r="Y645" s="84"/>
      <c r="Z645" s="84"/>
    </row>
    <row r="646" spans="1:26" ht="15.75" customHeight="1">
      <c r="A646" s="83"/>
      <c r="B646" s="83"/>
      <c r="C646" s="83"/>
      <c r="D646" s="84"/>
      <c r="E646" s="84"/>
      <c r="F646" s="84"/>
      <c r="G646" s="83"/>
      <c r="H646" s="84"/>
      <c r="I646" s="84"/>
      <c r="J646" s="84"/>
      <c r="K646" s="84"/>
      <c r="L646" s="84"/>
      <c r="M646" s="84"/>
      <c r="N646" s="84"/>
      <c r="O646" s="84"/>
      <c r="P646" s="85"/>
      <c r="Q646" s="75"/>
      <c r="R646" s="75"/>
      <c r="S646" s="75"/>
      <c r="T646" s="75"/>
      <c r="U646" s="89"/>
      <c r="V646" s="84"/>
      <c r="W646" s="84"/>
      <c r="X646" s="84"/>
      <c r="Y646" s="84"/>
      <c r="Z646" s="84"/>
    </row>
    <row r="647" spans="1:26" ht="15.75" customHeight="1">
      <c r="A647" s="83"/>
      <c r="B647" s="83"/>
      <c r="C647" s="83"/>
      <c r="D647" s="84"/>
      <c r="E647" s="84"/>
      <c r="F647" s="84"/>
      <c r="G647" s="83"/>
      <c r="H647" s="84"/>
      <c r="I647" s="84"/>
      <c r="J647" s="84"/>
      <c r="K647" s="84"/>
      <c r="L647" s="84"/>
      <c r="M647" s="84"/>
      <c r="N647" s="84"/>
      <c r="O647" s="84"/>
      <c r="P647" s="85"/>
      <c r="Q647" s="75"/>
      <c r="R647" s="75"/>
      <c r="S647" s="75"/>
      <c r="T647" s="75"/>
      <c r="U647" s="89"/>
      <c r="V647" s="84"/>
      <c r="W647" s="84"/>
      <c r="X647" s="84"/>
      <c r="Y647" s="84"/>
      <c r="Z647" s="84"/>
    </row>
    <row r="648" spans="1:26" ht="15.75" customHeight="1">
      <c r="A648" s="83"/>
      <c r="B648" s="83"/>
      <c r="C648" s="83"/>
      <c r="D648" s="84"/>
      <c r="E648" s="84"/>
      <c r="F648" s="84"/>
      <c r="G648" s="83"/>
      <c r="H648" s="84"/>
      <c r="I648" s="84"/>
      <c r="J648" s="84"/>
      <c r="K648" s="84"/>
      <c r="L648" s="84"/>
      <c r="M648" s="84"/>
      <c r="N648" s="84"/>
      <c r="O648" s="84"/>
      <c r="P648" s="85"/>
      <c r="Q648" s="75"/>
      <c r="R648" s="75"/>
      <c r="S648" s="75"/>
      <c r="T648" s="75"/>
      <c r="U648" s="89"/>
      <c r="V648" s="84"/>
      <c r="W648" s="84"/>
      <c r="X648" s="84"/>
      <c r="Y648" s="84"/>
      <c r="Z648" s="84"/>
    </row>
    <row r="649" spans="1:26" ht="15.75" customHeight="1">
      <c r="A649" s="83"/>
      <c r="B649" s="83"/>
      <c r="C649" s="83"/>
      <c r="D649" s="84"/>
      <c r="E649" s="84"/>
      <c r="F649" s="84"/>
      <c r="G649" s="83"/>
      <c r="H649" s="84"/>
      <c r="I649" s="84"/>
      <c r="J649" s="84"/>
      <c r="K649" s="84"/>
      <c r="L649" s="84"/>
      <c r="M649" s="84"/>
      <c r="N649" s="84"/>
      <c r="O649" s="84"/>
      <c r="P649" s="85"/>
      <c r="Q649" s="75"/>
      <c r="R649" s="75"/>
      <c r="S649" s="75"/>
      <c r="T649" s="75"/>
      <c r="U649" s="89"/>
      <c r="V649" s="84"/>
      <c r="W649" s="84"/>
      <c r="X649" s="84"/>
      <c r="Y649" s="84"/>
      <c r="Z649" s="84"/>
    </row>
    <row r="650" spans="1:26" ht="15.75" customHeight="1">
      <c r="A650" s="83"/>
      <c r="B650" s="83"/>
      <c r="C650" s="83"/>
      <c r="D650" s="84"/>
      <c r="E650" s="84"/>
      <c r="F650" s="84"/>
      <c r="G650" s="83"/>
      <c r="H650" s="84"/>
      <c r="I650" s="84"/>
      <c r="J650" s="84"/>
      <c r="K650" s="84"/>
      <c r="L650" s="84"/>
      <c r="M650" s="84"/>
      <c r="N650" s="84"/>
      <c r="O650" s="84"/>
      <c r="P650" s="85"/>
      <c r="Q650" s="75"/>
      <c r="R650" s="75"/>
      <c r="S650" s="75"/>
      <c r="T650" s="75"/>
      <c r="U650" s="89"/>
      <c r="V650" s="84"/>
      <c r="W650" s="84"/>
      <c r="X650" s="84"/>
      <c r="Y650" s="84"/>
      <c r="Z650" s="84"/>
    </row>
    <row r="651" spans="1:26" ht="15.75" customHeight="1">
      <c r="A651" s="83"/>
      <c r="B651" s="83"/>
      <c r="C651" s="83"/>
      <c r="D651" s="84"/>
      <c r="E651" s="84"/>
      <c r="F651" s="84"/>
      <c r="G651" s="83"/>
      <c r="H651" s="84"/>
      <c r="I651" s="84"/>
      <c r="J651" s="84"/>
      <c r="K651" s="84"/>
      <c r="L651" s="84"/>
      <c r="M651" s="84"/>
      <c r="N651" s="84"/>
      <c r="O651" s="84"/>
      <c r="P651" s="85"/>
      <c r="Q651" s="75"/>
      <c r="R651" s="75"/>
      <c r="S651" s="75"/>
      <c r="T651" s="75"/>
      <c r="U651" s="89"/>
      <c r="V651" s="84"/>
      <c r="W651" s="84"/>
      <c r="X651" s="84"/>
      <c r="Y651" s="84"/>
      <c r="Z651" s="84"/>
    </row>
    <row r="652" spans="1:26" ht="15.75" customHeight="1">
      <c r="A652" s="83"/>
      <c r="B652" s="83"/>
      <c r="C652" s="83"/>
      <c r="D652" s="84"/>
      <c r="E652" s="84"/>
      <c r="F652" s="84"/>
      <c r="G652" s="83"/>
      <c r="H652" s="84"/>
      <c r="I652" s="84"/>
      <c r="J652" s="84"/>
      <c r="K652" s="84"/>
      <c r="L652" s="84"/>
      <c r="M652" s="84"/>
      <c r="N652" s="84"/>
      <c r="O652" s="84"/>
      <c r="P652" s="85"/>
      <c r="Q652" s="75"/>
      <c r="R652" s="75"/>
      <c r="S652" s="75"/>
      <c r="T652" s="75"/>
      <c r="U652" s="89"/>
      <c r="V652" s="84"/>
      <c r="W652" s="84"/>
      <c r="X652" s="84"/>
      <c r="Y652" s="84"/>
      <c r="Z652" s="84"/>
    </row>
    <row r="653" spans="1:26" ht="15.75" customHeight="1">
      <c r="A653" s="83"/>
      <c r="B653" s="83"/>
      <c r="C653" s="83"/>
      <c r="D653" s="84"/>
      <c r="E653" s="84"/>
      <c r="F653" s="84"/>
      <c r="G653" s="83"/>
      <c r="H653" s="84"/>
      <c r="I653" s="84"/>
      <c r="J653" s="84"/>
      <c r="K653" s="84"/>
      <c r="L653" s="84"/>
      <c r="M653" s="84"/>
      <c r="N653" s="84"/>
      <c r="O653" s="84"/>
      <c r="P653" s="85"/>
      <c r="Q653" s="75"/>
      <c r="R653" s="75"/>
      <c r="S653" s="75"/>
      <c r="T653" s="75"/>
      <c r="U653" s="89"/>
      <c r="V653" s="84"/>
      <c r="W653" s="84"/>
      <c r="X653" s="84"/>
      <c r="Y653" s="84"/>
      <c r="Z653" s="84"/>
    </row>
    <row r="654" spans="1:26" ht="15.75" customHeight="1">
      <c r="A654" s="83"/>
      <c r="B654" s="83"/>
      <c r="C654" s="83"/>
      <c r="D654" s="84"/>
      <c r="E654" s="84"/>
      <c r="F654" s="84"/>
      <c r="G654" s="83"/>
      <c r="H654" s="84"/>
      <c r="I654" s="84"/>
      <c r="J654" s="84"/>
      <c r="K654" s="84"/>
      <c r="L654" s="84"/>
      <c r="M654" s="84"/>
      <c r="N654" s="84"/>
      <c r="O654" s="84"/>
      <c r="P654" s="85"/>
      <c r="Q654" s="75"/>
      <c r="R654" s="75"/>
      <c r="S654" s="75"/>
      <c r="T654" s="75"/>
      <c r="U654" s="89"/>
      <c r="V654" s="84"/>
      <c r="W654" s="84"/>
      <c r="X654" s="84"/>
      <c r="Y654" s="84"/>
      <c r="Z654" s="84"/>
    </row>
    <row r="655" spans="1:26" ht="15.75" customHeight="1">
      <c r="A655" s="83"/>
      <c r="B655" s="83"/>
      <c r="C655" s="83"/>
      <c r="D655" s="84"/>
      <c r="E655" s="84"/>
      <c r="F655" s="84"/>
      <c r="G655" s="83"/>
      <c r="H655" s="84"/>
      <c r="I655" s="84"/>
      <c r="J655" s="84"/>
      <c r="K655" s="84"/>
      <c r="L655" s="84"/>
      <c r="M655" s="84"/>
      <c r="N655" s="84"/>
      <c r="O655" s="84"/>
      <c r="P655" s="85"/>
      <c r="Q655" s="75"/>
      <c r="R655" s="75"/>
      <c r="S655" s="75"/>
      <c r="T655" s="75"/>
      <c r="U655" s="89"/>
      <c r="V655" s="84"/>
      <c r="W655" s="84"/>
      <c r="X655" s="84"/>
      <c r="Y655" s="84"/>
      <c r="Z655" s="84"/>
    </row>
    <row r="656" spans="1:26" ht="15.75" customHeight="1">
      <c r="A656" s="83"/>
      <c r="B656" s="83"/>
      <c r="C656" s="83"/>
      <c r="D656" s="84"/>
      <c r="E656" s="84"/>
      <c r="F656" s="84"/>
      <c r="G656" s="83"/>
      <c r="H656" s="84"/>
      <c r="I656" s="84"/>
      <c r="J656" s="84"/>
      <c r="K656" s="84"/>
      <c r="L656" s="84"/>
      <c r="M656" s="84"/>
      <c r="N656" s="84"/>
      <c r="O656" s="84"/>
      <c r="P656" s="85"/>
      <c r="Q656" s="75"/>
      <c r="R656" s="75"/>
      <c r="S656" s="75"/>
      <c r="T656" s="75"/>
      <c r="U656" s="89"/>
      <c r="V656" s="84"/>
      <c r="W656" s="84"/>
      <c r="X656" s="84"/>
      <c r="Y656" s="84"/>
      <c r="Z656" s="84"/>
    </row>
    <row r="657" spans="1:26" ht="15.75" customHeight="1">
      <c r="A657" s="83"/>
      <c r="B657" s="83"/>
      <c r="C657" s="83"/>
      <c r="D657" s="84"/>
      <c r="E657" s="84"/>
      <c r="F657" s="84"/>
      <c r="G657" s="83"/>
      <c r="H657" s="84"/>
      <c r="I657" s="84"/>
      <c r="J657" s="84"/>
      <c r="K657" s="84"/>
      <c r="L657" s="84"/>
      <c r="M657" s="84"/>
      <c r="N657" s="84"/>
      <c r="O657" s="84"/>
      <c r="P657" s="85"/>
      <c r="Q657" s="75"/>
      <c r="R657" s="75"/>
      <c r="S657" s="75"/>
      <c r="T657" s="75"/>
      <c r="U657" s="89"/>
      <c r="V657" s="84"/>
      <c r="W657" s="84"/>
      <c r="X657" s="84"/>
      <c r="Y657" s="84"/>
      <c r="Z657" s="84"/>
    </row>
    <row r="658" spans="1:26" ht="15.75" customHeight="1">
      <c r="A658" s="83"/>
      <c r="B658" s="83"/>
      <c r="C658" s="83"/>
      <c r="D658" s="84"/>
      <c r="E658" s="84"/>
      <c r="F658" s="84"/>
      <c r="G658" s="83"/>
      <c r="H658" s="84"/>
      <c r="I658" s="84"/>
      <c r="J658" s="84"/>
      <c r="K658" s="84"/>
      <c r="L658" s="84"/>
      <c r="M658" s="84"/>
      <c r="N658" s="84"/>
      <c r="O658" s="84"/>
      <c r="P658" s="85"/>
      <c r="Q658" s="75"/>
      <c r="R658" s="75"/>
      <c r="S658" s="75"/>
      <c r="T658" s="75"/>
      <c r="U658" s="89"/>
      <c r="V658" s="84"/>
      <c r="W658" s="84"/>
      <c r="X658" s="84"/>
      <c r="Y658" s="84"/>
      <c r="Z658" s="84"/>
    </row>
    <row r="659" spans="1:26" ht="15.75" customHeight="1">
      <c r="A659" s="83"/>
      <c r="B659" s="83"/>
      <c r="C659" s="83"/>
      <c r="D659" s="84"/>
      <c r="E659" s="84"/>
      <c r="F659" s="84"/>
      <c r="G659" s="83"/>
      <c r="H659" s="84"/>
      <c r="I659" s="84"/>
      <c r="J659" s="84"/>
      <c r="K659" s="84"/>
      <c r="L659" s="84"/>
      <c r="M659" s="84"/>
      <c r="N659" s="84"/>
      <c r="O659" s="84"/>
      <c r="P659" s="85"/>
      <c r="Q659" s="75"/>
      <c r="R659" s="75"/>
      <c r="S659" s="75"/>
      <c r="T659" s="75"/>
      <c r="U659" s="89"/>
      <c r="V659" s="84"/>
      <c r="W659" s="84"/>
      <c r="X659" s="84"/>
      <c r="Y659" s="84"/>
      <c r="Z659" s="84"/>
    </row>
    <row r="660" spans="1:26" ht="15.75" customHeight="1">
      <c r="A660" s="83"/>
      <c r="B660" s="83"/>
      <c r="C660" s="83"/>
      <c r="D660" s="84"/>
      <c r="E660" s="84"/>
      <c r="F660" s="84"/>
      <c r="G660" s="83"/>
      <c r="H660" s="84"/>
      <c r="I660" s="84"/>
      <c r="J660" s="84"/>
      <c r="K660" s="84"/>
      <c r="L660" s="84"/>
      <c r="M660" s="84"/>
      <c r="N660" s="84"/>
      <c r="O660" s="84"/>
      <c r="P660" s="85"/>
      <c r="Q660" s="75"/>
      <c r="R660" s="75"/>
      <c r="S660" s="75"/>
      <c r="T660" s="75"/>
      <c r="U660" s="89"/>
      <c r="V660" s="84"/>
      <c r="W660" s="84"/>
      <c r="X660" s="84"/>
      <c r="Y660" s="84"/>
      <c r="Z660" s="84"/>
    </row>
    <row r="661" spans="1:26" ht="15.75" customHeight="1">
      <c r="A661" s="83"/>
      <c r="B661" s="83"/>
      <c r="C661" s="83"/>
      <c r="D661" s="84"/>
      <c r="E661" s="84"/>
      <c r="F661" s="84"/>
      <c r="G661" s="83"/>
      <c r="H661" s="84"/>
      <c r="I661" s="84"/>
      <c r="J661" s="84"/>
      <c r="K661" s="84"/>
      <c r="L661" s="84"/>
      <c r="M661" s="84"/>
      <c r="N661" s="84"/>
      <c r="O661" s="84"/>
      <c r="P661" s="85"/>
      <c r="Q661" s="75"/>
      <c r="R661" s="75"/>
      <c r="S661" s="75"/>
      <c r="T661" s="75"/>
      <c r="U661" s="89"/>
      <c r="V661" s="84"/>
      <c r="W661" s="84"/>
      <c r="X661" s="84"/>
      <c r="Y661" s="84"/>
      <c r="Z661" s="84"/>
    </row>
    <row r="662" spans="1:26" ht="15.75" customHeight="1">
      <c r="A662" s="83"/>
      <c r="B662" s="83"/>
      <c r="C662" s="83"/>
      <c r="D662" s="84"/>
      <c r="E662" s="84"/>
      <c r="F662" s="84"/>
      <c r="G662" s="83"/>
      <c r="H662" s="84"/>
      <c r="I662" s="84"/>
      <c r="J662" s="84"/>
      <c r="K662" s="84"/>
      <c r="L662" s="84"/>
      <c r="M662" s="84"/>
      <c r="N662" s="84"/>
      <c r="O662" s="84"/>
      <c r="P662" s="85"/>
      <c r="Q662" s="75"/>
      <c r="R662" s="75"/>
      <c r="S662" s="75"/>
      <c r="T662" s="75"/>
      <c r="U662" s="89"/>
      <c r="V662" s="84"/>
      <c r="W662" s="84"/>
      <c r="X662" s="84"/>
      <c r="Y662" s="84"/>
      <c r="Z662" s="84"/>
    </row>
    <row r="663" spans="1:26" ht="15.75" customHeight="1">
      <c r="A663" s="83"/>
      <c r="B663" s="83"/>
      <c r="C663" s="83"/>
      <c r="D663" s="84"/>
      <c r="E663" s="84"/>
      <c r="F663" s="84"/>
      <c r="G663" s="83"/>
      <c r="H663" s="84"/>
      <c r="I663" s="84"/>
      <c r="J663" s="84"/>
      <c r="K663" s="84"/>
      <c r="L663" s="84"/>
      <c r="M663" s="84"/>
      <c r="N663" s="84"/>
      <c r="O663" s="84"/>
      <c r="P663" s="85"/>
      <c r="Q663" s="75"/>
      <c r="R663" s="75"/>
      <c r="S663" s="75"/>
      <c r="T663" s="75"/>
      <c r="U663" s="89"/>
      <c r="V663" s="84"/>
      <c r="W663" s="84"/>
      <c r="X663" s="84"/>
      <c r="Y663" s="84"/>
      <c r="Z663" s="84"/>
    </row>
    <row r="664" spans="1:26" ht="15.75" customHeight="1">
      <c r="A664" s="83"/>
      <c r="B664" s="83"/>
      <c r="C664" s="83"/>
      <c r="D664" s="84"/>
      <c r="E664" s="84"/>
      <c r="F664" s="84"/>
      <c r="G664" s="83"/>
      <c r="H664" s="84"/>
      <c r="I664" s="84"/>
      <c r="J664" s="84"/>
      <c r="K664" s="84"/>
      <c r="L664" s="84"/>
      <c r="M664" s="84"/>
      <c r="N664" s="84"/>
      <c r="O664" s="84"/>
      <c r="P664" s="85"/>
      <c r="Q664" s="75"/>
      <c r="R664" s="75"/>
      <c r="S664" s="75"/>
      <c r="T664" s="75"/>
      <c r="U664" s="89"/>
      <c r="V664" s="84"/>
      <c r="W664" s="84"/>
      <c r="X664" s="84"/>
      <c r="Y664" s="84"/>
      <c r="Z664" s="84"/>
    </row>
    <row r="665" spans="1:26" ht="15.75" customHeight="1">
      <c r="A665" s="83"/>
      <c r="B665" s="83"/>
      <c r="C665" s="83"/>
      <c r="D665" s="84"/>
      <c r="E665" s="84"/>
      <c r="F665" s="84"/>
      <c r="G665" s="83"/>
      <c r="H665" s="84"/>
      <c r="I665" s="84"/>
      <c r="J665" s="84"/>
      <c r="K665" s="84"/>
      <c r="L665" s="84"/>
      <c r="M665" s="84"/>
      <c r="N665" s="84"/>
      <c r="O665" s="84"/>
      <c r="P665" s="85"/>
      <c r="Q665" s="75"/>
      <c r="R665" s="75"/>
      <c r="S665" s="75"/>
      <c r="T665" s="75"/>
      <c r="U665" s="89"/>
      <c r="V665" s="84"/>
      <c r="W665" s="84"/>
      <c r="X665" s="84"/>
      <c r="Y665" s="84"/>
      <c r="Z665" s="84"/>
    </row>
    <row r="666" spans="1:26" ht="15.75" customHeight="1">
      <c r="A666" s="83"/>
      <c r="B666" s="83"/>
      <c r="C666" s="83"/>
      <c r="D666" s="84"/>
      <c r="E666" s="84"/>
      <c r="F666" s="84"/>
      <c r="G666" s="83"/>
      <c r="H666" s="84"/>
      <c r="I666" s="84"/>
      <c r="J666" s="84"/>
      <c r="K666" s="84"/>
      <c r="L666" s="84"/>
      <c r="M666" s="84"/>
      <c r="N666" s="84"/>
      <c r="O666" s="84"/>
      <c r="P666" s="85"/>
      <c r="Q666" s="75"/>
      <c r="R666" s="75"/>
      <c r="S666" s="75"/>
      <c r="T666" s="75"/>
      <c r="U666" s="89"/>
      <c r="V666" s="84"/>
      <c r="W666" s="84"/>
      <c r="X666" s="84"/>
      <c r="Y666" s="84"/>
      <c r="Z666" s="84"/>
    </row>
    <row r="667" spans="1:26" ht="15.75" customHeight="1">
      <c r="A667" s="83"/>
      <c r="B667" s="83"/>
      <c r="C667" s="83"/>
      <c r="D667" s="84"/>
      <c r="E667" s="84"/>
      <c r="F667" s="84"/>
      <c r="G667" s="83"/>
      <c r="H667" s="84"/>
      <c r="I667" s="84"/>
      <c r="J667" s="84"/>
      <c r="K667" s="84"/>
      <c r="L667" s="84"/>
      <c r="M667" s="84"/>
      <c r="N667" s="84"/>
      <c r="O667" s="84"/>
      <c r="P667" s="85"/>
      <c r="Q667" s="75"/>
      <c r="R667" s="75"/>
      <c r="S667" s="75"/>
      <c r="T667" s="75"/>
      <c r="U667" s="89"/>
      <c r="V667" s="84"/>
      <c r="W667" s="84"/>
      <c r="X667" s="84"/>
      <c r="Y667" s="84"/>
      <c r="Z667" s="84"/>
    </row>
    <row r="668" spans="1:26" ht="15.75" customHeight="1">
      <c r="A668" s="83"/>
      <c r="B668" s="83"/>
      <c r="C668" s="83"/>
      <c r="D668" s="84"/>
      <c r="E668" s="84"/>
      <c r="F668" s="84"/>
      <c r="G668" s="83"/>
      <c r="H668" s="84"/>
      <c r="I668" s="84"/>
      <c r="J668" s="84"/>
      <c r="K668" s="84"/>
      <c r="L668" s="84"/>
      <c r="M668" s="84"/>
      <c r="N668" s="84"/>
      <c r="O668" s="84"/>
      <c r="P668" s="85"/>
      <c r="Q668" s="75"/>
      <c r="R668" s="75"/>
      <c r="S668" s="75"/>
      <c r="T668" s="75"/>
      <c r="U668" s="89"/>
      <c r="V668" s="84"/>
      <c r="W668" s="84"/>
      <c r="X668" s="84"/>
      <c r="Y668" s="84"/>
      <c r="Z668" s="84"/>
    </row>
    <row r="669" spans="1:26" ht="15.75" customHeight="1">
      <c r="A669" s="83"/>
      <c r="B669" s="83"/>
      <c r="C669" s="83"/>
      <c r="D669" s="84"/>
      <c r="E669" s="84"/>
      <c r="F669" s="84"/>
      <c r="G669" s="83"/>
      <c r="H669" s="84"/>
      <c r="I669" s="84"/>
      <c r="J669" s="84"/>
      <c r="K669" s="84"/>
      <c r="L669" s="84"/>
      <c r="M669" s="84"/>
      <c r="N669" s="84"/>
      <c r="O669" s="84"/>
      <c r="P669" s="85"/>
      <c r="Q669" s="75"/>
      <c r="R669" s="75"/>
      <c r="S669" s="75"/>
      <c r="T669" s="75"/>
      <c r="U669" s="89"/>
      <c r="V669" s="84"/>
      <c r="W669" s="84"/>
      <c r="X669" s="84"/>
      <c r="Y669" s="84"/>
      <c r="Z669" s="84"/>
    </row>
    <row r="670" spans="1:26" ht="15.75" customHeight="1">
      <c r="A670" s="83"/>
      <c r="B670" s="83"/>
      <c r="C670" s="83"/>
      <c r="D670" s="84"/>
      <c r="E670" s="84"/>
      <c r="F670" s="84"/>
      <c r="G670" s="83"/>
      <c r="H670" s="84"/>
      <c r="I670" s="84"/>
      <c r="J670" s="84"/>
      <c r="K670" s="84"/>
      <c r="L670" s="84"/>
      <c r="M670" s="84"/>
      <c r="N670" s="84"/>
      <c r="O670" s="84"/>
      <c r="P670" s="85"/>
      <c r="Q670" s="75"/>
      <c r="R670" s="75"/>
      <c r="S670" s="75"/>
      <c r="T670" s="75"/>
      <c r="U670" s="89"/>
      <c r="V670" s="84"/>
      <c r="W670" s="84"/>
      <c r="X670" s="84"/>
      <c r="Y670" s="84"/>
      <c r="Z670" s="84"/>
    </row>
    <row r="671" spans="1:26" ht="15.75" customHeight="1">
      <c r="A671" s="83"/>
      <c r="B671" s="83"/>
      <c r="C671" s="83"/>
      <c r="D671" s="84"/>
      <c r="E671" s="84"/>
      <c r="F671" s="84"/>
      <c r="G671" s="83"/>
      <c r="H671" s="84"/>
      <c r="I671" s="84"/>
      <c r="J671" s="84"/>
      <c r="K671" s="84"/>
      <c r="L671" s="84"/>
      <c r="M671" s="84"/>
      <c r="N671" s="84"/>
      <c r="O671" s="84"/>
      <c r="P671" s="85"/>
      <c r="Q671" s="75"/>
      <c r="R671" s="75"/>
      <c r="S671" s="75"/>
      <c r="T671" s="75"/>
      <c r="U671" s="89"/>
      <c r="V671" s="84"/>
      <c r="W671" s="84"/>
      <c r="X671" s="84"/>
      <c r="Y671" s="84"/>
      <c r="Z671" s="84"/>
    </row>
    <row r="672" spans="1:26" ht="15.75" customHeight="1">
      <c r="A672" s="83"/>
      <c r="B672" s="83"/>
      <c r="C672" s="83"/>
      <c r="D672" s="84"/>
      <c r="E672" s="84"/>
      <c r="F672" s="84"/>
      <c r="G672" s="83"/>
      <c r="H672" s="84"/>
      <c r="I672" s="84"/>
      <c r="J672" s="84"/>
      <c r="K672" s="84"/>
      <c r="L672" s="84"/>
      <c r="M672" s="84"/>
      <c r="N672" s="84"/>
      <c r="O672" s="84"/>
      <c r="P672" s="85"/>
      <c r="Q672" s="75"/>
      <c r="R672" s="75"/>
      <c r="S672" s="75"/>
      <c r="T672" s="75"/>
      <c r="U672" s="89"/>
      <c r="V672" s="84"/>
      <c r="W672" s="84"/>
      <c r="X672" s="84"/>
      <c r="Y672" s="84"/>
      <c r="Z672" s="84"/>
    </row>
    <row r="673" spans="1:26" ht="15.75" customHeight="1">
      <c r="A673" s="83"/>
      <c r="B673" s="83"/>
      <c r="C673" s="83"/>
      <c r="D673" s="84"/>
      <c r="E673" s="84"/>
      <c r="F673" s="84"/>
      <c r="G673" s="83"/>
      <c r="H673" s="84"/>
      <c r="I673" s="84"/>
      <c r="J673" s="84"/>
      <c r="K673" s="84"/>
      <c r="L673" s="84"/>
      <c r="M673" s="84"/>
      <c r="N673" s="84"/>
      <c r="O673" s="84"/>
      <c r="P673" s="85"/>
      <c r="Q673" s="75"/>
      <c r="R673" s="75"/>
      <c r="S673" s="75"/>
      <c r="T673" s="75"/>
      <c r="U673" s="89"/>
      <c r="V673" s="84"/>
      <c r="W673" s="84"/>
      <c r="X673" s="84"/>
      <c r="Y673" s="84"/>
      <c r="Z673" s="84"/>
    </row>
    <row r="674" spans="1:26" ht="15.75" customHeight="1">
      <c r="A674" s="83"/>
      <c r="B674" s="83"/>
      <c r="C674" s="83"/>
      <c r="D674" s="84"/>
      <c r="E674" s="84"/>
      <c r="F674" s="84"/>
      <c r="G674" s="83"/>
      <c r="H674" s="84"/>
      <c r="I674" s="84"/>
      <c r="J674" s="84"/>
      <c r="K674" s="84"/>
      <c r="L674" s="84"/>
      <c r="M674" s="84"/>
      <c r="N674" s="84"/>
      <c r="O674" s="84"/>
      <c r="P674" s="85"/>
      <c r="Q674" s="75"/>
      <c r="R674" s="75"/>
      <c r="S674" s="75"/>
      <c r="T674" s="75"/>
      <c r="U674" s="89"/>
      <c r="V674" s="84"/>
      <c r="W674" s="84"/>
      <c r="X674" s="84"/>
      <c r="Y674" s="84"/>
      <c r="Z674" s="84"/>
    </row>
    <row r="675" spans="1:26" ht="15.75" customHeight="1">
      <c r="A675" s="83"/>
      <c r="B675" s="83"/>
      <c r="C675" s="83"/>
      <c r="D675" s="84"/>
      <c r="E675" s="84"/>
      <c r="F675" s="84"/>
      <c r="G675" s="83"/>
      <c r="H675" s="84"/>
      <c r="I675" s="84"/>
      <c r="J675" s="84"/>
      <c r="K675" s="84"/>
      <c r="L675" s="84"/>
      <c r="M675" s="84"/>
      <c r="N675" s="84"/>
      <c r="O675" s="84"/>
      <c r="P675" s="85"/>
      <c r="Q675" s="75"/>
      <c r="R675" s="75"/>
      <c r="S675" s="75"/>
      <c r="T675" s="75"/>
      <c r="U675" s="89"/>
      <c r="V675" s="84"/>
      <c r="W675" s="84"/>
      <c r="X675" s="84"/>
      <c r="Y675" s="84"/>
      <c r="Z675" s="84"/>
    </row>
    <row r="676" spans="1:26" ht="15.75" customHeight="1">
      <c r="A676" s="83"/>
      <c r="B676" s="83"/>
      <c r="C676" s="83"/>
      <c r="D676" s="84"/>
      <c r="E676" s="84"/>
      <c r="F676" s="84"/>
      <c r="G676" s="83"/>
      <c r="H676" s="84"/>
      <c r="I676" s="84"/>
      <c r="J676" s="84"/>
      <c r="K676" s="84"/>
      <c r="L676" s="84"/>
      <c r="M676" s="84"/>
      <c r="N676" s="84"/>
      <c r="O676" s="84"/>
      <c r="P676" s="85"/>
      <c r="Q676" s="75"/>
      <c r="R676" s="75"/>
      <c r="S676" s="75"/>
      <c r="T676" s="75"/>
      <c r="U676" s="89"/>
      <c r="V676" s="84"/>
      <c r="W676" s="84"/>
      <c r="X676" s="84"/>
      <c r="Y676" s="84"/>
      <c r="Z676" s="84"/>
    </row>
    <row r="677" spans="1:26" ht="15.75" customHeight="1">
      <c r="A677" s="83"/>
      <c r="B677" s="83"/>
      <c r="C677" s="83"/>
      <c r="D677" s="84"/>
      <c r="E677" s="84"/>
      <c r="F677" s="84"/>
      <c r="G677" s="83"/>
      <c r="H677" s="84"/>
      <c r="I677" s="84"/>
      <c r="J677" s="84"/>
      <c r="K677" s="84"/>
      <c r="L677" s="84"/>
      <c r="M677" s="84"/>
      <c r="N677" s="84"/>
      <c r="O677" s="84"/>
      <c r="P677" s="85"/>
      <c r="Q677" s="75"/>
      <c r="R677" s="75"/>
      <c r="S677" s="75"/>
      <c r="T677" s="75"/>
      <c r="U677" s="89"/>
      <c r="V677" s="84"/>
      <c r="W677" s="84"/>
      <c r="X677" s="84"/>
      <c r="Y677" s="84"/>
      <c r="Z677" s="84"/>
    </row>
    <row r="678" spans="1:26" ht="15.75" customHeight="1">
      <c r="A678" s="83"/>
      <c r="B678" s="83"/>
      <c r="C678" s="83"/>
      <c r="D678" s="84"/>
      <c r="E678" s="84"/>
      <c r="F678" s="84"/>
      <c r="G678" s="83"/>
      <c r="H678" s="84"/>
      <c r="I678" s="84"/>
      <c r="J678" s="84"/>
      <c r="K678" s="84"/>
      <c r="L678" s="84"/>
      <c r="M678" s="84"/>
      <c r="N678" s="84"/>
      <c r="O678" s="84"/>
      <c r="P678" s="85"/>
      <c r="Q678" s="75"/>
      <c r="R678" s="75"/>
      <c r="S678" s="75"/>
      <c r="T678" s="75"/>
      <c r="U678" s="89"/>
      <c r="V678" s="84"/>
      <c r="W678" s="84"/>
      <c r="X678" s="84"/>
      <c r="Y678" s="84"/>
      <c r="Z678" s="84"/>
    </row>
    <row r="679" spans="1:26" ht="15.75" customHeight="1">
      <c r="A679" s="83"/>
      <c r="B679" s="83"/>
      <c r="C679" s="83"/>
      <c r="D679" s="84"/>
      <c r="E679" s="84"/>
      <c r="F679" s="84"/>
      <c r="G679" s="83"/>
      <c r="H679" s="84"/>
      <c r="I679" s="84"/>
      <c r="J679" s="84"/>
      <c r="K679" s="84"/>
      <c r="L679" s="84"/>
      <c r="M679" s="84"/>
      <c r="N679" s="84"/>
      <c r="O679" s="84"/>
      <c r="P679" s="85"/>
      <c r="Q679" s="75"/>
      <c r="R679" s="75"/>
      <c r="S679" s="75"/>
      <c r="T679" s="75"/>
      <c r="U679" s="89"/>
      <c r="V679" s="84"/>
      <c r="W679" s="84"/>
      <c r="X679" s="84"/>
      <c r="Y679" s="84"/>
      <c r="Z679" s="84"/>
    </row>
    <row r="680" spans="1:26" ht="15.75" customHeight="1">
      <c r="A680" s="83"/>
      <c r="B680" s="83"/>
      <c r="C680" s="83"/>
      <c r="D680" s="84"/>
      <c r="E680" s="84"/>
      <c r="F680" s="84"/>
      <c r="G680" s="83"/>
      <c r="H680" s="84"/>
      <c r="I680" s="84"/>
      <c r="J680" s="84"/>
      <c r="K680" s="84"/>
      <c r="L680" s="84"/>
      <c r="M680" s="84"/>
      <c r="N680" s="84"/>
      <c r="O680" s="84"/>
      <c r="P680" s="85"/>
      <c r="Q680" s="75"/>
      <c r="R680" s="75"/>
      <c r="S680" s="75"/>
      <c r="T680" s="75"/>
      <c r="U680" s="89"/>
      <c r="V680" s="84"/>
      <c r="W680" s="84"/>
      <c r="X680" s="84"/>
      <c r="Y680" s="84"/>
      <c r="Z680" s="84"/>
    </row>
    <row r="681" spans="1:26" ht="15.75" customHeight="1">
      <c r="A681" s="83"/>
      <c r="B681" s="83"/>
      <c r="C681" s="83"/>
      <c r="D681" s="84"/>
      <c r="E681" s="84"/>
      <c r="F681" s="84"/>
      <c r="G681" s="83"/>
      <c r="H681" s="84"/>
      <c r="I681" s="84"/>
      <c r="J681" s="84"/>
      <c r="K681" s="84"/>
      <c r="L681" s="84"/>
      <c r="M681" s="84"/>
      <c r="N681" s="84"/>
      <c r="O681" s="84"/>
      <c r="P681" s="85"/>
      <c r="Q681" s="75"/>
      <c r="R681" s="75"/>
      <c r="S681" s="75"/>
      <c r="T681" s="75"/>
      <c r="U681" s="89"/>
      <c r="V681" s="84"/>
      <c r="W681" s="84"/>
      <c r="X681" s="84"/>
      <c r="Y681" s="84"/>
      <c r="Z681" s="84"/>
    </row>
    <row r="682" spans="1:26" ht="15.75" customHeight="1">
      <c r="A682" s="83"/>
      <c r="B682" s="83"/>
      <c r="C682" s="83"/>
      <c r="D682" s="84"/>
      <c r="E682" s="84"/>
      <c r="F682" s="84"/>
      <c r="G682" s="83"/>
      <c r="H682" s="84"/>
      <c r="I682" s="84"/>
      <c r="J682" s="84"/>
      <c r="K682" s="84"/>
      <c r="L682" s="84"/>
      <c r="M682" s="84"/>
      <c r="N682" s="84"/>
      <c r="O682" s="84"/>
      <c r="P682" s="85"/>
      <c r="Q682" s="75"/>
      <c r="R682" s="75"/>
      <c r="S682" s="75"/>
      <c r="T682" s="75"/>
      <c r="U682" s="89"/>
      <c r="V682" s="84"/>
      <c r="W682" s="84"/>
      <c r="X682" s="84"/>
      <c r="Y682" s="84"/>
      <c r="Z682" s="84"/>
    </row>
    <row r="683" spans="1:26" ht="15.75" customHeight="1">
      <c r="A683" s="83"/>
      <c r="B683" s="83"/>
      <c r="C683" s="83"/>
      <c r="D683" s="84"/>
      <c r="E683" s="84"/>
      <c r="F683" s="84"/>
      <c r="G683" s="83"/>
      <c r="H683" s="84"/>
      <c r="I683" s="84"/>
      <c r="J683" s="84"/>
      <c r="K683" s="84"/>
      <c r="L683" s="84"/>
      <c r="M683" s="84"/>
      <c r="N683" s="84"/>
      <c r="O683" s="84"/>
      <c r="P683" s="85"/>
      <c r="Q683" s="75"/>
      <c r="R683" s="75"/>
      <c r="S683" s="75"/>
      <c r="T683" s="75"/>
      <c r="U683" s="89"/>
      <c r="V683" s="84"/>
      <c r="W683" s="84"/>
      <c r="X683" s="84"/>
      <c r="Y683" s="84"/>
      <c r="Z683" s="84"/>
    </row>
    <row r="684" spans="1:26" ht="15.75" customHeight="1">
      <c r="A684" s="83"/>
      <c r="B684" s="83"/>
      <c r="C684" s="83"/>
      <c r="D684" s="84"/>
      <c r="E684" s="84"/>
      <c r="F684" s="84"/>
      <c r="G684" s="83"/>
      <c r="H684" s="84"/>
      <c r="I684" s="84"/>
      <c r="J684" s="84"/>
      <c r="K684" s="84"/>
      <c r="L684" s="84"/>
      <c r="M684" s="84"/>
      <c r="N684" s="84"/>
      <c r="O684" s="84"/>
      <c r="P684" s="85"/>
      <c r="Q684" s="75"/>
      <c r="R684" s="75"/>
      <c r="S684" s="75"/>
      <c r="T684" s="75"/>
      <c r="U684" s="89"/>
      <c r="V684" s="84"/>
      <c r="W684" s="84"/>
      <c r="X684" s="84"/>
      <c r="Y684" s="84"/>
      <c r="Z684" s="84"/>
    </row>
    <row r="685" spans="1:26" ht="15.75" customHeight="1">
      <c r="A685" s="83"/>
      <c r="B685" s="83"/>
      <c r="C685" s="83"/>
      <c r="D685" s="84"/>
      <c r="E685" s="84"/>
      <c r="F685" s="84"/>
      <c r="G685" s="83"/>
      <c r="H685" s="84"/>
      <c r="I685" s="84"/>
      <c r="J685" s="84"/>
      <c r="K685" s="84"/>
      <c r="L685" s="84"/>
      <c r="M685" s="84"/>
      <c r="N685" s="84"/>
      <c r="O685" s="84"/>
      <c r="P685" s="85"/>
      <c r="Q685" s="75"/>
      <c r="R685" s="75"/>
      <c r="S685" s="75"/>
      <c r="T685" s="75"/>
      <c r="U685" s="89"/>
      <c r="V685" s="84"/>
      <c r="W685" s="84"/>
      <c r="X685" s="84"/>
      <c r="Y685" s="84"/>
      <c r="Z685" s="84"/>
    </row>
    <row r="686" spans="1:26" ht="15.75" customHeight="1">
      <c r="A686" s="83"/>
      <c r="B686" s="83"/>
      <c r="C686" s="83"/>
      <c r="D686" s="84"/>
      <c r="E686" s="84"/>
      <c r="F686" s="84"/>
      <c r="G686" s="83"/>
      <c r="H686" s="84"/>
      <c r="I686" s="84"/>
      <c r="J686" s="84"/>
      <c r="K686" s="84"/>
      <c r="L686" s="84"/>
      <c r="M686" s="84"/>
      <c r="N686" s="84"/>
      <c r="O686" s="84"/>
      <c r="P686" s="85"/>
      <c r="Q686" s="75"/>
      <c r="R686" s="75"/>
      <c r="S686" s="75"/>
      <c r="T686" s="75"/>
      <c r="U686" s="89"/>
      <c r="V686" s="84"/>
      <c r="W686" s="84"/>
      <c r="X686" s="84"/>
      <c r="Y686" s="84"/>
      <c r="Z686" s="84"/>
    </row>
    <row r="687" spans="1:26" ht="15.75" customHeight="1">
      <c r="A687" s="83"/>
      <c r="B687" s="83"/>
      <c r="C687" s="83"/>
      <c r="D687" s="84"/>
      <c r="E687" s="84"/>
      <c r="F687" s="84"/>
      <c r="G687" s="83"/>
      <c r="H687" s="84"/>
      <c r="I687" s="84"/>
      <c r="J687" s="84"/>
      <c r="K687" s="84"/>
      <c r="L687" s="84"/>
      <c r="M687" s="84"/>
      <c r="N687" s="84"/>
      <c r="O687" s="84"/>
      <c r="P687" s="85"/>
      <c r="Q687" s="75"/>
      <c r="R687" s="75"/>
      <c r="S687" s="75"/>
      <c r="T687" s="75"/>
      <c r="U687" s="89"/>
      <c r="V687" s="84"/>
      <c r="W687" s="84"/>
      <c r="X687" s="84"/>
      <c r="Y687" s="84"/>
      <c r="Z687" s="84"/>
    </row>
    <row r="688" spans="1:26" ht="15.75" customHeight="1">
      <c r="A688" s="83"/>
      <c r="B688" s="83"/>
      <c r="C688" s="83"/>
      <c r="D688" s="84"/>
      <c r="E688" s="84"/>
      <c r="F688" s="84"/>
      <c r="G688" s="83"/>
      <c r="H688" s="84"/>
      <c r="I688" s="84"/>
      <c r="J688" s="84"/>
      <c r="K688" s="84"/>
      <c r="L688" s="84"/>
      <c r="M688" s="84"/>
      <c r="N688" s="84"/>
      <c r="O688" s="84"/>
      <c r="P688" s="85"/>
      <c r="Q688" s="75"/>
      <c r="R688" s="75"/>
      <c r="S688" s="75"/>
      <c r="T688" s="75"/>
      <c r="U688" s="89"/>
      <c r="V688" s="84"/>
      <c r="W688" s="84"/>
      <c r="X688" s="84"/>
      <c r="Y688" s="84"/>
      <c r="Z688" s="84"/>
    </row>
    <row r="689" spans="1:26" ht="15.75" customHeight="1">
      <c r="A689" s="83"/>
      <c r="B689" s="83"/>
      <c r="C689" s="83"/>
      <c r="D689" s="84"/>
      <c r="E689" s="84"/>
      <c r="F689" s="84"/>
      <c r="G689" s="83"/>
      <c r="H689" s="84"/>
      <c r="I689" s="84"/>
      <c r="J689" s="84"/>
      <c r="K689" s="84"/>
      <c r="L689" s="84"/>
      <c r="M689" s="84"/>
      <c r="N689" s="84"/>
      <c r="O689" s="84"/>
      <c r="P689" s="85"/>
      <c r="Q689" s="75"/>
      <c r="R689" s="75"/>
      <c r="S689" s="75"/>
      <c r="T689" s="75"/>
      <c r="U689" s="89"/>
      <c r="V689" s="84"/>
      <c r="W689" s="84"/>
      <c r="X689" s="84"/>
      <c r="Y689" s="84"/>
      <c r="Z689" s="84"/>
    </row>
    <row r="690" spans="1:26" ht="15.75" customHeight="1">
      <c r="A690" s="83"/>
      <c r="B690" s="83"/>
      <c r="C690" s="83"/>
      <c r="D690" s="84"/>
      <c r="E690" s="84"/>
      <c r="F690" s="84"/>
      <c r="G690" s="83"/>
      <c r="H690" s="84"/>
      <c r="I690" s="84"/>
      <c r="J690" s="84"/>
      <c r="K690" s="84"/>
      <c r="L690" s="84"/>
      <c r="M690" s="84"/>
      <c r="N690" s="84"/>
      <c r="O690" s="84"/>
      <c r="P690" s="85"/>
      <c r="Q690" s="75"/>
      <c r="R690" s="75"/>
      <c r="S690" s="75"/>
      <c r="T690" s="75"/>
      <c r="U690" s="89"/>
      <c r="V690" s="84"/>
      <c r="W690" s="84"/>
      <c r="X690" s="84"/>
      <c r="Y690" s="84"/>
      <c r="Z690" s="84"/>
    </row>
    <row r="691" spans="1:26" ht="15.75" customHeight="1">
      <c r="A691" s="83"/>
      <c r="B691" s="83"/>
      <c r="C691" s="83"/>
      <c r="D691" s="84"/>
      <c r="E691" s="84"/>
      <c r="F691" s="84"/>
      <c r="G691" s="83"/>
      <c r="H691" s="84"/>
      <c r="I691" s="84"/>
      <c r="J691" s="84"/>
      <c r="K691" s="84"/>
      <c r="L691" s="84"/>
      <c r="M691" s="84"/>
      <c r="N691" s="84"/>
      <c r="O691" s="84"/>
      <c r="P691" s="85"/>
      <c r="Q691" s="75"/>
      <c r="R691" s="75"/>
      <c r="S691" s="75"/>
      <c r="T691" s="75"/>
      <c r="U691" s="89"/>
      <c r="V691" s="84"/>
      <c r="W691" s="84"/>
      <c r="X691" s="84"/>
      <c r="Y691" s="84"/>
      <c r="Z691" s="84"/>
    </row>
    <row r="692" spans="1:26" ht="15.75" customHeight="1">
      <c r="A692" s="83"/>
      <c r="B692" s="83"/>
      <c r="C692" s="83"/>
      <c r="D692" s="84"/>
      <c r="E692" s="84"/>
      <c r="F692" s="84"/>
      <c r="G692" s="83"/>
      <c r="H692" s="84"/>
      <c r="I692" s="84"/>
      <c r="J692" s="84"/>
      <c r="K692" s="84"/>
      <c r="L692" s="84"/>
      <c r="M692" s="84"/>
      <c r="N692" s="84"/>
      <c r="O692" s="84"/>
      <c r="P692" s="85"/>
      <c r="Q692" s="75"/>
      <c r="R692" s="75"/>
      <c r="S692" s="75"/>
      <c r="T692" s="75"/>
      <c r="U692" s="89"/>
      <c r="V692" s="84"/>
      <c r="W692" s="84"/>
      <c r="X692" s="84"/>
      <c r="Y692" s="84"/>
      <c r="Z692" s="84"/>
    </row>
    <row r="693" spans="1:26" ht="15.75" customHeight="1">
      <c r="A693" s="83"/>
      <c r="B693" s="83"/>
      <c r="C693" s="83"/>
      <c r="D693" s="84"/>
      <c r="E693" s="84"/>
      <c r="F693" s="84"/>
      <c r="G693" s="83"/>
      <c r="H693" s="84"/>
      <c r="I693" s="84"/>
      <c r="J693" s="84"/>
      <c r="K693" s="84"/>
      <c r="L693" s="84"/>
      <c r="M693" s="84"/>
      <c r="N693" s="84"/>
      <c r="O693" s="84"/>
      <c r="P693" s="85"/>
      <c r="Q693" s="75"/>
      <c r="R693" s="75"/>
      <c r="S693" s="75"/>
      <c r="T693" s="75"/>
      <c r="U693" s="89"/>
      <c r="V693" s="84"/>
      <c r="W693" s="84"/>
      <c r="X693" s="84"/>
      <c r="Y693" s="84"/>
      <c r="Z693" s="84"/>
    </row>
    <row r="694" spans="1:26" ht="15.75" customHeight="1">
      <c r="A694" s="83"/>
      <c r="B694" s="83"/>
      <c r="C694" s="83"/>
      <c r="D694" s="84"/>
      <c r="E694" s="84"/>
      <c r="F694" s="84"/>
      <c r="G694" s="83"/>
      <c r="H694" s="84"/>
      <c r="I694" s="84"/>
      <c r="J694" s="84"/>
      <c r="K694" s="84"/>
      <c r="L694" s="84"/>
      <c r="M694" s="84"/>
      <c r="N694" s="84"/>
      <c r="O694" s="84"/>
      <c r="P694" s="85"/>
      <c r="Q694" s="75"/>
      <c r="R694" s="75"/>
      <c r="S694" s="75"/>
      <c r="T694" s="75"/>
      <c r="U694" s="89"/>
      <c r="V694" s="84"/>
      <c r="W694" s="84"/>
      <c r="X694" s="84"/>
      <c r="Y694" s="84"/>
      <c r="Z694" s="84"/>
    </row>
    <row r="695" spans="1:26" ht="15.75" customHeight="1">
      <c r="A695" s="83"/>
      <c r="B695" s="83"/>
      <c r="C695" s="83"/>
      <c r="D695" s="84"/>
      <c r="E695" s="84"/>
      <c r="F695" s="84"/>
      <c r="G695" s="83"/>
      <c r="H695" s="84"/>
      <c r="I695" s="84"/>
      <c r="J695" s="84"/>
      <c r="K695" s="84"/>
      <c r="L695" s="84"/>
      <c r="M695" s="84"/>
      <c r="N695" s="84"/>
      <c r="O695" s="84"/>
      <c r="P695" s="85"/>
      <c r="Q695" s="75"/>
      <c r="R695" s="75"/>
      <c r="S695" s="75"/>
      <c r="T695" s="75"/>
      <c r="U695" s="89"/>
      <c r="V695" s="84"/>
      <c r="W695" s="84"/>
      <c r="X695" s="84"/>
      <c r="Y695" s="84"/>
      <c r="Z695" s="84"/>
    </row>
    <row r="696" spans="1:26" ht="15.75" customHeight="1">
      <c r="A696" s="83"/>
      <c r="B696" s="83"/>
      <c r="C696" s="83"/>
      <c r="D696" s="84"/>
      <c r="E696" s="84"/>
      <c r="F696" s="84"/>
      <c r="G696" s="83"/>
      <c r="H696" s="84"/>
      <c r="I696" s="84"/>
      <c r="J696" s="84"/>
      <c r="K696" s="84"/>
      <c r="L696" s="84"/>
      <c r="M696" s="84"/>
      <c r="N696" s="84"/>
      <c r="O696" s="84"/>
      <c r="P696" s="85"/>
      <c r="Q696" s="75"/>
      <c r="R696" s="75"/>
      <c r="S696" s="75"/>
      <c r="T696" s="75"/>
      <c r="U696" s="89"/>
      <c r="V696" s="84"/>
      <c r="W696" s="84"/>
      <c r="X696" s="84"/>
      <c r="Y696" s="84"/>
      <c r="Z696" s="84"/>
    </row>
    <row r="697" spans="1:26" ht="15.75" customHeight="1">
      <c r="A697" s="83"/>
      <c r="B697" s="83"/>
      <c r="C697" s="83"/>
      <c r="D697" s="84"/>
      <c r="E697" s="84"/>
      <c r="F697" s="84"/>
      <c r="G697" s="83"/>
      <c r="H697" s="84"/>
      <c r="I697" s="84"/>
      <c r="J697" s="84"/>
      <c r="K697" s="84"/>
      <c r="L697" s="84"/>
      <c r="M697" s="84"/>
      <c r="N697" s="84"/>
      <c r="O697" s="84"/>
      <c r="P697" s="85"/>
      <c r="Q697" s="75"/>
      <c r="R697" s="75"/>
      <c r="S697" s="75"/>
      <c r="T697" s="75"/>
      <c r="U697" s="89"/>
      <c r="V697" s="84"/>
      <c r="W697" s="84"/>
      <c r="X697" s="84"/>
      <c r="Y697" s="84"/>
      <c r="Z697" s="84"/>
    </row>
    <row r="698" spans="1:26" ht="15.75" customHeight="1">
      <c r="A698" s="83"/>
      <c r="B698" s="83"/>
      <c r="C698" s="83"/>
      <c r="D698" s="84"/>
      <c r="E698" s="84"/>
      <c r="F698" s="84"/>
      <c r="G698" s="83"/>
      <c r="H698" s="84"/>
      <c r="I698" s="84"/>
      <c r="J698" s="84"/>
      <c r="K698" s="84"/>
      <c r="L698" s="84"/>
      <c r="M698" s="84"/>
      <c r="N698" s="84"/>
      <c r="O698" s="84"/>
      <c r="P698" s="85"/>
      <c r="Q698" s="75"/>
      <c r="R698" s="75"/>
      <c r="S698" s="75"/>
      <c r="T698" s="75"/>
      <c r="U698" s="89"/>
      <c r="V698" s="84"/>
      <c r="W698" s="84"/>
      <c r="X698" s="84"/>
      <c r="Y698" s="84"/>
      <c r="Z698" s="84"/>
    </row>
    <row r="699" spans="1:26" ht="15.75" customHeight="1">
      <c r="A699" s="83"/>
      <c r="B699" s="83"/>
      <c r="C699" s="83"/>
      <c r="D699" s="84"/>
      <c r="E699" s="84"/>
      <c r="F699" s="84"/>
      <c r="G699" s="83"/>
      <c r="H699" s="84"/>
      <c r="I699" s="84"/>
      <c r="J699" s="84"/>
      <c r="K699" s="84"/>
      <c r="L699" s="84"/>
      <c r="M699" s="84"/>
      <c r="N699" s="84"/>
      <c r="O699" s="84"/>
      <c r="P699" s="85"/>
      <c r="Q699" s="75"/>
      <c r="R699" s="75"/>
      <c r="S699" s="75"/>
      <c r="T699" s="75"/>
      <c r="U699" s="89"/>
      <c r="V699" s="84"/>
      <c r="W699" s="84"/>
      <c r="X699" s="84"/>
      <c r="Y699" s="84"/>
      <c r="Z699" s="84"/>
    </row>
    <row r="700" spans="1:26" ht="15.75" customHeight="1">
      <c r="A700" s="83"/>
      <c r="B700" s="83"/>
      <c r="C700" s="83"/>
      <c r="D700" s="84"/>
      <c r="E700" s="84"/>
      <c r="F700" s="84"/>
      <c r="G700" s="83"/>
      <c r="H700" s="84"/>
      <c r="I700" s="84"/>
      <c r="J700" s="84"/>
      <c r="K700" s="84"/>
      <c r="L700" s="84"/>
      <c r="M700" s="84"/>
      <c r="N700" s="84"/>
      <c r="O700" s="84"/>
      <c r="P700" s="85"/>
      <c r="Q700" s="75"/>
      <c r="R700" s="75"/>
      <c r="S700" s="75"/>
      <c r="T700" s="75"/>
      <c r="U700" s="89"/>
      <c r="V700" s="84"/>
      <c r="W700" s="84"/>
      <c r="X700" s="84"/>
      <c r="Y700" s="84"/>
      <c r="Z700" s="84"/>
    </row>
    <row r="701" spans="1:26" ht="15.75" customHeight="1">
      <c r="A701" s="83"/>
      <c r="B701" s="83"/>
      <c r="C701" s="83"/>
      <c r="D701" s="84"/>
      <c r="E701" s="84"/>
      <c r="F701" s="84"/>
      <c r="G701" s="83"/>
      <c r="H701" s="84"/>
      <c r="I701" s="84"/>
      <c r="J701" s="84"/>
      <c r="K701" s="84"/>
      <c r="L701" s="84"/>
      <c r="M701" s="84"/>
      <c r="N701" s="84"/>
      <c r="O701" s="84"/>
      <c r="P701" s="85"/>
      <c r="Q701" s="75"/>
      <c r="R701" s="75"/>
      <c r="S701" s="75"/>
      <c r="T701" s="75"/>
      <c r="U701" s="89"/>
      <c r="V701" s="84"/>
      <c r="W701" s="84"/>
      <c r="X701" s="84"/>
      <c r="Y701" s="84"/>
      <c r="Z701" s="84"/>
    </row>
    <row r="702" spans="1:26" ht="15.75" customHeight="1">
      <c r="A702" s="83"/>
      <c r="B702" s="83"/>
      <c r="C702" s="83"/>
      <c r="D702" s="84"/>
      <c r="E702" s="84"/>
      <c r="F702" s="84"/>
      <c r="G702" s="83"/>
      <c r="H702" s="84"/>
      <c r="I702" s="84"/>
      <c r="J702" s="84"/>
      <c r="K702" s="84"/>
      <c r="L702" s="84"/>
      <c r="M702" s="84"/>
      <c r="N702" s="84"/>
      <c r="O702" s="84"/>
      <c r="P702" s="85"/>
      <c r="Q702" s="75"/>
      <c r="R702" s="75"/>
      <c r="S702" s="75"/>
      <c r="T702" s="75"/>
      <c r="U702" s="89"/>
      <c r="V702" s="84"/>
      <c r="W702" s="84"/>
      <c r="X702" s="84"/>
      <c r="Y702" s="84"/>
      <c r="Z702" s="84"/>
    </row>
    <row r="703" spans="1:26" ht="15.75" customHeight="1">
      <c r="A703" s="83"/>
      <c r="B703" s="83"/>
      <c r="C703" s="83"/>
      <c r="D703" s="84"/>
      <c r="E703" s="84"/>
      <c r="F703" s="84"/>
      <c r="G703" s="83"/>
      <c r="H703" s="84"/>
      <c r="I703" s="84"/>
      <c r="J703" s="84"/>
      <c r="K703" s="84"/>
      <c r="L703" s="84"/>
      <c r="M703" s="84"/>
      <c r="N703" s="84"/>
      <c r="O703" s="84"/>
      <c r="P703" s="85"/>
      <c r="Q703" s="75"/>
      <c r="R703" s="75"/>
      <c r="S703" s="75"/>
      <c r="T703" s="75"/>
      <c r="U703" s="89"/>
      <c r="V703" s="84"/>
      <c r="W703" s="84"/>
      <c r="X703" s="84"/>
      <c r="Y703" s="84"/>
      <c r="Z703" s="84"/>
    </row>
    <row r="704" spans="1:26" ht="15.75" customHeight="1">
      <c r="A704" s="83"/>
      <c r="B704" s="83"/>
      <c r="C704" s="83"/>
      <c r="D704" s="84"/>
      <c r="E704" s="84"/>
      <c r="F704" s="84"/>
      <c r="G704" s="83"/>
      <c r="H704" s="84"/>
      <c r="I704" s="84"/>
      <c r="J704" s="84"/>
      <c r="K704" s="84"/>
      <c r="L704" s="84"/>
      <c r="M704" s="84"/>
      <c r="N704" s="84"/>
      <c r="O704" s="84"/>
      <c r="P704" s="85"/>
      <c r="Q704" s="75"/>
      <c r="R704" s="75"/>
      <c r="S704" s="75"/>
      <c r="T704" s="75"/>
      <c r="U704" s="89"/>
      <c r="V704" s="84"/>
      <c r="W704" s="84"/>
      <c r="X704" s="84"/>
      <c r="Y704" s="84"/>
      <c r="Z704" s="84"/>
    </row>
    <row r="705" spans="1:26" ht="15.75" customHeight="1">
      <c r="A705" s="83"/>
      <c r="B705" s="83"/>
      <c r="C705" s="83"/>
      <c r="D705" s="84"/>
      <c r="E705" s="84"/>
      <c r="F705" s="84"/>
      <c r="G705" s="83"/>
      <c r="H705" s="84"/>
      <c r="I705" s="84"/>
      <c r="J705" s="84"/>
      <c r="K705" s="84"/>
      <c r="L705" s="84"/>
      <c r="M705" s="84"/>
      <c r="N705" s="84"/>
      <c r="O705" s="84"/>
      <c r="P705" s="85"/>
      <c r="Q705" s="75"/>
      <c r="R705" s="75"/>
      <c r="S705" s="75"/>
      <c r="T705" s="75"/>
      <c r="U705" s="89"/>
      <c r="V705" s="84"/>
      <c r="W705" s="84"/>
      <c r="X705" s="84"/>
      <c r="Y705" s="84"/>
      <c r="Z705" s="84"/>
    </row>
    <row r="706" spans="1:26" ht="15.75" customHeight="1">
      <c r="A706" s="83"/>
      <c r="B706" s="83"/>
      <c r="C706" s="83"/>
      <c r="D706" s="84"/>
      <c r="E706" s="84"/>
      <c r="F706" s="84"/>
      <c r="G706" s="83"/>
      <c r="H706" s="84"/>
      <c r="I706" s="84"/>
      <c r="J706" s="84"/>
      <c r="K706" s="84"/>
      <c r="L706" s="84"/>
      <c r="M706" s="84"/>
      <c r="N706" s="84"/>
      <c r="O706" s="84"/>
      <c r="P706" s="85"/>
      <c r="Q706" s="75"/>
      <c r="R706" s="75"/>
      <c r="S706" s="75"/>
      <c r="T706" s="75"/>
      <c r="U706" s="89"/>
      <c r="V706" s="84"/>
      <c r="W706" s="84"/>
      <c r="X706" s="84"/>
      <c r="Y706" s="84"/>
      <c r="Z706" s="84"/>
    </row>
    <row r="707" spans="1:26" ht="15.75" customHeight="1">
      <c r="A707" s="83"/>
      <c r="B707" s="83"/>
      <c r="C707" s="83"/>
      <c r="D707" s="84"/>
      <c r="E707" s="84"/>
      <c r="F707" s="84"/>
      <c r="G707" s="83"/>
      <c r="H707" s="84"/>
      <c r="I707" s="84"/>
      <c r="J707" s="84"/>
      <c r="K707" s="84"/>
      <c r="L707" s="84"/>
      <c r="M707" s="84"/>
      <c r="N707" s="84"/>
      <c r="O707" s="84"/>
      <c r="P707" s="85"/>
      <c r="Q707" s="75"/>
      <c r="R707" s="75"/>
      <c r="S707" s="75"/>
      <c r="T707" s="75"/>
      <c r="U707" s="89"/>
      <c r="V707" s="84"/>
      <c r="W707" s="84"/>
      <c r="X707" s="84"/>
      <c r="Y707" s="84"/>
      <c r="Z707" s="84"/>
    </row>
    <row r="708" spans="1:26" ht="15.75" customHeight="1">
      <c r="A708" s="83"/>
      <c r="B708" s="83"/>
      <c r="C708" s="83"/>
      <c r="D708" s="84"/>
      <c r="E708" s="84"/>
      <c r="F708" s="84"/>
      <c r="G708" s="83"/>
      <c r="H708" s="84"/>
      <c r="I708" s="84"/>
      <c r="J708" s="84"/>
      <c r="K708" s="84"/>
      <c r="L708" s="84"/>
      <c r="M708" s="84"/>
      <c r="N708" s="84"/>
      <c r="O708" s="84"/>
      <c r="P708" s="85"/>
      <c r="Q708" s="75"/>
      <c r="R708" s="75"/>
      <c r="S708" s="75"/>
      <c r="T708" s="75"/>
      <c r="U708" s="89"/>
      <c r="V708" s="84"/>
      <c r="W708" s="84"/>
      <c r="X708" s="84"/>
      <c r="Y708" s="84"/>
      <c r="Z708" s="84"/>
    </row>
    <row r="709" spans="1:26" ht="15.75" customHeight="1">
      <c r="A709" s="83"/>
      <c r="B709" s="83"/>
      <c r="C709" s="83"/>
      <c r="D709" s="84"/>
      <c r="E709" s="84"/>
      <c r="F709" s="84"/>
      <c r="G709" s="83"/>
      <c r="H709" s="84"/>
      <c r="I709" s="84"/>
      <c r="J709" s="84"/>
      <c r="K709" s="84"/>
      <c r="L709" s="84"/>
      <c r="M709" s="84"/>
      <c r="N709" s="84"/>
      <c r="O709" s="84"/>
      <c r="P709" s="85"/>
      <c r="Q709" s="75"/>
      <c r="R709" s="75"/>
      <c r="S709" s="75"/>
      <c r="T709" s="75"/>
      <c r="U709" s="89"/>
      <c r="V709" s="84"/>
      <c r="W709" s="84"/>
      <c r="X709" s="84"/>
      <c r="Y709" s="84"/>
      <c r="Z709" s="84"/>
    </row>
    <row r="710" spans="1:26" ht="15.75" customHeight="1">
      <c r="A710" s="83"/>
      <c r="B710" s="83"/>
      <c r="C710" s="83"/>
      <c r="D710" s="84"/>
      <c r="E710" s="84"/>
      <c r="F710" s="84"/>
      <c r="G710" s="83"/>
      <c r="H710" s="84"/>
      <c r="I710" s="84"/>
      <c r="J710" s="84"/>
      <c r="K710" s="84"/>
      <c r="L710" s="84"/>
      <c r="M710" s="84"/>
      <c r="N710" s="84"/>
      <c r="O710" s="84"/>
      <c r="P710" s="85"/>
      <c r="Q710" s="75"/>
      <c r="R710" s="75"/>
      <c r="S710" s="75"/>
      <c r="T710" s="75"/>
      <c r="U710" s="89"/>
      <c r="V710" s="84"/>
      <c r="W710" s="84"/>
      <c r="X710" s="84"/>
      <c r="Y710" s="84"/>
      <c r="Z710" s="84"/>
    </row>
    <row r="711" spans="1:26" ht="15.75" customHeight="1">
      <c r="A711" s="83"/>
      <c r="B711" s="83"/>
      <c r="C711" s="83"/>
      <c r="D711" s="84"/>
      <c r="E711" s="84"/>
      <c r="F711" s="84"/>
      <c r="G711" s="83"/>
      <c r="H711" s="84"/>
      <c r="I711" s="84"/>
      <c r="J711" s="84"/>
      <c r="K711" s="84"/>
      <c r="L711" s="84"/>
      <c r="M711" s="84"/>
      <c r="N711" s="84"/>
      <c r="O711" s="84"/>
      <c r="P711" s="85"/>
      <c r="Q711" s="75"/>
      <c r="R711" s="75"/>
      <c r="S711" s="75"/>
      <c r="T711" s="75"/>
      <c r="U711" s="89"/>
      <c r="V711" s="84"/>
      <c r="W711" s="84"/>
      <c r="X711" s="84"/>
      <c r="Y711" s="84"/>
      <c r="Z711" s="84"/>
    </row>
    <row r="712" spans="1:26" ht="15.75" customHeight="1">
      <c r="A712" s="83"/>
      <c r="B712" s="83"/>
      <c r="C712" s="83"/>
      <c r="D712" s="84"/>
      <c r="E712" s="84"/>
      <c r="F712" s="84"/>
      <c r="G712" s="83"/>
      <c r="H712" s="84"/>
      <c r="I712" s="84"/>
      <c r="J712" s="84"/>
      <c r="K712" s="84"/>
      <c r="L712" s="84"/>
      <c r="M712" s="84"/>
      <c r="N712" s="84"/>
      <c r="O712" s="84"/>
      <c r="P712" s="85"/>
      <c r="Q712" s="75"/>
      <c r="R712" s="75"/>
      <c r="S712" s="75"/>
      <c r="T712" s="75"/>
      <c r="U712" s="89"/>
      <c r="V712" s="84"/>
      <c r="W712" s="84"/>
      <c r="X712" s="84"/>
      <c r="Y712" s="84"/>
      <c r="Z712" s="84"/>
    </row>
    <row r="713" spans="1:26" ht="15.75" customHeight="1">
      <c r="A713" s="83"/>
      <c r="B713" s="83"/>
      <c r="C713" s="83"/>
      <c r="D713" s="84"/>
      <c r="E713" s="84"/>
      <c r="F713" s="84"/>
      <c r="G713" s="83"/>
      <c r="H713" s="84"/>
      <c r="I713" s="84"/>
      <c r="J713" s="84"/>
      <c r="K713" s="84"/>
      <c r="L713" s="84"/>
      <c r="M713" s="84"/>
      <c r="N713" s="84"/>
      <c r="O713" s="84"/>
      <c r="P713" s="85"/>
      <c r="Q713" s="75"/>
      <c r="R713" s="75"/>
      <c r="S713" s="75"/>
      <c r="T713" s="75"/>
      <c r="U713" s="89"/>
      <c r="V713" s="84"/>
      <c r="W713" s="84"/>
      <c r="X713" s="84"/>
      <c r="Y713" s="84"/>
      <c r="Z713" s="84"/>
    </row>
    <row r="714" spans="1:26" ht="15.75" customHeight="1">
      <c r="A714" s="83"/>
      <c r="B714" s="83"/>
      <c r="C714" s="83"/>
      <c r="D714" s="84"/>
      <c r="E714" s="84"/>
      <c r="F714" s="84"/>
      <c r="G714" s="83"/>
      <c r="H714" s="84"/>
      <c r="I714" s="84"/>
      <c r="J714" s="84"/>
      <c r="K714" s="84"/>
      <c r="L714" s="84"/>
      <c r="M714" s="84"/>
      <c r="N714" s="84"/>
      <c r="O714" s="84"/>
      <c r="P714" s="85"/>
      <c r="Q714" s="75"/>
      <c r="R714" s="75"/>
      <c r="S714" s="75"/>
      <c r="T714" s="75"/>
      <c r="U714" s="89"/>
      <c r="V714" s="84"/>
      <c r="W714" s="84"/>
      <c r="X714" s="84"/>
      <c r="Y714" s="84"/>
      <c r="Z714" s="84"/>
    </row>
    <row r="715" spans="1:26" ht="15.75" customHeight="1">
      <c r="A715" s="83"/>
      <c r="B715" s="83"/>
      <c r="C715" s="83"/>
      <c r="D715" s="84"/>
      <c r="E715" s="84"/>
      <c r="F715" s="84"/>
      <c r="G715" s="83"/>
      <c r="H715" s="84"/>
      <c r="I715" s="84"/>
      <c r="J715" s="84"/>
      <c r="K715" s="84"/>
      <c r="L715" s="84"/>
      <c r="M715" s="84"/>
      <c r="N715" s="84"/>
      <c r="O715" s="84"/>
      <c r="P715" s="85"/>
      <c r="Q715" s="75"/>
      <c r="R715" s="75"/>
      <c r="S715" s="75"/>
      <c r="T715" s="75"/>
      <c r="U715" s="89"/>
      <c r="V715" s="84"/>
      <c r="W715" s="84"/>
      <c r="X715" s="84"/>
      <c r="Y715" s="84"/>
      <c r="Z715" s="84"/>
    </row>
    <row r="716" spans="1:26" ht="15.75" customHeight="1">
      <c r="A716" s="83"/>
      <c r="B716" s="83"/>
      <c r="C716" s="83"/>
      <c r="D716" s="84"/>
      <c r="E716" s="84"/>
      <c r="F716" s="84"/>
      <c r="G716" s="83"/>
      <c r="H716" s="84"/>
      <c r="I716" s="84"/>
      <c r="J716" s="84"/>
      <c r="K716" s="84"/>
      <c r="L716" s="84"/>
      <c r="M716" s="84"/>
      <c r="N716" s="84"/>
      <c r="O716" s="84"/>
      <c r="P716" s="85"/>
      <c r="Q716" s="75"/>
      <c r="R716" s="75"/>
      <c r="S716" s="75"/>
      <c r="T716" s="75"/>
      <c r="U716" s="89"/>
      <c r="V716" s="84"/>
      <c r="W716" s="84"/>
      <c r="X716" s="84"/>
      <c r="Y716" s="84"/>
      <c r="Z716" s="84"/>
    </row>
    <row r="717" spans="1:26" ht="15.75" customHeight="1">
      <c r="A717" s="83"/>
      <c r="B717" s="83"/>
      <c r="C717" s="83"/>
      <c r="D717" s="84"/>
      <c r="E717" s="84"/>
      <c r="F717" s="84"/>
      <c r="G717" s="83"/>
      <c r="H717" s="84"/>
      <c r="I717" s="84"/>
      <c r="J717" s="84"/>
      <c r="K717" s="84"/>
      <c r="L717" s="84"/>
      <c r="M717" s="84"/>
      <c r="N717" s="84"/>
      <c r="O717" s="84"/>
      <c r="P717" s="85"/>
      <c r="Q717" s="75"/>
      <c r="R717" s="75"/>
      <c r="S717" s="75"/>
      <c r="T717" s="75"/>
      <c r="U717" s="89"/>
      <c r="V717" s="84"/>
      <c r="W717" s="84"/>
      <c r="X717" s="84"/>
      <c r="Y717" s="84"/>
      <c r="Z717" s="84"/>
    </row>
    <row r="718" spans="1:26" ht="15.75" customHeight="1">
      <c r="A718" s="83"/>
      <c r="B718" s="83"/>
      <c r="C718" s="83"/>
      <c r="D718" s="84"/>
      <c r="E718" s="84"/>
      <c r="F718" s="84"/>
      <c r="G718" s="83"/>
      <c r="H718" s="84"/>
      <c r="I718" s="84"/>
      <c r="J718" s="84"/>
      <c r="K718" s="84"/>
      <c r="L718" s="84"/>
      <c r="M718" s="84"/>
      <c r="N718" s="84"/>
      <c r="O718" s="84"/>
      <c r="P718" s="85"/>
      <c r="Q718" s="75"/>
      <c r="R718" s="75"/>
      <c r="S718" s="75"/>
      <c r="T718" s="75"/>
      <c r="U718" s="89"/>
      <c r="V718" s="84"/>
      <c r="W718" s="84"/>
      <c r="X718" s="84"/>
      <c r="Y718" s="84"/>
      <c r="Z718" s="84"/>
    </row>
    <row r="719" spans="1:26" ht="15.75" customHeight="1">
      <c r="A719" s="83"/>
      <c r="B719" s="83"/>
      <c r="C719" s="83"/>
      <c r="D719" s="84"/>
      <c r="E719" s="84"/>
      <c r="F719" s="84"/>
      <c r="G719" s="83"/>
      <c r="H719" s="84"/>
      <c r="I719" s="84"/>
      <c r="J719" s="84"/>
      <c r="K719" s="84"/>
      <c r="L719" s="84"/>
      <c r="M719" s="84"/>
      <c r="N719" s="84"/>
      <c r="O719" s="84"/>
      <c r="P719" s="85"/>
      <c r="Q719" s="75"/>
      <c r="R719" s="75"/>
      <c r="S719" s="75"/>
      <c r="T719" s="75"/>
      <c r="U719" s="89"/>
      <c r="V719" s="84"/>
      <c r="W719" s="84"/>
      <c r="X719" s="84"/>
      <c r="Y719" s="84"/>
      <c r="Z719" s="84"/>
    </row>
    <row r="720" spans="1:26" ht="15.75" customHeight="1">
      <c r="A720" s="83"/>
      <c r="B720" s="83"/>
      <c r="C720" s="83"/>
      <c r="D720" s="84"/>
      <c r="E720" s="84"/>
      <c r="F720" s="84"/>
      <c r="G720" s="83"/>
      <c r="H720" s="84"/>
      <c r="I720" s="84"/>
      <c r="J720" s="84"/>
      <c r="K720" s="84"/>
      <c r="L720" s="84"/>
      <c r="M720" s="84"/>
      <c r="N720" s="84"/>
      <c r="O720" s="84"/>
      <c r="P720" s="85"/>
      <c r="Q720" s="75"/>
      <c r="R720" s="75"/>
      <c r="S720" s="75"/>
      <c r="T720" s="75"/>
      <c r="U720" s="89"/>
      <c r="V720" s="84"/>
      <c r="W720" s="84"/>
      <c r="X720" s="84"/>
      <c r="Y720" s="84"/>
      <c r="Z720" s="84"/>
    </row>
    <row r="721" spans="1:26" ht="15.75" customHeight="1">
      <c r="A721" s="83"/>
      <c r="B721" s="83"/>
      <c r="C721" s="83"/>
      <c r="D721" s="84"/>
      <c r="E721" s="84"/>
      <c r="F721" s="84"/>
      <c r="G721" s="83"/>
      <c r="H721" s="84"/>
      <c r="I721" s="84"/>
      <c r="J721" s="84"/>
      <c r="K721" s="84"/>
      <c r="L721" s="84"/>
      <c r="M721" s="84"/>
      <c r="N721" s="84"/>
      <c r="O721" s="84"/>
      <c r="P721" s="85"/>
      <c r="Q721" s="75"/>
      <c r="R721" s="75"/>
      <c r="S721" s="75"/>
      <c r="T721" s="75"/>
      <c r="U721" s="89"/>
      <c r="V721" s="84"/>
      <c r="W721" s="84"/>
      <c r="X721" s="84"/>
      <c r="Y721" s="84"/>
      <c r="Z721" s="84"/>
    </row>
    <row r="722" spans="1:26" ht="15.75" customHeight="1">
      <c r="A722" s="83"/>
      <c r="B722" s="83"/>
      <c r="C722" s="83"/>
      <c r="D722" s="84"/>
      <c r="E722" s="84"/>
      <c r="F722" s="84"/>
      <c r="G722" s="83"/>
      <c r="H722" s="84"/>
      <c r="I722" s="84"/>
      <c r="J722" s="84"/>
      <c r="K722" s="84"/>
      <c r="L722" s="84"/>
      <c r="M722" s="84"/>
      <c r="N722" s="84"/>
      <c r="O722" s="84"/>
      <c r="P722" s="85"/>
      <c r="Q722" s="75"/>
      <c r="R722" s="75"/>
      <c r="S722" s="75"/>
      <c r="T722" s="75"/>
      <c r="U722" s="89"/>
      <c r="V722" s="84"/>
      <c r="W722" s="84"/>
      <c r="X722" s="84"/>
      <c r="Y722" s="84"/>
      <c r="Z722" s="84"/>
    </row>
    <row r="723" spans="1:26" ht="15.75" customHeight="1">
      <c r="A723" s="83"/>
      <c r="B723" s="83"/>
      <c r="C723" s="83"/>
      <c r="D723" s="84"/>
      <c r="E723" s="84"/>
      <c r="F723" s="84"/>
      <c r="G723" s="83"/>
      <c r="H723" s="84"/>
      <c r="I723" s="84"/>
      <c r="J723" s="84"/>
      <c r="K723" s="84"/>
      <c r="L723" s="84"/>
      <c r="M723" s="84"/>
      <c r="N723" s="84"/>
      <c r="O723" s="84"/>
      <c r="P723" s="85"/>
      <c r="Q723" s="75"/>
      <c r="R723" s="75"/>
      <c r="S723" s="75"/>
      <c r="T723" s="75"/>
      <c r="U723" s="89"/>
      <c r="V723" s="84"/>
      <c r="W723" s="84"/>
      <c r="X723" s="84"/>
      <c r="Y723" s="84"/>
      <c r="Z723" s="84"/>
    </row>
    <row r="724" spans="1:26" ht="15.75" customHeight="1">
      <c r="A724" s="83"/>
      <c r="B724" s="83"/>
      <c r="C724" s="83"/>
      <c r="D724" s="84"/>
      <c r="E724" s="84"/>
      <c r="F724" s="84"/>
      <c r="G724" s="83"/>
      <c r="H724" s="84"/>
      <c r="I724" s="84"/>
      <c r="J724" s="84"/>
      <c r="K724" s="84"/>
      <c r="L724" s="84"/>
      <c r="M724" s="84"/>
      <c r="N724" s="84"/>
      <c r="O724" s="84"/>
      <c r="P724" s="85"/>
      <c r="Q724" s="75"/>
      <c r="R724" s="75"/>
      <c r="S724" s="75"/>
      <c r="T724" s="75"/>
      <c r="U724" s="89"/>
      <c r="V724" s="84"/>
      <c r="W724" s="84"/>
      <c r="X724" s="84"/>
      <c r="Y724" s="84"/>
      <c r="Z724" s="84"/>
    </row>
    <row r="725" spans="1:26" ht="15.75" customHeight="1">
      <c r="A725" s="83"/>
      <c r="B725" s="83"/>
      <c r="C725" s="83"/>
      <c r="D725" s="84"/>
      <c r="E725" s="84"/>
      <c r="F725" s="84"/>
      <c r="G725" s="83"/>
      <c r="H725" s="84"/>
      <c r="I725" s="84"/>
      <c r="J725" s="84"/>
      <c r="K725" s="84"/>
      <c r="L725" s="84"/>
      <c r="M725" s="84"/>
      <c r="N725" s="84"/>
      <c r="O725" s="84"/>
      <c r="P725" s="85"/>
      <c r="Q725" s="75"/>
      <c r="R725" s="75"/>
      <c r="S725" s="75"/>
      <c r="T725" s="75"/>
      <c r="U725" s="89"/>
      <c r="V725" s="84"/>
      <c r="W725" s="84"/>
      <c r="X725" s="84"/>
      <c r="Y725" s="84"/>
      <c r="Z725" s="84"/>
    </row>
    <row r="726" spans="1:26" ht="15.75" customHeight="1">
      <c r="A726" s="83"/>
      <c r="B726" s="83"/>
      <c r="C726" s="83"/>
      <c r="D726" s="84"/>
      <c r="E726" s="84"/>
      <c r="F726" s="84"/>
      <c r="G726" s="83"/>
      <c r="H726" s="84"/>
      <c r="I726" s="84"/>
      <c r="J726" s="84"/>
      <c r="K726" s="84"/>
      <c r="L726" s="84"/>
      <c r="M726" s="84"/>
      <c r="N726" s="84"/>
      <c r="O726" s="84"/>
      <c r="P726" s="85"/>
      <c r="Q726" s="75"/>
      <c r="R726" s="75"/>
      <c r="S726" s="75"/>
      <c r="T726" s="75"/>
      <c r="U726" s="89"/>
      <c r="V726" s="84"/>
      <c r="W726" s="84"/>
      <c r="X726" s="84"/>
      <c r="Y726" s="84"/>
      <c r="Z726" s="84"/>
    </row>
    <row r="727" spans="1:26" ht="15.75" customHeight="1">
      <c r="A727" s="83"/>
      <c r="B727" s="83"/>
      <c r="C727" s="83"/>
      <c r="D727" s="84"/>
      <c r="E727" s="84"/>
      <c r="F727" s="84"/>
      <c r="G727" s="83"/>
      <c r="H727" s="84"/>
      <c r="I727" s="84"/>
      <c r="J727" s="84"/>
      <c r="K727" s="84"/>
      <c r="L727" s="84"/>
      <c r="M727" s="84"/>
      <c r="N727" s="84"/>
      <c r="O727" s="84"/>
      <c r="P727" s="85"/>
      <c r="Q727" s="75"/>
      <c r="R727" s="75"/>
      <c r="S727" s="75"/>
      <c r="T727" s="75"/>
      <c r="U727" s="89"/>
      <c r="V727" s="84"/>
      <c r="W727" s="84"/>
      <c r="X727" s="84"/>
      <c r="Y727" s="84"/>
      <c r="Z727" s="84"/>
    </row>
    <row r="728" spans="1:26" ht="15.75" customHeight="1">
      <c r="A728" s="83"/>
      <c r="B728" s="83"/>
      <c r="C728" s="83"/>
      <c r="D728" s="84"/>
      <c r="E728" s="84"/>
      <c r="F728" s="84"/>
      <c r="G728" s="83"/>
      <c r="H728" s="84"/>
      <c r="I728" s="84"/>
      <c r="J728" s="84"/>
      <c r="K728" s="84"/>
      <c r="L728" s="84"/>
      <c r="M728" s="84"/>
      <c r="N728" s="84"/>
      <c r="O728" s="84"/>
      <c r="P728" s="85"/>
      <c r="Q728" s="75"/>
      <c r="R728" s="75"/>
      <c r="S728" s="75"/>
      <c r="T728" s="75"/>
      <c r="U728" s="89"/>
      <c r="V728" s="84"/>
      <c r="W728" s="84"/>
      <c r="X728" s="84"/>
      <c r="Y728" s="84"/>
      <c r="Z728" s="84"/>
    </row>
    <row r="729" spans="1:26" ht="15.75" customHeight="1">
      <c r="A729" s="83"/>
      <c r="B729" s="83"/>
      <c r="C729" s="83"/>
      <c r="D729" s="84"/>
      <c r="E729" s="84"/>
      <c r="F729" s="84"/>
      <c r="G729" s="83"/>
      <c r="H729" s="84"/>
      <c r="I729" s="84"/>
      <c r="J729" s="84"/>
      <c r="K729" s="84"/>
      <c r="L729" s="84"/>
      <c r="M729" s="84"/>
      <c r="N729" s="84"/>
      <c r="O729" s="84"/>
      <c r="P729" s="85"/>
      <c r="Q729" s="75"/>
      <c r="R729" s="75"/>
      <c r="S729" s="75"/>
      <c r="T729" s="75"/>
      <c r="U729" s="89"/>
      <c r="V729" s="84"/>
      <c r="W729" s="84"/>
      <c r="X729" s="84"/>
      <c r="Y729" s="84"/>
      <c r="Z729" s="84"/>
    </row>
    <row r="730" spans="1:26" ht="15.75" customHeight="1">
      <c r="A730" s="83"/>
      <c r="B730" s="83"/>
      <c r="C730" s="83"/>
      <c r="D730" s="84"/>
      <c r="E730" s="84"/>
      <c r="F730" s="84"/>
      <c r="G730" s="83"/>
      <c r="H730" s="84"/>
      <c r="I730" s="84"/>
      <c r="J730" s="84"/>
      <c r="K730" s="84"/>
      <c r="L730" s="84"/>
      <c r="M730" s="84"/>
      <c r="N730" s="84"/>
      <c r="O730" s="84"/>
      <c r="P730" s="85"/>
      <c r="Q730" s="75"/>
      <c r="R730" s="75"/>
      <c r="S730" s="75"/>
      <c r="T730" s="75"/>
      <c r="U730" s="89"/>
      <c r="V730" s="84"/>
      <c r="W730" s="84"/>
      <c r="X730" s="84"/>
      <c r="Y730" s="84"/>
      <c r="Z730" s="84"/>
    </row>
    <row r="731" spans="1:26" ht="15.75" customHeight="1">
      <c r="A731" s="83"/>
      <c r="B731" s="83"/>
      <c r="C731" s="83"/>
      <c r="D731" s="84"/>
      <c r="E731" s="84"/>
      <c r="F731" s="84"/>
      <c r="G731" s="83"/>
      <c r="H731" s="84"/>
      <c r="I731" s="84"/>
      <c r="J731" s="84"/>
      <c r="K731" s="84"/>
      <c r="L731" s="84"/>
      <c r="M731" s="84"/>
      <c r="N731" s="84"/>
      <c r="O731" s="84"/>
      <c r="P731" s="85"/>
      <c r="Q731" s="75"/>
      <c r="R731" s="75"/>
      <c r="S731" s="75"/>
      <c r="T731" s="75"/>
      <c r="U731" s="89"/>
      <c r="V731" s="84"/>
      <c r="W731" s="84"/>
      <c r="X731" s="84"/>
      <c r="Y731" s="84"/>
      <c r="Z731" s="84"/>
    </row>
    <row r="732" spans="1:26" ht="15.75" customHeight="1">
      <c r="A732" s="83"/>
      <c r="B732" s="83"/>
      <c r="C732" s="83"/>
      <c r="D732" s="84"/>
      <c r="E732" s="84"/>
      <c r="F732" s="84"/>
      <c r="G732" s="83"/>
      <c r="H732" s="84"/>
      <c r="I732" s="84"/>
      <c r="J732" s="84"/>
      <c r="K732" s="84"/>
      <c r="L732" s="84"/>
      <c r="M732" s="84"/>
      <c r="N732" s="84"/>
      <c r="O732" s="84"/>
      <c r="P732" s="85"/>
      <c r="Q732" s="75"/>
      <c r="R732" s="75"/>
      <c r="S732" s="75"/>
      <c r="T732" s="75"/>
      <c r="U732" s="89"/>
      <c r="V732" s="84"/>
      <c r="W732" s="84"/>
      <c r="X732" s="84"/>
      <c r="Y732" s="84"/>
      <c r="Z732" s="84"/>
    </row>
    <row r="733" spans="1:26" ht="15.75" customHeight="1">
      <c r="A733" s="83"/>
      <c r="B733" s="83"/>
      <c r="C733" s="83"/>
      <c r="D733" s="84"/>
      <c r="E733" s="84"/>
      <c r="F733" s="84"/>
      <c r="G733" s="83"/>
      <c r="H733" s="84"/>
      <c r="I733" s="84"/>
      <c r="J733" s="84"/>
      <c r="K733" s="84"/>
      <c r="L733" s="84"/>
      <c r="M733" s="84"/>
      <c r="N733" s="84"/>
      <c r="O733" s="84"/>
      <c r="P733" s="85"/>
      <c r="Q733" s="75"/>
      <c r="R733" s="75"/>
      <c r="S733" s="75"/>
      <c r="T733" s="75"/>
      <c r="U733" s="89"/>
      <c r="V733" s="84"/>
      <c r="W733" s="84"/>
      <c r="X733" s="84"/>
      <c r="Y733" s="84"/>
      <c r="Z733" s="84"/>
    </row>
    <row r="734" spans="1:26" ht="15.75" customHeight="1">
      <c r="A734" s="83"/>
      <c r="B734" s="83"/>
      <c r="C734" s="83"/>
      <c r="D734" s="84"/>
      <c r="E734" s="84"/>
      <c r="F734" s="84"/>
      <c r="G734" s="83"/>
      <c r="H734" s="84"/>
      <c r="I734" s="84"/>
      <c r="J734" s="84"/>
      <c r="K734" s="84"/>
      <c r="L734" s="84"/>
      <c r="M734" s="84"/>
      <c r="N734" s="84"/>
      <c r="O734" s="84"/>
      <c r="P734" s="85"/>
      <c r="Q734" s="75"/>
      <c r="R734" s="75"/>
      <c r="S734" s="75"/>
      <c r="T734" s="75"/>
      <c r="U734" s="89"/>
      <c r="V734" s="84"/>
      <c r="W734" s="84"/>
      <c r="X734" s="84"/>
      <c r="Y734" s="84"/>
      <c r="Z734" s="84"/>
    </row>
    <row r="735" spans="1:26" ht="15.75" customHeight="1">
      <c r="A735" s="83"/>
      <c r="B735" s="83"/>
      <c r="C735" s="83"/>
      <c r="D735" s="84"/>
      <c r="E735" s="84"/>
      <c r="F735" s="84"/>
      <c r="G735" s="83"/>
      <c r="H735" s="84"/>
      <c r="I735" s="84"/>
      <c r="J735" s="84"/>
      <c r="K735" s="84"/>
      <c r="L735" s="84"/>
      <c r="M735" s="84"/>
      <c r="N735" s="84"/>
      <c r="O735" s="84"/>
      <c r="P735" s="85"/>
      <c r="Q735" s="75"/>
      <c r="R735" s="75"/>
      <c r="S735" s="75"/>
      <c r="T735" s="75"/>
      <c r="U735" s="89"/>
      <c r="V735" s="84"/>
      <c r="W735" s="84"/>
      <c r="X735" s="84"/>
      <c r="Y735" s="84"/>
      <c r="Z735" s="84"/>
    </row>
    <row r="736" spans="1:26" ht="15.75" customHeight="1">
      <c r="A736" s="83"/>
      <c r="B736" s="83"/>
      <c r="C736" s="83"/>
      <c r="D736" s="84"/>
      <c r="E736" s="84"/>
      <c r="F736" s="84"/>
      <c r="G736" s="83"/>
      <c r="H736" s="84"/>
      <c r="I736" s="84"/>
      <c r="J736" s="84"/>
      <c r="K736" s="84"/>
      <c r="L736" s="84"/>
      <c r="M736" s="84"/>
      <c r="N736" s="84"/>
      <c r="O736" s="84"/>
      <c r="P736" s="85"/>
      <c r="Q736" s="75"/>
      <c r="R736" s="75"/>
      <c r="S736" s="75"/>
      <c r="T736" s="75"/>
      <c r="U736" s="89"/>
      <c r="V736" s="84"/>
      <c r="W736" s="84"/>
      <c r="X736" s="84"/>
      <c r="Y736" s="84"/>
      <c r="Z736" s="84"/>
    </row>
    <row r="737" spans="1:26" ht="15.75" customHeight="1">
      <c r="A737" s="83"/>
      <c r="B737" s="83"/>
      <c r="C737" s="83"/>
      <c r="D737" s="84"/>
      <c r="E737" s="84"/>
      <c r="F737" s="84"/>
      <c r="G737" s="83"/>
      <c r="H737" s="84"/>
      <c r="I737" s="84"/>
      <c r="J737" s="84"/>
      <c r="K737" s="84"/>
      <c r="L737" s="84"/>
      <c r="M737" s="84"/>
      <c r="N737" s="84"/>
      <c r="O737" s="84"/>
      <c r="P737" s="85"/>
      <c r="Q737" s="75"/>
      <c r="R737" s="75"/>
      <c r="S737" s="75"/>
      <c r="T737" s="75"/>
      <c r="U737" s="89"/>
      <c r="V737" s="84"/>
      <c r="W737" s="84"/>
      <c r="X737" s="84"/>
      <c r="Y737" s="84"/>
      <c r="Z737" s="84"/>
    </row>
    <row r="738" spans="1:26" ht="15.75" customHeight="1">
      <c r="A738" s="83"/>
      <c r="B738" s="83"/>
      <c r="C738" s="83"/>
      <c r="D738" s="84"/>
      <c r="E738" s="84"/>
      <c r="F738" s="84"/>
      <c r="G738" s="83"/>
      <c r="H738" s="84"/>
      <c r="I738" s="84"/>
      <c r="J738" s="84"/>
      <c r="K738" s="84"/>
      <c r="L738" s="84"/>
      <c r="M738" s="84"/>
      <c r="N738" s="84"/>
      <c r="O738" s="84"/>
      <c r="P738" s="85"/>
      <c r="Q738" s="75"/>
      <c r="R738" s="75"/>
      <c r="S738" s="75"/>
      <c r="T738" s="75"/>
      <c r="U738" s="89"/>
      <c r="V738" s="84"/>
      <c r="W738" s="84"/>
      <c r="X738" s="84"/>
      <c r="Y738" s="84"/>
      <c r="Z738" s="84"/>
    </row>
    <row r="739" spans="1:26" ht="15.75" customHeight="1">
      <c r="A739" s="83"/>
      <c r="B739" s="83"/>
      <c r="C739" s="83"/>
      <c r="D739" s="84"/>
      <c r="E739" s="84"/>
      <c r="F739" s="84"/>
      <c r="G739" s="83"/>
      <c r="H739" s="84"/>
      <c r="I739" s="84"/>
      <c r="J739" s="84"/>
      <c r="K739" s="84"/>
      <c r="L739" s="84"/>
      <c r="M739" s="84"/>
      <c r="N739" s="84"/>
      <c r="O739" s="84"/>
      <c r="P739" s="85"/>
      <c r="Q739" s="75"/>
      <c r="R739" s="75"/>
      <c r="S739" s="75"/>
      <c r="T739" s="75"/>
      <c r="U739" s="89"/>
      <c r="V739" s="84"/>
      <c r="W739" s="84"/>
      <c r="X739" s="84"/>
      <c r="Y739" s="84"/>
      <c r="Z739" s="84"/>
    </row>
    <row r="740" spans="1:26" ht="15.75" customHeight="1">
      <c r="A740" s="83"/>
      <c r="B740" s="83"/>
      <c r="C740" s="83"/>
      <c r="D740" s="84"/>
      <c r="E740" s="84"/>
      <c r="F740" s="84"/>
      <c r="G740" s="83"/>
      <c r="H740" s="84"/>
      <c r="I740" s="84"/>
      <c r="J740" s="84"/>
      <c r="K740" s="84"/>
      <c r="L740" s="84"/>
      <c r="M740" s="84"/>
      <c r="N740" s="84"/>
      <c r="O740" s="84"/>
      <c r="P740" s="85"/>
      <c r="Q740" s="75"/>
      <c r="R740" s="75"/>
      <c r="S740" s="75"/>
      <c r="T740" s="75"/>
      <c r="U740" s="89"/>
      <c r="V740" s="84"/>
      <c r="W740" s="84"/>
      <c r="X740" s="84"/>
      <c r="Y740" s="84"/>
      <c r="Z740" s="84"/>
    </row>
    <row r="741" spans="1:26" ht="15.75" customHeight="1">
      <c r="A741" s="83"/>
      <c r="B741" s="83"/>
      <c r="C741" s="83"/>
      <c r="D741" s="84"/>
      <c r="E741" s="84"/>
      <c r="F741" s="84"/>
      <c r="G741" s="83"/>
      <c r="H741" s="84"/>
      <c r="I741" s="84"/>
      <c r="J741" s="84"/>
      <c r="K741" s="84"/>
      <c r="L741" s="84"/>
      <c r="M741" s="84"/>
      <c r="N741" s="84"/>
      <c r="O741" s="84"/>
      <c r="P741" s="85"/>
      <c r="Q741" s="75"/>
      <c r="R741" s="75"/>
      <c r="S741" s="75"/>
      <c r="T741" s="75"/>
      <c r="U741" s="89"/>
      <c r="V741" s="84"/>
      <c r="W741" s="84"/>
      <c r="X741" s="84"/>
      <c r="Y741" s="84"/>
      <c r="Z741" s="84"/>
    </row>
    <row r="742" spans="1:26" ht="15.75" customHeight="1">
      <c r="A742" s="83"/>
      <c r="B742" s="83"/>
      <c r="C742" s="83"/>
      <c r="D742" s="84"/>
      <c r="E742" s="84"/>
      <c r="F742" s="84"/>
      <c r="G742" s="83"/>
      <c r="H742" s="84"/>
      <c r="I742" s="84"/>
      <c r="J742" s="84"/>
      <c r="K742" s="84"/>
      <c r="L742" s="84"/>
      <c r="M742" s="84"/>
      <c r="N742" s="84"/>
      <c r="O742" s="84"/>
      <c r="P742" s="85"/>
      <c r="Q742" s="75"/>
      <c r="R742" s="75"/>
      <c r="S742" s="75"/>
      <c r="T742" s="75"/>
      <c r="U742" s="89"/>
      <c r="V742" s="84"/>
      <c r="W742" s="84"/>
      <c r="X742" s="84"/>
      <c r="Y742" s="84"/>
      <c r="Z742" s="84"/>
    </row>
    <row r="743" spans="1:26" ht="15.75" customHeight="1">
      <c r="A743" s="83"/>
      <c r="B743" s="83"/>
      <c r="C743" s="83"/>
      <c r="D743" s="84"/>
      <c r="E743" s="84"/>
      <c r="F743" s="84"/>
      <c r="G743" s="83"/>
      <c r="H743" s="84"/>
      <c r="I743" s="84"/>
      <c r="J743" s="84"/>
      <c r="K743" s="84"/>
      <c r="L743" s="84"/>
      <c r="M743" s="84"/>
      <c r="N743" s="84"/>
      <c r="O743" s="84"/>
      <c r="P743" s="85"/>
      <c r="Q743" s="75"/>
      <c r="R743" s="75"/>
      <c r="S743" s="75"/>
      <c r="T743" s="75"/>
      <c r="U743" s="89"/>
      <c r="V743" s="84"/>
      <c r="W743" s="84"/>
      <c r="X743" s="84"/>
      <c r="Y743" s="84"/>
      <c r="Z743" s="84"/>
    </row>
    <row r="744" spans="1:26" ht="15.75" customHeight="1">
      <c r="A744" s="83"/>
      <c r="B744" s="83"/>
      <c r="C744" s="83"/>
      <c r="D744" s="84"/>
      <c r="E744" s="84"/>
      <c r="F744" s="84"/>
      <c r="G744" s="83"/>
      <c r="H744" s="84"/>
      <c r="I744" s="84"/>
      <c r="J744" s="84"/>
      <c r="K744" s="84"/>
      <c r="L744" s="84"/>
      <c r="M744" s="84"/>
      <c r="N744" s="84"/>
      <c r="O744" s="84"/>
      <c r="P744" s="85"/>
      <c r="Q744" s="75"/>
      <c r="R744" s="75"/>
      <c r="S744" s="75"/>
      <c r="T744" s="75"/>
      <c r="U744" s="89"/>
      <c r="V744" s="84"/>
      <c r="W744" s="84"/>
      <c r="X744" s="84"/>
      <c r="Y744" s="84"/>
      <c r="Z744" s="84"/>
    </row>
    <row r="745" spans="1:26" ht="15.75" customHeight="1">
      <c r="A745" s="83"/>
      <c r="B745" s="83"/>
      <c r="C745" s="83"/>
      <c r="D745" s="84"/>
      <c r="E745" s="84"/>
      <c r="F745" s="84"/>
      <c r="G745" s="83"/>
      <c r="H745" s="84"/>
      <c r="I745" s="84"/>
      <c r="J745" s="84"/>
      <c r="K745" s="84"/>
      <c r="L745" s="84"/>
      <c r="M745" s="84"/>
      <c r="N745" s="84"/>
      <c r="O745" s="84"/>
      <c r="P745" s="85"/>
      <c r="Q745" s="75"/>
      <c r="R745" s="75"/>
      <c r="S745" s="75"/>
      <c r="T745" s="75"/>
      <c r="U745" s="89"/>
      <c r="V745" s="84"/>
      <c r="W745" s="84"/>
      <c r="X745" s="84"/>
      <c r="Y745" s="84"/>
      <c r="Z745" s="84"/>
    </row>
    <row r="746" spans="1:26" ht="15.75" customHeight="1">
      <c r="A746" s="83"/>
      <c r="B746" s="83"/>
      <c r="C746" s="83"/>
      <c r="D746" s="84"/>
      <c r="E746" s="84"/>
      <c r="F746" s="84"/>
      <c r="G746" s="83"/>
      <c r="H746" s="84"/>
      <c r="I746" s="84"/>
      <c r="J746" s="84"/>
      <c r="K746" s="84"/>
      <c r="L746" s="84"/>
      <c r="M746" s="84"/>
      <c r="N746" s="84"/>
      <c r="O746" s="84"/>
      <c r="P746" s="85"/>
      <c r="Q746" s="75"/>
      <c r="R746" s="75"/>
      <c r="S746" s="75"/>
      <c r="T746" s="75"/>
      <c r="U746" s="89"/>
      <c r="V746" s="84"/>
      <c r="W746" s="84"/>
      <c r="X746" s="84"/>
      <c r="Y746" s="84"/>
      <c r="Z746" s="84"/>
    </row>
    <row r="747" spans="1:26" ht="15.75" customHeight="1">
      <c r="A747" s="83"/>
      <c r="B747" s="83"/>
      <c r="C747" s="83"/>
      <c r="D747" s="84"/>
      <c r="E747" s="84"/>
      <c r="F747" s="84"/>
      <c r="G747" s="83"/>
      <c r="H747" s="84"/>
      <c r="I747" s="84"/>
      <c r="J747" s="84"/>
      <c r="K747" s="84"/>
      <c r="L747" s="84"/>
      <c r="M747" s="84"/>
      <c r="N747" s="84"/>
      <c r="O747" s="84"/>
      <c r="P747" s="85"/>
      <c r="Q747" s="75"/>
      <c r="R747" s="75"/>
      <c r="S747" s="75"/>
      <c r="T747" s="75"/>
      <c r="U747" s="89"/>
      <c r="V747" s="84"/>
      <c r="W747" s="84"/>
      <c r="X747" s="84"/>
      <c r="Y747" s="84"/>
      <c r="Z747" s="84"/>
    </row>
    <row r="748" spans="1:26" ht="15.75" customHeight="1">
      <c r="A748" s="83"/>
      <c r="B748" s="83"/>
      <c r="C748" s="83"/>
      <c r="D748" s="84"/>
      <c r="E748" s="84"/>
      <c r="F748" s="84"/>
      <c r="G748" s="83"/>
      <c r="H748" s="84"/>
      <c r="I748" s="84"/>
      <c r="J748" s="84"/>
      <c r="K748" s="84"/>
      <c r="L748" s="84"/>
      <c r="M748" s="84"/>
      <c r="N748" s="84"/>
      <c r="O748" s="84"/>
      <c r="P748" s="85"/>
      <c r="Q748" s="75"/>
      <c r="R748" s="75"/>
      <c r="S748" s="75"/>
      <c r="T748" s="75"/>
      <c r="U748" s="89"/>
      <c r="V748" s="84"/>
      <c r="W748" s="84"/>
      <c r="X748" s="84"/>
      <c r="Y748" s="84"/>
      <c r="Z748" s="84"/>
    </row>
    <row r="749" spans="1:26" ht="15.75" customHeight="1">
      <c r="A749" s="83"/>
      <c r="B749" s="83"/>
      <c r="C749" s="83"/>
      <c r="D749" s="84"/>
      <c r="E749" s="84"/>
      <c r="F749" s="84"/>
      <c r="G749" s="83"/>
      <c r="H749" s="84"/>
      <c r="I749" s="84"/>
      <c r="J749" s="84"/>
      <c r="K749" s="84"/>
      <c r="L749" s="84"/>
      <c r="M749" s="84"/>
      <c r="N749" s="84"/>
      <c r="O749" s="84"/>
      <c r="P749" s="85"/>
      <c r="Q749" s="75"/>
      <c r="R749" s="75"/>
      <c r="S749" s="75"/>
      <c r="T749" s="75"/>
      <c r="U749" s="89"/>
      <c r="V749" s="84"/>
      <c r="W749" s="84"/>
      <c r="X749" s="84"/>
      <c r="Y749" s="84"/>
      <c r="Z749" s="84"/>
    </row>
    <row r="750" spans="1:26" ht="15.75" customHeight="1">
      <c r="A750" s="83"/>
      <c r="B750" s="83"/>
      <c r="C750" s="83"/>
      <c r="D750" s="84"/>
      <c r="E750" s="84"/>
      <c r="F750" s="84"/>
      <c r="G750" s="83"/>
      <c r="H750" s="84"/>
      <c r="I750" s="84"/>
      <c r="J750" s="84"/>
      <c r="K750" s="84"/>
      <c r="L750" s="84"/>
      <c r="M750" s="84"/>
      <c r="N750" s="84"/>
      <c r="O750" s="84"/>
      <c r="P750" s="85"/>
      <c r="Q750" s="75"/>
      <c r="R750" s="75"/>
      <c r="S750" s="75"/>
      <c r="T750" s="75"/>
      <c r="U750" s="89"/>
      <c r="V750" s="84"/>
      <c r="W750" s="84"/>
      <c r="X750" s="84"/>
      <c r="Y750" s="84"/>
      <c r="Z750" s="84"/>
    </row>
    <row r="751" spans="1:26" ht="15.75" customHeight="1">
      <c r="A751" s="83"/>
      <c r="B751" s="83"/>
      <c r="C751" s="83"/>
      <c r="D751" s="84"/>
      <c r="E751" s="84"/>
      <c r="F751" s="84"/>
      <c r="G751" s="83"/>
      <c r="H751" s="84"/>
      <c r="I751" s="84"/>
      <c r="J751" s="84"/>
      <c r="K751" s="84"/>
      <c r="L751" s="84"/>
      <c r="M751" s="84"/>
      <c r="N751" s="84"/>
      <c r="O751" s="84"/>
      <c r="P751" s="85"/>
      <c r="Q751" s="75"/>
      <c r="R751" s="75"/>
      <c r="S751" s="75"/>
      <c r="T751" s="75"/>
      <c r="U751" s="89"/>
      <c r="V751" s="84"/>
      <c r="W751" s="84"/>
      <c r="X751" s="84"/>
      <c r="Y751" s="84"/>
      <c r="Z751" s="84"/>
    </row>
    <row r="752" spans="1:26" ht="15.75" customHeight="1">
      <c r="A752" s="83"/>
      <c r="B752" s="83"/>
      <c r="C752" s="83"/>
      <c r="D752" s="84"/>
      <c r="E752" s="84"/>
      <c r="F752" s="84"/>
      <c r="G752" s="83"/>
      <c r="H752" s="84"/>
      <c r="I752" s="84"/>
      <c r="J752" s="84"/>
      <c r="K752" s="84"/>
      <c r="L752" s="84"/>
      <c r="M752" s="84"/>
      <c r="N752" s="84"/>
      <c r="O752" s="84"/>
      <c r="P752" s="85"/>
      <c r="Q752" s="75"/>
      <c r="R752" s="75"/>
      <c r="S752" s="75"/>
      <c r="T752" s="75"/>
      <c r="U752" s="89"/>
      <c r="V752" s="84"/>
      <c r="W752" s="84"/>
      <c r="X752" s="84"/>
      <c r="Y752" s="84"/>
      <c r="Z752" s="84"/>
    </row>
    <row r="753" spans="1:26" ht="15.75" customHeight="1">
      <c r="A753" s="83"/>
      <c r="B753" s="83"/>
      <c r="C753" s="83"/>
      <c r="D753" s="84"/>
      <c r="E753" s="84"/>
      <c r="F753" s="84"/>
      <c r="G753" s="83"/>
      <c r="H753" s="84"/>
      <c r="I753" s="84"/>
      <c r="J753" s="84"/>
      <c r="K753" s="84"/>
      <c r="L753" s="84"/>
      <c r="M753" s="84"/>
      <c r="N753" s="84"/>
      <c r="O753" s="84"/>
      <c r="P753" s="85"/>
      <c r="Q753" s="75"/>
      <c r="R753" s="75"/>
      <c r="S753" s="75"/>
      <c r="T753" s="75"/>
      <c r="U753" s="89"/>
      <c r="V753" s="84"/>
      <c r="W753" s="84"/>
      <c r="X753" s="84"/>
      <c r="Y753" s="84"/>
      <c r="Z753" s="84"/>
    </row>
    <row r="754" spans="1:26" ht="15.75" customHeight="1">
      <c r="A754" s="83"/>
      <c r="B754" s="83"/>
      <c r="C754" s="83"/>
      <c r="D754" s="84"/>
      <c r="E754" s="84"/>
      <c r="F754" s="84"/>
      <c r="G754" s="83"/>
      <c r="H754" s="84"/>
      <c r="I754" s="84"/>
      <c r="J754" s="84"/>
      <c r="K754" s="84"/>
      <c r="L754" s="84"/>
      <c r="M754" s="84"/>
      <c r="N754" s="84"/>
      <c r="O754" s="84"/>
      <c r="P754" s="85"/>
      <c r="Q754" s="75"/>
      <c r="R754" s="75"/>
      <c r="S754" s="75"/>
      <c r="T754" s="75"/>
      <c r="U754" s="89"/>
      <c r="V754" s="84"/>
      <c r="W754" s="84"/>
      <c r="X754" s="84"/>
      <c r="Y754" s="84"/>
      <c r="Z754" s="84"/>
    </row>
    <row r="755" spans="1:26" ht="15.75" customHeight="1">
      <c r="A755" s="83"/>
      <c r="B755" s="83"/>
      <c r="C755" s="83"/>
      <c r="D755" s="84"/>
      <c r="E755" s="84"/>
      <c r="F755" s="84"/>
      <c r="G755" s="83"/>
      <c r="H755" s="84"/>
      <c r="I755" s="84"/>
      <c r="J755" s="84"/>
      <c r="K755" s="84"/>
      <c r="L755" s="84"/>
      <c r="M755" s="84"/>
      <c r="N755" s="84"/>
      <c r="O755" s="84"/>
      <c r="P755" s="85"/>
      <c r="Q755" s="75"/>
      <c r="R755" s="75"/>
      <c r="S755" s="75"/>
      <c r="T755" s="75"/>
      <c r="U755" s="89"/>
      <c r="V755" s="84"/>
      <c r="W755" s="84"/>
      <c r="X755" s="84"/>
      <c r="Y755" s="84"/>
      <c r="Z755" s="84"/>
    </row>
    <row r="756" spans="1:26" ht="15.75" customHeight="1">
      <c r="A756" s="83"/>
      <c r="B756" s="83"/>
      <c r="C756" s="83"/>
      <c r="D756" s="84"/>
      <c r="E756" s="84"/>
      <c r="F756" s="84"/>
      <c r="G756" s="83"/>
      <c r="H756" s="84"/>
      <c r="I756" s="84"/>
      <c r="J756" s="84"/>
      <c r="K756" s="84"/>
      <c r="L756" s="84"/>
      <c r="M756" s="84"/>
      <c r="N756" s="84"/>
      <c r="O756" s="84"/>
      <c r="P756" s="85"/>
      <c r="Q756" s="75"/>
      <c r="R756" s="75"/>
      <c r="S756" s="75"/>
      <c r="T756" s="75"/>
      <c r="U756" s="89"/>
      <c r="V756" s="84"/>
      <c r="W756" s="84"/>
      <c r="X756" s="84"/>
      <c r="Y756" s="84"/>
      <c r="Z756" s="84"/>
    </row>
    <row r="757" spans="1:26" ht="15.75" customHeight="1">
      <c r="A757" s="83"/>
      <c r="B757" s="83"/>
      <c r="C757" s="83"/>
      <c r="D757" s="84"/>
      <c r="E757" s="84"/>
      <c r="F757" s="84"/>
      <c r="G757" s="83"/>
      <c r="H757" s="84"/>
      <c r="I757" s="84"/>
      <c r="J757" s="84"/>
      <c r="K757" s="84"/>
      <c r="L757" s="84"/>
      <c r="M757" s="84"/>
      <c r="N757" s="84"/>
      <c r="O757" s="84"/>
      <c r="P757" s="85"/>
      <c r="Q757" s="75"/>
      <c r="R757" s="75"/>
      <c r="S757" s="75"/>
      <c r="T757" s="75"/>
      <c r="U757" s="89"/>
      <c r="V757" s="84"/>
      <c r="W757" s="84"/>
      <c r="X757" s="84"/>
      <c r="Y757" s="84"/>
      <c r="Z757" s="84"/>
    </row>
    <row r="758" spans="1:26" ht="15.75" customHeight="1">
      <c r="A758" s="83"/>
      <c r="B758" s="83"/>
      <c r="C758" s="83"/>
      <c r="D758" s="84"/>
      <c r="E758" s="84"/>
      <c r="F758" s="84"/>
      <c r="G758" s="83"/>
      <c r="H758" s="84"/>
      <c r="I758" s="84"/>
      <c r="J758" s="84"/>
      <c r="K758" s="84"/>
      <c r="L758" s="84"/>
      <c r="M758" s="84"/>
      <c r="N758" s="84"/>
      <c r="O758" s="84"/>
      <c r="P758" s="85"/>
      <c r="Q758" s="75"/>
      <c r="R758" s="75"/>
      <c r="S758" s="75"/>
      <c r="T758" s="75"/>
      <c r="U758" s="89"/>
      <c r="V758" s="84"/>
      <c r="W758" s="84"/>
      <c r="X758" s="84"/>
      <c r="Y758" s="84"/>
      <c r="Z758" s="84"/>
    </row>
    <row r="759" spans="1:26" ht="15.75" customHeight="1">
      <c r="A759" s="83"/>
      <c r="B759" s="83"/>
      <c r="C759" s="83"/>
      <c r="D759" s="84"/>
      <c r="E759" s="84"/>
      <c r="F759" s="84"/>
      <c r="G759" s="83"/>
      <c r="H759" s="84"/>
      <c r="I759" s="84"/>
      <c r="J759" s="84"/>
      <c r="K759" s="84"/>
      <c r="L759" s="84"/>
      <c r="M759" s="84"/>
      <c r="N759" s="84"/>
      <c r="O759" s="84"/>
      <c r="P759" s="85"/>
      <c r="Q759" s="75"/>
      <c r="R759" s="75"/>
      <c r="S759" s="75"/>
      <c r="T759" s="75"/>
      <c r="U759" s="89"/>
      <c r="V759" s="84"/>
      <c r="W759" s="84"/>
      <c r="X759" s="84"/>
      <c r="Y759" s="84"/>
      <c r="Z759" s="84"/>
    </row>
    <row r="760" spans="1:26" ht="15.75" customHeight="1">
      <c r="A760" s="83"/>
      <c r="B760" s="83"/>
      <c r="C760" s="83"/>
      <c r="D760" s="84"/>
      <c r="E760" s="84"/>
      <c r="F760" s="84"/>
      <c r="G760" s="83"/>
      <c r="H760" s="84"/>
      <c r="I760" s="84"/>
      <c r="J760" s="84"/>
      <c r="K760" s="84"/>
      <c r="L760" s="84"/>
      <c r="M760" s="84"/>
      <c r="N760" s="84"/>
      <c r="O760" s="84"/>
      <c r="P760" s="85"/>
      <c r="Q760" s="75"/>
      <c r="R760" s="75"/>
      <c r="S760" s="75"/>
      <c r="T760" s="75"/>
      <c r="U760" s="89"/>
      <c r="V760" s="84"/>
      <c r="W760" s="84"/>
      <c r="X760" s="84"/>
      <c r="Y760" s="84"/>
      <c r="Z760" s="84"/>
    </row>
    <row r="761" spans="1:26" ht="15.75" customHeight="1">
      <c r="A761" s="83"/>
      <c r="B761" s="83"/>
      <c r="C761" s="83"/>
      <c r="D761" s="84"/>
      <c r="E761" s="84"/>
      <c r="F761" s="84"/>
      <c r="G761" s="83"/>
      <c r="H761" s="84"/>
      <c r="I761" s="84"/>
      <c r="J761" s="84"/>
      <c r="K761" s="84"/>
      <c r="L761" s="84"/>
      <c r="M761" s="84"/>
      <c r="N761" s="84"/>
      <c r="O761" s="84"/>
      <c r="P761" s="85"/>
      <c r="Q761" s="75"/>
      <c r="R761" s="75"/>
      <c r="S761" s="75"/>
      <c r="T761" s="75"/>
      <c r="U761" s="89"/>
      <c r="V761" s="84"/>
      <c r="W761" s="84"/>
      <c r="X761" s="84"/>
      <c r="Y761" s="84"/>
      <c r="Z761" s="84"/>
    </row>
    <row r="762" spans="1:26" ht="15.75" customHeight="1">
      <c r="A762" s="83"/>
      <c r="B762" s="83"/>
      <c r="C762" s="83"/>
      <c r="D762" s="84"/>
      <c r="E762" s="84"/>
      <c r="F762" s="84"/>
      <c r="G762" s="83"/>
      <c r="H762" s="84"/>
      <c r="I762" s="84"/>
      <c r="J762" s="84"/>
      <c r="K762" s="84"/>
      <c r="L762" s="84"/>
      <c r="M762" s="84"/>
      <c r="N762" s="84"/>
      <c r="O762" s="84"/>
      <c r="P762" s="85"/>
      <c r="Q762" s="75"/>
      <c r="R762" s="75"/>
      <c r="S762" s="75"/>
      <c r="T762" s="75"/>
      <c r="U762" s="89"/>
      <c r="V762" s="84"/>
      <c r="W762" s="84"/>
      <c r="X762" s="84"/>
      <c r="Y762" s="84"/>
      <c r="Z762" s="84"/>
    </row>
    <row r="763" spans="1:26" ht="15.75" customHeight="1">
      <c r="A763" s="83"/>
      <c r="B763" s="83"/>
      <c r="C763" s="83"/>
      <c r="D763" s="84"/>
      <c r="E763" s="84"/>
      <c r="F763" s="84"/>
      <c r="G763" s="83"/>
      <c r="H763" s="84"/>
      <c r="I763" s="84"/>
      <c r="J763" s="84"/>
      <c r="K763" s="84"/>
      <c r="L763" s="84"/>
      <c r="M763" s="84"/>
      <c r="N763" s="84"/>
      <c r="O763" s="84"/>
      <c r="P763" s="85"/>
      <c r="Q763" s="75"/>
      <c r="R763" s="75"/>
      <c r="S763" s="75"/>
      <c r="T763" s="75"/>
      <c r="U763" s="89"/>
      <c r="V763" s="84"/>
      <c r="W763" s="84"/>
      <c r="X763" s="84"/>
      <c r="Y763" s="84"/>
      <c r="Z763" s="84"/>
    </row>
    <row r="764" spans="1:26" ht="15.75" customHeight="1">
      <c r="A764" s="83"/>
      <c r="B764" s="83"/>
      <c r="C764" s="83"/>
      <c r="D764" s="84"/>
      <c r="E764" s="84"/>
      <c r="F764" s="84"/>
      <c r="G764" s="83"/>
      <c r="H764" s="84"/>
      <c r="I764" s="84"/>
      <c r="J764" s="84"/>
      <c r="K764" s="84"/>
      <c r="L764" s="84"/>
      <c r="M764" s="84"/>
      <c r="N764" s="84"/>
      <c r="O764" s="84"/>
      <c r="P764" s="85"/>
      <c r="Q764" s="75"/>
      <c r="R764" s="75"/>
      <c r="S764" s="75"/>
      <c r="T764" s="75"/>
      <c r="U764" s="89"/>
      <c r="V764" s="84"/>
      <c r="W764" s="84"/>
      <c r="X764" s="84"/>
      <c r="Y764" s="84"/>
      <c r="Z764" s="84"/>
    </row>
    <row r="765" spans="1:26" ht="15.75" customHeight="1">
      <c r="A765" s="83"/>
      <c r="B765" s="83"/>
      <c r="C765" s="83"/>
      <c r="D765" s="84"/>
      <c r="E765" s="84"/>
      <c r="F765" s="84"/>
      <c r="G765" s="83"/>
      <c r="H765" s="84"/>
      <c r="I765" s="84"/>
      <c r="J765" s="84"/>
      <c r="K765" s="84"/>
      <c r="L765" s="84"/>
      <c r="M765" s="84"/>
      <c r="N765" s="84"/>
      <c r="O765" s="84"/>
      <c r="P765" s="85"/>
      <c r="Q765" s="75"/>
      <c r="R765" s="75"/>
      <c r="S765" s="75"/>
      <c r="T765" s="75"/>
      <c r="U765" s="89"/>
      <c r="V765" s="84"/>
      <c r="W765" s="84"/>
      <c r="X765" s="84"/>
      <c r="Y765" s="84"/>
      <c r="Z765" s="84"/>
    </row>
    <row r="766" spans="1:26" ht="15.75" customHeight="1">
      <c r="A766" s="83"/>
      <c r="B766" s="83"/>
      <c r="C766" s="83"/>
      <c r="D766" s="84"/>
      <c r="E766" s="84"/>
      <c r="F766" s="84"/>
      <c r="G766" s="83"/>
      <c r="H766" s="84"/>
      <c r="I766" s="84"/>
      <c r="J766" s="84"/>
      <c r="K766" s="84"/>
      <c r="L766" s="84"/>
      <c r="M766" s="84"/>
      <c r="N766" s="84"/>
      <c r="O766" s="84"/>
      <c r="P766" s="85"/>
      <c r="Q766" s="75"/>
      <c r="R766" s="75"/>
      <c r="S766" s="75"/>
      <c r="T766" s="75"/>
      <c r="U766" s="89"/>
      <c r="V766" s="84"/>
      <c r="W766" s="84"/>
      <c r="X766" s="84"/>
      <c r="Y766" s="84"/>
      <c r="Z766" s="84"/>
    </row>
    <row r="767" spans="1:26" ht="15.75" customHeight="1">
      <c r="A767" s="83"/>
      <c r="B767" s="83"/>
      <c r="C767" s="83"/>
      <c r="D767" s="84"/>
      <c r="E767" s="84"/>
      <c r="F767" s="84"/>
      <c r="G767" s="83"/>
      <c r="H767" s="84"/>
      <c r="I767" s="84"/>
      <c r="J767" s="84"/>
      <c r="K767" s="84"/>
      <c r="L767" s="84"/>
      <c r="M767" s="84"/>
      <c r="N767" s="84"/>
      <c r="O767" s="84"/>
      <c r="P767" s="85"/>
      <c r="Q767" s="75"/>
      <c r="R767" s="75"/>
      <c r="S767" s="75"/>
      <c r="T767" s="75"/>
      <c r="U767" s="89"/>
      <c r="V767" s="84"/>
      <c r="W767" s="84"/>
      <c r="X767" s="84"/>
      <c r="Y767" s="84"/>
      <c r="Z767" s="84"/>
    </row>
    <row r="768" spans="1:26" ht="15.75" customHeight="1">
      <c r="A768" s="83"/>
      <c r="B768" s="83"/>
      <c r="C768" s="83"/>
      <c r="D768" s="84"/>
      <c r="E768" s="84"/>
      <c r="F768" s="84"/>
      <c r="G768" s="83"/>
      <c r="H768" s="84"/>
      <c r="I768" s="84"/>
      <c r="J768" s="84"/>
      <c r="K768" s="84"/>
      <c r="L768" s="84"/>
      <c r="M768" s="84"/>
      <c r="N768" s="84"/>
      <c r="O768" s="84"/>
      <c r="P768" s="85"/>
      <c r="Q768" s="75"/>
      <c r="R768" s="75"/>
      <c r="S768" s="75"/>
      <c r="T768" s="75"/>
      <c r="U768" s="89"/>
      <c r="V768" s="84"/>
      <c r="W768" s="84"/>
      <c r="X768" s="84"/>
      <c r="Y768" s="84"/>
      <c r="Z768" s="84"/>
    </row>
    <row r="769" spans="1:26" ht="15.75" customHeight="1">
      <c r="A769" s="83"/>
      <c r="B769" s="83"/>
      <c r="C769" s="83"/>
      <c r="D769" s="84"/>
      <c r="E769" s="84"/>
      <c r="F769" s="84"/>
      <c r="G769" s="83"/>
      <c r="H769" s="84"/>
      <c r="I769" s="84"/>
      <c r="J769" s="84"/>
      <c r="K769" s="84"/>
      <c r="L769" s="84"/>
      <c r="M769" s="84"/>
      <c r="N769" s="84"/>
      <c r="O769" s="84"/>
      <c r="P769" s="85"/>
      <c r="Q769" s="75"/>
      <c r="R769" s="75"/>
      <c r="S769" s="75"/>
      <c r="T769" s="75"/>
      <c r="U769" s="89"/>
      <c r="V769" s="84"/>
      <c r="W769" s="84"/>
      <c r="X769" s="84"/>
      <c r="Y769" s="84"/>
      <c r="Z769" s="84"/>
    </row>
    <row r="770" spans="1:26" ht="15.75" customHeight="1">
      <c r="A770" s="83"/>
      <c r="B770" s="83"/>
      <c r="C770" s="83"/>
      <c r="D770" s="84"/>
      <c r="E770" s="84"/>
      <c r="F770" s="84"/>
      <c r="G770" s="83"/>
      <c r="H770" s="84"/>
      <c r="I770" s="84"/>
      <c r="J770" s="84"/>
      <c r="K770" s="84"/>
      <c r="L770" s="84"/>
      <c r="M770" s="84"/>
      <c r="N770" s="84"/>
      <c r="O770" s="84"/>
      <c r="P770" s="85"/>
      <c r="Q770" s="75"/>
      <c r="R770" s="75"/>
      <c r="S770" s="75"/>
      <c r="T770" s="75"/>
      <c r="U770" s="89"/>
      <c r="V770" s="84"/>
      <c r="W770" s="84"/>
      <c r="X770" s="84"/>
      <c r="Y770" s="84"/>
      <c r="Z770" s="84"/>
    </row>
    <row r="771" spans="1:26" ht="15.75" customHeight="1">
      <c r="A771" s="83"/>
      <c r="B771" s="83"/>
      <c r="C771" s="83"/>
      <c r="D771" s="84"/>
      <c r="E771" s="84"/>
      <c r="F771" s="84"/>
      <c r="G771" s="83"/>
      <c r="H771" s="84"/>
      <c r="I771" s="84"/>
      <c r="J771" s="84"/>
      <c r="K771" s="84"/>
      <c r="L771" s="84"/>
      <c r="M771" s="84"/>
      <c r="N771" s="84"/>
      <c r="O771" s="84"/>
      <c r="P771" s="85"/>
      <c r="Q771" s="75"/>
      <c r="R771" s="75"/>
      <c r="S771" s="75"/>
      <c r="T771" s="75"/>
      <c r="U771" s="89"/>
      <c r="V771" s="84"/>
      <c r="W771" s="84"/>
      <c r="X771" s="84"/>
      <c r="Y771" s="84"/>
      <c r="Z771" s="84"/>
    </row>
    <row r="772" spans="1:26" ht="15.75" customHeight="1">
      <c r="A772" s="83"/>
      <c r="B772" s="83"/>
      <c r="C772" s="83"/>
      <c r="D772" s="84"/>
      <c r="E772" s="84"/>
      <c r="F772" s="84"/>
      <c r="G772" s="83"/>
      <c r="H772" s="84"/>
      <c r="I772" s="84"/>
      <c r="J772" s="84"/>
      <c r="K772" s="84"/>
      <c r="L772" s="84"/>
      <c r="M772" s="84"/>
      <c r="N772" s="84"/>
      <c r="O772" s="84"/>
      <c r="P772" s="85"/>
      <c r="Q772" s="75"/>
      <c r="R772" s="75"/>
      <c r="S772" s="75"/>
      <c r="T772" s="75"/>
      <c r="U772" s="89"/>
      <c r="V772" s="84"/>
      <c r="W772" s="84"/>
      <c r="X772" s="84"/>
      <c r="Y772" s="84"/>
      <c r="Z772" s="84"/>
    </row>
    <row r="773" spans="1:26" ht="15.75" customHeight="1">
      <c r="A773" s="83"/>
      <c r="B773" s="83"/>
      <c r="C773" s="83"/>
      <c r="D773" s="84"/>
      <c r="E773" s="84"/>
      <c r="F773" s="84"/>
      <c r="G773" s="83"/>
      <c r="H773" s="84"/>
      <c r="I773" s="84"/>
      <c r="J773" s="84"/>
      <c r="K773" s="84"/>
      <c r="L773" s="84"/>
      <c r="M773" s="84"/>
      <c r="N773" s="84"/>
      <c r="O773" s="84"/>
      <c r="P773" s="85"/>
      <c r="Q773" s="75"/>
      <c r="R773" s="75"/>
      <c r="S773" s="75"/>
      <c r="T773" s="75"/>
      <c r="U773" s="89"/>
      <c r="V773" s="84"/>
      <c r="W773" s="84"/>
      <c r="X773" s="84"/>
      <c r="Y773" s="84"/>
      <c r="Z773" s="84"/>
    </row>
    <row r="774" spans="1:26" ht="15.75" customHeight="1">
      <c r="A774" s="83"/>
      <c r="B774" s="83"/>
      <c r="C774" s="83"/>
      <c r="D774" s="84"/>
      <c r="E774" s="84"/>
      <c r="F774" s="84"/>
      <c r="G774" s="83"/>
      <c r="H774" s="84"/>
      <c r="I774" s="84"/>
      <c r="J774" s="84"/>
      <c r="K774" s="84"/>
      <c r="L774" s="84"/>
      <c r="M774" s="84"/>
      <c r="N774" s="84"/>
      <c r="O774" s="84"/>
      <c r="P774" s="85"/>
      <c r="Q774" s="75"/>
      <c r="R774" s="75"/>
      <c r="S774" s="75"/>
      <c r="T774" s="75"/>
      <c r="U774" s="89"/>
      <c r="V774" s="84"/>
      <c r="W774" s="84"/>
      <c r="X774" s="84"/>
      <c r="Y774" s="84"/>
      <c r="Z774" s="84"/>
    </row>
    <row r="775" spans="1:26" ht="15.75" customHeight="1">
      <c r="A775" s="83"/>
      <c r="B775" s="83"/>
      <c r="C775" s="83"/>
      <c r="D775" s="84"/>
      <c r="E775" s="84"/>
      <c r="F775" s="84"/>
      <c r="G775" s="83"/>
      <c r="H775" s="84"/>
      <c r="I775" s="84"/>
      <c r="J775" s="84"/>
      <c r="K775" s="84"/>
      <c r="L775" s="84"/>
      <c r="M775" s="84"/>
      <c r="N775" s="84"/>
      <c r="O775" s="84"/>
      <c r="P775" s="85"/>
      <c r="Q775" s="75"/>
      <c r="R775" s="75"/>
      <c r="S775" s="75"/>
      <c r="T775" s="75"/>
      <c r="U775" s="89"/>
      <c r="V775" s="84"/>
      <c r="W775" s="84"/>
      <c r="X775" s="84"/>
      <c r="Y775" s="84"/>
      <c r="Z775" s="84"/>
    </row>
    <row r="776" spans="1:26" ht="15.75" customHeight="1">
      <c r="A776" s="83"/>
      <c r="B776" s="83"/>
      <c r="C776" s="83"/>
      <c r="D776" s="84"/>
      <c r="E776" s="84"/>
      <c r="F776" s="84"/>
      <c r="G776" s="83"/>
      <c r="H776" s="84"/>
      <c r="I776" s="84"/>
      <c r="J776" s="84"/>
      <c r="K776" s="84"/>
      <c r="L776" s="84"/>
      <c r="M776" s="84"/>
      <c r="N776" s="84"/>
      <c r="O776" s="84"/>
      <c r="P776" s="85"/>
      <c r="Q776" s="75"/>
      <c r="R776" s="75"/>
      <c r="S776" s="75"/>
      <c r="T776" s="75"/>
      <c r="U776" s="89"/>
      <c r="V776" s="84"/>
      <c r="W776" s="84"/>
      <c r="X776" s="84"/>
      <c r="Y776" s="84"/>
      <c r="Z776" s="84"/>
    </row>
    <row r="777" spans="1:26" ht="15.75" customHeight="1">
      <c r="A777" s="83"/>
      <c r="B777" s="83"/>
      <c r="C777" s="83"/>
      <c r="D777" s="84"/>
      <c r="E777" s="84"/>
      <c r="F777" s="84"/>
      <c r="G777" s="83"/>
      <c r="H777" s="84"/>
      <c r="I777" s="84"/>
      <c r="J777" s="84"/>
      <c r="K777" s="84"/>
      <c r="L777" s="84"/>
      <c r="M777" s="84"/>
      <c r="N777" s="84"/>
      <c r="O777" s="84"/>
      <c r="P777" s="85"/>
      <c r="Q777" s="75"/>
      <c r="R777" s="75"/>
      <c r="S777" s="75"/>
      <c r="T777" s="75"/>
      <c r="U777" s="89"/>
      <c r="V777" s="84"/>
      <c r="W777" s="84"/>
      <c r="X777" s="84"/>
      <c r="Y777" s="84"/>
      <c r="Z777" s="84"/>
    </row>
    <row r="778" spans="1:26" ht="15.75" customHeight="1">
      <c r="A778" s="83"/>
      <c r="B778" s="83"/>
      <c r="C778" s="83"/>
      <c r="D778" s="84"/>
      <c r="E778" s="84"/>
      <c r="F778" s="84"/>
      <c r="G778" s="83"/>
      <c r="H778" s="84"/>
      <c r="I778" s="84"/>
      <c r="J778" s="84"/>
      <c r="K778" s="84"/>
      <c r="L778" s="84"/>
      <c r="M778" s="84"/>
      <c r="N778" s="84"/>
      <c r="O778" s="84"/>
      <c r="P778" s="85"/>
      <c r="Q778" s="75"/>
      <c r="R778" s="75"/>
      <c r="S778" s="75"/>
      <c r="T778" s="75"/>
      <c r="U778" s="89"/>
      <c r="V778" s="84"/>
      <c r="W778" s="84"/>
      <c r="X778" s="84"/>
      <c r="Y778" s="84"/>
      <c r="Z778" s="84"/>
    </row>
    <row r="779" spans="1:26" ht="15.75" customHeight="1">
      <c r="A779" s="83"/>
      <c r="B779" s="83"/>
      <c r="C779" s="83"/>
      <c r="D779" s="84"/>
      <c r="E779" s="84"/>
      <c r="F779" s="84"/>
      <c r="G779" s="83"/>
      <c r="H779" s="84"/>
      <c r="I779" s="84"/>
      <c r="J779" s="84"/>
      <c r="K779" s="84"/>
      <c r="L779" s="84"/>
      <c r="M779" s="84"/>
      <c r="N779" s="84"/>
      <c r="O779" s="84"/>
      <c r="P779" s="85"/>
      <c r="Q779" s="75"/>
      <c r="R779" s="75"/>
      <c r="S779" s="75"/>
      <c r="T779" s="75"/>
      <c r="U779" s="89"/>
      <c r="V779" s="84"/>
      <c r="W779" s="84"/>
      <c r="X779" s="84"/>
      <c r="Y779" s="84"/>
      <c r="Z779" s="84"/>
    </row>
    <row r="780" spans="1:26" ht="15.75" customHeight="1">
      <c r="A780" s="83"/>
      <c r="B780" s="83"/>
      <c r="C780" s="83"/>
      <c r="D780" s="84"/>
      <c r="E780" s="84"/>
      <c r="F780" s="84"/>
      <c r="G780" s="83"/>
      <c r="H780" s="84"/>
      <c r="I780" s="84"/>
      <c r="J780" s="84"/>
      <c r="K780" s="84"/>
      <c r="L780" s="84"/>
      <c r="M780" s="84"/>
      <c r="N780" s="84"/>
      <c r="O780" s="84"/>
      <c r="P780" s="85"/>
      <c r="Q780" s="75"/>
      <c r="R780" s="75"/>
      <c r="S780" s="75"/>
      <c r="T780" s="75"/>
      <c r="U780" s="89"/>
      <c r="V780" s="84"/>
      <c r="W780" s="84"/>
      <c r="X780" s="84"/>
      <c r="Y780" s="84"/>
      <c r="Z780" s="84"/>
    </row>
    <row r="781" spans="1:26" ht="15.75" customHeight="1">
      <c r="A781" s="83"/>
      <c r="B781" s="83"/>
      <c r="C781" s="83"/>
      <c r="D781" s="84"/>
      <c r="E781" s="84"/>
      <c r="F781" s="84"/>
      <c r="G781" s="83"/>
      <c r="H781" s="84"/>
      <c r="I781" s="84"/>
      <c r="J781" s="84"/>
      <c r="K781" s="84"/>
      <c r="L781" s="84"/>
      <c r="M781" s="84"/>
      <c r="N781" s="84"/>
      <c r="O781" s="84"/>
      <c r="P781" s="85"/>
      <c r="Q781" s="75"/>
      <c r="R781" s="75"/>
      <c r="S781" s="75"/>
      <c r="T781" s="75"/>
      <c r="U781" s="89"/>
      <c r="V781" s="84"/>
      <c r="W781" s="84"/>
      <c r="X781" s="84"/>
      <c r="Y781" s="84"/>
      <c r="Z781" s="84"/>
    </row>
    <row r="782" spans="1:26" ht="15.75" customHeight="1">
      <c r="A782" s="83"/>
      <c r="B782" s="83"/>
      <c r="C782" s="83"/>
      <c r="D782" s="84"/>
      <c r="E782" s="84"/>
      <c r="F782" s="84"/>
      <c r="G782" s="83"/>
      <c r="H782" s="84"/>
      <c r="I782" s="84"/>
      <c r="J782" s="84"/>
      <c r="K782" s="84"/>
      <c r="L782" s="84"/>
      <c r="M782" s="84"/>
      <c r="N782" s="84"/>
      <c r="O782" s="84"/>
      <c r="P782" s="85"/>
      <c r="Q782" s="75"/>
      <c r="R782" s="75"/>
      <c r="S782" s="75"/>
      <c r="T782" s="75"/>
      <c r="U782" s="89"/>
      <c r="V782" s="84"/>
      <c r="W782" s="84"/>
      <c r="X782" s="84"/>
      <c r="Y782" s="84"/>
      <c r="Z782" s="84"/>
    </row>
    <row r="783" spans="1:26" ht="15.75" customHeight="1">
      <c r="A783" s="83"/>
      <c r="B783" s="83"/>
      <c r="C783" s="83"/>
      <c r="D783" s="84"/>
      <c r="E783" s="84"/>
      <c r="F783" s="84"/>
      <c r="G783" s="83"/>
      <c r="H783" s="84"/>
      <c r="I783" s="84"/>
      <c r="J783" s="84"/>
      <c r="K783" s="84"/>
      <c r="L783" s="84"/>
      <c r="M783" s="84"/>
      <c r="N783" s="84"/>
      <c r="O783" s="84"/>
      <c r="P783" s="85"/>
      <c r="Q783" s="75"/>
      <c r="R783" s="75"/>
      <c r="S783" s="75"/>
      <c r="T783" s="75"/>
      <c r="U783" s="89"/>
      <c r="V783" s="84"/>
      <c r="W783" s="84"/>
      <c r="X783" s="84"/>
      <c r="Y783" s="84"/>
      <c r="Z783" s="84"/>
    </row>
    <row r="784" spans="1:26" ht="15.75" customHeight="1">
      <c r="A784" s="83"/>
      <c r="B784" s="83"/>
      <c r="C784" s="83"/>
      <c r="D784" s="84"/>
      <c r="E784" s="84"/>
      <c r="F784" s="84"/>
      <c r="G784" s="83"/>
      <c r="H784" s="84"/>
      <c r="I784" s="84"/>
      <c r="J784" s="84"/>
      <c r="K784" s="84"/>
      <c r="L784" s="84"/>
      <c r="M784" s="84"/>
      <c r="N784" s="84"/>
      <c r="O784" s="84"/>
      <c r="P784" s="85"/>
      <c r="Q784" s="75"/>
      <c r="R784" s="75"/>
      <c r="S784" s="75"/>
      <c r="T784" s="75"/>
      <c r="U784" s="89"/>
      <c r="V784" s="84"/>
      <c r="W784" s="84"/>
      <c r="X784" s="84"/>
      <c r="Y784" s="84"/>
      <c r="Z784" s="84"/>
    </row>
    <row r="785" spans="1:26" ht="15.75" customHeight="1">
      <c r="A785" s="83"/>
      <c r="B785" s="83"/>
      <c r="C785" s="83"/>
      <c r="D785" s="84"/>
      <c r="E785" s="84"/>
      <c r="F785" s="84"/>
      <c r="G785" s="83"/>
      <c r="H785" s="84"/>
      <c r="I785" s="84"/>
      <c r="J785" s="84"/>
      <c r="K785" s="84"/>
      <c r="L785" s="84"/>
      <c r="M785" s="84"/>
      <c r="N785" s="84"/>
      <c r="O785" s="84"/>
      <c r="P785" s="85"/>
      <c r="Q785" s="75"/>
      <c r="R785" s="75"/>
      <c r="S785" s="75"/>
      <c r="T785" s="75"/>
      <c r="U785" s="89"/>
      <c r="V785" s="84"/>
      <c r="W785" s="84"/>
      <c r="X785" s="84"/>
      <c r="Y785" s="84"/>
      <c r="Z785" s="84"/>
    </row>
    <row r="786" spans="1:26" ht="15.75" customHeight="1">
      <c r="A786" s="83"/>
      <c r="B786" s="83"/>
      <c r="C786" s="83"/>
      <c r="D786" s="84"/>
      <c r="E786" s="84"/>
      <c r="F786" s="84"/>
      <c r="G786" s="83"/>
      <c r="H786" s="84"/>
      <c r="I786" s="84"/>
      <c r="J786" s="84"/>
      <c r="K786" s="84"/>
      <c r="L786" s="84"/>
      <c r="M786" s="84"/>
      <c r="N786" s="84"/>
      <c r="O786" s="84"/>
      <c r="P786" s="85"/>
      <c r="Q786" s="75"/>
      <c r="R786" s="75"/>
      <c r="S786" s="75"/>
      <c r="T786" s="75"/>
      <c r="U786" s="89"/>
      <c r="V786" s="84"/>
      <c r="W786" s="84"/>
      <c r="X786" s="84"/>
      <c r="Y786" s="84"/>
      <c r="Z786" s="84"/>
    </row>
    <row r="787" spans="1:26" ht="15.75" customHeight="1">
      <c r="A787" s="83"/>
      <c r="B787" s="83"/>
      <c r="C787" s="83"/>
      <c r="D787" s="84"/>
      <c r="E787" s="84"/>
      <c r="F787" s="84"/>
      <c r="G787" s="83"/>
      <c r="H787" s="84"/>
      <c r="I787" s="84"/>
      <c r="J787" s="84"/>
      <c r="K787" s="84"/>
      <c r="L787" s="84"/>
      <c r="M787" s="84"/>
      <c r="N787" s="84"/>
      <c r="O787" s="84"/>
      <c r="P787" s="85"/>
      <c r="Q787" s="75"/>
      <c r="R787" s="75"/>
      <c r="S787" s="75"/>
      <c r="T787" s="75"/>
      <c r="U787" s="89"/>
      <c r="V787" s="84"/>
      <c r="W787" s="84"/>
      <c r="X787" s="84"/>
      <c r="Y787" s="84"/>
      <c r="Z787" s="84"/>
    </row>
    <row r="788" spans="1:26" ht="15.75" customHeight="1">
      <c r="A788" s="83"/>
      <c r="B788" s="83"/>
      <c r="C788" s="83"/>
      <c r="D788" s="84"/>
      <c r="E788" s="84"/>
      <c r="F788" s="84"/>
      <c r="G788" s="83"/>
      <c r="H788" s="84"/>
      <c r="I788" s="84"/>
      <c r="J788" s="84"/>
      <c r="K788" s="84"/>
      <c r="L788" s="84"/>
      <c r="M788" s="84"/>
      <c r="N788" s="84"/>
      <c r="O788" s="84"/>
      <c r="P788" s="85"/>
      <c r="Q788" s="75"/>
      <c r="R788" s="75"/>
      <c r="S788" s="75"/>
      <c r="T788" s="75"/>
      <c r="U788" s="89"/>
      <c r="V788" s="84"/>
      <c r="W788" s="84"/>
      <c r="X788" s="84"/>
      <c r="Y788" s="84"/>
      <c r="Z788" s="84"/>
    </row>
    <row r="789" spans="1:26" ht="15.75" customHeight="1">
      <c r="A789" s="83"/>
      <c r="B789" s="83"/>
      <c r="C789" s="83"/>
      <c r="D789" s="84"/>
      <c r="E789" s="84"/>
      <c r="F789" s="84"/>
      <c r="G789" s="83"/>
      <c r="H789" s="84"/>
      <c r="I789" s="84"/>
      <c r="J789" s="84"/>
      <c r="K789" s="84"/>
      <c r="L789" s="84"/>
      <c r="M789" s="84"/>
      <c r="N789" s="84"/>
      <c r="O789" s="84"/>
      <c r="P789" s="85"/>
      <c r="Q789" s="75"/>
      <c r="R789" s="75"/>
      <c r="S789" s="75"/>
      <c r="T789" s="75"/>
      <c r="U789" s="89"/>
      <c r="V789" s="84"/>
      <c r="W789" s="84"/>
      <c r="X789" s="84"/>
      <c r="Y789" s="84"/>
      <c r="Z789" s="84"/>
    </row>
    <row r="790" spans="1:26" ht="15.75" customHeight="1">
      <c r="A790" s="83"/>
      <c r="B790" s="83"/>
      <c r="C790" s="83"/>
      <c r="D790" s="84"/>
      <c r="E790" s="84"/>
      <c r="F790" s="84"/>
      <c r="G790" s="83"/>
      <c r="H790" s="84"/>
      <c r="I790" s="84"/>
      <c r="J790" s="84"/>
      <c r="K790" s="84"/>
      <c r="L790" s="84"/>
      <c r="M790" s="84"/>
      <c r="N790" s="84"/>
      <c r="O790" s="84"/>
      <c r="P790" s="85"/>
      <c r="Q790" s="75"/>
      <c r="R790" s="75"/>
      <c r="S790" s="75"/>
      <c r="T790" s="75"/>
      <c r="U790" s="89"/>
      <c r="V790" s="84"/>
      <c r="W790" s="84"/>
      <c r="X790" s="84"/>
      <c r="Y790" s="84"/>
      <c r="Z790" s="84"/>
    </row>
    <row r="791" spans="1:26" ht="15.75" customHeight="1">
      <c r="A791" s="83"/>
      <c r="B791" s="83"/>
      <c r="C791" s="83"/>
      <c r="D791" s="84"/>
      <c r="E791" s="84"/>
      <c r="F791" s="84"/>
      <c r="G791" s="83"/>
      <c r="H791" s="84"/>
      <c r="I791" s="84"/>
      <c r="J791" s="84"/>
      <c r="K791" s="84"/>
      <c r="L791" s="84"/>
      <c r="M791" s="84"/>
      <c r="N791" s="84"/>
      <c r="O791" s="84"/>
      <c r="P791" s="85"/>
      <c r="Q791" s="75"/>
      <c r="R791" s="75"/>
      <c r="S791" s="75"/>
      <c r="T791" s="75"/>
      <c r="U791" s="89"/>
      <c r="V791" s="84"/>
      <c r="W791" s="84"/>
      <c r="X791" s="84"/>
      <c r="Y791" s="84"/>
      <c r="Z791" s="84"/>
    </row>
    <row r="792" spans="1:26" ht="15.75" customHeight="1">
      <c r="A792" s="83"/>
      <c r="B792" s="83"/>
      <c r="C792" s="83"/>
      <c r="D792" s="84"/>
      <c r="E792" s="84"/>
      <c r="F792" s="84"/>
      <c r="G792" s="83"/>
      <c r="H792" s="84"/>
      <c r="I792" s="84"/>
      <c r="J792" s="84"/>
      <c r="K792" s="84"/>
      <c r="L792" s="84"/>
      <c r="M792" s="84"/>
      <c r="N792" s="84"/>
      <c r="O792" s="84"/>
      <c r="P792" s="85"/>
      <c r="Q792" s="75"/>
      <c r="R792" s="75"/>
      <c r="S792" s="75"/>
      <c r="T792" s="75"/>
      <c r="U792" s="89"/>
      <c r="V792" s="84"/>
      <c r="W792" s="84"/>
      <c r="X792" s="84"/>
      <c r="Y792" s="84"/>
      <c r="Z792" s="84"/>
    </row>
    <row r="793" spans="1:26" ht="15.75" customHeight="1">
      <c r="A793" s="83"/>
      <c r="B793" s="83"/>
      <c r="C793" s="83"/>
      <c r="D793" s="84"/>
      <c r="E793" s="84"/>
      <c r="F793" s="84"/>
      <c r="G793" s="83"/>
      <c r="H793" s="84"/>
      <c r="I793" s="84"/>
      <c r="J793" s="84"/>
      <c r="K793" s="84"/>
      <c r="L793" s="84"/>
      <c r="M793" s="84"/>
      <c r="N793" s="84"/>
      <c r="O793" s="84"/>
      <c r="P793" s="85"/>
      <c r="Q793" s="75"/>
      <c r="R793" s="75"/>
      <c r="S793" s="75"/>
      <c r="T793" s="75"/>
      <c r="U793" s="89"/>
      <c r="V793" s="84"/>
      <c r="W793" s="84"/>
      <c r="X793" s="84"/>
      <c r="Y793" s="84"/>
      <c r="Z793" s="84"/>
    </row>
    <row r="794" spans="1:26" ht="15.75" customHeight="1">
      <c r="A794" s="83"/>
      <c r="B794" s="83"/>
      <c r="C794" s="83"/>
      <c r="D794" s="84"/>
      <c r="E794" s="84"/>
      <c r="F794" s="84"/>
      <c r="G794" s="83"/>
      <c r="H794" s="84"/>
      <c r="I794" s="84"/>
      <c r="J794" s="84"/>
      <c r="K794" s="84"/>
      <c r="L794" s="84"/>
      <c r="M794" s="84"/>
      <c r="N794" s="84"/>
      <c r="O794" s="84"/>
      <c r="P794" s="85"/>
      <c r="Q794" s="75"/>
      <c r="R794" s="75"/>
      <c r="S794" s="75"/>
      <c r="T794" s="75"/>
      <c r="U794" s="89"/>
      <c r="V794" s="84"/>
      <c r="W794" s="84"/>
      <c r="X794" s="84"/>
      <c r="Y794" s="84"/>
      <c r="Z794" s="84"/>
    </row>
    <row r="795" spans="1:26" ht="15.75" customHeight="1">
      <c r="A795" s="83"/>
      <c r="B795" s="83"/>
      <c r="C795" s="83"/>
      <c r="D795" s="84"/>
      <c r="E795" s="84"/>
      <c r="F795" s="84"/>
      <c r="G795" s="83"/>
      <c r="H795" s="84"/>
      <c r="I795" s="84"/>
      <c r="J795" s="84"/>
      <c r="K795" s="84"/>
      <c r="L795" s="84"/>
      <c r="M795" s="84"/>
      <c r="N795" s="84"/>
      <c r="O795" s="84"/>
      <c r="P795" s="85"/>
      <c r="Q795" s="75"/>
      <c r="R795" s="75"/>
      <c r="S795" s="75"/>
      <c r="T795" s="75"/>
      <c r="U795" s="89"/>
      <c r="V795" s="84"/>
      <c r="W795" s="84"/>
      <c r="X795" s="84"/>
      <c r="Y795" s="84"/>
      <c r="Z795" s="84"/>
    </row>
    <row r="796" spans="1:26" ht="15.75" customHeight="1">
      <c r="A796" s="83"/>
      <c r="B796" s="83"/>
      <c r="C796" s="83"/>
      <c r="D796" s="84"/>
      <c r="E796" s="84"/>
      <c r="F796" s="84"/>
      <c r="G796" s="83"/>
      <c r="H796" s="84"/>
      <c r="I796" s="84"/>
      <c r="J796" s="84"/>
      <c r="K796" s="84"/>
      <c r="L796" s="84"/>
      <c r="M796" s="84"/>
      <c r="N796" s="84"/>
      <c r="O796" s="84"/>
      <c r="P796" s="85"/>
      <c r="Q796" s="75"/>
      <c r="R796" s="75"/>
      <c r="S796" s="75"/>
      <c r="T796" s="75"/>
      <c r="U796" s="89"/>
      <c r="V796" s="84"/>
      <c r="W796" s="84"/>
      <c r="X796" s="84"/>
      <c r="Y796" s="84"/>
      <c r="Z796" s="84"/>
    </row>
    <row r="797" spans="1:26" ht="15.75" customHeight="1">
      <c r="A797" s="83"/>
      <c r="B797" s="83"/>
      <c r="C797" s="83"/>
      <c r="D797" s="84"/>
      <c r="E797" s="84"/>
      <c r="F797" s="84"/>
      <c r="G797" s="83"/>
      <c r="H797" s="84"/>
      <c r="I797" s="84"/>
      <c r="J797" s="84"/>
      <c r="K797" s="84"/>
      <c r="L797" s="84"/>
      <c r="M797" s="84"/>
      <c r="N797" s="84"/>
      <c r="O797" s="84"/>
      <c r="P797" s="85"/>
      <c r="Q797" s="75"/>
      <c r="R797" s="75"/>
      <c r="S797" s="75"/>
      <c r="T797" s="75"/>
      <c r="U797" s="89"/>
      <c r="V797" s="84"/>
      <c r="W797" s="84"/>
      <c r="X797" s="84"/>
      <c r="Y797" s="84"/>
      <c r="Z797" s="84"/>
    </row>
    <row r="798" spans="1:26" ht="15.75" customHeight="1">
      <c r="A798" s="83"/>
      <c r="B798" s="83"/>
      <c r="C798" s="83"/>
      <c r="D798" s="84"/>
      <c r="E798" s="84"/>
      <c r="F798" s="84"/>
      <c r="G798" s="83"/>
      <c r="H798" s="84"/>
      <c r="I798" s="84"/>
      <c r="J798" s="84"/>
      <c r="K798" s="84"/>
      <c r="L798" s="84"/>
      <c r="M798" s="84"/>
      <c r="N798" s="84"/>
      <c r="O798" s="84"/>
      <c r="P798" s="85"/>
      <c r="Q798" s="75"/>
      <c r="R798" s="75"/>
      <c r="S798" s="75"/>
      <c r="T798" s="75"/>
      <c r="U798" s="89"/>
      <c r="V798" s="84"/>
      <c r="W798" s="84"/>
      <c r="X798" s="84"/>
      <c r="Y798" s="84"/>
      <c r="Z798" s="84"/>
    </row>
    <row r="799" spans="1:26" ht="15.75" customHeight="1">
      <c r="A799" s="83"/>
      <c r="B799" s="83"/>
      <c r="C799" s="83"/>
      <c r="D799" s="84"/>
      <c r="E799" s="84"/>
      <c r="F799" s="84"/>
      <c r="G799" s="83"/>
      <c r="H799" s="84"/>
      <c r="I799" s="84"/>
      <c r="J799" s="84"/>
      <c r="K799" s="84"/>
      <c r="L799" s="84"/>
      <c r="M799" s="84"/>
      <c r="N799" s="84"/>
      <c r="O799" s="84"/>
      <c r="P799" s="85"/>
      <c r="Q799" s="75"/>
      <c r="R799" s="75"/>
      <c r="S799" s="75"/>
      <c r="T799" s="75"/>
      <c r="U799" s="89"/>
      <c r="V799" s="84"/>
      <c r="W799" s="84"/>
      <c r="X799" s="84"/>
      <c r="Y799" s="84"/>
      <c r="Z799" s="84"/>
    </row>
    <row r="800" spans="1:26" ht="15.75" customHeight="1">
      <c r="A800" s="83"/>
      <c r="B800" s="83"/>
      <c r="C800" s="83"/>
      <c r="D800" s="84"/>
      <c r="E800" s="84"/>
      <c r="F800" s="84"/>
      <c r="G800" s="83"/>
      <c r="H800" s="84"/>
      <c r="I800" s="84"/>
      <c r="J800" s="84"/>
      <c r="K800" s="84"/>
      <c r="L800" s="84"/>
      <c r="M800" s="84"/>
      <c r="N800" s="84"/>
      <c r="O800" s="84"/>
      <c r="P800" s="85"/>
      <c r="Q800" s="75"/>
      <c r="R800" s="75"/>
      <c r="S800" s="75"/>
      <c r="T800" s="75"/>
      <c r="U800" s="89"/>
      <c r="V800" s="84"/>
      <c r="W800" s="84"/>
      <c r="X800" s="84"/>
      <c r="Y800" s="84"/>
      <c r="Z800" s="84"/>
    </row>
    <row r="801" spans="1:26" ht="15.75" customHeight="1">
      <c r="A801" s="83"/>
      <c r="B801" s="83"/>
      <c r="C801" s="83"/>
      <c r="D801" s="84"/>
      <c r="E801" s="84"/>
      <c r="F801" s="84"/>
      <c r="G801" s="83"/>
      <c r="H801" s="84"/>
      <c r="I801" s="84"/>
      <c r="J801" s="84"/>
      <c r="K801" s="84"/>
      <c r="L801" s="84"/>
      <c r="M801" s="84"/>
      <c r="N801" s="84"/>
      <c r="O801" s="84"/>
      <c r="P801" s="85"/>
      <c r="Q801" s="75"/>
      <c r="R801" s="75"/>
      <c r="S801" s="75"/>
      <c r="T801" s="75"/>
      <c r="U801" s="89"/>
      <c r="V801" s="84"/>
      <c r="W801" s="84"/>
      <c r="X801" s="84"/>
      <c r="Y801" s="84"/>
      <c r="Z801" s="84"/>
    </row>
    <row r="802" spans="1:26" ht="15.75" customHeight="1">
      <c r="A802" s="83"/>
      <c r="B802" s="83"/>
      <c r="C802" s="83"/>
      <c r="D802" s="84"/>
      <c r="E802" s="84"/>
      <c r="F802" s="84"/>
      <c r="G802" s="83"/>
      <c r="H802" s="84"/>
      <c r="I802" s="84"/>
      <c r="J802" s="84"/>
      <c r="K802" s="84"/>
      <c r="L802" s="84"/>
      <c r="M802" s="84"/>
      <c r="N802" s="84"/>
      <c r="O802" s="84"/>
      <c r="P802" s="85"/>
      <c r="Q802" s="75"/>
      <c r="R802" s="75"/>
      <c r="S802" s="75"/>
      <c r="T802" s="75"/>
      <c r="U802" s="89"/>
      <c r="V802" s="84"/>
      <c r="W802" s="84"/>
      <c r="X802" s="84"/>
      <c r="Y802" s="84"/>
      <c r="Z802" s="84"/>
    </row>
    <row r="803" spans="1:26" ht="15.75" customHeight="1">
      <c r="A803" s="83"/>
      <c r="B803" s="83"/>
      <c r="C803" s="83"/>
      <c r="D803" s="84"/>
      <c r="E803" s="84"/>
      <c r="F803" s="84"/>
      <c r="G803" s="83"/>
      <c r="H803" s="84"/>
      <c r="I803" s="84"/>
      <c r="J803" s="84"/>
      <c r="K803" s="84"/>
      <c r="L803" s="84"/>
      <c r="M803" s="84"/>
      <c r="N803" s="84"/>
      <c r="O803" s="84"/>
      <c r="P803" s="85"/>
      <c r="Q803" s="75"/>
      <c r="R803" s="75"/>
      <c r="S803" s="75"/>
      <c r="T803" s="75"/>
      <c r="U803" s="89"/>
      <c r="V803" s="84"/>
      <c r="W803" s="84"/>
      <c r="X803" s="84"/>
      <c r="Y803" s="84"/>
      <c r="Z803" s="84"/>
    </row>
    <row r="804" spans="1:26" ht="15.75" customHeight="1">
      <c r="A804" s="83"/>
      <c r="B804" s="83"/>
      <c r="C804" s="83"/>
      <c r="D804" s="84"/>
      <c r="E804" s="84"/>
      <c r="F804" s="84"/>
      <c r="G804" s="83"/>
      <c r="H804" s="84"/>
      <c r="I804" s="84"/>
      <c r="J804" s="84"/>
      <c r="K804" s="84"/>
      <c r="L804" s="84"/>
      <c r="M804" s="84"/>
      <c r="N804" s="84"/>
      <c r="O804" s="84"/>
      <c r="P804" s="85"/>
      <c r="Q804" s="75"/>
      <c r="R804" s="75"/>
      <c r="S804" s="75"/>
      <c r="T804" s="75"/>
      <c r="U804" s="89"/>
      <c r="V804" s="84"/>
      <c r="W804" s="84"/>
      <c r="X804" s="84"/>
      <c r="Y804" s="84"/>
      <c r="Z804" s="84"/>
    </row>
    <row r="805" spans="1:26" ht="15.75" customHeight="1">
      <c r="A805" s="83"/>
      <c r="B805" s="83"/>
      <c r="C805" s="83"/>
      <c r="D805" s="84"/>
      <c r="E805" s="84"/>
      <c r="F805" s="84"/>
      <c r="G805" s="83"/>
      <c r="H805" s="84"/>
      <c r="I805" s="84"/>
      <c r="J805" s="84"/>
      <c r="K805" s="84"/>
      <c r="L805" s="84"/>
      <c r="M805" s="84"/>
      <c r="N805" s="84"/>
      <c r="O805" s="84"/>
      <c r="P805" s="85"/>
      <c r="Q805" s="75"/>
      <c r="R805" s="75"/>
      <c r="S805" s="75"/>
      <c r="T805" s="75"/>
      <c r="U805" s="89"/>
      <c r="V805" s="84"/>
      <c r="W805" s="84"/>
      <c r="X805" s="84"/>
      <c r="Y805" s="84"/>
      <c r="Z805" s="84"/>
    </row>
    <row r="806" spans="1:26" ht="15.75" customHeight="1">
      <c r="A806" s="83"/>
      <c r="B806" s="83"/>
      <c r="C806" s="83"/>
      <c r="D806" s="84"/>
      <c r="E806" s="84"/>
      <c r="F806" s="84"/>
      <c r="G806" s="83"/>
      <c r="H806" s="84"/>
      <c r="I806" s="84"/>
      <c r="J806" s="84"/>
      <c r="K806" s="84"/>
      <c r="L806" s="84"/>
      <c r="M806" s="84"/>
      <c r="N806" s="84"/>
      <c r="O806" s="84"/>
      <c r="P806" s="85"/>
      <c r="Q806" s="75"/>
      <c r="R806" s="75"/>
      <c r="S806" s="75"/>
      <c r="T806" s="75"/>
      <c r="U806" s="89"/>
      <c r="V806" s="84"/>
      <c r="W806" s="84"/>
      <c r="X806" s="84"/>
      <c r="Y806" s="84"/>
      <c r="Z806" s="84"/>
    </row>
    <row r="807" spans="1:26" ht="15.75" customHeight="1">
      <c r="A807" s="83"/>
      <c r="B807" s="83"/>
      <c r="C807" s="83"/>
      <c r="D807" s="84"/>
      <c r="E807" s="84"/>
      <c r="F807" s="84"/>
      <c r="G807" s="83"/>
      <c r="H807" s="84"/>
      <c r="I807" s="84"/>
      <c r="J807" s="84"/>
      <c r="K807" s="84"/>
      <c r="L807" s="84"/>
      <c r="M807" s="84"/>
      <c r="N807" s="84"/>
      <c r="O807" s="84"/>
      <c r="P807" s="85"/>
      <c r="Q807" s="75"/>
      <c r="R807" s="75"/>
      <c r="S807" s="75"/>
      <c r="T807" s="75"/>
      <c r="U807" s="89"/>
      <c r="V807" s="84"/>
      <c r="W807" s="84"/>
      <c r="X807" s="84"/>
      <c r="Y807" s="84"/>
      <c r="Z807" s="84"/>
    </row>
    <row r="808" spans="1:26" ht="15.75" customHeight="1">
      <c r="A808" s="83"/>
      <c r="B808" s="83"/>
      <c r="C808" s="83"/>
      <c r="D808" s="84"/>
      <c r="E808" s="84"/>
      <c r="F808" s="84"/>
      <c r="G808" s="83"/>
      <c r="H808" s="84"/>
      <c r="I808" s="84"/>
      <c r="J808" s="84"/>
      <c r="K808" s="84"/>
      <c r="L808" s="84"/>
      <c r="M808" s="84"/>
      <c r="N808" s="84"/>
      <c r="O808" s="84"/>
      <c r="P808" s="85"/>
      <c r="Q808" s="75"/>
      <c r="R808" s="75"/>
      <c r="S808" s="75"/>
      <c r="T808" s="75"/>
      <c r="U808" s="89"/>
      <c r="V808" s="84"/>
      <c r="W808" s="84"/>
      <c r="X808" s="84"/>
      <c r="Y808" s="84"/>
      <c r="Z808" s="84"/>
    </row>
    <row r="809" spans="1:26" ht="15.75" customHeight="1">
      <c r="A809" s="83"/>
      <c r="B809" s="83"/>
      <c r="C809" s="83"/>
      <c r="D809" s="84"/>
      <c r="E809" s="84"/>
      <c r="F809" s="84"/>
      <c r="G809" s="83"/>
      <c r="H809" s="84"/>
      <c r="I809" s="84"/>
      <c r="J809" s="84"/>
      <c r="K809" s="84"/>
      <c r="L809" s="84"/>
      <c r="M809" s="84"/>
      <c r="N809" s="84"/>
      <c r="O809" s="84"/>
      <c r="P809" s="85"/>
      <c r="Q809" s="75"/>
      <c r="R809" s="75"/>
      <c r="S809" s="75"/>
      <c r="T809" s="75"/>
      <c r="U809" s="89"/>
      <c r="V809" s="84"/>
      <c r="W809" s="84"/>
      <c r="X809" s="84"/>
      <c r="Y809" s="84"/>
      <c r="Z809" s="84"/>
    </row>
    <row r="810" spans="1:26" ht="15.75" customHeight="1">
      <c r="A810" s="83"/>
      <c r="B810" s="83"/>
      <c r="C810" s="83"/>
      <c r="D810" s="84"/>
      <c r="E810" s="84"/>
      <c r="F810" s="84"/>
      <c r="G810" s="83"/>
      <c r="H810" s="84"/>
      <c r="I810" s="84"/>
      <c r="J810" s="84"/>
      <c r="K810" s="84"/>
      <c r="L810" s="84"/>
      <c r="M810" s="84"/>
      <c r="N810" s="84"/>
      <c r="O810" s="84"/>
      <c r="P810" s="85"/>
      <c r="Q810" s="75"/>
      <c r="R810" s="75"/>
      <c r="S810" s="75"/>
      <c r="T810" s="75"/>
      <c r="U810" s="89"/>
      <c r="V810" s="84"/>
      <c r="W810" s="84"/>
      <c r="X810" s="84"/>
      <c r="Y810" s="84"/>
      <c r="Z810" s="84"/>
    </row>
    <row r="811" spans="1:26" ht="15.75" customHeight="1">
      <c r="A811" s="83"/>
      <c r="B811" s="83"/>
      <c r="C811" s="83"/>
      <c r="D811" s="84"/>
      <c r="E811" s="84"/>
      <c r="F811" s="84"/>
      <c r="G811" s="83"/>
      <c r="H811" s="84"/>
      <c r="I811" s="84"/>
      <c r="J811" s="84"/>
      <c r="K811" s="84"/>
      <c r="L811" s="84"/>
      <c r="M811" s="84"/>
      <c r="N811" s="84"/>
      <c r="O811" s="84"/>
      <c r="P811" s="85"/>
      <c r="Q811" s="75"/>
      <c r="R811" s="75"/>
      <c r="S811" s="75"/>
      <c r="T811" s="75"/>
      <c r="U811" s="89"/>
      <c r="V811" s="84"/>
      <c r="W811" s="84"/>
      <c r="X811" s="84"/>
      <c r="Y811" s="84"/>
      <c r="Z811" s="84"/>
    </row>
    <row r="812" spans="1:26" ht="15.75" customHeight="1">
      <c r="A812" s="83"/>
      <c r="B812" s="83"/>
      <c r="C812" s="83"/>
      <c r="D812" s="84"/>
      <c r="E812" s="84"/>
      <c r="F812" s="84"/>
      <c r="G812" s="83"/>
      <c r="H812" s="84"/>
      <c r="I812" s="84"/>
      <c r="J812" s="84"/>
      <c r="K812" s="84"/>
      <c r="L812" s="84"/>
      <c r="M812" s="84"/>
      <c r="N812" s="84"/>
      <c r="O812" s="84"/>
      <c r="P812" s="85"/>
      <c r="Q812" s="75"/>
      <c r="R812" s="75"/>
      <c r="S812" s="75"/>
      <c r="T812" s="75"/>
      <c r="U812" s="89"/>
      <c r="V812" s="84"/>
      <c r="W812" s="84"/>
      <c r="X812" s="84"/>
      <c r="Y812" s="84"/>
      <c r="Z812" s="84"/>
    </row>
    <row r="813" spans="1:26" ht="15.75" customHeight="1">
      <c r="A813" s="83"/>
      <c r="B813" s="83"/>
      <c r="C813" s="83"/>
      <c r="D813" s="84"/>
      <c r="E813" s="84"/>
      <c r="F813" s="84"/>
      <c r="G813" s="83"/>
      <c r="H813" s="84"/>
      <c r="I813" s="84"/>
      <c r="J813" s="84"/>
      <c r="K813" s="84"/>
      <c r="L813" s="84"/>
      <c r="M813" s="84"/>
      <c r="N813" s="84"/>
      <c r="O813" s="84"/>
      <c r="P813" s="85"/>
      <c r="Q813" s="75"/>
      <c r="R813" s="75"/>
      <c r="S813" s="75"/>
      <c r="T813" s="75"/>
      <c r="U813" s="89"/>
      <c r="V813" s="84"/>
      <c r="W813" s="84"/>
      <c r="X813" s="84"/>
      <c r="Y813" s="84"/>
      <c r="Z813" s="84"/>
    </row>
    <row r="814" spans="1:26" ht="15.75" customHeight="1">
      <c r="A814" s="83"/>
      <c r="B814" s="83"/>
      <c r="C814" s="83"/>
      <c r="D814" s="84"/>
      <c r="E814" s="84"/>
      <c r="F814" s="84"/>
      <c r="G814" s="83"/>
      <c r="H814" s="84"/>
      <c r="I814" s="84"/>
      <c r="J814" s="84"/>
      <c r="K814" s="84"/>
      <c r="L814" s="84"/>
      <c r="M814" s="84"/>
      <c r="N814" s="84"/>
      <c r="O814" s="84"/>
      <c r="P814" s="85"/>
      <c r="Q814" s="75"/>
      <c r="R814" s="75"/>
      <c r="S814" s="75"/>
      <c r="T814" s="75"/>
      <c r="U814" s="89"/>
      <c r="V814" s="84"/>
      <c r="W814" s="84"/>
      <c r="X814" s="84"/>
      <c r="Y814" s="84"/>
      <c r="Z814" s="84"/>
    </row>
    <row r="815" spans="1:26" ht="15.75" customHeight="1">
      <c r="A815" s="83"/>
      <c r="B815" s="83"/>
      <c r="C815" s="83"/>
      <c r="D815" s="84"/>
      <c r="E815" s="84"/>
      <c r="F815" s="84"/>
      <c r="G815" s="83"/>
      <c r="H815" s="84"/>
      <c r="I815" s="84"/>
      <c r="J815" s="84"/>
      <c r="K815" s="84"/>
      <c r="L815" s="84"/>
      <c r="M815" s="84"/>
      <c r="N815" s="84"/>
      <c r="O815" s="84"/>
      <c r="P815" s="85"/>
      <c r="Q815" s="75"/>
      <c r="R815" s="75"/>
      <c r="S815" s="75"/>
      <c r="T815" s="75"/>
      <c r="U815" s="89"/>
      <c r="V815" s="84"/>
      <c r="W815" s="84"/>
      <c r="X815" s="84"/>
      <c r="Y815" s="84"/>
      <c r="Z815" s="84"/>
    </row>
    <row r="816" spans="1:26" ht="15.75" customHeight="1">
      <c r="A816" s="83"/>
      <c r="B816" s="83"/>
      <c r="C816" s="83"/>
      <c r="D816" s="84"/>
      <c r="E816" s="84"/>
      <c r="F816" s="84"/>
      <c r="G816" s="83"/>
      <c r="H816" s="84"/>
      <c r="I816" s="84"/>
      <c r="J816" s="84"/>
      <c r="K816" s="84"/>
      <c r="L816" s="84"/>
      <c r="M816" s="84"/>
      <c r="N816" s="84"/>
      <c r="O816" s="84"/>
      <c r="P816" s="85"/>
      <c r="Q816" s="75"/>
      <c r="R816" s="75"/>
      <c r="S816" s="75"/>
      <c r="T816" s="75"/>
      <c r="U816" s="89"/>
      <c r="V816" s="84"/>
      <c r="W816" s="84"/>
      <c r="X816" s="84"/>
      <c r="Y816" s="84"/>
      <c r="Z816" s="84"/>
    </row>
    <row r="817" spans="1:26" ht="15.75" customHeight="1">
      <c r="A817" s="83"/>
      <c r="B817" s="83"/>
      <c r="C817" s="83"/>
      <c r="D817" s="84"/>
      <c r="E817" s="84"/>
      <c r="F817" s="84"/>
      <c r="G817" s="83"/>
      <c r="H817" s="84"/>
      <c r="I817" s="84"/>
      <c r="J817" s="84"/>
      <c r="K817" s="84"/>
      <c r="L817" s="84"/>
      <c r="M817" s="84"/>
      <c r="N817" s="84"/>
      <c r="O817" s="84"/>
      <c r="P817" s="85"/>
      <c r="Q817" s="75"/>
      <c r="R817" s="75"/>
      <c r="S817" s="75"/>
      <c r="T817" s="75"/>
      <c r="U817" s="89"/>
      <c r="V817" s="84"/>
      <c r="W817" s="84"/>
      <c r="X817" s="84"/>
      <c r="Y817" s="84"/>
      <c r="Z817" s="84"/>
    </row>
    <row r="818" spans="1:26" ht="15.75" customHeight="1">
      <c r="A818" s="83"/>
      <c r="B818" s="83"/>
      <c r="C818" s="83"/>
      <c r="D818" s="84"/>
      <c r="E818" s="84"/>
      <c r="F818" s="84"/>
      <c r="G818" s="83"/>
      <c r="H818" s="84"/>
      <c r="I818" s="84"/>
      <c r="J818" s="84"/>
      <c r="K818" s="84"/>
      <c r="L818" s="84"/>
      <c r="M818" s="84"/>
      <c r="N818" s="84"/>
      <c r="O818" s="84"/>
      <c r="P818" s="85"/>
      <c r="Q818" s="75"/>
      <c r="R818" s="75"/>
      <c r="S818" s="75"/>
      <c r="T818" s="75"/>
      <c r="U818" s="89"/>
      <c r="V818" s="84"/>
      <c r="W818" s="84"/>
      <c r="X818" s="84"/>
      <c r="Y818" s="84"/>
      <c r="Z818" s="84"/>
    </row>
    <row r="819" spans="1:26" ht="15.75" customHeight="1">
      <c r="A819" s="83"/>
      <c r="B819" s="83"/>
      <c r="C819" s="83"/>
      <c r="D819" s="84"/>
      <c r="E819" s="84"/>
      <c r="F819" s="84"/>
      <c r="G819" s="83"/>
      <c r="H819" s="84"/>
      <c r="I819" s="84"/>
      <c r="J819" s="84"/>
      <c r="K819" s="84"/>
      <c r="L819" s="84"/>
      <c r="M819" s="84"/>
      <c r="N819" s="84"/>
      <c r="O819" s="84"/>
      <c r="P819" s="85"/>
      <c r="Q819" s="75"/>
      <c r="R819" s="75"/>
      <c r="S819" s="75"/>
      <c r="T819" s="75"/>
      <c r="U819" s="89"/>
      <c r="V819" s="84"/>
      <c r="W819" s="84"/>
      <c r="X819" s="84"/>
      <c r="Y819" s="84"/>
      <c r="Z819" s="84"/>
    </row>
    <row r="820" spans="1:26" ht="15.75" customHeight="1">
      <c r="A820" s="83"/>
      <c r="B820" s="83"/>
      <c r="C820" s="83"/>
      <c r="D820" s="84"/>
      <c r="E820" s="84"/>
      <c r="F820" s="84"/>
      <c r="G820" s="83"/>
      <c r="H820" s="84"/>
      <c r="I820" s="84"/>
      <c r="J820" s="84"/>
      <c r="K820" s="84"/>
      <c r="L820" s="84"/>
      <c r="M820" s="84"/>
      <c r="N820" s="84"/>
      <c r="O820" s="84"/>
      <c r="P820" s="85"/>
      <c r="Q820" s="75"/>
      <c r="R820" s="75"/>
      <c r="S820" s="75"/>
      <c r="T820" s="75"/>
      <c r="U820" s="89"/>
      <c r="V820" s="84"/>
      <c r="W820" s="84"/>
      <c r="X820" s="84"/>
      <c r="Y820" s="84"/>
      <c r="Z820" s="84"/>
    </row>
    <row r="821" spans="1:26" ht="15.75" customHeight="1">
      <c r="A821" s="83"/>
      <c r="B821" s="83"/>
      <c r="C821" s="83"/>
      <c r="D821" s="84"/>
      <c r="E821" s="84"/>
      <c r="F821" s="84"/>
      <c r="G821" s="83"/>
      <c r="H821" s="84"/>
      <c r="I821" s="84"/>
      <c r="J821" s="84"/>
      <c r="K821" s="84"/>
      <c r="L821" s="84"/>
      <c r="M821" s="84"/>
      <c r="N821" s="84"/>
      <c r="O821" s="84"/>
      <c r="P821" s="85"/>
      <c r="Q821" s="75"/>
      <c r="R821" s="75"/>
      <c r="S821" s="75"/>
      <c r="T821" s="75"/>
      <c r="U821" s="89"/>
      <c r="V821" s="84"/>
      <c r="W821" s="84"/>
      <c r="X821" s="84"/>
      <c r="Y821" s="84"/>
      <c r="Z821" s="84"/>
    </row>
    <row r="822" spans="1:26" ht="15.75" customHeight="1">
      <c r="A822" s="83"/>
      <c r="B822" s="83"/>
      <c r="C822" s="83"/>
      <c r="D822" s="84"/>
      <c r="E822" s="84"/>
      <c r="F822" s="84"/>
      <c r="G822" s="83"/>
      <c r="H822" s="84"/>
      <c r="I822" s="84"/>
      <c r="J822" s="84"/>
      <c r="K822" s="84"/>
      <c r="L822" s="84"/>
      <c r="M822" s="84"/>
      <c r="N822" s="84"/>
      <c r="O822" s="84"/>
      <c r="P822" s="85"/>
      <c r="Q822" s="75"/>
      <c r="R822" s="75"/>
      <c r="S822" s="75"/>
      <c r="T822" s="75"/>
      <c r="U822" s="89"/>
      <c r="V822" s="84"/>
      <c r="W822" s="84"/>
      <c r="X822" s="84"/>
      <c r="Y822" s="84"/>
      <c r="Z822" s="84"/>
    </row>
    <row r="823" spans="1:26" ht="15.75" customHeight="1">
      <c r="A823" s="83"/>
      <c r="B823" s="83"/>
      <c r="C823" s="83"/>
      <c r="D823" s="84"/>
      <c r="E823" s="84"/>
      <c r="F823" s="84"/>
      <c r="G823" s="83"/>
      <c r="H823" s="84"/>
      <c r="I823" s="84"/>
      <c r="J823" s="84"/>
      <c r="K823" s="84"/>
      <c r="L823" s="84"/>
      <c r="M823" s="84"/>
      <c r="N823" s="84"/>
      <c r="O823" s="84"/>
      <c r="P823" s="85"/>
      <c r="Q823" s="75"/>
      <c r="R823" s="75"/>
      <c r="S823" s="75"/>
      <c r="T823" s="75"/>
      <c r="U823" s="89"/>
      <c r="V823" s="84"/>
      <c r="W823" s="84"/>
      <c r="X823" s="84"/>
      <c r="Y823" s="84"/>
      <c r="Z823" s="84"/>
    </row>
    <row r="824" spans="1:26" ht="15.75" customHeight="1">
      <c r="A824" s="83"/>
      <c r="B824" s="83"/>
      <c r="C824" s="83"/>
      <c r="D824" s="84"/>
      <c r="E824" s="84"/>
      <c r="F824" s="84"/>
      <c r="G824" s="83"/>
      <c r="H824" s="84"/>
      <c r="I824" s="84"/>
      <c r="J824" s="84"/>
      <c r="K824" s="84"/>
      <c r="L824" s="84"/>
      <c r="M824" s="84"/>
      <c r="N824" s="84"/>
      <c r="O824" s="84"/>
      <c r="P824" s="85"/>
      <c r="Q824" s="75"/>
      <c r="R824" s="75"/>
      <c r="S824" s="75"/>
      <c r="T824" s="75"/>
      <c r="U824" s="89"/>
      <c r="V824" s="84"/>
      <c r="W824" s="84"/>
      <c r="X824" s="84"/>
      <c r="Y824" s="84"/>
      <c r="Z824" s="84"/>
    </row>
    <row r="825" spans="1:26" ht="15.75" customHeight="1">
      <c r="A825" s="83"/>
      <c r="B825" s="83"/>
      <c r="C825" s="83"/>
      <c r="D825" s="84"/>
      <c r="E825" s="84"/>
      <c r="F825" s="84"/>
      <c r="G825" s="83"/>
      <c r="H825" s="84"/>
      <c r="I825" s="84"/>
      <c r="J825" s="84"/>
      <c r="K825" s="84"/>
      <c r="L825" s="84"/>
      <c r="M825" s="84"/>
      <c r="N825" s="84"/>
      <c r="O825" s="84"/>
      <c r="P825" s="85"/>
      <c r="Q825" s="75"/>
      <c r="R825" s="75"/>
      <c r="S825" s="75"/>
      <c r="T825" s="75"/>
      <c r="U825" s="89"/>
      <c r="V825" s="84"/>
      <c r="W825" s="84"/>
      <c r="X825" s="84"/>
      <c r="Y825" s="84"/>
      <c r="Z825" s="84"/>
    </row>
    <row r="826" spans="1:26" ht="15.75" customHeight="1">
      <c r="A826" s="83"/>
      <c r="B826" s="83"/>
      <c r="C826" s="83"/>
      <c r="D826" s="84"/>
      <c r="E826" s="84"/>
      <c r="F826" s="84"/>
      <c r="G826" s="83"/>
      <c r="H826" s="84"/>
      <c r="I826" s="84"/>
      <c r="J826" s="84"/>
      <c r="K826" s="84"/>
      <c r="L826" s="84"/>
      <c r="M826" s="84"/>
      <c r="N826" s="84"/>
      <c r="O826" s="84"/>
      <c r="P826" s="85"/>
      <c r="Q826" s="75"/>
      <c r="R826" s="75"/>
      <c r="S826" s="75"/>
      <c r="T826" s="75"/>
      <c r="U826" s="89"/>
      <c r="V826" s="84"/>
      <c r="W826" s="84"/>
      <c r="X826" s="84"/>
      <c r="Y826" s="84"/>
      <c r="Z826" s="84"/>
    </row>
    <row r="827" spans="1:26" ht="15.75" customHeight="1">
      <c r="A827" s="83"/>
      <c r="B827" s="83"/>
      <c r="C827" s="83"/>
      <c r="D827" s="84"/>
      <c r="E827" s="84"/>
      <c r="F827" s="84"/>
      <c r="G827" s="83"/>
      <c r="H827" s="84"/>
      <c r="I827" s="84"/>
      <c r="J827" s="84"/>
      <c r="K827" s="84"/>
      <c r="L827" s="84"/>
      <c r="M827" s="84"/>
      <c r="N827" s="84"/>
      <c r="O827" s="84"/>
      <c r="P827" s="85"/>
      <c r="Q827" s="75"/>
      <c r="R827" s="75"/>
      <c r="S827" s="75"/>
      <c r="T827" s="75"/>
      <c r="U827" s="89"/>
      <c r="V827" s="84"/>
      <c r="W827" s="84"/>
      <c r="X827" s="84"/>
      <c r="Y827" s="84"/>
      <c r="Z827" s="84"/>
    </row>
    <row r="828" spans="1:26" ht="15.75" customHeight="1">
      <c r="A828" s="83"/>
      <c r="B828" s="83"/>
      <c r="C828" s="83"/>
      <c r="D828" s="84"/>
      <c r="E828" s="84"/>
      <c r="F828" s="84"/>
      <c r="G828" s="83"/>
      <c r="H828" s="84"/>
      <c r="I828" s="84"/>
      <c r="J828" s="84"/>
      <c r="K828" s="84"/>
      <c r="L828" s="84"/>
      <c r="M828" s="84"/>
      <c r="N828" s="84"/>
      <c r="O828" s="84"/>
      <c r="P828" s="85"/>
      <c r="Q828" s="75"/>
      <c r="R828" s="75"/>
      <c r="S828" s="75"/>
      <c r="T828" s="75"/>
      <c r="U828" s="89"/>
      <c r="V828" s="84"/>
      <c r="W828" s="84"/>
      <c r="X828" s="84"/>
      <c r="Y828" s="84"/>
      <c r="Z828" s="84"/>
    </row>
    <row r="829" spans="1:26" ht="15.75" customHeight="1">
      <c r="A829" s="83"/>
      <c r="B829" s="83"/>
      <c r="C829" s="83"/>
      <c r="D829" s="84"/>
      <c r="E829" s="84"/>
      <c r="F829" s="84"/>
      <c r="G829" s="83"/>
      <c r="H829" s="84"/>
      <c r="I829" s="84"/>
      <c r="J829" s="84"/>
      <c r="K829" s="84"/>
      <c r="L829" s="84"/>
      <c r="M829" s="84"/>
      <c r="N829" s="84"/>
      <c r="O829" s="84"/>
      <c r="P829" s="85"/>
      <c r="Q829" s="75"/>
      <c r="R829" s="75"/>
      <c r="S829" s="75"/>
      <c r="T829" s="75"/>
      <c r="U829" s="89"/>
      <c r="V829" s="84"/>
      <c r="W829" s="84"/>
      <c r="X829" s="84"/>
      <c r="Y829" s="84"/>
      <c r="Z829" s="84"/>
    </row>
    <row r="830" spans="1:26" ht="15.75" customHeight="1">
      <c r="A830" s="83"/>
      <c r="B830" s="83"/>
      <c r="C830" s="83"/>
      <c r="D830" s="84"/>
      <c r="E830" s="84"/>
      <c r="F830" s="84"/>
      <c r="G830" s="83"/>
      <c r="H830" s="84"/>
      <c r="I830" s="84"/>
      <c r="J830" s="84"/>
      <c r="K830" s="84"/>
      <c r="L830" s="84"/>
      <c r="M830" s="84"/>
      <c r="N830" s="84"/>
      <c r="O830" s="84"/>
      <c r="P830" s="85"/>
      <c r="Q830" s="75"/>
      <c r="R830" s="75"/>
      <c r="S830" s="75"/>
      <c r="T830" s="75"/>
      <c r="U830" s="89"/>
      <c r="V830" s="84"/>
      <c r="W830" s="84"/>
      <c r="X830" s="84"/>
      <c r="Y830" s="84"/>
      <c r="Z830" s="84"/>
    </row>
    <row r="831" spans="1:26" ht="15.75" customHeight="1">
      <c r="A831" s="83"/>
      <c r="B831" s="83"/>
      <c r="C831" s="83"/>
      <c r="D831" s="84"/>
      <c r="E831" s="84"/>
      <c r="F831" s="84"/>
      <c r="G831" s="83"/>
      <c r="H831" s="84"/>
      <c r="I831" s="84"/>
      <c r="J831" s="84"/>
      <c r="K831" s="84"/>
      <c r="L831" s="84"/>
      <c r="M831" s="84"/>
      <c r="N831" s="84"/>
      <c r="O831" s="84"/>
      <c r="P831" s="85"/>
      <c r="Q831" s="75"/>
      <c r="R831" s="75"/>
      <c r="S831" s="75"/>
      <c r="T831" s="75"/>
      <c r="U831" s="89"/>
      <c r="V831" s="84"/>
      <c r="W831" s="84"/>
      <c r="X831" s="84"/>
      <c r="Y831" s="84"/>
      <c r="Z831" s="84"/>
    </row>
    <row r="832" spans="1:26" ht="15.75" customHeight="1">
      <c r="A832" s="83"/>
      <c r="B832" s="83"/>
      <c r="C832" s="83"/>
      <c r="D832" s="84"/>
      <c r="E832" s="84"/>
      <c r="F832" s="84"/>
      <c r="G832" s="83"/>
      <c r="H832" s="84"/>
      <c r="I832" s="84"/>
      <c r="J832" s="84"/>
      <c r="K832" s="84"/>
      <c r="L832" s="84"/>
      <c r="M832" s="84"/>
      <c r="N832" s="84"/>
      <c r="O832" s="84"/>
      <c r="P832" s="85"/>
      <c r="Q832" s="75"/>
      <c r="R832" s="75"/>
      <c r="S832" s="75"/>
      <c r="T832" s="75"/>
      <c r="U832" s="89"/>
      <c r="V832" s="84"/>
      <c r="W832" s="84"/>
      <c r="X832" s="84"/>
      <c r="Y832" s="84"/>
      <c r="Z832" s="84"/>
    </row>
    <row r="833" spans="1:26" ht="15.75" customHeight="1">
      <c r="A833" s="83"/>
      <c r="B833" s="83"/>
      <c r="C833" s="83"/>
      <c r="D833" s="84"/>
      <c r="E833" s="84"/>
      <c r="F833" s="84"/>
      <c r="G833" s="83"/>
      <c r="H833" s="84"/>
      <c r="I833" s="84"/>
      <c r="J833" s="84"/>
      <c r="K833" s="84"/>
      <c r="L833" s="84"/>
      <c r="M833" s="84"/>
      <c r="N833" s="84"/>
      <c r="O833" s="84"/>
      <c r="P833" s="85"/>
      <c r="Q833" s="75"/>
      <c r="R833" s="75"/>
      <c r="S833" s="75"/>
      <c r="T833" s="75"/>
      <c r="U833" s="89"/>
      <c r="V833" s="84"/>
      <c r="W833" s="84"/>
      <c r="X833" s="84"/>
      <c r="Y833" s="84"/>
      <c r="Z833" s="84"/>
    </row>
    <row r="834" spans="1:26" ht="15.75" customHeight="1">
      <c r="A834" s="83"/>
      <c r="B834" s="83"/>
      <c r="C834" s="83"/>
      <c r="D834" s="84"/>
      <c r="E834" s="84"/>
      <c r="F834" s="84"/>
      <c r="G834" s="83"/>
      <c r="H834" s="84"/>
      <c r="I834" s="84"/>
      <c r="J834" s="84"/>
      <c r="K834" s="84"/>
      <c r="L834" s="84"/>
      <c r="M834" s="84"/>
      <c r="N834" s="84"/>
      <c r="O834" s="84"/>
      <c r="P834" s="85"/>
      <c r="Q834" s="75"/>
      <c r="R834" s="75"/>
      <c r="S834" s="75"/>
      <c r="T834" s="75"/>
      <c r="U834" s="89"/>
      <c r="V834" s="84"/>
      <c r="W834" s="84"/>
      <c r="X834" s="84"/>
      <c r="Y834" s="84"/>
      <c r="Z834" s="84"/>
    </row>
    <row r="835" spans="1:26" ht="15.75" customHeight="1">
      <c r="A835" s="83"/>
      <c r="B835" s="83"/>
      <c r="C835" s="83"/>
      <c r="D835" s="84"/>
      <c r="E835" s="84"/>
      <c r="F835" s="84"/>
      <c r="G835" s="83"/>
      <c r="H835" s="84"/>
      <c r="I835" s="84"/>
      <c r="J835" s="84"/>
      <c r="K835" s="84"/>
      <c r="L835" s="84"/>
      <c r="M835" s="84"/>
      <c r="N835" s="84"/>
      <c r="O835" s="84"/>
      <c r="P835" s="85"/>
      <c r="Q835" s="75"/>
      <c r="R835" s="75"/>
      <c r="S835" s="75"/>
      <c r="T835" s="75"/>
      <c r="U835" s="89"/>
      <c r="V835" s="84"/>
      <c r="W835" s="84"/>
      <c r="X835" s="84"/>
      <c r="Y835" s="84"/>
      <c r="Z835" s="84"/>
    </row>
    <row r="836" spans="1:26" ht="15.75" customHeight="1">
      <c r="A836" s="83"/>
      <c r="B836" s="83"/>
      <c r="C836" s="83"/>
      <c r="D836" s="84"/>
      <c r="E836" s="84"/>
      <c r="F836" s="84"/>
      <c r="G836" s="83"/>
      <c r="H836" s="84"/>
      <c r="I836" s="84"/>
      <c r="J836" s="84"/>
      <c r="K836" s="84"/>
      <c r="L836" s="84"/>
      <c r="M836" s="84"/>
      <c r="N836" s="84"/>
      <c r="O836" s="84"/>
      <c r="P836" s="85"/>
      <c r="Q836" s="75"/>
      <c r="R836" s="75"/>
      <c r="S836" s="75"/>
      <c r="T836" s="75"/>
      <c r="U836" s="89"/>
      <c r="V836" s="84"/>
      <c r="W836" s="84"/>
      <c r="X836" s="84"/>
      <c r="Y836" s="84"/>
      <c r="Z836" s="84"/>
    </row>
    <row r="837" spans="1:26" ht="15.75" customHeight="1">
      <c r="A837" s="83"/>
      <c r="B837" s="83"/>
      <c r="C837" s="83"/>
      <c r="D837" s="84"/>
      <c r="E837" s="84"/>
      <c r="F837" s="84"/>
      <c r="G837" s="83"/>
      <c r="H837" s="84"/>
      <c r="I837" s="84"/>
      <c r="J837" s="84"/>
      <c r="K837" s="84"/>
      <c r="L837" s="84"/>
      <c r="M837" s="84"/>
      <c r="N837" s="84"/>
      <c r="O837" s="84"/>
      <c r="P837" s="85"/>
      <c r="Q837" s="75"/>
      <c r="R837" s="75"/>
      <c r="S837" s="75"/>
      <c r="T837" s="75"/>
      <c r="U837" s="89"/>
      <c r="V837" s="84"/>
      <c r="W837" s="84"/>
      <c r="X837" s="84"/>
      <c r="Y837" s="84"/>
      <c r="Z837" s="84"/>
    </row>
    <row r="838" spans="1:26" ht="15.75" customHeight="1">
      <c r="A838" s="83"/>
      <c r="B838" s="83"/>
      <c r="C838" s="83"/>
      <c r="D838" s="84"/>
      <c r="E838" s="84"/>
      <c r="F838" s="84"/>
      <c r="G838" s="83"/>
      <c r="H838" s="84"/>
      <c r="I838" s="84"/>
      <c r="J838" s="84"/>
      <c r="K838" s="84"/>
      <c r="L838" s="84"/>
      <c r="M838" s="84"/>
      <c r="N838" s="84"/>
      <c r="O838" s="84"/>
      <c r="P838" s="85"/>
      <c r="Q838" s="75"/>
      <c r="R838" s="75"/>
      <c r="S838" s="75"/>
      <c r="T838" s="75"/>
      <c r="U838" s="89"/>
      <c r="V838" s="84"/>
      <c r="W838" s="84"/>
      <c r="X838" s="84"/>
      <c r="Y838" s="84"/>
      <c r="Z838" s="84"/>
    </row>
    <row r="839" spans="1:26" ht="15.75" customHeight="1">
      <c r="A839" s="83"/>
      <c r="B839" s="83"/>
      <c r="C839" s="83"/>
      <c r="D839" s="84"/>
      <c r="E839" s="84"/>
      <c r="F839" s="84"/>
      <c r="G839" s="83"/>
      <c r="H839" s="84"/>
      <c r="I839" s="84"/>
      <c r="J839" s="84"/>
      <c r="K839" s="84"/>
      <c r="L839" s="84"/>
      <c r="M839" s="84"/>
      <c r="N839" s="84"/>
      <c r="O839" s="84"/>
      <c r="P839" s="85"/>
      <c r="Q839" s="75"/>
      <c r="R839" s="75"/>
      <c r="S839" s="75"/>
      <c r="T839" s="75"/>
      <c r="U839" s="89"/>
      <c r="V839" s="84"/>
      <c r="W839" s="84"/>
      <c r="X839" s="84"/>
      <c r="Y839" s="84"/>
      <c r="Z839" s="84"/>
    </row>
    <row r="840" spans="1:26" ht="15.75" customHeight="1">
      <c r="A840" s="83"/>
      <c r="B840" s="83"/>
      <c r="C840" s="83"/>
      <c r="D840" s="84"/>
      <c r="E840" s="84"/>
      <c r="F840" s="84"/>
      <c r="G840" s="83"/>
      <c r="H840" s="84"/>
      <c r="I840" s="84"/>
      <c r="J840" s="84"/>
      <c r="K840" s="84"/>
      <c r="L840" s="84"/>
      <c r="M840" s="84"/>
      <c r="N840" s="84"/>
      <c r="O840" s="84"/>
      <c r="P840" s="85"/>
      <c r="Q840" s="75"/>
      <c r="R840" s="75"/>
      <c r="S840" s="75"/>
      <c r="T840" s="75"/>
      <c r="U840" s="89"/>
      <c r="V840" s="84"/>
      <c r="W840" s="84"/>
      <c r="X840" s="84"/>
      <c r="Y840" s="84"/>
      <c r="Z840" s="84"/>
    </row>
    <row r="841" spans="1:26" ht="15.75" customHeight="1">
      <c r="A841" s="83"/>
      <c r="B841" s="83"/>
      <c r="C841" s="83"/>
      <c r="D841" s="84"/>
      <c r="E841" s="84"/>
      <c r="F841" s="84"/>
      <c r="G841" s="83"/>
      <c r="H841" s="84"/>
      <c r="I841" s="84"/>
      <c r="J841" s="84"/>
      <c r="K841" s="84"/>
      <c r="L841" s="84"/>
      <c r="M841" s="84"/>
      <c r="N841" s="84"/>
      <c r="O841" s="84"/>
      <c r="P841" s="85"/>
      <c r="Q841" s="75"/>
      <c r="R841" s="75"/>
      <c r="S841" s="75"/>
      <c r="T841" s="75"/>
      <c r="U841" s="89"/>
      <c r="V841" s="84"/>
      <c r="W841" s="84"/>
      <c r="X841" s="84"/>
      <c r="Y841" s="84"/>
      <c r="Z841" s="84"/>
    </row>
    <row r="842" spans="1:26" ht="15.75" customHeight="1">
      <c r="A842" s="83"/>
      <c r="B842" s="83"/>
      <c r="C842" s="83"/>
      <c r="D842" s="84"/>
      <c r="E842" s="84"/>
      <c r="F842" s="84"/>
      <c r="G842" s="83"/>
      <c r="H842" s="84"/>
      <c r="I842" s="84"/>
      <c r="J842" s="84"/>
      <c r="K842" s="84"/>
      <c r="L842" s="84"/>
      <c r="M842" s="84"/>
      <c r="N842" s="84"/>
      <c r="O842" s="84"/>
      <c r="P842" s="85"/>
      <c r="Q842" s="75"/>
      <c r="R842" s="75"/>
      <c r="S842" s="75"/>
      <c r="T842" s="75"/>
      <c r="U842" s="89"/>
      <c r="V842" s="84"/>
      <c r="W842" s="84"/>
      <c r="X842" s="84"/>
      <c r="Y842" s="84"/>
      <c r="Z842" s="84"/>
    </row>
    <row r="843" spans="1:26" ht="15.75" customHeight="1">
      <c r="A843" s="83"/>
      <c r="B843" s="83"/>
      <c r="C843" s="83"/>
      <c r="D843" s="84"/>
      <c r="E843" s="84"/>
      <c r="F843" s="84"/>
      <c r="G843" s="83"/>
      <c r="H843" s="84"/>
      <c r="I843" s="84"/>
      <c r="J843" s="84"/>
      <c r="K843" s="84"/>
      <c r="L843" s="84"/>
      <c r="M843" s="84"/>
      <c r="N843" s="84"/>
      <c r="O843" s="84"/>
      <c r="P843" s="85"/>
      <c r="Q843" s="75"/>
      <c r="R843" s="75"/>
      <c r="S843" s="75"/>
      <c r="T843" s="75"/>
      <c r="U843" s="89"/>
      <c r="V843" s="84"/>
      <c r="W843" s="84"/>
      <c r="X843" s="84"/>
      <c r="Y843" s="84"/>
      <c r="Z843" s="84"/>
    </row>
    <row r="844" spans="1:26" ht="15.75" customHeight="1">
      <c r="A844" s="83"/>
      <c r="B844" s="83"/>
      <c r="C844" s="83"/>
      <c r="D844" s="84"/>
      <c r="E844" s="84"/>
      <c r="F844" s="84"/>
      <c r="G844" s="83"/>
      <c r="H844" s="84"/>
      <c r="I844" s="84"/>
      <c r="J844" s="84"/>
      <c r="K844" s="84"/>
      <c r="L844" s="84"/>
      <c r="M844" s="84"/>
      <c r="N844" s="84"/>
      <c r="O844" s="84"/>
      <c r="P844" s="85"/>
      <c r="Q844" s="75"/>
      <c r="R844" s="75"/>
      <c r="S844" s="75"/>
      <c r="T844" s="75"/>
      <c r="U844" s="89"/>
      <c r="V844" s="84"/>
      <c r="W844" s="84"/>
      <c r="X844" s="84"/>
      <c r="Y844" s="84"/>
      <c r="Z844" s="84"/>
    </row>
    <row r="845" spans="1:26" ht="15.75" customHeight="1">
      <c r="A845" s="83"/>
      <c r="B845" s="83"/>
      <c r="C845" s="83"/>
      <c r="D845" s="84"/>
      <c r="E845" s="84"/>
      <c r="F845" s="84"/>
      <c r="G845" s="83"/>
      <c r="H845" s="84"/>
      <c r="I845" s="84"/>
      <c r="J845" s="84"/>
      <c r="K845" s="84"/>
      <c r="L845" s="84"/>
      <c r="M845" s="84"/>
      <c r="N845" s="84"/>
      <c r="O845" s="84"/>
      <c r="P845" s="85"/>
      <c r="Q845" s="75"/>
      <c r="R845" s="75"/>
      <c r="S845" s="75"/>
      <c r="T845" s="75"/>
      <c r="U845" s="89"/>
      <c r="V845" s="84"/>
      <c r="W845" s="84"/>
      <c r="X845" s="84"/>
      <c r="Y845" s="84"/>
      <c r="Z845" s="84"/>
    </row>
    <row r="846" spans="1:26" ht="15.75" customHeight="1">
      <c r="A846" s="83"/>
      <c r="B846" s="83"/>
      <c r="C846" s="83"/>
      <c r="D846" s="84"/>
      <c r="E846" s="84"/>
      <c r="F846" s="84"/>
      <c r="G846" s="83"/>
      <c r="H846" s="84"/>
      <c r="I846" s="84"/>
      <c r="J846" s="84"/>
      <c r="K846" s="84"/>
      <c r="L846" s="84"/>
      <c r="M846" s="84"/>
      <c r="N846" s="84"/>
      <c r="O846" s="84"/>
      <c r="P846" s="85"/>
      <c r="Q846" s="75"/>
      <c r="R846" s="75"/>
      <c r="S846" s="75"/>
      <c r="T846" s="75"/>
      <c r="U846" s="89"/>
      <c r="V846" s="84"/>
      <c r="W846" s="84"/>
      <c r="X846" s="84"/>
      <c r="Y846" s="84"/>
      <c r="Z846" s="84"/>
    </row>
    <row r="847" spans="1:26" ht="15.75" customHeight="1">
      <c r="A847" s="83"/>
      <c r="B847" s="83"/>
      <c r="C847" s="83"/>
      <c r="D847" s="84"/>
      <c r="E847" s="84"/>
      <c r="F847" s="84"/>
      <c r="G847" s="83"/>
      <c r="H847" s="84"/>
      <c r="I847" s="84"/>
      <c r="J847" s="84"/>
      <c r="K847" s="84"/>
      <c r="L847" s="84"/>
      <c r="M847" s="84"/>
      <c r="N847" s="84"/>
      <c r="O847" s="84"/>
      <c r="P847" s="85"/>
      <c r="Q847" s="75"/>
      <c r="R847" s="75"/>
      <c r="S847" s="75"/>
      <c r="T847" s="75"/>
      <c r="U847" s="89"/>
      <c r="V847" s="84"/>
      <c r="W847" s="84"/>
      <c r="X847" s="84"/>
      <c r="Y847" s="84"/>
      <c r="Z847" s="84"/>
    </row>
    <row r="848" spans="1:26" ht="15.75" customHeight="1">
      <c r="A848" s="83"/>
      <c r="B848" s="83"/>
      <c r="C848" s="83"/>
      <c r="D848" s="84"/>
      <c r="E848" s="84"/>
      <c r="F848" s="84"/>
      <c r="G848" s="83"/>
      <c r="H848" s="84"/>
      <c r="I848" s="84"/>
      <c r="J848" s="84"/>
      <c r="K848" s="84"/>
      <c r="L848" s="84"/>
      <c r="M848" s="84"/>
      <c r="N848" s="84"/>
      <c r="O848" s="84"/>
      <c r="P848" s="85"/>
      <c r="Q848" s="75"/>
      <c r="R848" s="75"/>
      <c r="S848" s="75"/>
      <c r="T848" s="75"/>
      <c r="U848" s="89"/>
      <c r="V848" s="84"/>
      <c r="W848" s="84"/>
      <c r="X848" s="84"/>
      <c r="Y848" s="84"/>
      <c r="Z848" s="84"/>
    </row>
    <row r="849" spans="1:26" ht="15.75" customHeight="1">
      <c r="A849" s="83"/>
      <c r="B849" s="83"/>
      <c r="C849" s="83"/>
      <c r="D849" s="84"/>
      <c r="E849" s="84"/>
      <c r="F849" s="84"/>
      <c r="G849" s="83"/>
      <c r="H849" s="84"/>
      <c r="I849" s="84"/>
      <c r="J849" s="84"/>
      <c r="K849" s="84"/>
      <c r="L849" s="84"/>
      <c r="M849" s="84"/>
      <c r="N849" s="84"/>
      <c r="O849" s="84"/>
      <c r="P849" s="85"/>
      <c r="Q849" s="75"/>
      <c r="R849" s="75"/>
      <c r="S849" s="75"/>
      <c r="T849" s="75"/>
      <c r="U849" s="89"/>
      <c r="V849" s="84"/>
      <c r="W849" s="84"/>
      <c r="X849" s="84"/>
      <c r="Y849" s="84"/>
      <c r="Z849" s="84"/>
    </row>
    <row r="850" spans="1:26" ht="15.75" customHeight="1">
      <c r="A850" s="83"/>
      <c r="B850" s="83"/>
      <c r="C850" s="83"/>
      <c r="D850" s="84"/>
      <c r="E850" s="84"/>
      <c r="F850" s="84"/>
      <c r="G850" s="83"/>
      <c r="H850" s="84"/>
      <c r="I850" s="84"/>
      <c r="J850" s="84"/>
      <c r="K850" s="84"/>
      <c r="L850" s="84"/>
      <c r="M850" s="84"/>
      <c r="N850" s="84"/>
      <c r="O850" s="84"/>
      <c r="P850" s="85"/>
      <c r="Q850" s="75"/>
      <c r="R850" s="75"/>
      <c r="S850" s="75"/>
      <c r="T850" s="75"/>
      <c r="U850" s="89"/>
      <c r="V850" s="84"/>
      <c r="W850" s="84"/>
      <c r="X850" s="84"/>
      <c r="Y850" s="84"/>
      <c r="Z850" s="84"/>
    </row>
    <row r="851" spans="1:26" ht="15.75" customHeight="1">
      <c r="A851" s="83"/>
      <c r="B851" s="83"/>
      <c r="C851" s="83"/>
      <c r="D851" s="84"/>
      <c r="E851" s="84"/>
      <c r="F851" s="84"/>
      <c r="G851" s="83"/>
      <c r="H851" s="84"/>
      <c r="I851" s="84"/>
      <c r="J851" s="84"/>
      <c r="K851" s="84"/>
      <c r="L851" s="84"/>
      <c r="M851" s="84"/>
      <c r="N851" s="84"/>
      <c r="O851" s="84"/>
      <c r="P851" s="85"/>
      <c r="Q851" s="75"/>
      <c r="R851" s="75"/>
      <c r="S851" s="75"/>
      <c r="T851" s="75"/>
      <c r="U851" s="89"/>
      <c r="V851" s="84"/>
      <c r="W851" s="84"/>
      <c r="X851" s="84"/>
      <c r="Y851" s="84"/>
      <c r="Z851" s="84"/>
    </row>
    <row r="852" spans="1:26" ht="15.75" customHeight="1">
      <c r="A852" s="83"/>
      <c r="B852" s="83"/>
      <c r="C852" s="83"/>
      <c r="D852" s="84"/>
      <c r="E852" s="84"/>
      <c r="F852" s="84"/>
      <c r="G852" s="83"/>
      <c r="H852" s="84"/>
      <c r="I852" s="84"/>
      <c r="J852" s="84"/>
      <c r="K852" s="84"/>
      <c r="L852" s="84"/>
      <c r="M852" s="84"/>
      <c r="N852" s="84"/>
      <c r="O852" s="84"/>
      <c r="P852" s="85"/>
      <c r="Q852" s="75"/>
      <c r="R852" s="75"/>
      <c r="S852" s="75"/>
      <c r="T852" s="75"/>
      <c r="U852" s="89"/>
      <c r="V852" s="84"/>
      <c r="W852" s="84"/>
      <c r="X852" s="84"/>
      <c r="Y852" s="84"/>
      <c r="Z852" s="84"/>
    </row>
    <row r="853" spans="1:26" ht="15.75" customHeight="1">
      <c r="A853" s="83"/>
      <c r="B853" s="83"/>
      <c r="C853" s="83"/>
      <c r="D853" s="84"/>
      <c r="E853" s="84"/>
      <c r="F853" s="84"/>
      <c r="G853" s="83"/>
      <c r="H853" s="84"/>
      <c r="I853" s="84"/>
      <c r="J853" s="84"/>
      <c r="K853" s="84"/>
      <c r="L853" s="84"/>
      <c r="M853" s="84"/>
      <c r="N853" s="84"/>
      <c r="O853" s="84"/>
      <c r="P853" s="85"/>
      <c r="Q853" s="75"/>
      <c r="R853" s="75"/>
      <c r="S853" s="75"/>
      <c r="T853" s="75"/>
      <c r="U853" s="89"/>
      <c r="V853" s="84"/>
      <c r="W853" s="84"/>
      <c r="X853" s="84"/>
      <c r="Y853" s="84"/>
      <c r="Z853" s="84"/>
    </row>
    <row r="854" spans="1:26" ht="15.75" customHeight="1">
      <c r="A854" s="83"/>
      <c r="B854" s="83"/>
      <c r="C854" s="83"/>
      <c r="D854" s="84"/>
      <c r="E854" s="84"/>
      <c r="F854" s="84"/>
      <c r="G854" s="83"/>
      <c r="H854" s="84"/>
      <c r="I854" s="84"/>
      <c r="J854" s="84"/>
      <c r="K854" s="84"/>
      <c r="L854" s="84"/>
      <c r="M854" s="84"/>
      <c r="N854" s="84"/>
      <c r="O854" s="84"/>
      <c r="P854" s="85"/>
      <c r="Q854" s="75"/>
      <c r="R854" s="75"/>
      <c r="S854" s="75"/>
      <c r="T854" s="75"/>
      <c r="U854" s="89"/>
      <c r="V854" s="84"/>
      <c r="W854" s="84"/>
      <c r="X854" s="84"/>
      <c r="Y854" s="84"/>
      <c r="Z854" s="84"/>
    </row>
    <row r="855" spans="1:26" ht="15.75" customHeight="1">
      <c r="A855" s="83"/>
      <c r="B855" s="83"/>
      <c r="C855" s="83"/>
      <c r="D855" s="84"/>
      <c r="E855" s="84"/>
      <c r="F855" s="84"/>
      <c r="G855" s="83"/>
      <c r="H855" s="84"/>
      <c r="I855" s="84"/>
      <c r="J855" s="84"/>
      <c r="K855" s="84"/>
      <c r="L855" s="84"/>
      <c r="M855" s="84"/>
      <c r="N855" s="84"/>
      <c r="O855" s="84"/>
      <c r="P855" s="85"/>
      <c r="Q855" s="75"/>
      <c r="R855" s="75"/>
      <c r="S855" s="75"/>
      <c r="T855" s="75"/>
      <c r="U855" s="89"/>
      <c r="V855" s="84"/>
      <c r="W855" s="84"/>
      <c r="X855" s="84"/>
      <c r="Y855" s="84"/>
      <c r="Z855" s="84"/>
    </row>
    <row r="856" spans="1:26" ht="15.75" customHeight="1">
      <c r="A856" s="83"/>
      <c r="B856" s="83"/>
      <c r="C856" s="83"/>
      <c r="D856" s="84"/>
      <c r="E856" s="84"/>
      <c r="F856" s="84"/>
      <c r="G856" s="83"/>
      <c r="H856" s="84"/>
      <c r="I856" s="84"/>
      <c r="J856" s="84"/>
      <c r="K856" s="84"/>
      <c r="L856" s="84"/>
      <c r="M856" s="84"/>
      <c r="N856" s="84"/>
      <c r="O856" s="84"/>
      <c r="P856" s="85"/>
      <c r="Q856" s="75"/>
      <c r="R856" s="75"/>
      <c r="S856" s="75"/>
      <c r="T856" s="75"/>
      <c r="U856" s="89"/>
      <c r="V856" s="84"/>
      <c r="W856" s="84"/>
      <c r="X856" s="84"/>
      <c r="Y856" s="84"/>
      <c r="Z856" s="84"/>
    </row>
    <row r="857" spans="1:26" ht="15.75" customHeight="1">
      <c r="A857" s="83"/>
      <c r="B857" s="83"/>
      <c r="C857" s="83"/>
      <c r="D857" s="84"/>
      <c r="E857" s="84"/>
      <c r="F857" s="84"/>
      <c r="G857" s="83"/>
      <c r="H857" s="84"/>
      <c r="I857" s="84"/>
      <c r="J857" s="84"/>
      <c r="K857" s="84"/>
      <c r="L857" s="84"/>
      <c r="M857" s="84"/>
      <c r="N857" s="84"/>
      <c r="O857" s="84"/>
      <c r="P857" s="85"/>
      <c r="Q857" s="75"/>
      <c r="R857" s="75"/>
      <c r="S857" s="75"/>
      <c r="T857" s="75"/>
      <c r="U857" s="89"/>
      <c r="V857" s="84"/>
      <c r="W857" s="84"/>
      <c r="X857" s="84"/>
      <c r="Y857" s="84"/>
      <c r="Z857" s="84"/>
    </row>
    <row r="858" spans="1:26" ht="15.75" customHeight="1">
      <c r="A858" s="83"/>
      <c r="B858" s="83"/>
      <c r="C858" s="83"/>
      <c r="D858" s="84"/>
      <c r="E858" s="84"/>
      <c r="F858" s="84"/>
      <c r="G858" s="83"/>
      <c r="H858" s="84"/>
      <c r="I858" s="84"/>
      <c r="J858" s="84"/>
      <c r="K858" s="84"/>
      <c r="L858" s="84"/>
      <c r="M858" s="84"/>
      <c r="N858" s="84"/>
      <c r="O858" s="84"/>
      <c r="P858" s="85"/>
      <c r="Q858" s="75"/>
      <c r="R858" s="75"/>
      <c r="S858" s="75"/>
      <c r="T858" s="75"/>
      <c r="U858" s="89"/>
      <c r="V858" s="84"/>
      <c r="W858" s="84"/>
      <c r="X858" s="84"/>
      <c r="Y858" s="84"/>
      <c r="Z858" s="84"/>
    </row>
    <row r="859" spans="1:26" ht="15.75" customHeight="1">
      <c r="A859" s="83"/>
      <c r="B859" s="83"/>
      <c r="C859" s="83"/>
      <c r="D859" s="84"/>
      <c r="E859" s="84"/>
      <c r="F859" s="84"/>
      <c r="G859" s="83"/>
      <c r="H859" s="84"/>
      <c r="I859" s="84"/>
      <c r="J859" s="84"/>
      <c r="K859" s="84"/>
      <c r="L859" s="84"/>
      <c r="M859" s="84"/>
      <c r="N859" s="84"/>
      <c r="O859" s="84"/>
      <c r="P859" s="85"/>
      <c r="Q859" s="75"/>
      <c r="R859" s="75"/>
      <c r="S859" s="75"/>
      <c r="T859" s="75"/>
      <c r="U859" s="89"/>
      <c r="V859" s="84"/>
      <c r="W859" s="84"/>
      <c r="X859" s="84"/>
      <c r="Y859" s="84"/>
      <c r="Z859" s="84"/>
    </row>
    <row r="860" spans="1:26" ht="15.75" customHeight="1">
      <c r="A860" s="83"/>
      <c r="B860" s="83"/>
      <c r="C860" s="83"/>
      <c r="D860" s="84"/>
      <c r="E860" s="84"/>
      <c r="F860" s="84"/>
      <c r="G860" s="83"/>
      <c r="H860" s="84"/>
      <c r="I860" s="84"/>
      <c r="J860" s="84"/>
      <c r="K860" s="84"/>
      <c r="L860" s="84"/>
      <c r="M860" s="84"/>
      <c r="N860" s="84"/>
      <c r="O860" s="84"/>
      <c r="P860" s="85"/>
      <c r="Q860" s="75"/>
      <c r="R860" s="75"/>
      <c r="S860" s="75"/>
      <c r="T860" s="75"/>
      <c r="U860" s="89"/>
      <c r="V860" s="84"/>
      <c r="W860" s="84"/>
      <c r="X860" s="84"/>
      <c r="Y860" s="84"/>
      <c r="Z860" s="84"/>
    </row>
    <row r="861" spans="1:26" ht="15.75" customHeight="1">
      <c r="A861" s="83"/>
      <c r="B861" s="83"/>
      <c r="C861" s="83"/>
      <c r="D861" s="84"/>
      <c r="E861" s="84"/>
      <c r="F861" s="84"/>
      <c r="G861" s="83"/>
      <c r="H861" s="84"/>
      <c r="I861" s="84"/>
      <c r="J861" s="84"/>
      <c r="K861" s="84"/>
      <c r="L861" s="84"/>
      <c r="M861" s="84"/>
      <c r="N861" s="84"/>
      <c r="O861" s="84"/>
      <c r="P861" s="85"/>
      <c r="Q861" s="75"/>
      <c r="R861" s="75"/>
      <c r="S861" s="75"/>
      <c r="T861" s="75"/>
      <c r="U861" s="89"/>
      <c r="V861" s="84"/>
      <c r="W861" s="84"/>
      <c r="X861" s="84"/>
      <c r="Y861" s="84"/>
      <c r="Z861" s="84"/>
    </row>
    <row r="862" spans="1:26" ht="15.75" customHeight="1">
      <c r="A862" s="83"/>
      <c r="B862" s="83"/>
      <c r="C862" s="83"/>
      <c r="D862" s="84"/>
      <c r="E862" s="84"/>
      <c r="F862" s="84"/>
      <c r="G862" s="83"/>
      <c r="H862" s="84"/>
      <c r="I862" s="84"/>
      <c r="J862" s="84"/>
      <c r="K862" s="84"/>
      <c r="L862" s="84"/>
      <c r="M862" s="84"/>
      <c r="N862" s="84"/>
      <c r="O862" s="84"/>
      <c r="P862" s="85"/>
      <c r="Q862" s="75"/>
      <c r="R862" s="75"/>
      <c r="S862" s="75"/>
      <c r="T862" s="75"/>
      <c r="U862" s="89"/>
      <c r="V862" s="84"/>
      <c r="W862" s="84"/>
      <c r="X862" s="84"/>
      <c r="Y862" s="84"/>
      <c r="Z862" s="84"/>
    </row>
    <row r="863" spans="1:26" ht="15.75" customHeight="1">
      <c r="A863" s="83"/>
      <c r="B863" s="83"/>
      <c r="C863" s="83"/>
      <c r="D863" s="84"/>
      <c r="E863" s="84"/>
      <c r="F863" s="84"/>
      <c r="G863" s="83"/>
      <c r="H863" s="84"/>
      <c r="I863" s="84"/>
      <c r="J863" s="84"/>
      <c r="K863" s="84"/>
      <c r="L863" s="84"/>
      <c r="M863" s="84"/>
      <c r="N863" s="84"/>
      <c r="O863" s="84"/>
      <c r="P863" s="85"/>
      <c r="Q863" s="75"/>
      <c r="R863" s="75"/>
      <c r="S863" s="75"/>
      <c r="T863" s="75"/>
      <c r="U863" s="89"/>
      <c r="V863" s="84"/>
      <c r="W863" s="84"/>
      <c r="X863" s="84"/>
      <c r="Y863" s="84"/>
      <c r="Z863" s="84"/>
    </row>
    <row r="864" spans="1:26" ht="15.75" customHeight="1">
      <c r="A864" s="83"/>
      <c r="B864" s="83"/>
      <c r="C864" s="83"/>
      <c r="D864" s="84"/>
      <c r="E864" s="84"/>
      <c r="F864" s="84"/>
      <c r="G864" s="83"/>
      <c r="H864" s="84"/>
      <c r="I864" s="84"/>
      <c r="J864" s="84"/>
      <c r="K864" s="84"/>
      <c r="L864" s="84"/>
      <c r="M864" s="84"/>
      <c r="N864" s="84"/>
      <c r="O864" s="84"/>
      <c r="P864" s="85"/>
      <c r="Q864" s="75"/>
      <c r="R864" s="75"/>
      <c r="S864" s="75"/>
      <c r="T864" s="75"/>
      <c r="U864" s="89"/>
      <c r="V864" s="84"/>
      <c r="W864" s="84"/>
      <c r="X864" s="84"/>
      <c r="Y864" s="84"/>
      <c r="Z864" s="84"/>
    </row>
    <row r="865" spans="1:26" ht="15.75" customHeight="1">
      <c r="A865" s="83"/>
      <c r="B865" s="83"/>
      <c r="C865" s="83"/>
      <c r="D865" s="84"/>
      <c r="E865" s="84"/>
      <c r="F865" s="84"/>
      <c r="G865" s="83"/>
      <c r="H865" s="84"/>
      <c r="I865" s="84"/>
      <c r="J865" s="84"/>
      <c r="K865" s="84"/>
      <c r="L865" s="84"/>
      <c r="M865" s="84"/>
      <c r="N865" s="84"/>
      <c r="O865" s="84"/>
      <c r="P865" s="85"/>
      <c r="Q865" s="75"/>
      <c r="R865" s="75"/>
      <c r="S865" s="75"/>
      <c r="T865" s="75"/>
      <c r="U865" s="89"/>
      <c r="V865" s="84"/>
      <c r="W865" s="84"/>
      <c r="X865" s="84"/>
      <c r="Y865" s="84"/>
      <c r="Z865" s="84"/>
    </row>
    <row r="866" spans="1:26" ht="15.75" customHeight="1">
      <c r="A866" s="83"/>
      <c r="B866" s="83"/>
      <c r="C866" s="83"/>
      <c r="D866" s="84"/>
      <c r="E866" s="84"/>
      <c r="F866" s="84"/>
      <c r="G866" s="83"/>
      <c r="H866" s="84"/>
      <c r="I866" s="84"/>
      <c r="J866" s="84"/>
      <c r="K866" s="84"/>
      <c r="L866" s="84"/>
      <c r="M866" s="84"/>
      <c r="N866" s="84"/>
      <c r="O866" s="84"/>
      <c r="P866" s="85"/>
      <c r="Q866" s="75"/>
      <c r="R866" s="75"/>
      <c r="S866" s="75"/>
      <c r="T866" s="75"/>
      <c r="U866" s="89"/>
      <c r="V866" s="84"/>
      <c r="W866" s="84"/>
      <c r="X866" s="84"/>
      <c r="Y866" s="84"/>
      <c r="Z866" s="84"/>
    </row>
    <row r="867" spans="1:26" ht="15.75" customHeight="1">
      <c r="A867" s="83"/>
      <c r="B867" s="83"/>
      <c r="C867" s="83"/>
      <c r="D867" s="84"/>
      <c r="E867" s="84"/>
      <c r="F867" s="84"/>
      <c r="G867" s="83"/>
      <c r="H867" s="84"/>
      <c r="I867" s="84"/>
      <c r="J867" s="84"/>
      <c r="K867" s="84"/>
      <c r="L867" s="84"/>
      <c r="M867" s="84"/>
      <c r="N867" s="84"/>
      <c r="O867" s="84"/>
      <c r="P867" s="85"/>
      <c r="Q867" s="75"/>
      <c r="R867" s="75"/>
      <c r="S867" s="75"/>
      <c r="T867" s="75"/>
      <c r="U867" s="89"/>
      <c r="V867" s="84"/>
      <c r="W867" s="84"/>
      <c r="X867" s="84"/>
      <c r="Y867" s="84"/>
      <c r="Z867" s="84"/>
    </row>
    <row r="868" spans="1:26" ht="15.75" customHeight="1">
      <c r="A868" s="83"/>
      <c r="B868" s="83"/>
      <c r="C868" s="83"/>
      <c r="D868" s="84"/>
      <c r="E868" s="84"/>
      <c r="F868" s="84"/>
      <c r="G868" s="83"/>
      <c r="H868" s="84"/>
      <c r="I868" s="84"/>
      <c r="J868" s="84"/>
      <c r="K868" s="84"/>
      <c r="L868" s="84"/>
      <c r="M868" s="84"/>
      <c r="N868" s="84"/>
      <c r="O868" s="84"/>
      <c r="P868" s="85"/>
      <c r="Q868" s="75"/>
      <c r="R868" s="75"/>
      <c r="S868" s="75"/>
      <c r="T868" s="75"/>
      <c r="U868" s="89"/>
      <c r="V868" s="84"/>
      <c r="W868" s="84"/>
      <c r="X868" s="84"/>
      <c r="Y868" s="84"/>
      <c r="Z868" s="84"/>
    </row>
    <row r="869" spans="1:26" ht="15.75" customHeight="1">
      <c r="A869" s="83"/>
      <c r="B869" s="83"/>
      <c r="C869" s="83"/>
      <c r="D869" s="84"/>
      <c r="E869" s="84"/>
      <c r="F869" s="84"/>
      <c r="G869" s="83"/>
      <c r="H869" s="84"/>
      <c r="I869" s="84"/>
      <c r="J869" s="84"/>
      <c r="K869" s="84"/>
      <c r="L869" s="84"/>
      <c r="M869" s="84"/>
      <c r="N869" s="84"/>
      <c r="O869" s="84"/>
      <c r="P869" s="85"/>
      <c r="Q869" s="75"/>
      <c r="R869" s="75"/>
      <c r="S869" s="75"/>
      <c r="T869" s="75"/>
      <c r="U869" s="89"/>
      <c r="V869" s="84"/>
      <c r="W869" s="84"/>
      <c r="X869" s="84"/>
      <c r="Y869" s="84"/>
      <c r="Z869" s="84"/>
    </row>
    <row r="870" spans="1:26" ht="15.75" customHeight="1">
      <c r="A870" s="83"/>
      <c r="B870" s="83"/>
      <c r="C870" s="83"/>
      <c r="D870" s="84"/>
      <c r="E870" s="84"/>
      <c r="F870" s="84"/>
      <c r="G870" s="83"/>
      <c r="H870" s="84"/>
      <c r="I870" s="84"/>
      <c r="J870" s="84"/>
      <c r="K870" s="84"/>
      <c r="L870" s="84"/>
      <c r="M870" s="84"/>
      <c r="N870" s="84"/>
      <c r="O870" s="84"/>
      <c r="P870" s="85"/>
      <c r="Q870" s="75"/>
      <c r="R870" s="75"/>
      <c r="S870" s="75"/>
      <c r="T870" s="75"/>
      <c r="U870" s="89"/>
      <c r="V870" s="84"/>
      <c r="W870" s="84"/>
      <c r="X870" s="84"/>
      <c r="Y870" s="84"/>
      <c r="Z870" s="84"/>
    </row>
    <row r="871" spans="1:26" ht="15.75" customHeight="1">
      <c r="A871" s="83"/>
      <c r="B871" s="83"/>
      <c r="C871" s="83"/>
      <c r="D871" s="84"/>
      <c r="E871" s="84"/>
      <c r="F871" s="84"/>
      <c r="G871" s="83"/>
      <c r="H871" s="84"/>
      <c r="I871" s="84"/>
      <c r="J871" s="84"/>
      <c r="K871" s="84"/>
      <c r="L871" s="84"/>
      <c r="M871" s="84"/>
      <c r="N871" s="84"/>
      <c r="O871" s="84"/>
      <c r="P871" s="85"/>
      <c r="Q871" s="75"/>
      <c r="R871" s="75"/>
      <c r="S871" s="75"/>
      <c r="T871" s="75"/>
      <c r="U871" s="89"/>
      <c r="V871" s="84"/>
      <c r="W871" s="84"/>
      <c r="X871" s="84"/>
      <c r="Y871" s="84"/>
      <c r="Z871" s="84"/>
    </row>
    <row r="872" spans="1:26" ht="15.75" customHeight="1">
      <c r="A872" s="83"/>
      <c r="B872" s="83"/>
      <c r="C872" s="83"/>
      <c r="D872" s="84"/>
      <c r="E872" s="84"/>
      <c r="F872" s="84"/>
      <c r="G872" s="83"/>
      <c r="H872" s="84"/>
      <c r="I872" s="84"/>
      <c r="J872" s="84"/>
      <c r="K872" s="84"/>
      <c r="L872" s="84"/>
      <c r="M872" s="84"/>
      <c r="N872" s="84"/>
      <c r="O872" s="84"/>
      <c r="P872" s="85"/>
      <c r="Q872" s="75"/>
      <c r="R872" s="75"/>
      <c r="S872" s="75"/>
      <c r="T872" s="75"/>
      <c r="U872" s="89"/>
      <c r="V872" s="84"/>
      <c r="W872" s="84"/>
      <c r="X872" s="84"/>
      <c r="Y872" s="84"/>
      <c r="Z872" s="84"/>
    </row>
    <row r="873" spans="1:26" ht="15.75" customHeight="1">
      <c r="A873" s="83"/>
      <c r="B873" s="83"/>
      <c r="C873" s="83"/>
      <c r="D873" s="84"/>
      <c r="E873" s="84"/>
      <c r="F873" s="84"/>
      <c r="G873" s="83"/>
      <c r="H873" s="84"/>
      <c r="I873" s="84"/>
      <c r="J873" s="84"/>
      <c r="K873" s="84"/>
      <c r="L873" s="84"/>
      <c r="M873" s="84"/>
      <c r="N873" s="84"/>
      <c r="O873" s="84"/>
      <c r="P873" s="85"/>
      <c r="Q873" s="75"/>
      <c r="R873" s="75"/>
      <c r="S873" s="75"/>
      <c r="T873" s="75"/>
      <c r="U873" s="89"/>
      <c r="V873" s="84"/>
      <c r="W873" s="84"/>
      <c r="X873" s="84"/>
      <c r="Y873" s="84"/>
      <c r="Z873" s="84"/>
    </row>
    <row r="874" spans="1:26" ht="15.75" customHeight="1">
      <c r="A874" s="83"/>
      <c r="B874" s="83"/>
      <c r="C874" s="83"/>
      <c r="D874" s="84"/>
      <c r="E874" s="84"/>
      <c r="F874" s="84"/>
      <c r="G874" s="83"/>
      <c r="H874" s="84"/>
      <c r="I874" s="84"/>
      <c r="J874" s="84"/>
      <c r="K874" s="84"/>
      <c r="L874" s="84"/>
      <c r="M874" s="84"/>
      <c r="N874" s="84"/>
      <c r="O874" s="84"/>
      <c r="P874" s="85"/>
      <c r="Q874" s="75"/>
      <c r="R874" s="75"/>
      <c r="S874" s="75"/>
      <c r="T874" s="75"/>
      <c r="U874" s="89"/>
      <c r="V874" s="84"/>
      <c r="W874" s="84"/>
      <c r="X874" s="84"/>
      <c r="Y874" s="84"/>
      <c r="Z874" s="84"/>
    </row>
    <row r="875" spans="1:26" ht="15.75" customHeight="1">
      <c r="A875" s="83"/>
      <c r="B875" s="83"/>
      <c r="C875" s="83"/>
      <c r="D875" s="84"/>
      <c r="E875" s="84"/>
      <c r="F875" s="84"/>
      <c r="G875" s="83"/>
      <c r="H875" s="84"/>
      <c r="I875" s="84"/>
      <c r="J875" s="84"/>
      <c r="K875" s="84"/>
      <c r="L875" s="84"/>
      <c r="M875" s="84"/>
      <c r="N875" s="84"/>
      <c r="O875" s="84"/>
      <c r="P875" s="85"/>
      <c r="Q875" s="75"/>
      <c r="R875" s="75"/>
      <c r="S875" s="75"/>
      <c r="T875" s="75"/>
      <c r="U875" s="89"/>
      <c r="V875" s="84"/>
      <c r="W875" s="84"/>
      <c r="X875" s="84"/>
      <c r="Y875" s="84"/>
      <c r="Z875" s="84"/>
    </row>
    <row r="876" spans="1:26" ht="15.75" customHeight="1">
      <c r="A876" s="83"/>
      <c r="B876" s="83"/>
      <c r="C876" s="83"/>
      <c r="D876" s="84"/>
      <c r="E876" s="84"/>
      <c r="F876" s="84"/>
      <c r="G876" s="83"/>
      <c r="H876" s="84"/>
      <c r="I876" s="84"/>
      <c r="J876" s="84"/>
      <c r="K876" s="84"/>
      <c r="L876" s="84"/>
      <c r="M876" s="84"/>
      <c r="N876" s="84"/>
      <c r="O876" s="84"/>
      <c r="P876" s="85"/>
      <c r="Q876" s="75"/>
      <c r="R876" s="75"/>
      <c r="S876" s="75"/>
      <c r="T876" s="75"/>
      <c r="U876" s="89"/>
      <c r="V876" s="84"/>
      <c r="W876" s="84"/>
      <c r="X876" s="84"/>
      <c r="Y876" s="84"/>
      <c r="Z876" s="84"/>
    </row>
    <row r="877" spans="1:26" ht="15.75" customHeight="1">
      <c r="A877" s="83"/>
      <c r="B877" s="83"/>
      <c r="C877" s="83"/>
      <c r="D877" s="84"/>
      <c r="E877" s="84"/>
      <c r="F877" s="84"/>
      <c r="G877" s="83"/>
      <c r="H877" s="84"/>
      <c r="I877" s="84"/>
      <c r="J877" s="84"/>
      <c r="K877" s="84"/>
      <c r="L877" s="84"/>
      <c r="M877" s="84"/>
      <c r="N877" s="84"/>
      <c r="O877" s="84"/>
      <c r="P877" s="85"/>
      <c r="Q877" s="75"/>
      <c r="R877" s="75"/>
      <c r="S877" s="75"/>
      <c r="T877" s="75"/>
      <c r="U877" s="89"/>
      <c r="V877" s="84"/>
      <c r="W877" s="84"/>
      <c r="X877" s="84"/>
      <c r="Y877" s="84"/>
      <c r="Z877" s="84"/>
    </row>
    <row r="878" spans="1:26" ht="15.75" customHeight="1">
      <c r="A878" s="83"/>
      <c r="B878" s="83"/>
      <c r="C878" s="83"/>
      <c r="D878" s="84"/>
      <c r="E878" s="84"/>
      <c r="F878" s="84"/>
      <c r="G878" s="83"/>
      <c r="H878" s="84"/>
      <c r="I878" s="84"/>
      <c r="J878" s="84"/>
      <c r="K878" s="84"/>
      <c r="L878" s="84"/>
      <c r="M878" s="84"/>
      <c r="N878" s="84"/>
      <c r="O878" s="84"/>
      <c r="P878" s="85"/>
      <c r="Q878" s="75"/>
      <c r="R878" s="75"/>
      <c r="S878" s="75"/>
      <c r="T878" s="75"/>
      <c r="U878" s="89"/>
      <c r="V878" s="84"/>
      <c r="W878" s="84"/>
      <c r="X878" s="84"/>
      <c r="Y878" s="84"/>
      <c r="Z878" s="84"/>
    </row>
    <row r="879" spans="1:26" ht="15.75" customHeight="1">
      <c r="A879" s="83"/>
      <c r="B879" s="83"/>
      <c r="C879" s="83"/>
      <c r="D879" s="84"/>
      <c r="E879" s="84"/>
      <c r="F879" s="84"/>
      <c r="G879" s="83"/>
      <c r="H879" s="84"/>
      <c r="I879" s="84"/>
      <c r="J879" s="84"/>
      <c r="K879" s="84"/>
      <c r="L879" s="84"/>
      <c r="M879" s="84"/>
      <c r="N879" s="84"/>
      <c r="O879" s="84"/>
      <c r="P879" s="85"/>
      <c r="Q879" s="75"/>
      <c r="R879" s="75"/>
      <c r="S879" s="75"/>
      <c r="T879" s="75"/>
      <c r="U879" s="89"/>
      <c r="V879" s="84"/>
      <c r="W879" s="84"/>
      <c r="X879" s="84"/>
      <c r="Y879" s="84"/>
      <c r="Z879" s="84"/>
    </row>
    <row r="880" spans="1:26" ht="15.75" customHeight="1">
      <c r="A880" s="83"/>
      <c r="B880" s="83"/>
      <c r="C880" s="83"/>
      <c r="D880" s="84"/>
      <c r="E880" s="84"/>
      <c r="F880" s="84"/>
      <c r="G880" s="83"/>
      <c r="H880" s="84"/>
      <c r="I880" s="84"/>
      <c r="J880" s="84"/>
      <c r="K880" s="84"/>
      <c r="L880" s="84"/>
      <c r="M880" s="84"/>
      <c r="N880" s="84"/>
      <c r="O880" s="84"/>
      <c r="P880" s="85"/>
      <c r="Q880" s="75"/>
      <c r="R880" s="75"/>
      <c r="S880" s="75"/>
      <c r="T880" s="75"/>
      <c r="U880" s="89"/>
      <c r="V880" s="84"/>
      <c r="W880" s="84"/>
      <c r="X880" s="84"/>
      <c r="Y880" s="84"/>
      <c r="Z880" s="84"/>
    </row>
    <row r="881" spans="1:26" ht="15.75" customHeight="1">
      <c r="A881" s="83"/>
      <c r="B881" s="83"/>
      <c r="C881" s="83"/>
      <c r="D881" s="84"/>
      <c r="E881" s="84"/>
      <c r="F881" s="84"/>
      <c r="G881" s="83"/>
      <c r="H881" s="84"/>
      <c r="I881" s="84"/>
      <c r="J881" s="84"/>
      <c r="K881" s="84"/>
      <c r="L881" s="84"/>
      <c r="M881" s="84"/>
      <c r="N881" s="84"/>
      <c r="O881" s="84"/>
      <c r="P881" s="85"/>
      <c r="Q881" s="75"/>
      <c r="R881" s="75"/>
      <c r="S881" s="75"/>
      <c r="T881" s="75"/>
      <c r="U881" s="89"/>
      <c r="V881" s="84"/>
      <c r="W881" s="84"/>
      <c r="X881" s="84"/>
      <c r="Y881" s="84"/>
      <c r="Z881" s="84"/>
    </row>
    <row r="882" spans="1:26" ht="15.75" customHeight="1">
      <c r="A882" s="83"/>
      <c r="B882" s="83"/>
      <c r="C882" s="83"/>
      <c r="D882" s="84"/>
      <c r="E882" s="84"/>
      <c r="F882" s="84"/>
      <c r="G882" s="83"/>
      <c r="H882" s="84"/>
      <c r="I882" s="84"/>
      <c r="J882" s="84"/>
      <c r="K882" s="84"/>
      <c r="L882" s="84"/>
      <c r="M882" s="84"/>
      <c r="N882" s="84"/>
      <c r="O882" s="84"/>
      <c r="P882" s="85"/>
      <c r="Q882" s="75"/>
      <c r="R882" s="75"/>
      <c r="S882" s="75"/>
      <c r="T882" s="75"/>
      <c r="U882" s="89"/>
      <c r="V882" s="84"/>
      <c r="W882" s="84"/>
      <c r="X882" s="84"/>
      <c r="Y882" s="84"/>
      <c r="Z882" s="84"/>
    </row>
    <row r="883" spans="1:26" ht="15.75" customHeight="1">
      <c r="A883" s="83"/>
      <c r="B883" s="83"/>
      <c r="C883" s="83"/>
      <c r="D883" s="84"/>
      <c r="E883" s="84"/>
      <c r="F883" s="84"/>
      <c r="G883" s="83"/>
      <c r="H883" s="84"/>
      <c r="I883" s="84"/>
      <c r="J883" s="84"/>
      <c r="K883" s="84"/>
      <c r="L883" s="84"/>
      <c r="M883" s="84"/>
      <c r="N883" s="84"/>
      <c r="O883" s="84"/>
      <c r="P883" s="85"/>
      <c r="Q883" s="75"/>
      <c r="R883" s="75"/>
      <c r="S883" s="75"/>
      <c r="T883" s="75"/>
      <c r="U883" s="89"/>
      <c r="V883" s="84"/>
      <c r="W883" s="84"/>
      <c r="X883" s="84"/>
      <c r="Y883" s="84"/>
      <c r="Z883" s="84"/>
    </row>
    <row r="884" spans="1:26" ht="15.75" customHeight="1">
      <c r="A884" s="83"/>
      <c r="B884" s="83"/>
      <c r="C884" s="83"/>
      <c r="D884" s="84"/>
      <c r="E884" s="84"/>
      <c r="F884" s="84"/>
      <c r="G884" s="83"/>
      <c r="H884" s="84"/>
      <c r="I884" s="84"/>
      <c r="J884" s="84"/>
      <c r="K884" s="84"/>
      <c r="L884" s="84"/>
      <c r="M884" s="84"/>
      <c r="N884" s="84"/>
      <c r="O884" s="84"/>
      <c r="P884" s="85"/>
      <c r="Q884" s="75"/>
      <c r="R884" s="75"/>
      <c r="S884" s="75"/>
      <c r="T884" s="75"/>
      <c r="U884" s="89"/>
      <c r="V884" s="84"/>
      <c r="W884" s="84"/>
      <c r="X884" s="84"/>
      <c r="Y884" s="84"/>
      <c r="Z884" s="84"/>
    </row>
    <row r="885" spans="1:26" ht="15.75" customHeight="1">
      <c r="A885" s="83"/>
      <c r="B885" s="83"/>
      <c r="C885" s="83"/>
      <c r="D885" s="84"/>
      <c r="E885" s="84"/>
      <c r="F885" s="84"/>
      <c r="G885" s="83"/>
      <c r="H885" s="84"/>
      <c r="I885" s="84"/>
      <c r="J885" s="84"/>
      <c r="K885" s="84"/>
      <c r="L885" s="84"/>
      <c r="M885" s="84"/>
      <c r="N885" s="84"/>
      <c r="O885" s="84"/>
      <c r="P885" s="85"/>
      <c r="Q885" s="75"/>
      <c r="R885" s="75"/>
      <c r="S885" s="75"/>
      <c r="T885" s="75"/>
      <c r="U885" s="89"/>
      <c r="V885" s="84"/>
      <c r="W885" s="84"/>
      <c r="X885" s="84"/>
      <c r="Y885" s="84"/>
      <c r="Z885" s="84"/>
    </row>
    <row r="886" spans="1:26" ht="15.75" customHeight="1">
      <c r="A886" s="83"/>
      <c r="B886" s="83"/>
      <c r="C886" s="83"/>
      <c r="D886" s="84"/>
      <c r="E886" s="84"/>
      <c r="F886" s="84"/>
      <c r="G886" s="83"/>
      <c r="H886" s="84"/>
      <c r="I886" s="84"/>
      <c r="J886" s="84"/>
      <c r="K886" s="84"/>
      <c r="L886" s="84"/>
      <c r="M886" s="84"/>
      <c r="N886" s="84"/>
      <c r="O886" s="84"/>
      <c r="P886" s="85"/>
      <c r="Q886" s="75"/>
      <c r="R886" s="75"/>
      <c r="S886" s="75"/>
      <c r="T886" s="75"/>
      <c r="U886" s="89"/>
      <c r="V886" s="84"/>
      <c r="W886" s="84"/>
      <c r="X886" s="84"/>
      <c r="Y886" s="84"/>
      <c r="Z886" s="84"/>
    </row>
    <row r="887" spans="1:26" ht="15.75" customHeight="1">
      <c r="A887" s="83"/>
      <c r="B887" s="83"/>
      <c r="C887" s="83"/>
      <c r="D887" s="84"/>
      <c r="E887" s="84"/>
      <c r="F887" s="84"/>
      <c r="G887" s="83"/>
      <c r="H887" s="84"/>
      <c r="I887" s="84"/>
      <c r="J887" s="84"/>
      <c r="K887" s="84"/>
      <c r="L887" s="84"/>
      <c r="M887" s="84"/>
      <c r="N887" s="84"/>
      <c r="O887" s="84"/>
      <c r="P887" s="85"/>
      <c r="Q887" s="75"/>
      <c r="R887" s="75"/>
      <c r="S887" s="75"/>
      <c r="T887" s="75"/>
      <c r="U887" s="89"/>
      <c r="V887" s="84"/>
      <c r="W887" s="84"/>
      <c r="X887" s="84"/>
      <c r="Y887" s="84"/>
      <c r="Z887" s="84"/>
    </row>
    <row r="888" spans="1:26" ht="15.75" customHeight="1">
      <c r="A888" s="83"/>
      <c r="B888" s="83"/>
      <c r="C888" s="83"/>
      <c r="D888" s="84"/>
      <c r="E888" s="84"/>
      <c r="F888" s="84"/>
      <c r="G888" s="83"/>
      <c r="H888" s="84"/>
      <c r="I888" s="84"/>
      <c r="J888" s="84"/>
      <c r="K888" s="84"/>
      <c r="L888" s="84"/>
      <c r="M888" s="84"/>
      <c r="N888" s="84"/>
      <c r="O888" s="84"/>
      <c r="P888" s="85"/>
      <c r="Q888" s="75"/>
      <c r="R888" s="75"/>
      <c r="S888" s="75"/>
      <c r="T888" s="75"/>
      <c r="U888" s="89"/>
      <c r="V888" s="84"/>
      <c r="W888" s="84"/>
      <c r="X888" s="84"/>
      <c r="Y888" s="84"/>
      <c r="Z888" s="84"/>
    </row>
    <row r="889" spans="1:26" ht="15.75" customHeight="1">
      <c r="A889" s="83"/>
      <c r="B889" s="83"/>
      <c r="C889" s="83"/>
      <c r="D889" s="84"/>
      <c r="E889" s="84"/>
      <c r="F889" s="84"/>
      <c r="G889" s="83"/>
      <c r="H889" s="84"/>
      <c r="I889" s="84"/>
      <c r="J889" s="84"/>
      <c r="K889" s="84"/>
      <c r="L889" s="84"/>
      <c r="M889" s="84"/>
      <c r="N889" s="84"/>
      <c r="O889" s="84"/>
      <c r="P889" s="85"/>
      <c r="Q889" s="75"/>
      <c r="R889" s="75"/>
      <c r="S889" s="75"/>
      <c r="T889" s="75"/>
      <c r="U889" s="89"/>
      <c r="V889" s="84"/>
      <c r="W889" s="84"/>
      <c r="X889" s="84"/>
      <c r="Y889" s="84"/>
      <c r="Z889" s="84"/>
    </row>
    <row r="890" spans="1:26" ht="15.75" customHeight="1">
      <c r="A890" s="83"/>
      <c r="B890" s="83"/>
      <c r="C890" s="83"/>
      <c r="D890" s="84"/>
      <c r="E890" s="84"/>
      <c r="F890" s="84"/>
      <c r="G890" s="83"/>
      <c r="H890" s="84"/>
      <c r="I890" s="84"/>
      <c r="J890" s="84"/>
      <c r="K890" s="84"/>
      <c r="L890" s="84"/>
      <c r="M890" s="84"/>
      <c r="N890" s="84"/>
      <c r="O890" s="84"/>
      <c r="P890" s="85"/>
      <c r="Q890" s="75"/>
      <c r="R890" s="75"/>
      <c r="S890" s="75"/>
      <c r="T890" s="75"/>
      <c r="U890" s="89"/>
      <c r="V890" s="84"/>
      <c r="W890" s="84"/>
      <c r="X890" s="84"/>
      <c r="Y890" s="84"/>
      <c r="Z890" s="84"/>
    </row>
    <row r="891" spans="1:26" ht="15.75" customHeight="1">
      <c r="A891" s="83"/>
      <c r="B891" s="83"/>
      <c r="C891" s="83"/>
      <c r="D891" s="84"/>
      <c r="E891" s="84"/>
      <c r="F891" s="84"/>
      <c r="G891" s="83"/>
      <c r="H891" s="84"/>
      <c r="I891" s="84"/>
      <c r="J891" s="84"/>
      <c r="K891" s="84"/>
      <c r="L891" s="84"/>
      <c r="M891" s="84"/>
      <c r="N891" s="84"/>
      <c r="O891" s="84"/>
      <c r="P891" s="85"/>
      <c r="Q891" s="75"/>
      <c r="R891" s="75"/>
      <c r="S891" s="75"/>
      <c r="T891" s="75"/>
      <c r="U891" s="89"/>
      <c r="V891" s="84"/>
      <c r="W891" s="84"/>
      <c r="X891" s="84"/>
      <c r="Y891" s="84"/>
      <c r="Z891" s="84"/>
    </row>
    <row r="892" spans="1:26" ht="15.75" customHeight="1">
      <c r="A892" s="83"/>
      <c r="B892" s="83"/>
      <c r="C892" s="83"/>
      <c r="D892" s="84"/>
      <c r="E892" s="84"/>
      <c r="F892" s="84"/>
      <c r="G892" s="83"/>
      <c r="H892" s="84"/>
      <c r="I892" s="84"/>
      <c r="J892" s="84"/>
      <c r="K892" s="84"/>
      <c r="L892" s="84"/>
      <c r="M892" s="84"/>
      <c r="N892" s="84"/>
      <c r="O892" s="84"/>
      <c r="P892" s="85"/>
      <c r="Q892" s="75"/>
      <c r="R892" s="75"/>
      <c r="S892" s="75"/>
      <c r="T892" s="75"/>
      <c r="U892" s="89"/>
      <c r="V892" s="84"/>
      <c r="W892" s="84"/>
      <c r="X892" s="84"/>
      <c r="Y892" s="84"/>
      <c r="Z892" s="84"/>
    </row>
    <row r="893" spans="1:26" ht="15.75" customHeight="1">
      <c r="A893" s="83"/>
      <c r="B893" s="83"/>
      <c r="C893" s="83"/>
      <c r="D893" s="84"/>
      <c r="E893" s="84"/>
      <c r="F893" s="84"/>
      <c r="G893" s="83"/>
      <c r="H893" s="84"/>
      <c r="I893" s="84"/>
      <c r="J893" s="84"/>
      <c r="K893" s="84"/>
      <c r="L893" s="84"/>
      <c r="M893" s="84"/>
      <c r="N893" s="84"/>
      <c r="O893" s="84"/>
      <c r="P893" s="85"/>
      <c r="Q893" s="75"/>
      <c r="R893" s="75"/>
      <c r="S893" s="75"/>
      <c r="T893" s="75"/>
      <c r="U893" s="89"/>
      <c r="V893" s="84"/>
      <c r="W893" s="84"/>
      <c r="X893" s="84"/>
      <c r="Y893" s="84"/>
      <c r="Z893" s="84"/>
    </row>
    <row r="894" spans="1:26" ht="15.75" customHeight="1">
      <c r="A894" s="83"/>
      <c r="B894" s="83"/>
      <c r="C894" s="83"/>
      <c r="D894" s="84"/>
      <c r="E894" s="84"/>
      <c r="F894" s="84"/>
      <c r="G894" s="83"/>
      <c r="H894" s="84"/>
      <c r="I894" s="84"/>
      <c r="J894" s="84"/>
      <c r="K894" s="84"/>
      <c r="L894" s="84"/>
      <c r="M894" s="84"/>
      <c r="N894" s="84"/>
      <c r="O894" s="84"/>
      <c r="P894" s="85"/>
      <c r="Q894" s="75"/>
      <c r="R894" s="75"/>
      <c r="S894" s="75"/>
      <c r="T894" s="75"/>
      <c r="U894" s="89"/>
      <c r="V894" s="84"/>
      <c r="W894" s="84"/>
      <c r="X894" s="84"/>
      <c r="Y894" s="84"/>
      <c r="Z894" s="84"/>
    </row>
    <row r="895" spans="1:26" ht="15.75" customHeight="1">
      <c r="A895" s="83"/>
      <c r="B895" s="83"/>
      <c r="C895" s="83"/>
      <c r="D895" s="84"/>
      <c r="E895" s="84"/>
      <c r="F895" s="84"/>
      <c r="G895" s="83"/>
      <c r="H895" s="84"/>
      <c r="I895" s="84"/>
      <c r="J895" s="84"/>
      <c r="K895" s="84"/>
      <c r="L895" s="84"/>
      <c r="M895" s="84"/>
      <c r="N895" s="84"/>
      <c r="O895" s="84"/>
      <c r="P895" s="85"/>
      <c r="Q895" s="75"/>
      <c r="R895" s="75"/>
      <c r="S895" s="75"/>
      <c r="T895" s="75"/>
      <c r="U895" s="89"/>
      <c r="V895" s="84"/>
      <c r="W895" s="84"/>
      <c r="X895" s="84"/>
      <c r="Y895" s="84"/>
      <c r="Z895" s="84"/>
    </row>
    <row r="896" spans="1:26" ht="15.75" customHeight="1">
      <c r="A896" s="83"/>
      <c r="B896" s="83"/>
      <c r="C896" s="83"/>
      <c r="D896" s="84"/>
      <c r="E896" s="84"/>
      <c r="F896" s="84"/>
      <c r="G896" s="83"/>
      <c r="H896" s="84"/>
      <c r="I896" s="84"/>
      <c r="J896" s="84"/>
      <c r="K896" s="84"/>
      <c r="L896" s="84"/>
      <c r="M896" s="84"/>
      <c r="N896" s="84"/>
      <c r="O896" s="84"/>
      <c r="P896" s="85"/>
      <c r="Q896" s="75"/>
      <c r="R896" s="75"/>
      <c r="S896" s="75"/>
      <c r="T896" s="75"/>
      <c r="U896" s="89"/>
      <c r="V896" s="84"/>
      <c r="W896" s="84"/>
      <c r="X896" s="84"/>
      <c r="Y896" s="84"/>
      <c r="Z896" s="84"/>
    </row>
    <row r="897" spans="1:26" ht="15.75" customHeight="1">
      <c r="A897" s="83"/>
      <c r="B897" s="83"/>
      <c r="C897" s="83"/>
      <c r="D897" s="84"/>
      <c r="E897" s="84"/>
      <c r="F897" s="84"/>
      <c r="G897" s="83"/>
      <c r="H897" s="84"/>
      <c r="I897" s="84"/>
      <c r="J897" s="84"/>
      <c r="K897" s="84"/>
      <c r="L897" s="84"/>
      <c r="M897" s="84"/>
      <c r="N897" s="84"/>
      <c r="O897" s="84"/>
      <c r="P897" s="85"/>
      <c r="Q897" s="75"/>
      <c r="R897" s="75"/>
      <c r="S897" s="75"/>
      <c r="T897" s="75"/>
      <c r="U897" s="89"/>
      <c r="V897" s="84"/>
      <c r="W897" s="84"/>
      <c r="X897" s="84"/>
      <c r="Y897" s="84"/>
      <c r="Z897" s="84"/>
    </row>
    <row r="898" spans="1:26" ht="15.75" customHeight="1">
      <c r="A898" s="83"/>
      <c r="B898" s="83"/>
      <c r="C898" s="83"/>
      <c r="D898" s="84"/>
      <c r="E898" s="84"/>
      <c r="F898" s="84"/>
      <c r="G898" s="83"/>
      <c r="H898" s="84"/>
      <c r="I898" s="84"/>
      <c r="J898" s="84"/>
      <c r="K898" s="84"/>
      <c r="L898" s="84"/>
      <c r="M898" s="84"/>
      <c r="N898" s="84"/>
      <c r="O898" s="84"/>
      <c r="P898" s="85"/>
      <c r="Q898" s="75"/>
      <c r="R898" s="75"/>
      <c r="S898" s="75"/>
      <c r="T898" s="75"/>
      <c r="U898" s="89"/>
      <c r="V898" s="84"/>
      <c r="W898" s="84"/>
      <c r="X898" s="84"/>
      <c r="Y898" s="84"/>
      <c r="Z898" s="84"/>
    </row>
    <row r="899" spans="1:26" ht="15.75" customHeight="1">
      <c r="A899" s="83"/>
      <c r="B899" s="83"/>
      <c r="C899" s="83"/>
      <c r="D899" s="84"/>
      <c r="E899" s="84"/>
      <c r="F899" s="84"/>
      <c r="G899" s="83"/>
      <c r="H899" s="84"/>
      <c r="I899" s="84"/>
      <c r="J899" s="84"/>
      <c r="K899" s="84"/>
      <c r="L899" s="84"/>
      <c r="M899" s="84"/>
      <c r="N899" s="84"/>
      <c r="O899" s="84"/>
      <c r="P899" s="85"/>
      <c r="Q899" s="75"/>
      <c r="R899" s="75"/>
      <c r="S899" s="75"/>
      <c r="T899" s="75"/>
      <c r="U899" s="89"/>
      <c r="V899" s="84"/>
      <c r="W899" s="84"/>
      <c r="X899" s="84"/>
      <c r="Y899" s="84"/>
      <c r="Z899" s="84"/>
    </row>
    <row r="900" spans="1:26" ht="15.75" customHeight="1">
      <c r="A900" s="83"/>
      <c r="B900" s="83"/>
      <c r="C900" s="83"/>
      <c r="D900" s="84"/>
      <c r="E900" s="84"/>
      <c r="F900" s="84"/>
      <c r="G900" s="83"/>
      <c r="H900" s="84"/>
      <c r="I900" s="84"/>
      <c r="J900" s="84"/>
      <c r="K900" s="84"/>
      <c r="L900" s="84"/>
      <c r="M900" s="84"/>
      <c r="N900" s="84"/>
      <c r="O900" s="84"/>
      <c r="P900" s="85"/>
      <c r="Q900" s="75"/>
      <c r="R900" s="75"/>
      <c r="S900" s="75"/>
      <c r="T900" s="75"/>
      <c r="U900" s="89"/>
      <c r="V900" s="84"/>
      <c r="W900" s="84"/>
      <c r="X900" s="84"/>
      <c r="Y900" s="84"/>
      <c r="Z900" s="84"/>
    </row>
    <row r="901" spans="1:26" ht="15.75" customHeight="1">
      <c r="A901" s="83"/>
      <c r="B901" s="83"/>
      <c r="C901" s="83"/>
      <c r="D901" s="84"/>
      <c r="E901" s="84"/>
      <c r="F901" s="84"/>
      <c r="G901" s="83"/>
      <c r="H901" s="84"/>
      <c r="I901" s="84"/>
      <c r="J901" s="84"/>
      <c r="K901" s="84"/>
      <c r="L901" s="84"/>
      <c r="M901" s="84"/>
      <c r="N901" s="84"/>
      <c r="O901" s="84"/>
      <c r="P901" s="85"/>
      <c r="Q901" s="75"/>
      <c r="R901" s="75"/>
      <c r="S901" s="75"/>
      <c r="T901" s="75"/>
      <c r="U901" s="89"/>
      <c r="V901" s="84"/>
      <c r="W901" s="84"/>
      <c r="X901" s="84"/>
      <c r="Y901" s="84"/>
      <c r="Z901" s="84"/>
    </row>
    <row r="902" spans="1:26" ht="15.75" customHeight="1">
      <c r="A902" s="83"/>
      <c r="B902" s="83"/>
      <c r="C902" s="83"/>
      <c r="D902" s="84"/>
      <c r="E902" s="84"/>
      <c r="F902" s="84"/>
      <c r="G902" s="83"/>
      <c r="H902" s="84"/>
      <c r="I902" s="84"/>
      <c r="J902" s="84"/>
      <c r="K902" s="84"/>
      <c r="L902" s="84"/>
      <c r="M902" s="84"/>
      <c r="N902" s="84"/>
      <c r="O902" s="84"/>
      <c r="P902" s="85"/>
      <c r="Q902" s="75"/>
      <c r="R902" s="75"/>
      <c r="S902" s="75"/>
      <c r="T902" s="75"/>
      <c r="U902" s="89"/>
      <c r="V902" s="84"/>
      <c r="W902" s="84"/>
      <c r="X902" s="84"/>
      <c r="Y902" s="84"/>
      <c r="Z902" s="84"/>
    </row>
    <row r="903" spans="1:26" ht="15.75" customHeight="1">
      <c r="A903" s="83"/>
      <c r="B903" s="83"/>
      <c r="C903" s="83"/>
      <c r="D903" s="84"/>
      <c r="E903" s="84"/>
      <c r="F903" s="84"/>
      <c r="G903" s="83"/>
      <c r="H903" s="84"/>
      <c r="I903" s="84"/>
      <c r="J903" s="84"/>
      <c r="K903" s="84"/>
      <c r="L903" s="84"/>
      <c r="M903" s="84"/>
      <c r="N903" s="84"/>
      <c r="O903" s="84"/>
      <c r="P903" s="85"/>
      <c r="Q903" s="75"/>
      <c r="R903" s="75"/>
      <c r="S903" s="75"/>
      <c r="T903" s="75"/>
      <c r="U903" s="89"/>
      <c r="V903" s="84"/>
      <c r="W903" s="84"/>
      <c r="X903" s="84"/>
      <c r="Y903" s="84"/>
      <c r="Z903" s="84"/>
    </row>
    <row r="904" spans="1:26" ht="15.75" customHeight="1">
      <c r="A904" s="83"/>
      <c r="B904" s="83"/>
      <c r="C904" s="83"/>
      <c r="D904" s="84"/>
      <c r="E904" s="84"/>
      <c r="F904" s="84"/>
      <c r="G904" s="83"/>
      <c r="H904" s="84"/>
      <c r="I904" s="84"/>
      <c r="J904" s="84"/>
      <c r="K904" s="84"/>
      <c r="L904" s="84"/>
      <c r="M904" s="84"/>
      <c r="N904" s="84"/>
      <c r="O904" s="84"/>
      <c r="P904" s="85"/>
      <c r="Q904" s="75"/>
      <c r="R904" s="75"/>
      <c r="S904" s="75"/>
      <c r="T904" s="75"/>
      <c r="U904" s="89"/>
      <c r="V904" s="84"/>
      <c r="W904" s="84"/>
      <c r="X904" s="84"/>
      <c r="Y904" s="84"/>
      <c r="Z904" s="84"/>
    </row>
    <row r="905" spans="1:26" ht="15.75" customHeight="1">
      <c r="A905" s="83"/>
      <c r="B905" s="83"/>
      <c r="C905" s="83"/>
      <c r="D905" s="84"/>
      <c r="E905" s="84"/>
      <c r="F905" s="84"/>
      <c r="G905" s="83"/>
      <c r="H905" s="84"/>
      <c r="I905" s="84"/>
      <c r="J905" s="84"/>
      <c r="K905" s="84"/>
      <c r="L905" s="84"/>
      <c r="M905" s="84"/>
      <c r="N905" s="84"/>
      <c r="O905" s="84"/>
      <c r="P905" s="85"/>
      <c r="Q905" s="75"/>
      <c r="R905" s="75"/>
      <c r="S905" s="75"/>
      <c r="T905" s="75"/>
      <c r="U905" s="89"/>
      <c r="V905" s="84"/>
      <c r="W905" s="84"/>
      <c r="X905" s="84"/>
      <c r="Y905" s="84"/>
      <c r="Z905" s="84"/>
    </row>
    <row r="906" spans="1:26" ht="15.75" customHeight="1">
      <c r="A906" s="83"/>
      <c r="B906" s="83"/>
      <c r="C906" s="83"/>
      <c r="D906" s="84"/>
      <c r="E906" s="84"/>
      <c r="F906" s="84"/>
      <c r="G906" s="83"/>
      <c r="H906" s="84"/>
      <c r="I906" s="84"/>
      <c r="J906" s="84"/>
      <c r="K906" s="84"/>
      <c r="L906" s="84"/>
      <c r="M906" s="84"/>
      <c r="N906" s="84"/>
      <c r="O906" s="84"/>
      <c r="P906" s="85"/>
      <c r="Q906" s="75"/>
      <c r="R906" s="75"/>
      <c r="S906" s="75"/>
      <c r="T906" s="75"/>
      <c r="U906" s="89"/>
      <c r="V906" s="84"/>
      <c r="W906" s="84"/>
      <c r="X906" s="84"/>
      <c r="Y906" s="84"/>
      <c r="Z906" s="84"/>
    </row>
    <row r="907" spans="1:26" ht="15.75" customHeight="1">
      <c r="A907" s="83"/>
      <c r="B907" s="83"/>
      <c r="C907" s="83"/>
      <c r="D907" s="84"/>
      <c r="E907" s="84"/>
      <c r="F907" s="84"/>
      <c r="G907" s="83"/>
      <c r="H907" s="84"/>
      <c r="I907" s="84"/>
      <c r="J907" s="84"/>
      <c r="K907" s="84"/>
      <c r="L907" s="84"/>
      <c r="M907" s="84"/>
      <c r="N907" s="84"/>
      <c r="O907" s="84"/>
      <c r="P907" s="85"/>
      <c r="Q907" s="75"/>
      <c r="R907" s="75"/>
      <c r="S907" s="75"/>
      <c r="T907" s="75"/>
      <c r="U907" s="89"/>
      <c r="V907" s="84"/>
      <c r="W907" s="84"/>
      <c r="X907" s="84"/>
      <c r="Y907" s="84"/>
      <c r="Z907" s="84"/>
    </row>
    <row r="908" spans="1:26" ht="15.75" customHeight="1">
      <c r="A908" s="83"/>
      <c r="B908" s="83"/>
      <c r="C908" s="83"/>
      <c r="D908" s="84"/>
      <c r="E908" s="84"/>
      <c r="F908" s="84"/>
      <c r="G908" s="83"/>
      <c r="H908" s="84"/>
      <c r="I908" s="84"/>
      <c r="J908" s="84"/>
      <c r="K908" s="84"/>
      <c r="L908" s="84"/>
      <c r="M908" s="84"/>
      <c r="N908" s="84"/>
      <c r="O908" s="84"/>
      <c r="P908" s="85"/>
      <c r="Q908" s="75"/>
      <c r="R908" s="75"/>
      <c r="S908" s="75"/>
      <c r="T908" s="75"/>
      <c r="U908" s="89"/>
      <c r="V908" s="84"/>
      <c r="W908" s="84"/>
      <c r="X908" s="84"/>
      <c r="Y908" s="84"/>
      <c r="Z908" s="84"/>
    </row>
    <row r="909" spans="1:26" ht="15.75" customHeight="1">
      <c r="A909" s="83"/>
      <c r="B909" s="83"/>
      <c r="C909" s="83"/>
      <c r="D909" s="84"/>
      <c r="E909" s="84"/>
      <c r="F909" s="84"/>
      <c r="G909" s="83"/>
      <c r="H909" s="84"/>
      <c r="I909" s="84"/>
      <c r="J909" s="84"/>
      <c r="K909" s="84"/>
      <c r="L909" s="84"/>
      <c r="M909" s="84"/>
      <c r="N909" s="84"/>
      <c r="O909" s="84"/>
      <c r="P909" s="85"/>
      <c r="Q909" s="75"/>
      <c r="R909" s="75"/>
      <c r="S909" s="75"/>
      <c r="T909" s="75"/>
      <c r="U909" s="89"/>
      <c r="V909" s="84"/>
      <c r="W909" s="84"/>
      <c r="X909" s="84"/>
      <c r="Y909" s="84"/>
      <c r="Z909" s="84"/>
    </row>
    <row r="910" spans="1:26" ht="15.75" customHeight="1">
      <c r="A910" s="83"/>
      <c r="B910" s="83"/>
      <c r="C910" s="83"/>
      <c r="D910" s="84"/>
      <c r="E910" s="84"/>
      <c r="F910" s="84"/>
      <c r="G910" s="83"/>
      <c r="H910" s="84"/>
      <c r="I910" s="84"/>
      <c r="J910" s="84"/>
      <c r="K910" s="84"/>
      <c r="L910" s="84"/>
      <c r="M910" s="84"/>
      <c r="N910" s="84"/>
      <c r="O910" s="84"/>
      <c r="P910" s="85"/>
      <c r="Q910" s="75"/>
      <c r="R910" s="75"/>
      <c r="S910" s="75"/>
      <c r="T910" s="75"/>
      <c r="U910" s="89"/>
      <c r="V910" s="84"/>
      <c r="W910" s="84"/>
      <c r="X910" s="84"/>
      <c r="Y910" s="84"/>
      <c r="Z910" s="84"/>
    </row>
    <row r="911" spans="1:26" ht="15.75" customHeight="1">
      <c r="A911" s="83"/>
      <c r="B911" s="83"/>
      <c r="C911" s="83"/>
      <c r="D911" s="84"/>
      <c r="E911" s="84"/>
      <c r="F911" s="84"/>
      <c r="G911" s="83"/>
      <c r="H911" s="84"/>
      <c r="I911" s="84"/>
      <c r="J911" s="84"/>
      <c r="K911" s="84"/>
      <c r="L911" s="84"/>
      <c r="M911" s="84"/>
      <c r="N911" s="84"/>
      <c r="O911" s="84"/>
      <c r="P911" s="85"/>
      <c r="Q911" s="75"/>
      <c r="R911" s="75"/>
      <c r="S911" s="75"/>
      <c r="T911" s="75"/>
      <c r="U911" s="89"/>
      <c r="V911" s="84"/>
      <c r="W911" s="84"/>
      <c r="X911" s="84"/>
      <c r="Y911" s="84"/>
      <c r="Z911" s="84"/>
    </row>
    <row r="912" spans="1:26" ht="15.75" customHeight="1">
      <c r="A912" s="83"/>
      <c r="B912" s="83"/>
      <c r="C912" s="83"/>
      <c r="D912" s="84"/>
      <c r="E912" s="84"/>
      <c r="F912" s="84"/>
      <c r="G912" s="83"/>
      <c r="H912" s="84"/>
      <c r="I912" s="84"/>
      <c r="J912" s="84"/>
      <c r="K912" s="84"/>
      <c r="L912" s="84"/>
      <c r="M912" s="84"/>
      <c r="N912" s="84"/>
      <c r="O912" s="84"/>
      <c r="P912" s="85"/>
      <c r="Q912" s="75"/>
      <c r="R912" s="75"/>
      <c r="S912" s="75"/>
      <c r="T912" s="75"/>
      <c r="U912" s="89"/>
      <c r="V912" s="84"/>
      <c r="W912" s="84"/>
      <c r="X912" s="84"/>
      <c r="Y912" s="84"/>
      <c r="Z912" s="84"/>
    </row>
    <row r="913" spans="1:26" ht="15.75" customHeight="1">
      <c r="A913" s="83"/>
      <c r="B913" s="83"/>
      <c r="C913" s="83"/>
      <c r="D913" s="84"/>
      <c r="E913" s="84"/>
      <c r="F913" s="84"/>
      <c r="G913" s="83"/>
      <c r="H913" s="84"/>
      <c r="I913" s="84"/>
      <c r="J913" s="84"/>
      <c r="K913" s="84"/>
      <c r="L913" s="84"/>
      <c r="M913" s="84"/>
      <c r="N913" s="84"/>
      <c r="O913" s="84"/>
      <c r="P913" s="85"/>
      <c r="Q913" s="75"/>
      <c r="R913" s="75"/>
      <c r="S913" s="75"/>
      <c r="T913" s="75"/>
      <c r="U913" s="89"/>
      <c r="V913" s="84"/>
      <c r="W913" s="84"/>
      <c r="X913" s="84"/>
      <c r="Y913" s="84"/>
      <c r="Z913" s="84"/>
    </row>
    <row r="914" spans="1:26" ht="15.75" customHeight="1">
      <c r="A914" s="83"/>
      <c r="B914" s="83"/>
      <c r="C914" s="83"/>
      <c r="D914" s="84"/>
      <c r="E914" s="84"/>
      <c r="F914" s="84"/>
      <c r="G914" s="83"/>
      <c r="H914" s="84"/>
      <c r="I914" s="84"/>
      <c r="J914" s="84"/>
      <c r="K914" s="84"/>
      <c r="L914" s="84"/>
      <c r="M914" s="84"/>
      <c r="N914" s="84"/>
      <c r="O914" s="84"/>
      <c r="P914" s="85"/>
      <c r="Q914" s="75"/>
      <c r="R914" s="75"/>
      <c r="S914" s="75"/>
      <c r="T914" s="75"/>
      <c r="U914" s="89"/>
      <c r="V914" s="84"/>
      <c r="W914" s="84"/>
      <c r="X914" s="84"/>
      <c r="Y914" s="84"/>
      <c r="Z914" s="84"/>
    </row>
    <row r="915" spans="1:26" ht="15.75" customHeight="1">
      <c r="A915" s="83"/>
      <c r="B915" s="83"/>
      <c r="C915" s="83"/>
      <c r="D915" s="84"/>
      <c r="E915" s="84"/>
      <c r="F915" s="84"/>
      <c r="G915" s="83"/>
      <c r="H915" s="84"/>
      <c r="I915" s="84"/>
      <c r="J915" s="84"/>
      <c r="K915" s="84"/>
      <c r="L915" s="84"/>
      <c r="M915" s="84"/>
      <c r="N915" s="84"/>
      <c r="O915" s="84"/>
      <c r="P915" s="85"/>
      <c r="Q915" s="75"/>
      <c r="R915" s="75"/>
      <c r="S915" s="75"/>
      <c r="T915" s="75"/>
      <c r="U915" s="89"/>
      <c r="V915" s="84"/>
      <c r="W915" s="84"/>
      <c r="X915" s="84"/>
      <c r="Y915" s="84"/>
      <c r="Z915" s="84"/>
    </row>
    <row r="916" spans="1:26" ht="15.75" customHeight="1">
      <c r="A916" s="83"/>
      <c r="B916" s="83"/>
      <c r="C916" s="83"/>
      <c r="D916" s="84"/>
      <c r="E916" s="84"/>
      <c r="F916" s="84"/>
      <c r="G916" s="83"/>
      <c r="H916" s="84"/>
      <c r="I916" s="84"/>
      <c r="J916" s="84"/>
      <c r="K916" s="84"/>
      <c r="L916" s="84"/>
      <c r="M916" s="84"/>
      <c r="N916" s="84"/>
      <c r="O916" s="84"/>
      <c r="P916" s="85"/>
      <c r="Q916" s="75"/>
      <c r="R916" s="75"/>
      <c r="S916" s="75"/>
      <c r="T916" s="75"/>
      <c r="U916" s="89"/>
      <c r="V916" s="84"/>
      <c r="W916" s="84"/>
      <c r="X916" s="84"/>
      <c r="Y916" s="84"/>
      <c r="Z916" s="84"/>
    </row>
    <row r="917" spans="1:26" ht="15.75" customHeight="1">
      <c r="A917" s="83"/>
      <c r="B917" s="83"/>
      <c r="C917" s="83"/>
      <c r="D917" s="84"/>
      <c r="E917" s="84"/>
      <c r="F917" s="84"/>
      <c r="G917" s="83"/>
      <c r="H917" s="84"/>
      <c r="I917" s="84"/>
      <c r="J917" s="84"/>
      <c r="K917" s="84"/>
      <c r="L917" s="84"/>
      <c r="M917" s="84"/>
      <c r="N917" s="84"/>
      <c r="O917" s="84"/>
      <c r="P917" s="85"/>
      <c r="Q917" s="75"/>
      <c r="R917" s="75"/>
      <c r="S917" s="75"/>
      <c r="T917" s="75"/>
      <c r="U917" s="89"/>
      <c r="V917" s="84"/>
      <c r="W917" s="84"/>
      <c r="X917" s="84"/>
      <c r="Y917" s="84"/>
      <c r="Z917" s="84"/>
    </row>
    <row r="918" spans="1:26" ht="15.75" customHeight="1">
      <c r="A918" s="83"/>
      <c r="B918" s="83"/>
      <c r="C918" s="83"/>
      <c r="D918" s="84"/>
      <c r="E918" s="84"/>
      <c r="F918" s="84"/>
      <c r="G918" s="83"/>
      <c r="H918" s="84"/>
      <c r="I918" s="84"/>
      <c r="J918" s="84"/>
      <c r="K918" s="84"/>
      <c r="L918" s="84"/>
      <c r="M918" s="84"/>
      <c r="N918" s="84"/>
      <c r="O918" s="84"/>
      <c r="P918" s="85"/>
      <c r="Q918" s="75"/>
      <c r="R918" s="75"/>
      <c r="S918" s="75"/>
      <c r="T918" s="75"/>
      <c r="U918" s="89"/>
      <c r="V918" s="84"/>
      <c r="W918" s="84"/>
      <c r="X918" s="84"/>
      <c r="Y918" s="84"/>
      <c r="Z918" s="84"/>
    </row>
    <row r="919" spans="1:26" ht="15.75" customHeight="1">
      <c r="A919" s="83"/>
      <c r="B919" s="83"/>
      <c r="C919" s="83"/>
      <c r="D919" s="84"/>
      <c r="E919" s="84"/>
      <c r="F919" s="84"/>
      <c r="G919" s="83"/>
      <c r="H919" s="84"/>
      <c r="I919" s="84"/>
      <c r="J919" s="84"/>
      <c r="K919" s="84"/>
      <c r="L919" s="84"/>
      <c r="M919" s="84"/>
      <c r="N919" s="84"/>
      <c r="O919" s="84"/>
      <c r="P919" s="85"/>
      <c r="Q919" s="75"/>
      <c r="R919" s="75"/>
      <c r="S919" s="75"/>
      <c r="T919" s="75"/>
      <c r="U919" s="89"/>
      <c r="V919" s="84"/>
      <c r="W919" s="84"/>
      <c r="X919" s="84"/>
      <c r="Y919" s="84"/>
      <c r="Z919" s="84"/>
    </row>
    <row r="920" spans="1:26" ht="15.75" customHeight="1">
      <c r="A920" s="83"/>
      <c r="B920" s="83"/>
      <c r="C920" s="83"/>
      <c r="D920" s="84"/>
      <c r="E920" s="84"/>
      <c r="F920" s="84"/>
      <c r="G920" s="83"/>
      <c r="H920" s="84"/>
      <c r="I920" s="84"/>
      <c r="J920" s="84"/>
      <c r="K920" s="84"/>
      <c r="L920" s="84"/>
      <c r="M920" s="84"/>
      <c r="N920" s="84"/>
      <c r="O920" s="84"/>
      <c r="P920" s="85"/>
      <c r="Q920" s="75"/>
      <c r="R920" s="75"/>
      <c r="S920" s="75"/>
      <c r="T920" s="75"/>
      <c r="U920" s="89"/>
      <c r="V920" s="84"/>
      <c r="W920" s="84"/>
      <c r="X920" s="84"/>
      <c r="Y920" s="84"/>
      <c r="Z920" s="84"/>
    </row>
    <row r="921" spans="1:26" ht="15.75" customHeight="1">
      <c r="A921" s="83"/>
      <c r="B921" s="83"/>
      <c r="C921" s="83"/>
      <c r="D921" s="84"/>
      <c r="E921" s="84"/>
      <c r="F921" s="84"/>
      <c r="G921" s="83"/>
      <c r="H921" s="84"/>
      <c r="I921" s="84"/>
      <c r="J921" s="84"/>
      <c r="K921" s="84"/>
      <c r="L921" s="84"/>
      <c r="M921" s="84"/>
      <c r="N921" s="84"/>
      <c r="O921" s="84"/>
      <c r="P921" s="85"/>
      <c r="Q921" s="75"/>
      <c r="R921" s="75"/>
      <c r="S921" s="75"/>
      <c r="T921" s="75"/>
      <c r="U921" s="89"/>
      <c r="V921" s="84"/>
      <c r="W921" s="84"/>
      <c r="X921" s="84"/>
      <c r="Y921" s="84"/>
      <c r="Z921" s="84"/>
    </row>
    <row r="922" spans="1:26" ht="15.75" customHeight="1">
      <c r="A922" s="83"/>
      <c r="B922" s="83"/>
      <c r="C922" s="83"/>
      <c r="D922" s="84"/>
      <c r="E922" s="84"/>
      <c r="F922" s="84"/>
      <c r="G922" s="83"/>
      <c r="H922" s="84"/>
      <c r="I922" s="84"/>
      <c r="J922" s="84"/>
      <c r="K922" s="84"/>
      <c r="L922" s="84"/>
      <c r="M922" s="84"/>
      <c r="N922" s="84"/>
      <c r="O922" s="84"/>
      <c r="P922" s="85"/>
      <c r="Q922" s="75"/>
      <c r="R922" s="75"/>
      <c r="S922" s="75"/>
      <c r="T922" s="75"/>
      <c r="U922" s="89"/>
      <c r="V922" s="84"/>
      <c r="W922" s="84"/>
      <c r="X922" s="84"/>
      <c r="Y922" s="84"/>
      <c r="Z922" s="84"/>
    </row>
    <row r="923" spans="1:26" ht="15.75" customHeight="1">
      <c r="A923" s="83"/>
      <c r="B923" s="83"/>
      <c r="C923" s="83"/>
      <c r="D923" s="84"/>
      <c r="E923" s="84"/>
      <c r="F923" s="84"/>
      <c r="G923" s="83"/>
      <c r="H923" s="84"/>
      <c r="I923" s="84"/>
      <c r="J923" s="84"/>
      <c r="K923" s="84"/>
      <c r="L923" s="84"/>
      <c r="M923" s="84"/>
      <c r="N923" s="84"/>
      <c r="O923" s="84"/>
      <c r="P923" s="85"/>
      <c r="Q923" s="75"/>
      <c r="R923" s="75"/>
      <c r="S923" s="75"/>
      <c r="T923" s="75"/>
      <c r="U923" s="89"/>
      <c r="V923" s="84"/>
      <c r="W923" s="84"/>
      <c r="X923" s="84"/>
      <c r="Y923" s="84"/>
      <c r="Z923" s="84"/>
    </row>
    <row r="924" spans="1:26" ht="15.75" customHeight="1">
      <c r="A924" s="83"/>
      <c r="B924" s="83"/>
      <c r="C924" s="83"/>
      <c r="D924" s="84"/>
      <c r="E924" s="84"/>
      <c r="F924" s="84"/>
      <c r="G924" s="83"/>
      <c r="H924" s="84"/>
      <c r="I924" s="84"/>
      <c r="J924" s="84"/>
      <c r="K924" s="84"/>
      <c r="L924" s="84"/>
      <c r="M924" s="84"/>
      <c r="N924" s="84"/>
      <c r="O924" s="84"/>
      <c r="P924" s="85"/>
      <c r="Q924" s="75"/>
      <c r="R924" s="75"/>
      <c r="S924" s="75"/>
      <c r="T924" s="75"/>
      <c r="U924" s="89"/>
      <c r="V924" s="84"/>
      <c r="W924" s="84"/>
      <c r="X924" s="84"/>
      <c r="Y924" s="84"/>
      <c r="Z924" s="84"/>
    </row>
    <row r="925" spans="1:26" ht="15.75" customHeight="1">
      <c r="A925" s="83"/>
      <c r="B925" s="83"/>
      <c r="C925" s="83"/>
      <c r="D925" s="84"/>
      <c r="E925" s="84"/>
      <c r="F925" s="84"/>
      <c r="G925" s="83"/>
      <c r="H925" s="84"/>
      <c r="I925" s="84"/>
      <c r="J925" s="84"/>
      <c r="K925" s="84"/>
      <c r="L925" s="84"/>
      <c r="M925" s="84"/>
      <c r="N925" s="84"/>
      <c r="O925" s="84"/>
      <c r="P925" s="85"/>
      <c r="Q925" s="75"/>
      <c r="R925" s="75"/>
      <c r="S925" s="75"/>
      <c r="T925" s="75"/>
      <c r="U925" s="89"/>
      <c r="V925" s="84"/>
      <c r="W925" s="84"/>
      <c r="X925" s="84"/>
      <c r="Y925" s="84"/>
      <c r="Z925" s="84"/>
    </row>
    <row r="926" spans="1:26" ht="15.75" customHeight="1">
      <c r="A926" s="83"/>
      <c r="B926" s="83"/>
      <c r="C926" s="83"/>
      <c r="D926" s="84"/>
      <c r="E926" s="84"/>
      <c r="F926" s="84"/>
      <c r="G926" s="83"/>
      <c r="H926" s="84"/>
      <c r="I926" s="84"/>
      <c r="J926" s="84"/>
      <c r="K926" s="84"/>
      <c r="L926" s="84"/>
      <c r="M926" s="84"/>
      <c r="N926" s="84"/>
      <c r="O926" s="84"/>
      <c r="P926" s="85"/>
      <c r="Q926" s="75"/>
      <c r="R926" s="75"/>
      <c r="S926" s="75"/>
      <c r="T926" s="75"/>
      <c r="U926" s="89"/>
      <c r="V926" s="84"/>
      <c r="W926" s="84"/>
      <c r="X926" s="84"/>
      <c r="Y926" s="84"/>
      <c r="Z926" s="84"/>
    </row>
    <row r="927" spans="1:26" ht="15.75" customHeight="1">
      <c r="A927" s="83"/>
      <c r="B927" s="83"/>
      <c r="C927" s="83"/>
      <c r="D927" s="84"/>
      <c r="E927" s="84"/>
      <c r="F927" s="84"/>
      <c r="G927" s="83"/>
      <c r="H927" s="84"/>
      <c r="I927" s="84"/>
      <c r="J927" s="84"/>
      <c r="K927" s="84"/>
      <c r="L927" s="84"/>
      <c r="M927" s="84"/>
      <c r="N927" s="84"/>
      <c r="O927" s="84"/>
      <c r="P927" s="85"/>
      <c r="Q927" s="75"/>
      <c r="R927" s="75"/>
      <c r="S927" s="75"/>
      <c r="T927" s="75"/>
      <c r="U927" s="89"/>
      <c r="V927" s="84"/>
      <c r="W927" s="84"/>
      <c r="X927" s="84"/>
      <c r="Y927" s="84"/>
      <c r="Z927" s="84"/>
    </row>
    <row r="928" spans="1:26" ht="15.75" customHeight="1">
      <c r="A928" s="83"/>
      <c r="B928" s="83"/>
      <c r="C928" s="83"/>
      <c r="D928" s="84"/>
      <c r="E928" s="84"/>
      <c r="F928" s="84"/>
      <c r="G928" s="83"/>
      <c r="H928" s="84"/>
      <c r="I928" s="84"/>
      <c r="J928" s="84"/>
      <c r="K928" s="84"/>
      <c r="L928" s="84"/>
      <c r="M928" s="84"/>
      <c r="N928" s="84"/>
      <c r="O928" s="84"/>
      <c r="P928" s="85"/>
      <c r="Q928" s="75"/>
      <c r="R928" s="75"/>
      <c r="S928" s="75"/>
      <c r="T928" s="75"/>
      <c r="U928" s="89"/>
      <c r="V928" s="84"/>
      <c r="W928" s="84"/>
      <c r="X928" s="84"/>
      <c r="Y928" s="84"/>
      <c r="Z928" s="84"/>
    </row>
    <row r="929" spans="1:26" ht="15.75" customHeight="1">
      <c r="A929" s="83"/>
      <c r="B929" s="83"/>
      <c r="C929" s="83"/>
      <c r="D929" s="84"/>
      <c r="E929" s="84"/>
      <c r="F929" s="84"/>
      <c r="G929" s="83"/>
      <c r="H929" s="84"/>
      <c r="I929" s="84"/>
      <c r="J929" s="84"/>
      <c r="K929" s="84"/>
      <c r="L929" s="84"/>
      <c r="M929" s="84"/>
      <c r="N929" s="84"/>
      <c r="O929" s="84"/>
      <c r="P929" s="85"/>
      <c r="Q929" s="75"/>
      <c r="R929" s="75"/>
      <c r="S929" s="75"/>
      <c r="T929" s="75"/>
      <c r="U929" s="89"/>
      <c r="V929" s="84"/>
      <c r="W929" s="84"/>
      <c r="X929" s="84"/>
      <c r="Y929" s="84"/>
      <c r="Z929" s="84"/>
    </row>
    <row r="930" spans="1:26" ht="15.75" customHeight="1">
      <c r="A930" s="83"/>
      <c r="B930" s="83"/>
      <c r="C930" s="83"/>
      <c r="D930" s="84"/>
      <c r="E930" s="84"/>
      <c r="F930" s="84"/>
      <c r="G930" s="83"/>
      <c r="H930" s="84"/>
      <c r="I930" s="84"/>
      <c r="J930" s="84"/>
      <c r="K930" s="84"/>
      <c r="L930" s="84"/>
      <c r="M930" s="84"/>
      <c r="N930" s="84"/>
      <c r="O930" s="84"/>
      <c r="P930" s="85"/>
      <c r="Q930" s="75"/>
      <c r="R930" s="75"/>
      <c r="S930" s="75"/>
      <c r="T930" s="75"/>
      <c r="U930" s="89"/>
      <c r="V930" s="84"/>
      <c r="W930" s="84"/>
      <c r="X930" s="84"/>
      <c r="Y930" s="84"/>
      <c r="Z930" s="84"/>
    </row>
    <row r="931" spans="1:26" ht="15.75" customHeight="1">
      <c r="A931" s="83"/>
      <c r="B931" s="83"/>
      <c r="C931" s="83"/>
      <c r="D931" s="84"/>
      <c r="E931" s="84"/>
      <c r="F931" s="84"/>
      <c r="G931" s="83"/>
      <c r="H931" s="84"/>
      <c r="I931" s="84"/>
      <c r="J931" s="84"/>
      <c r="K931" s="84"/>
      <c r="L931" s="84"/>
      <c r="M931" s="84"/>
      <c r="N931" s="84"/>
      <c r="O931" s="84"/>
      <c r="P931" s="85"/>
      <c r="Q931" s="75"/>
      <c r="R931" s="75"/>
      <c r="S931" s="75"/>
      <c r="T931" s="75"/>
      <c r="U931" s="89"/>
      <c r="V931" s="84"/>
      <c r="W931" s="84"/>
      <c r="X931" s="84"/>
      <c r="Y931" s="84"/>
      <c r="Z931" s="84"/>
    </row>
    <row r="932" spans="1:26" ht="15.75" customHeight="1">
      <c r="A932" s="83"/>
      <c r="B932" s="83"/>
      <c r="C932" s="83"/>
      <c r="D932" s="84"/>
      <c r="E932" s="84"/>
      <c r="F932" s="84"/>
      <c r="G932" s="83"/>
      <c r="H932" s="84"/>
      <c r="I932" s="84"/>
      <c r="J932" s="84"/>
      <c r="K932" s="84"/>
      <c r="L932" s="84"/>
      <c r="M932" s="84"/>
      <c r="N932" s="84"/>
      <c r="O932" s="84"/>
      <c r="P932" s="85"/>
      <c r="Q932" s="75"/>
      <c r="R932" s="75"/>
      <c r="S932" s="75"/>
      <c r="T932" s="75"/>
      <c r="U932" s="89"/>
      <c r="V932" s="84"/>
      <c r="W932" s="84"/>
      <c r="X932" s="84"/>
      <c r="Y932" s="84"/>
      <c r="Z932" s="84"/>
    </row>
    <row r="933" spans="1:26" ht="15.75" customHeight="1">
      <c r="A933" s="83"/>
      <c r="B933" s="83"/>
      <c r="C933" s="83"/>
      <c r="D933" s="84"/>
      <c r="E933" s="84"/>
      <c r="F933" s="84"/>
      <c r="G933" s="83"/>
      <c r="H933" s="84"/>
      <c r="I933" s="84"/>
      <c r="J933" s="84"/>
      <c r="K933" s="84"/>
      <c r="L933" s="84"/>
      <c r="M933" s="84"/>
      <c r="N933" s="84"/>
      <c r="O933" s="84"/>
      <c r="P933" s="85"/>
      <c r="Q933" s="75"/>
      <c r="R933" s="75"/>
      <c r="S933" s="75"/>
      <c r="T933" s="75"/>
      <c r="U933" s="89"/>
      <c r="V933" s="84"/>
      <c r="W933" s="84"/>
      <c r="X933" s="84"/>
      <c r="Y933" s="84"/>
      <c r="Z933" s="84"/>
    </row>
    <row r="934" spans="1:26" ht="15.75" customHeight="1">
      <c r="A934" s="83"/>
      <c r="B934" s="83"/>
      <c r="C934" s="83"/>
      <c r="D934" s="84"/>
      <c r="E934" s="84"/>
      <c r="F934" s="84"/>
      <c r="G934" s="83"/>
      <c r="H934" s="84"/>
      <c r="I934" s="84"/>
      <c r="J934" s="84"/>
      <c r="K934" s="84"/>
      <c r="L934" s="84"/>
      <c r="M934" s="84"/>
      <c r="N934" s="84"/>
      <c r="O934" s="84"/>
      <c r="P934" s="85"/>
      <c r="Q934" s="75"/>
      <c r="R934" s="75"/>
      <c r="S934" s="75"/>
      <c r="T934" s="75"/>
      <c r="U934" s="89"/>
      <c r="V934" s="84"/>
      <c r="W934" s="84"/>
      <c r="X934" s="84"/>
      <c r="Y934" s="84"/>
      <c r="Z934" s="84"/>
    </row>
    <row r="935" spans="1:26" ht="15.75" customHeight="1">
      <c r="A935" s="83"/>
      <c r="B935" s="83"/>
      <c r="C935" s="83"/>
      <c r="D935" s="84"/>
      <c r="E935" s="84"/>
      <c r="F935" s="84"/>
      <c r="G935" s="83"/>
      <c r="H935" s="84"/>
      <c r="I935" s="84"/>
      <c r="J935" s="84"/>
      <c r="K935" s="84"/>
      <c r="L935" s="84"/>
      <c r="M935" s="84"/>
      <c r="N935" s="84"/>
      <c r="O935" s="84"/>
      <c r="P935" s="85"/>
      <c r="Q935" s="75"/>
      <c r="R935" s="75"/>
      <c r="S935" s="75"/>
      <c r="T935" s="75"/>
      <c r="U935" s="89"/>
      <c r="V935" s="84"/>
      <c r="W935" s="84"/>
      <c r="X935" s="84"/>
      <c r="Y935" s="84"/>
      <c r="Z935" s="84"/>
    </row>
    <row r="936" spans="1:26" ht="15.75" customHeight="1">
      <c r="A936" s="83"/>
      <c r="B936" s="83"/>
      <c r="C936" s="83"/>
      <c r="D936" s="84"/>
      <c r="E936" s="84"/>
      <c r="F936" s="84"/>
      <c r="G936" s="83"/>
      <c r="H936" s="84"/>
      <c r="I936" s="84"/>
      <c r="J936" s="84"/>
      <c r="K936" s="84"/>
      <c r="L936" s="84"/>
      <c r="M936" s="84"/>
      <c r="N936" s="84"/>
      <c r="O936" s="84"/>
      <c r="P936" s="85"/>
      <c r="Q936" s="75"/>
      <c r="R936" s="75"/>
      <c r="S936" s="75"/>
      <c r="T936" s="75"/>
      <c r="U936" s="89"/>
      <c r="V936" s="84"/>
      <c r="W936" s="84"/>
      <c r="X936" s="84"/>
      <c r="Y936" s="84"/>
      <c r="Z936" s="84"/>
    </row>
    <row r="937" spans="1:26" ht="15.75" customHeight="1">
      <c r="A937" s="83"/>
      <c r="B937" s="83"/>
      <c r="C937" s="83"/>
      <c r="D937" s="84"/>
      <c r="E937" s="84"/>
      <c r="F937" s="84"/>
      <c r="G937" s="83"/>
      <c r="H937" s="84"/>
      <c r="I937" s="84"/>
      <c r="J937" s="84"/>
      <c r="K937" s="84"/>
      <c r="L937" s="84"/>
      <c r="M937" s="84"/>
      <c r="N937" s="84"/>
      <c r="O937" s="84"/>
      <c r="P937" s="85"/>
      <c r="Q937" s="75"/>
      <c r="R937" s="75"/>
      <c r="S937" s="75"/>
      <c r="T937" s="75"/>
      <c r="U937" s="89"/>
      <c r="V937" s="84"/>
      <c r="W937" s="84"/>
      <c r="X937" s="84"/>
      <c r="Y937" s="84"/>
      <c r="Z937" s="84"/>
    </row>
    <row r="938" spans="1:26" ht="15.75" customHeight="1">
      <c r="A938" s="83"/>
      <c r="B938" s="83"/>
      <c r="C938" s="83"/>
      <c r="D938" s="84"/>
      <c r="E938" s="84"/>
      <c r="F938" s="84"/>
      <c r="G938" s="83"/>
      <c r="H938" s="84"/>
      <c r="I938" s="84"/>
      <c r="J938" s="84"/>
      <c r="K938" s="84"/>
      <c r="L938" s="84"/>
      <c r="M938" s="84"/>
      <c r="N938" s="84"/>
      <c r="O938" s="84"/>
      <c r="P938" s="85"/>
      <c r="Q938" s="75"/>
      <c r="R938" s="75"/>
      <c r="S938" s="75"/>
      <c r="T938" s="75"/>
      <c r="U938" s="89"/>
      <c r="V938" s="84"/>
      <c r="W938" s="84"/>
      <c r="X938" s="84"/>
      <c r="Y938" s="84"/>
      <c r="Z938" s="84"/>
    </row>
    <row r="939" spans="1:26" ht="15.75" customHeight="1">
      <c r="A939" s="83"/>
      <c r="B939" s="83"/>
      <c r="C939" s="83"/>
      <c r="D939" s="84"/>
      <c r="E939" s="84"/>
      <c r="F939" s="84"/>
      <c r="G939" s="83"/>
      <c r="H939" s="84"/>
      <c r="I939" s="84"/>
      <c r="J939" s="84"/>
      <c r="K939" s="84"/>
      <c r="L939" s="84"/>
      <c r="M939" s="84"/>
      <c r="N939" s="84"/>
      <c r="O939" s="84"/>
      <c r="P939" s="85"/>
      <c r="Q939" s="75"/>
      <c r="R939" s="75"/>
      <c r="S939" s="75"/>
      <c r="T939" s="75"/>
      <c r="U939" s="89"/>
      <c r="V939" s="84"/>
      <c r="W939" s="84"/>
      <c r="X939" s="84"/>
      <c r="Y939" s="84"/>
      <c r="Z939" s="84"/>
    </row>
    <row r="940" spans="1:26" ht="15.75" customHeight="1">
      <c r="A940" s="83"/>
      <c r="B940" s="83"/>
      <c r="C940" s="83"/>
      <c r="D940" s="84"/>
      <c r="E940" s="84"/>
      <c r="F940" s="84"/>
      <c r="G940" s="83"/>
      <c r="H940" s="84"/>
      <c r="I940" s="84"/>
      <c r="J940" s="84"/>
      <c r="K940" s="84"/>
      <c r="L940" s="84"/>
      <c r="M940" s="84"/>
      <c r="N940" s="84"/>
      <c r="O940" s="84"/>
      <c r="P940" s="85"/>
      <c r="Q940" s="75"/>
      <c r="R940" s="75"/>
      <c r="S940" s="75"/>
      <c r="T940" s="75"/>
      <c r="U940" s="89"/>
      <c r="V940" s="84"/>
      <c r="W940" s="84"/>
      <c r="X940" s="84"/>
      <c r="Y940" s="84"/>
      <c r="Z940" s="84"/>
    </row>
    <row r="941" spans="1:26" ht="15.75" customHeight="1">
      <c r="A941" s="83"/>
      <c r="B941" s="83"/>
      <c r="C941" s="83"/>
      <c r="D941" s="84"/>
      <c r="E941" s="84"/>
      <c r="F941" s="84"/>
      <c r="G941" s="83"/>
      <c r="H941" s="84"/>
      <c r="I941" s="84"/>
      <c r="J941" s="84"/>
      <c r="K941" s="84"/>
      <c r="L941" s="84"/>
      <c r="M941" s="84"/>
      <c r="N941" s="84"/>
      <c r="O941" s="84"/>
      <c r="P941" s="85"/>
      <c r="Q941" s="75"/>
      <c r="R941" s="75"/>
      <c r="S941" s="75"/>
      <c r="T941" s="75"/>
      <c r="U941" s="89"/>
      <c r="V941" s="84"/>
      <c r="W941" s="84"/>
      <c r="X941" s="84"/>
      <c r="Y941" s="84"/>
      <c r="Z941" s="84"/>
    </row>
    <row r="942" spans="1:26" ht="15.75" customHeight="1">
      <c r="A942" s="83"/>
      <c r="B942" s="83"/>
      <c r="C942" s="83"/>
      <c r="D942" s="84"/>
      <c r="E942" s="84"/>
      <c r="F942" s="84"/>
      <c r="G942" s="83"/>
      <c r="H942" s="84"/>
      <c r="I942" s="84"/>
      <c r="J942" s="84"/>
      <c r="K942" s="84"/>
      <c r="L942" s="84"/>
      <c r="M942" s="84"/>
      <c r="N942" s="84"/>
      <c r="O942" s="84"/>
      <c r="P942" s="85"/>
      <c r="Q942" s="75"/>
      <c r="R942" s="75"/>
      <c r="S942" s="75"/>
      <c r="T942" s="75"/>
      <c r="U942" s="89"/>
      <c r="V942" s="84"/>
      <c r="W942" s="84"/>
      <c r="X942" s="84"/>
      <c r="Y942" s="84"/>
      <c r="Z942" s="84"/>
    </row>
    <row r="943" spans="1:26" ht="15.75" customHeight="1">
      <c r="A943" s="83"/>
      <c r="B943" s="83"/>
      <c r="C943" s="83"/>
      <c r="D943" s="84"/>
      <c r="E943" s="84"/>
      <c r="F943" s="84"/>
      <c r="G943" s="83"/>
      <c r="H943" s="84"/>
      <c r="I943" s="84"/>
      <c r="J943" s="84"/>
      <c r="K943" s="84"/>
      <c r="L943" s="84"/>
      <c r="M943" s="84"/>
      <c r="N943" s="84"/>
      <c r="O943" s="84"/>
      <c r="P943" s="85"/>
      <c r="Q943" s="75"/>
      <c r="R943" s="75"/>
      <c r="S943" s="75"/>
      <c r="T943" s="75"/>
      <c r="U943" s="89"/>
      <c r="V943" s="84"/>
      <c r="W943" s="84"/>
      <c r="X943" s="84"/>
      <c r="Y943" s="84"/>
      <c r="Z943" s="84"/>
    </row>
    <row r="944" spans="1:26" ht="15.75" customHeight="1">
      <c r="A944" s="83"/>
      <c r="B944" s="83"/>
      <c r="C944" s="83"/>
      <c r="D944" s="84"/>
      <c r="E944" s="84"/>
      <c r="F944" s="84"/>
      <c r="G944" s="83"/>
      <c r="H944" s="84"/>
      <c r="I944" s="84"/>
      <c r="J944" s="84"/>
      <c r="K944" s="84"/>
      <c r="L944" s="84"/>
      <c r="M944" s="84"/>
      <c r="N944" s="84"/>
      <c r="O944" s="84"/>
      <c r="P944" s="85"/>
      <c r="Q944" s="75"/>
      <c r="R944" s="75"/>
      <c r="S944" s="75"/>
      <c r="T944" s="75"/>
      <c r="U944" s="89"/>
      <c r="V944" s="84"/>
      <c r="W944" s="84"/>
      <c r="X944" s="84"/>
      <c r="Y944" s="84"/>
      <c r="Z944" s="84"/>
    </row>
    <row r="945" spans="1:26" ht="15.75" customHeight="1">
      <c r="A945" s="83"/>
      <c r="B945" s="83"/>
      <c r="C945" s="83"/>
      <c r="D945" s="84"/>
      <c r="E945" s="84"/>
      <c r="F945" s="84"/>
      <c r="G945" s="83"/>
      <c r="H945" s="84"/>
      <c r="I945" s="84"/>
      <c r="J945" s="84"/>
      <c r="K945" s="84"/>
      <c r="L945" s="84"/>
      <c r="M945" s="84"/>
      <c r="N945" s="84"/>
      <c r="O945" s="84"/>
      <c r="P945" s="85"/>
      <c r="Q945" s="75"/>
      <c r="R945" s="75"/>
      <c r="S945" s="75"/>
      <c r="T945" s="75"/>
      <c r="U945" s="89"/>
      <c r="V945" s="84"/>
      <c r="W945" s="84"/>
      <c r="X945" s="84"/>
      <c r="Y945" s="84"/>
      <c r="Z945" s="84"/>
    </row>
    <row r="946" spans="1:26" ht="15.75" customHeight="1">
      <c r="A946" s="83"/>
      <c r="B946" s="83"/>
      <c r="C946" s="83"/>
      <c r="D946" s="84"/>
      <c r="E946" s="84"/>
      <c r="F946" s="84"/>
      <c r="G946" s="83"/>
      <c r="H946" s="84"/>
      <c r="I946" s="84"/>
      <c r="J946" s="84"/>
      <c r="K946" s="84"/>
      <c r="L946" s="84"/>
      <c r="M946" s="84"/>
      <c r="N946" s="84"/>
      <c r="O946" s="84"/>
      <c r="P946" s="85"/>
      <c r="Q946" s="75"/>
      <c r="R946" s="75"/>
      <c r="S946" s="75"/>
      <c r="T946" s="75"/>
      <c r="U946" s="89"/>
      <c r="V946" s="84"/>
      <c r="W946" s="84"/>
      <c r="X946" s="84"/>
      <c r="Y946" s="84"/>
      <c r="Z946" s="84"/>
    </row>
    <row r="947" spans="1:26" ht="15.75" customHeight="1">
      <c r="A947" s="83"/>
      <c r="B947" s="83"/>
      <c r="C947" s="83"/>
      <c r="D947" s="84"/>
      <c r="E947" s="84"/>
      <c r="F947" s="84"/>
      <c r="G947" s="83"/>
      <c r="H947" s="84"/>
      <c r="I947" s="84"/>
      <c r="J947" s="84"/>
      <c r="K947" s="84"/>
      <c r="L947" s="84"/>
      <c r="M947" s="84"/>
      <c r="N947" s="84"/>
      <c r="O947" s="84"/>
      <c r="P947" s="85"/>
      <c r="Q947" s="75"/>
      <c r="R947" s="75"/>
      <c r="S947" s="75"/>
      <c r="T947" s="75"/>
      <c r="U947" s="89"/>
      <c r="V947" s="84"/>
      <c r="W947" s="84"/>
      <c r="X947" s="84"/>
      <c r="Y947" s="84"/>
      <c r="Z947" s="84"/>
    </row>
    <row r="948" spans="1:26" ht="15.75" customHeight="1">
      <c r="A948" s="83"/>
      <c r="B948" s="83"/>
      <c r="C948" s="83"/>
      <c r="D948" s="84"/>
      <c r="E948" s="84"/>
      <c r="F948" s="84"/>
      <c r="G948" s="83"/>
      <c r="H948" s="84"/>
      <c r="I948" s="84"/>
      <c r="J948" s="84"/>
      <c r="K948" s="84"/>
      <c r="L948" s="84"/>
      <c r="M948" s="84"/>
      <c r="N948" s="84"/>
      <c r="O948" s="84"/>
      <c r="P948" s="85"/>
      <c r="Q948" s="75"/>
      <c r="R948" s="75"/>
      <c r="S948" s="75"/>
      <c r="T948" s="75"/>
      <c r="U948" s="89"/>
      <c r="V948" s="84"/>
      <c r="W948" s="84"/>
      <c r="X948" s="84"/>
      <c r="Y948" s="84"/>
      <c r="Z948" s="84"/>
    </row>
    <row r="949" spans="1:26" ht="15.75" customHeight="1">
      <c r="A949" s="83"/>
      <c r="B949" s="83"/>
      <c r="C949" s="83"/>
      <c r="D949" s="84"/>
      <c r="E949" s="84"/>
      <c r="F949" s="84"/>
      <c r="G949" s="83"/>
      <c r="H949" s="84"/>
      <c r="I949" s="84"/>
      <c r="J949" s="84"/>
      <c r="K949" s="84"/>
      <c r="L949" s="84"/>
      <c r="M949" s="84"/>
      <c r="N949" s="84"/>
      <c r="O949" s="84"/>
      <c r="P949" s="85"/>
      <c r="Q949" s="75"/>
      <c r="R949" s="75"/>
      <c r="S949" s="75"/>
      <c r="T949" s="75"/>
      <c r="U949" s="89"/>
      <c r="V949" s="84"/>
      <c r="W949" s="84"/>
      <c r="X949" s="84"/>
      <c r="Y949" s="84"/>
      <c r="Z949" s="84"/>
    </row>
    <row r="950" spans="1:26" ht="15.75" customHeight="1">
      <c r="A950" s="83"/>
      <c r="B950" s="83"/>
      <c r="C950" s="83"/>
      <c r="D950" s="84"/>
      <c r="E950" s="84"/>
      <c r="F950" s="84"/>
      <c r="G950" s="83"/>
      <c r="H950" s="84"/>
      <c r="I950" s="84"/>
      <c r="J950" s="84"/>
      <c r="K950" s="84"/>
      <c r="L950" s="84"/>
      <c r="M950" s="84"/>
      <c r="N950" s="84"/>
      <c r="O950" s="84"/>
      <c r="P950" s="85"/>
      <c r="Q950" s="75"/>
      <c r="R950" s="75"/>
      <c r="S950" s="75"/>
      <c r="T950" s="75"/>
      <c r="U950" s="89"/>
      <c r="V950" s="84"/>
      <c r="W950" s="84"/>
      <c r="X950" s="84"/>
      <c r="Y950" s="84"/>
      <c r="Z950" s="84"/>
    </row>
    <row r="951" spans="1:26" ht="15.75" customHeight="1">
      <c r="A951" s="83"/>
      <c r="B951" s="83"/>
      <c r="C951" s="83"/>
      <c r="D951" s="84"/>
      <c r="E951" s="84"/>
      <c r="F951" s="84"/>
      <c r="G951" s="83"/>
      <c r="H951" s="84"/>
      <c r="I951" s="84"/>
      <c r="J951" s="84"/>
      <c r="K951" s="84"/>
      <c r="L951" s="84"/>
      <c r="M951" s="84"/>
      <c r="N951" s="84"/>
      <c r="O951" s="84"/>
      <c r="P951" s="85"/>
      <c r="Q951" s="75"/>
      <c r="R951" s="75"/>
      <c r="S951" s="75"/>
      <c r="T951" s="75"/>
      <c r="U951" s="89"/>
      <c r="V951" s="84"/>
      <c r="W951" s="84"/>
      <c r="X951" s="84"/>
      <c r="Y951" s="84"/>
      <c r="Z951" s="84"/>
    </row>
    <row r="952" spans="1:26" ht="15.75" customHeight="1">
      <c r="A952" s="83"/>
      <c r="B952" s="83"/>
      <c r="C952" s="83"/>
      <c r="D952" s="84"/>
      <c r="E952" s="84"/>
      <c r="F952" s="84"/>
      <c r="G952" s="83"/>
      <c r="H952" s="84"/>
      <c r="I952" s="84"/>
      <c r="J952" s="84"/>
      <c r="K952" s="84"/>
      <c r="L952" s="84"/>
      <c r="M952" s="84"/>
      <c r="N952" s="84"/>
      <c r="O952" s="84"/>
      <c r="P952" s="85"/>
      <c r="Q952" s="75"/>
      <c r="R952" s="75"/>
      <c r="S952" s="75"/>
      <c r="T952" s="75"/>
      <c r="U952" s="89"/>
      <c r="V952" s="84"/>
      <c r="W952" s="84"/>
      <c r="X952" s="84"/>
      <c r="Y952" s="84"/>
      <c r="Z952" s="84"/>
    </row>
    <row r="953" spans="1:26" ht="15.75" customHeight="1">
      <c r="A953" s="83"/>
      <c r="B953" s="83"/>
      <c r="C953" s="83"/>
      <c r="D953" s="84"/>
      <c r="E953" s="84"/>
      <c r="F953" s="84"/>
      <c r="G953" s="83"/>
      <c r="H953" s="84"/>
      <c r="I953" s="84"/>
      <c r="J953" s="84"/>
      <c r="K953" s="84"/>
      <c r="L953" s="84"/>
      <c r="M953" s="84"/>
      <c r="N953" s="84"/>
      <c r="O953" s="84"/>
      <c r="P953" s="85"/>
      <c r="Q953" s="75"/>
      <c r="R953" s="75"/>
      <c r="S953" s="75"/>
      <c r="T953" s="75"/>
      <c r="U953" s="89"/>
      <c r="V953" s="84"/>
      <c r="W953" s="84"/>
      <c r="X953" s="84"/>
      <c r="Y953" s="84"/>
      <c r="Z953" s="84"/>
    </row>
    <row r="954" spans="1:26" ht="15.75" customHeight="1">
      <c r="A954" s="83"/>
      <c r="B954" s="83"/>
      <c r="C954" s="83"/>
      <c r="D954" s="84"/>
      <c r="E954" s="84"/>
      <c r="F954" s="84"/>
      <c r="G954" s="83"/>
      <c r="H954" s="84"/>
      <c r="I954" s="84"/>
      <c r="J954" s="84"/>
      <c r="K954" s="84"/>
      <c r="L954" s="84"/>
      <c r="M954" s="84"/>
      <c r="N954" s="84"/>
      <c r="O954" s="84"/>
      <c r="P954" s="85"/>
      <c r="Q954" s="75"/>
      <c r="R954" s="75"/>
      <c r="S954" s="75"/>
      <c r="T954" s="75"/>
      <c r="U954" s="89"/>
      <c r="V954" s="84"/>
      <c r="W954" s="84"/>
      <c r="X954" s="84"/>
      <c r="Y954" s="84"/>
      <c r="Z954" s="84"/>
    </row>
    <row r="955" spans="1:26" ht="15.75" customHeight="1">
      <c r="A955" s="83"/>
      <c r="B955" s="83"/>
      <c r="C955" s="83"/>
      <c r="D955" s="84"/>
      <c r="E955" s="84"/>
      <c r="F955" s="84"/>
      <c r="G955" s="83"/>
      <c r="H955" s="84"/>
      <c r="I955" s="84"/>
      <c r="J955" s="84"/>
      <c r="K955" s="84"/>
      <c r="L955" s="84"/>
      <c r="M955" s="84"/>
      <c r="N955" s="84"/>
      <c r="O955" s="84"/>
      <c r="P955" s="85"/>
      <c r="Q955" s="75"/>
      <c r="R955" s="75"/>
      <c r="S955" s="75"/>
      <c r="T955" s="75"/>
      <c r="U955" s="89"/>
      <c r="V955" s="84"/>
      <c r="W955" s="84"/>
      <c r="X955" s="84"/>
      <c r="Y955" s="84"/>
      <c r="Z955" s="84"/>
    </row>
    <row r="956" spans="1:26" ht="15.75" customHeight="1">
      <c r="A956" s="83"/>
      <c r="B956" s="83"/>
      <c r="C956" s="83"/>
      <c r="D956" s="84"/>
      <c r="E956" s="84"/>
      <c r="F956" s="84"/>
      <c r="G956" s="83"/>
      <c r="H956" s="84"/>
      <c r="I956" s="84"/>
      <c r="J956" s="84"/>
      <c r="K956" s="84"/>
      <c r="L956" s="84"/>
      <c r="M956" s="84"/>
      <c r="N956" s="84"/>
      <c r="O956" s="84"/>
      <c r="P956" s="85"/>
      <c r="Q956" s="75"/>
      <c r="R956" s="75"/>
      <c r="S956" s="75"/>
      <c r="T956" s="75"/>
      <c r="U956" s="89"/>
      <c r="V956" s="84"/>
      <c r="W956" s="84"/>
      <c r="X956" s="84"/>
      <c r="Y956" s="84"/>
      <c r="Z956" s="84"/>
    </row>
    <row r="957" spans="1:26" ht="15.75" customHeight="1">
      <c r="A957" s="83"/>
      <c r="B957" s="83"/>
      <c r="C957" s="83"/>
      <c r="D957" s="84"/>
      <c r="E957" s="84"/>
      <c r="F957" s="84"/>
      <c r="G957" s="83"/>
      <c r="H957" s="84"/>
      <c r="I957" s="84"/>
      <c r="J957" s="84"/>
      <c r="K957" s="84"/>
      <c r="L957" s="84"/>
      <c r="M957" s="84"/>
      <c r="N957" s="84"/>
      <c r="O957" s="84"/>
      <c r="P957" s="85"/>
      <c r="Q957" s="75"/>
      <c r="R957" s="75"/>
      <c r="S957" s="75"/>
      <c r="T957" s="75"/>
      <c r="U957" s="89"/>
      <c r="V957" s="84"/>
      <c r="W957" s="84"/>
      <c r="X957" s="84"/>
      <c r="Y957" s="84"/>
      <c r="Z957" s="84"/>
    </row>
    <row r="958" spans="1:26" ht="15.75" customHeight="1">
      <c r="A958" s="83"/>
      <c r="B958" s="83"/>
      <c r="C958" s="83"/>
      <c r="D958" s="84"/>
      <c r="E958" s="84"/>
      <c r="F958" s="84"/>
      <c r="G958" s="83"/>
      <c r="H958" s="84"/>
      <c r="I958" s="84"/>
      <c r="J958" s="84"/>
      <c r="K958" s="84"/>
      <c r="L958" s="84"/>
      <c r="M958" s="84"/>
      <c r="N958" s="84"/>
      <c r="O958" s="84"/>
      <c r="P958" s="85"/>
      <c r="Q958" s="75"/>
      <c r="R958" s="75"/>
      <c r="S958" s="75"/>
      <c r="T958" s="75"/>
      <c r="U958" s="89"/>
      <c r="V958" s="84"/>
      <c r="W958" s="84"/>
      <c r="X958" s="84"/>
      <c r="Y958" s="84"/>
      <c r="Z958" s="84"/>
    </row>
    <row r="959" spans="1:26" ht="15.75" customHeight="1">
      <c r="A959" s="83"/>
      <c r="B959" s="83"/>
      <c r="C959" s="83"/>
      <c r="D959" s="84"/>
      <c r="E959" s="84"/>
      <c r="F959" s="84"/>
      <c r="G959" s="83"/>
      <c r="H959" s="84"/>
      <c r="I959" s="84"/>
      <c r="J959" s="84"/>
      <c r="K959" s="84"/>
      <c r="L959" s="84"/>
      <c r="M959" s="84"/>
      <c r="N959" s="84"/>
      <c r="O959" s="84"/>
      <c r="P959" s="85"/>
      <c r="Q959" s="75"/>
      <c r="R959" s="75"/>
      <c r="S959" s="75"/>
      <c r="T959" s="75"/>
      <c r="U959" s="89"/>
      <c r="V959" s="84"/>
      <c r="W959" s="84"/>
      <c r="X959" s="84"/>
      <c r="Y959" s="84"/>
      <c r="Z959" s="84"/>
    </row>
    <row r="960" spans="1:26" ht="15.75" customHeight="1">
      <c r="A960" s="83"/>
      <c r="B960" s="83"/>
      <c r="C960" s="83"/>
      <c r="D960" s="84"/>
      <c r="E960" s="84"/>
      <c r="F960" s="84"/>
      <c r="G960" s="83"/>
      <c r="H960" s="84"/>
      <c r="I960" s="84"/>
      <c r="J960" s="84"/>
      <c r="K960" s="84"/>
      <c r="L960" s="84"/>
      <c r="M960" s="84"/>
      <c r="N960" s="84"/>
      <c r="O960" s="84"/>
      <c r="P960" s="85"/>
      <c r="Q960" s="75"/>
      <c r="R960" s="75"/>
      <c r="S960" s="75"/>
      <c r="T960" s="75"/>
      <c r="U960" s="89"/>
      <c r="V960" s="84"/>
      <c r="W960" s="84"/>
      <c r="X960" s="84"/>
      <c r="Y960" s="84"/>
      <c r="Z960" s="84"/>
    </row>
    <row r="961" spans="1:26" ht="15.75" customHeight="1">
      <c r="A961" s="83"/>
      <c r="B961" s="83"/>
      <c r="C961" s="83"/>
      <c r="D961" s="84"/>
      <c r="E961" s="84"/>
      <c r="F961" s="84"/>
      <c r="G961" s="83"/>
      <c r="H961" s="84"/>
      <c r="I961" s="84"/>
      <c r="J961" s="84"/>
      <c r="K961" s="84"/>
      <c r="L961" s="84"/>
      <c r="M961" s="84"/>
      <c r="N961" s="84"/>
      <c r="O961" s="84"/>
      <c r="P961" s="85"/>
      <c r="Q961" s="75"/>
      <c r="R961" s="75"/>
      <c r="S961" s="75"/>
      <c r="T961" s="75"/>
      <c r="U961" s="89"/>
      <c r="V961" s="84"/>
      <c r="W961" s="84"/>
      <c r="X961" s="84"/>
      <c r="Y961" s="84"/>
      <c r="Z961" s="84"/>
    </row>
    <row r="962" spans="1:26" ht="15.75" customHeight="1">
      <c r="A962" s="83"/>
      <c r="B962" s="83"/>
      <c r="C962" s="83"/>
      <c r="D962" s="84"/>
      <c r="E962" s="84"/>
      <c r="F962" s="84"/>
      <c r="G962" s="83"/>
      <c r="H962" s="84"/>
      <c r="I962" s="84"/>
      <c r="J962" s="84"/>
      <c r="K962" s="84"/>
      <c r="L962" s="84"/>
      <c r="M962" s="84"/>
      <c r="N962" s="84"/>
      <c r="O962" s="84"/>
      <c r="P962" s="85"/>
      <c r="Q962" s="75"/>
      <c r="R962" s="75"/>
      <c r="S962" s="75"/>
      <c r="T962" s="75"/>
      <c r="U962" s="89"/>
      <c r="V962" s="84"/>
      <c r="W962" s="84"/>
      <c r="X962" s="84"/>
      <c r="Y962" s="84"/>
      <c r="Z962" s="84"/>
    </row>
    <row r="963" spans="1:26" ht="15.75" customHeight="1">
      <c r="A963" s="83"/>
      <c r="B963" s="83"/>
      <c r="C963" s="83"/>
      <c r="D963" s="84"/>
      <c r="E963" s="84"/>
      <c r="F963" s="84"/>
      <c r="G963" s="83"/>
      <c r="H963" s="84"/>
      <c r="I963" s="84"/>
      <c r="J963" s="84"/>
      <c r="K963" s="84"/>
      <c r="L963" s="84"/>
      <c r="M963" s="84"/>
      <c r="N963" s="84"/>
      <c r="O963" s="84"/>
      <c r="P963" s="85"/>
      <c r="Q963" s="75"/>
      <c r="R963" s="75"/>
      <c r="S963" s="75"/>
      <c r="T963" s="75"/>
      <c r="U963" s="89"/>
      <c r="V963" s="84"/>
      <c r="W963" s="84"/>
      <c r="X963" s="84"/>
      <c r="Y963" s="84"/>
      <c r="Z963" s="84"/>
    </row>
    <row r="964" spans="1:26" ht="15.75" customHeight="1">
      <c r="A964" s="83"/>
      <c r="B964" s="83"/>
      <c r="C964" s="83"/>
      <c r="D964" s="84"/>
      <c r="E964" s="84"/>
      <c r="F964" s="84"/>
      <c r="G964" s="83"/>
      <c r="H964" s="84"/>
      <c r="I964" s="84"/>
      <c r="J964" s="84"/>
      <c r="K964" s="84"/>
      <c r="L964" s="84"/>
      <c r="M964" s="84"/>
      <c r="N964" s="84"/>
      <c r="O964" s="84"/>
      <c r="P964" s="85"/>
      <c r="Q964" s="75"/>
      <c r="R964" s="75"/>
      <c r="S964" s="75"/>
      <c r="T964" s="75"/>
      <c r="U964" s="89"/>
      <c r="V964" s="84"/>
      <c r="W964" s="84"/>
      <c r="X964" s="84"/>
      <c r="Y964" s="84"/>
      <c r="Z964" s="84"/>
    </row>
    <row r="965" spans="1:26" ht="15.75" customHeight="1">
      <c r="A965" s="83"/>
      <c r="B965" s="83"/>
      <c r="C965" s="83"/>
      <c r="D965" s="84"/>
      <c r="E965" s="84"/>
      <c r="F965" s="84"/>
      <c r="G965" s="83"/>
      <c r="H965" s="84"/>
      <c r="I965" s="84"/>
      <c r="J965" s="84"/>
      <c r="K965" s="84"/>
      <c r="L965" s="84"/>
      <c r="M965" s="84"/>
      <c r="N965" s="84"/>
      <c r="O965" s="84"/>
      <c r="P965" s="85"/>
      <c r="Q965" s="75"/>
      <c r="R965" s="75"/>
      <c r="S965" s="75"/>
      <c r="T965" s="75"/>
      <c r="U965" s="89"/>
      <c r="V965" s="84"/>
      <c r="W965" s="84"/>
      <c r="X965" s="84"/>
      <c r="Y965" s="84"/>
      <c r="Z965" s="84"/>
    </row>
    <row r="966" spans="1:26" ht="15.75" customHeight="1">
      <c r="A966" s="83"/>
      <c r="B966" s="83"/>
      <c r="C966" s="83"/>
      <c r="D966" s="84"/>
      <c r="E966" s="84"/>
      <c r="F966" s="84"/>
      <c r="G966" s="83"/>
      <c r="H966" s="84"/>
      <c r="I966" s="84"/>
      <c r="J966" s="84"/>
      <c r="K966" s="84"/>
      <c r="L966" s="84"/>
      <c r="M966" s="84"/>
      <c r="N966" s="84"/>
      <c r="O966" s="84"/>
      <c r="P966" s="85"/>
      <c r="Q966" s="75"/>
      <c r="R966" s="75"/>
      <c r="S966" s="75"/>
      <c r="T966" s="75"/>
      <c r="U966" s="89"/>
      <c r="V966" s="84"/>
      <c r="W966" s="84"/>
      <c r="X966" s="84"/>
      <c r="Y966" s="84"/>
      <c r="Z966" s="84"/>
    </row>
    <row r="967" spans="1:26" ht="15.75" customHeight="1">
      <c r="A967" s="83"/>
      <c r="B967" s="83"/>
      <c r="C967" s="83"/>
      <c r="D967" s="84"/>
      <c r="E967" s="84"/>
      <c r="F967" s="84"/>
      <c r="G967" s="83"/>
      <c r="H967" s="84"/>
      <c r="I967" s="84"/>
      <c r="J967" s="84"/>
      <c r="K967" s="84"/>
      <c r="L967" s="84"/>
      <c r="M967" s="84"/>
      <c r="N967" s="84"/>
      <c r="O967" s="84"/>
      <c r="P967" s="85"/>
      <c r="Q967" s="75"/>
      <c r="R967" s="75"/>
      <c r="S967" s="75"/>
      <c r="T967" s="75"/>
      <c r="U967" s="89"/>
      <c r="V967" s="84"/>
      <c r="W967" s="84"/>
      <c r="X967" s="84"/>
      <c r="Y967" s="84"/>
      <c r="Z967" s="84"/>
    </row>
    <row r="968" spans="1:26" ht="15.75" customHeight="1">
      <c r="A968" s="83"/>
      <c r="B968" s="83"/>
      <c r="C968" s="83"/>
      <c r="D968" s="84"/>
      <c r="E968" s="84"/>
      <c r="F968" s="84"/>
      <c r="G968" s="83"/>
      <c r="H968" s="84"/>
      <c r="I968" s="84"/>
      <c r="J968" s="84"/>
      <c r="K968" s="84"/>
      <c r="L968" s="84"/>
      <c r="M968" s="84"/>
      <c r="N968" s="84"/>
      <c r="O968" s="84"/>
      <c r="P968" s="85"/>
      <c r="Q968" s="75"/>
      <c r="R968" s="75"/>
      <c r="S968" s="75"/>
      <c r="T968" s="75"/>
      <c r="U968" s="89"/>
      <c r="V968" s="84"/>
      <c r="W968" s="84"/>
      <c r="X968" s="84"/>
      <c r="Y968" s="84"/>
      <c r="Z968" s="84"/>
    </row>
    <row r="969" spans="1:26" ht="15.75" customHeight="1">
      <c r="A969" s="83"/>
      <c r="B969" s="83"/>
      <c r="C969" s="83"/>
      <c r="D969" s="84"/>
      <c r="E969" s="84"/>
      <c r="F969" s="84"/>
      <c r="G969" s="83"/>
      <c r="H969" s="84"/>
      <c r="I969" s="84"/>
      <c r="J969" s="84"/>
      <c r="K969" s="84"/>
      <c r="L969" s="84"/>
      <c r="M969" s="84"/>
      <c r="N969" s="84"/>
      <c r="O969" s="84"/>
      <c r="P969" s="85"/>
      <c r="Q969" s="75"/>
      <c r="R969" s="75"/>
      <c r="S969" s="75"/>
      <c r="T969" s="75"/>
      <c r="U969" s="89"/>
      <c r="V969" s="84"/>
      <c r="W969" s="84"/>
      <c r="X969" s="84"/>
      <c r="Y969" s="84"/>
      <c r="Z969" s="84"/>
    </row>
    <row r="970" spans="1:26" ht="15.75" customHeight="1">
      <c r="A970" s="83"/>
      <c r="B970" s="83"/>
      <c r="C970" s="83"/>
      <c r="D970" s="84"/>
      <c r="E970" s="84"/>
      <c r="F970" s="84"/>
      <c r="G970" s="83"/>
      <c r="H970" s="84"/>
      <c r="I970" s="84"/>
      <c r="J970" s="84"/>
      <c r="K970" s="84"/>
      <c r="L970" s="84"/>
      <c r="M970" s="84"/>
      <c r="N970" s="84"/>
      <c r="O970" s="84"/>
      <c r="P970" s="85"/>
      <c r="Q970" s="75"/>
      <c r="R970" s="75"/>
      <c r="S970" s="75"/>
      <c r="T970" s="75"/>
      <c r="U970" s="89"/>
      <c r="V970" s="84"/>
      <c r="W970" s="84"/>
      <c r="X970" s="84"/>
      <c r="Y970" s="84"/>
      <c r="Z970" s="84"/>
    </row>
    <row r="971" spans="1:26" ht="15.75" customHeight="1">
      <c r="A971" s="83"/>
      <c r="B971" s="83"/>
      <c r="C971" s="83"/>
      <c r="D971" s="84"/>
      <c r="E971" s="84"/>
      <c r="F971" s="84"/>
      <c r="G971" s="83"/>
      <c r="H971" s="84"/>
      <c r="I971" s="84"/>
      <c r="J971" s="84"/>
      <c r="K971" s="84"/>
      <c r="L971" s="84"/>
      <c r="M971" s="84"/>
      <c r="N971" s="84"/>
      <c r="O971" s="84"/>
      <c r="P971" s="85"/>
      <c r="Q971" s="75"/>
      <c r="R971" s="75"/>
      <c r="S971" s="75"/>
      <c r="T971" s="75"/>
      <c r="U971" s="89"/>
      <c r="V971" s="84"/>
      <c r="W971" s="84"/>
      <c r="X971" s="84"/>
      <c r="Y971" s="84"/>
      <c r="Z971" s="84"/>
    </row>
    <row r="972" spans="1:26" ht="15.75" customHeight="1">
      <c r="A972" s="83"/>
      <c r="B972" s="83"/>
      <c r="C972" s="83"/>
      <c r="D972" s="84"/>
      <c r="E972" s="84"/>
      <c r="F972" s="84"/>
      <c r="G972" s="83"/>
      <c r="H972" s="84"/>
      <c r="I972" s="84"/>
      <c r="J972" s="84"/>
      <c r="K972" s="84"/>
      <c r="L972" s="84"/>
      <c r="M972" s="84"/>
      <c r="N972" s="84"/>
      <c r="O972" s="84"/>
      <c r="P972" s="85"/>
      <c r="Q972" s="75"/>
      <c r="R972" s="75"/>
      <c r="S972" s="75"/>
      <c r="T972" s="75"/>
      <c r="U972" s="89"/>
      <c r="V972" s="84"/>
      <c r="W972" s="84"/>
      <c r="X972" s="84"/>
      <c r="Y972" s="84"/>
      <c r="Z972" s="84"/>
    </row>
    <row r="973" spans="1:26" ht="15.75" customHeight="1">
      <c r="A973" s="83"/>
      <c r="B973" s="83"/>
      <c r="C973" s="83"/>
      <c r="D973" s="84"/>
      <c r="E973" s="84"/>
      <c r="F973" s="84"/>
      <c r="G973" s="83"/>
      <c r="H973" s="84"/>
      <c r="I973" s="84"/>
      <c r="J973" s="84"/>
      <c r="K973" s="84"/>
      <c r="L973" s="84"/>
      <c r="M973" s="84"/>
      <c r="N973" s="84"/>
      <c r="O973" s="84"/>
      <c r="P973" s="85"/>
      <c r="Q973" s="75"/>
      <c r="R973" s="75"/>
      <c r="S973" s="75"/>
      <c r="T973" s="75"/>
      <c r="U973" s="89"/>
      <c r="V973" s="84"/>
      <c r="W973" s="84"/>
      <c r="X973" s="84"/>
      <c r="Y973" s="84"/>
      <c r="Z973" s="84"/>
    </row>
    <row r="974" spans="1:26" ht="15.75" customHeight="1">
      <c r="A974" s="83"/>
      <c r="B974" s="83"/>
      <c r="C974" s="83"/>
      <c r="D974" s="84"/>
      <c r="E974" s="84"/>
      <c r="F974" s="84"/>
      <c r="G974" s="83"/>
      <c r="H974" s="84"/>
      <c r="I974" s="84"/>
      <c r="J974" s="84"/>
      <c r="K974" s="84"/>
      <c r="L974" s="84"/>
      <c r="M974" s="84"/>
      <c r="N974" s="84"/>
      <c r="O974" s="84"/>
      <c r="P974" s="85"/>
      <c r="Q974" s="75"/>
      <c r="R974" s="75"/>
      <c r="S974" s="75"/>
      <c r="T974" s="75"/>
      <c r="U974" s="89"/>
      <c r="V974" s="84"/>
      <c r="W974" s="84"/>
      <c r="X974" s="84"/>
      <c r="Y974" s="84"/>
      <c r="Z974" s="84"/>
    </row>
    <row r="975" spans="1:26" ht="15.75" customHeight="1">
      <c r="A975" s="83"/>
      <c r="B975" s="83"/>
      <c r="C975" s="83"/>
      <c r="D975" s="84"/>
      <c r="E975" s="84"/>
      <c r="F975" s="84"/>
      <c r="G975" s="83"/>
      <c r="H975" s="84"/>
      <c r="I975" s="84"/>
      <c r="J975" s="84"/>
      <c r="K975" s="84"/>
      <c r="L975" s="84"/>
      <c r="M975" s="84"/>
      <c r="N975" s="84"/>
      <c r="O975" s="84"/>
      <c r="P975" s="85"/>
      <c r="Q975" s="75"/>
      <c r="R975" s="75"/>
      <c r="S975" s="75"/>
      <c r="T975" s="75"/>
      <c r="U975" s="89"/>
      <c r="V975" s="84"/>
      <c r="W975" s="84"/>
      <c r="X975" s="84"/>
      <c r="Y975" s="84"/>
      <c r="Z975" s="84"/>
    </row>
    <row r="976" spans="1:26" ht="15.75" customHeight="1">
      <c r="A976" s="83"/>
      <c r="B976" s="83"/>
      <c r="C976" s="83"/>
      <c r="D976" s="84"/>
      <c r="E976" s="84"/>
      <c r="F976" s="84"/>
      <c r="G976" s="83"/>
      <c r="H976" s="84"/>
      <c r="I976" s="84"/>
      <c r="J976" s="84"/>
      <c r="K976" s="84"/>
      <c r="L976" s="84"/>
      <c r="M976" s="84"/>
      <c r="N976" s="84"/>
      <c r="O976" s="84"/>
      <c r="P976" s="85"/>
      <c r="Q976" s="75"/>
      <c r="R976" s="75"/>
      <c r="S976" s="75"/>
      <c r="T976" s="75"/>
      <c r="U976" s="89"/>
      <c r="V976" s="84"/>
      <c r="W976" s="84"/>
      <c r="X976" s="84"/>
      <c r="Y976" s="84"/>
      <c r="Z976" s="84"/>
    </row>
    <row r="977" spans="1:26" ht="15.75" customHeight="1">
      <c r="A977" s="83"/>
      <c r="B977" s="83"/>
      <c r="C977" s="83"/>
      <c r="D977" s="84"/>
      <c r="E977" s="84"/>
      <c r="F977" s="84"/>
      <c r="G977" s="83"/>
      <c r="H977" s="84"/>
      <c r="I977" s="84"/>
      <c r="J977" s="84"/>
      <c r="K977" s="84"/>
      <c r="L977" s="84"/>
      <c r="M977" s="84"/>
      <c r="N977" s="84"/>
      <c r="O977" s="84"/>
      <c r="P977" s="85"/>
      <c r="Q977" s="75"/>
      <c r="R977" s="75"/>
      <c r="S977" s="75"/>
      <c r="T977" s="75"/>
      <c r="U977" s="89"/>
      <c r="V977" s="84"/>
      <c r="W977" s="84"/>
      <c r="X977" s="84"/>
      <c r="Y977" s="84"/>
      <c r="Z977" s="84"/>
    </row>
    <row r="978" spans="1:26" ht="15.75" customHeight="1">
      <c r="A978" s="83"/>
      <c r="B978" s="83"/>
      <c r="C978" s="83"/>
      <c r="D978" s="84"/>
      <c r="E978" s="84"/>
      <c r="F978" s="84"/>
      <c r="G978" s="83"/>
      <c r="H978" s="84"/>
      <c r="I978" s="84"/>
      <c r="J978" s="84"/>
      <c r="K978" s="84"/>
      <c r="L978" s="84"/>
      <c r="M978" s="84"/>
      <c r="N978" s="84"/>
      <c r="O978" s="84"/>
      <c r="P978" s="85"/>
      <c r="Q978" s="75"/>
      <c r="R978" s="75"/>
      <c r="S978" s="75"/>
      <c r="T978" s="75"/>
      <c r="U978" s="89"/>
      <c r="V978" s="84"/>
      <c r="W978" s="84"/>
      <c r="X978" s="84"/>
      <c r="Y978" s="84"/>
      <c r="Z978" s="84"/>
    </row>
    <row r="979" spans="1:26" ht="15.75" customHeight="1">
      <c r="A979" s="83"/>
      <c r="B979" s="83"/>
      <c r="C979" s="83"/>
      <c r="D979" s="84"/>
      <c r="E979" s="84"/>
      <c r="F979" s="84"/>
      <c r="G979" s="83"/>
      <c r="H979" s="84"/>
      <c r="I979" s="84"/>
      <c r="J979" s="84"/>
      <c r="K979" s="84"/>
      <c r="L979" s="84"/>
      <c r="M979" s="84"/>
      <c r="N979" s="84"/>
      <c r="O979" s="84"/>
      <c r="P979" s="85"/>
      <c r="Q979" s="75"/>
      <c r="R979" s="75"/>
      <c r="S979" s="75"/>
      <c r="T979" s="75"/>
      <c r="U979" s="89"/>
      <c r="V979" s="84"/>
      <c r="W979" s="84"/>
      <c r="X979" s="84"/>
      <c r="Y979" s="84"/>
      <c r="Z979" s="84"/>
    </row>
    <row r="980" spans="1:26" ht="15.75" customHeight="1">
      <c r="A980" s="83"/>
      <c r="B980" s="83"/>
      <c r="C980" s="83"/>
      <c r="D980" s="84"/>
      <c r="E980" s="84"/>
      <c r="F980" s="84"/>
      <c r="G980" s="83"/>
      <c r="H980" s="84"/>
      <c r="I980" s="84"/>
      <c r="J980" s="84"/>
      <c r="K980" s="84"/>
      <c r="L980" s="84"/>
      <c r="M980" s="84"/>
      <c r="N980" s="84"/>
      <c r="O980" s="84"/>
      <c r="P980" s="85"/>
      <c r="Q980" s="75"/>
      <c r="R980" s="75"/>
      <c r="S980" s="75"/>
      <c r="T980" s="75"/>
      <c r="U980" s="89"/>
      <c r="V980" s="84"/>
      <c r="W980" s="84"/>
      <c r="X980" s="84"/>
      <c r="Y980" s="84"/>
      <c r="Z980" s="84"/>
    </row>
    <row r="981" spans="1:26" ht="15.75" customHeight="1">
      <c r="A981" s="83"/>
      <c r="B981" s="83"/>
      <c r="C981" s="83"/>
      <c r="D981" s="84"/>
      <c r="E981" s="84"/>
      <c r="F981" s="84"/>
      <c r="G981" s="83"/>
      <c r="H981" s="84"/>
      <c r="I981" s="84"/>
      <c r="J981" s="84"/>
      <c r="K981" s="84"/>
      <c r="L981" s="84"/>
      <c r="M981" s="84"/>
      <c r="N981" s="84"/>
      <c r="O981" s="84"/>
      <c r="P981" s="85"/>
      <c r="Q981" s="75"/>
      <c r="R981" s="75"/>
      <c r="S981" s="75"/>
      <c r="T981" s="75"/>
      <c r="U981" s="89"/>
      <c r="V981" s="84"/>
      <c r="W981" s="84"/>
      <c r="X981" s="84"/>
      <c r="Y981" s="84"/>
      <c r="Z981" s="84"/>
    </row>
    <row r="982" spans="1:26" ht="15.75" customHeight="1">
      <c r="A982" s="83"/>
      <c r="B982" s="83"/>
      <c r="C982" s="83"/>
      <c r="D982" s="84"/>
      <c r="E982" s="84"/>
      <c r="F982" s="84"/>
      <c r="G982" s="83"/>
      <c r="H982" s="84"/>
      <c r="I982" s="84"/>
      <c r="J982" s="84"/>
      <c r="K982" s="84"/>
      <c r="L982" s="84"/>
      <c r="M982" s="84"/>
      <c r="N982" s="84"/>
      <c r="O982" s="84"/>
      <c r="P982" s="85"/>
      <c r="Q982" s="75"/>
      <c r="R982" s="75"/>
      <c r="S982" s="75"/>
      <c r="T982" s="75"/>
      <c r="U982" s="89"/>
      <c r="V982" s="84"/>
      <c r="W982" s="84"/>
      <c r="X982" s="84"/>
      <c r="Y982" s="84"/>
      <c r="Z982" s="84"/>
    </row>
    <row r="983" spans="1:26" ht="15.75" customHeight="1">
      <c r="A983" s="83"/>
      <c r="B983" s="83"/>
      <c r="C983" s="83"/>
      <c r="D983" s="84"/>
      <c r="E983" s="84"/>
      <c r="F983" s="84"/>
      <c r="G983" s="83"/>
      <c r="H983" s="84"/>
      <c r="I983" s="84"/>
      <c r="J983" s="84"/>
      <c r="K983" s="84"/>
      <c r="L983" s="84"/>
      <c r="M983" s="84"/>
      <c r="N983" s="84"/>
      <c r="O983" s="84"/>
      <c r="P983" s="85"/>
      <c r="Q983" s="75"/>
      <c r="R983" s="75"/>
      <c r="S983" s="75"/>
      <c r="T983" s="75"/>
      <c r="U983" s="89"/>
      <c r="V983" s="84"/>
      <c r="W983" s="84"/>
      <c r="X983" s="84"/>
      <c r="Y983" s="84"/>
      <c r="Z983" s="84"/>
    </row>
    <row r="984" spans="1:26" ht="15.75" customHeight="1">
      <c r="A984" s="83"/>
      <c r="B984" s="83"/>
      <c r="C984" s="83"/>
      <c r="D984" s="84"/>
      <c r="E984" s="84"/>
      <c r="F984" s="84"/>
      <c r="G984" s="83"/>
      <c r="H984" s="84"/>
      <c r="I984" s="84"/>
      <c r="J984" s="84"/>
      <c r="K984" s="84"/>
      <c r="L984" s="84"/>
      <c r="M984" s="84"/>
      <c r="N984" s="84"/>
      <c r="O984" s="84"/>
      <c r="P984" s="85"/>
      <c r="Q984" s="75"/>
      <c r="R984" s="75"/>
      <c r="S984" s="75"/>
      <c r="T984" s="75"/>
      <c r="U984" s="89"/>
      <c r="V984" s="84"/>
      <c r="W984" s="84"/>
      <c r="X984" s="84"/>
      <c r="Y984" s="84"/>
      <c r="Z984" s="84"/>
    </row>
    <row r="985" spans="1:26" ht="15.75" customHeight="1">
      <c r="A985" s="83"/>
      <c r="B985" s="83"/>
      <c r="C985" s="83"/>
      <c r="D985" s="84"/>
      <c r="E985" s="84"/>
      <c r="F985" s="84"/>
      <c r="G985" s="83"/>
      <c r="H985" s="84"/>
      <c r="I985" s="84"/>
      <c r="J985" s="84"/>
      <c r="K985" s="84"/>
      <c r="L985" s="84"/>
      <c r="M985" s="84"/>
      <c r="N985" s="84"/>
      <c r="O985" s="84"/>
      <c r="P985" s="85"/>
      <c r="Q985" s="75"/>
      <c r="R985" s="75"/>
      <c r="S985" s="75"/>
      <c r="T985" s="75"/>
      <c r="U985" s="89"/>
      <c r="V985" s="84"/>
      <c r="W985" s="84"/>
      <c r="X985" s="84"/>
      <c r="Y985" s="84"/>
      <c r="Z985" s="84"/>
    </row>
    <row r="986" spans="1:26" ht="15.75" customHeight="1">
      <c r="A986" s="83"/>
      <c r="B986" s="83"/>
      <c r="C986" s="83"/>
      <c r="D986" s="84"/>
      <c r="E986" s="84"/>
      <c r="F986" s="84"/>
      <c r="G986" s="83"/>
      <c r="H986" s="84"/>
      <c r="I986" s="84"/>
      <c r="J986" s="84"/>
      <c r="K986" s="84"/>
      <c r="L986" s="84"/>
      <c r="M986" s="84"/>
      <c r="N986" s="84"/>
      <c r="O986" s="84"/>
      <c r="P986" s="85"/>
      <c r="Q986" s="75"/>
      <c r="R986" s="75"/>
      <c r="S986" s="75"/>
      <c r="T986" s="75"/>
      <c r="U986" s="89"/>
      <c r="V986" s="84"/>
      <c r="W986" s="84"/>
      <c r="X986" s="84"/>
      <c r="Y986" s="84"/>
      <c r="Z986" s="84"/>
    </row>
    <row r="987" spans="1:26" ht="15.75" customHeight="1">
      <c r="A987" s="83"/>
      <c r="B987" s="83"/>
      <c r="C987" s="83"/>
      <c r="D987" s="84"/>
      <c r="E987" s="84"/>
      <c r="F987" s="84"/>
      <c r="G987" s="83"/>
      <c r="H987" s="84"/>
      <c r="I987" s="84"/>
      <c r="J987" s="84"/>
      <c r="K987" s="84"/>
      <c r="L987" s="84"/>
      <c r="M987" s="84"/>
      <c r="N987" s="84"/>
      <c r="O987" s="84"/>
      <c r="P987" s="85"/>
      <c r="Q987" s="75"/>
      <c r="R987" s="75"/>
      <c r="S987" s="75"/>
      <c r="T987" s="75"/>
      <c r="U987" s="89"/>
      <c r="V987" s="84"/>
      <c r="W987" s="84"/>
      <c r="X987" s="84"/>
      <c r="Y987" s="84"/>
      <c r="Z987" s="84"/>
    </row>
    <row r="988" spans="1:26" ht="15.75" customHeight="1">
      <c r="A988" s="83"/>
      <c r="B988" s="83"/>
      <c r="C988" s="83"/>
      <c r="D988" s="84"/>
      <c r="E988" s="84"/>
      <c r="F988" s="84"/>
      <c r="G988" s="83"/>
      <c r="H988" s="84"/>
      <c r="I988" s="84"/>
      <c r="J988" s="84"/>
      <c r="K988" s="84"/>
      <c r="L988" s="84"/>
      <c r="M988" s="84"/>
      <c r="N988" s="84"/>
      <c r="O988" s="84"/>
      <c r="P988" s="85"/>
      <c r="Q988" s="75"/>
      <c r="R988" s="75"/>
      <c r="S988" s="75"/>
      <c r="T988" s="75"/>
      <c r="U988" s="89"/>
      <c r="V988" s="84"/>
      <c r="W988" s="84"/>
      <c r="X988" s="84"/>
      <c r="Y988" s="84"/>
      <c r="Z988" s="84"/>
    </row>
    <row r="989" spans="1:26" ht="15.75" customHeight="1">
      <c r="A989" s="83"/>
      <c r="B989" s="83"/>
      <c r="C989" s="83"/>
      <c r="D989" s="84"/>
      <c r="E989" s="84"/>
      <c r="F989" s="84"/>
      <c r="G989" s="83"/>
      <c r="H989" s="84"/>
      <c r="I989" s="84"/>
      <c r="J989" s="84"/>
      <c r="K989" s="84"/>
      <c r="L989" s="84"/>
      <c r="M989" s="84"/>
      <c r="N989" s="84"/>
      <c r="O989" s="84"/>
      <c r="P989" s="85"/>
      <c r="Q989" s="75"/>
      <c r="R989" s="75"/>
      <c r="S989" s="75"/>
      <c r="T989" s="75"/>
      <c r="U989" s="89"/>
      <c r="V989" s="84"/>
      <c r="W989" s="84"/>
      <c r="X989" s="84"/>
      <c r="Y989" s="84"/>
      <c r="Z989" s="84"/>
    </row>
    <row r="990" spans="1:26" ht="15.75" customHeight="1">
      <c r="A990" s="83"/>
      <c r="B990" s="83"/>
      <c r="C990" s="83"/>
      <c r="D990" s="84"/>
      <c r="E990" s="84"/>
      <c r="F990" s="84"/>
      <c r="G990" s="83"/>
      <c r="H990" s="84"/>
      <c r="I990" s="84"/>
      <c r="J990" s="84"/>
      <c r="K990" s="84"/>
      <c r="L990" s="84"/>
      <c r="M990" s="84"/>
      <c r="N990" s="84"/>
      <c r="O990" s="84"/>
      <c r="P990" s="85"/>
      <c r="Q990" s="75"/>
      <c r="R990" s="75"/>
      <c r="S990" s="75"/>
      <c r="T990" s="75"/>
      <c r="U990" s="89"/>
      <c r="V990" s="84"/>
      <c r="W990" s="84"/>
      <c r="X990" s="84"/>
      <c r="Y990" s="84"/>
      <c r="Z990" s="84"/>
    </row>
    <row r="991" spans="1:26" ht="15.75" customHeight="1">
      <c r="A991" s="83"/>
      <c r="B991" s="83"/>
      <c r="C991" s="83"/>
      <c r="D991" s="84"/>
      <c r="E991" s="84"/>
      <c r="F991" s="84"/>
      <c r="G991" s="83"/>
      <c r="H991" s="84"/>
      <c r="I991" s="84"/>
      <c r="J991" s="84"/>
      <c r="K991" s="84"/>
      <c r="L991" s="84"/>
      <c r="M991" s="84"/>
      <c r="N991" s="84"/>
      <c r="O991" s="84"/>
      <c r="P991" s="85"/>
      <c r="Q991" s="75"/>
      <c r="R991" s="75"/>
      <c r="S991" s="75"/>
      <c r="T991" s="75"/>
      <c r="U991" s="89"/>
      <c r="V991" s="84"/>
      <c r="W991" s="84"/>
      <c r="X991" s="84"/>
      <c r="Y991" s="84"/>
      <c r="Z991" s="84"/>
    </row>
    <row r="992" spans="1:26" ht="15.75" customHeight="1">
      <c r="A992" s="83"/>
      <c r="B992" s="83"/>
      <c r="C992" s="83"/>
      <c r="D992" s="84"/>
      <c r="E992" s="84"/>
      <c r="F992" s="84"/>
      <c r="G992" s="83"/>
      <c r="H992" s="84"/>
      <c r="I992" s="84"/>
      <c r="J992" s="84"/>
      <c r="K992" s="84"/>
      <c r="L992" s="84"/>
      <c r="M992" s="84"/>
      <c r="N992" s="84"/>
      <c r="O992" s="84"/>
      <c r="P992" s="85"/>
      <c r="Q992" s="75"/>
      <c r="R992" s="75"/>
      <c r="S992" s="75"/>
      <c r="T992" s="75"/>
      <c r="U992" s="89"/>
      <c r="V992" s="84"/>
      <c r="W992" s="84"/>
      <c r="X992" s="84"/>
      <c r="Y992" s="84"/>
      <c r="Z992" s="84"/>
    </row>
    <row r="993" spans="1:26" ht="15.75" customHeight="1">
      <c r="A993" s="83"/>
      <c r="B993" s="83"/>
      <c r="C993" s="83"/>
      <c r="D993" s="84"/>
      <c r="E993" s="84"/>
      <c r="F993" s="84"/>
      <c r="G993" s="83"/>
      <c r="H993" s="84"/>
      <c r="I993" s="84"/>
      <c r="J993" s="84"/>
      <c r="K993" s="84"/>
      <c r="L993" s="84"/>
      <c r="M993" s="84"/>
      <c r="N993" s="84"/>
      <c r="O993" s="84"/>
      <c r="P993" s="85"/>
      <c r="Q993" s="75"/>
      <c r="R993" s="75"/>
      <c r="S993" s="75"/>
      <c r="T993" s="75"/>
      <c r="U993" s="89"/>
      <c r="V993" s="84"/>
      <c r="W993" s="84"/>
      <c r="X993" s="84"/>
      <c r="Y993" s="84"/>
      <c r="Z993" s="84"/>
    </row>
    <row r="994" spans="1:26" ht="15.75" customHeight="1">
      <c r="A994" s="83"/>
      <c r="B994" s="83"/>
      <c r="C994" s="83"/>
      <c r="D994" s="84"/>
      <c r="E994" s="84"/>
      <c r="F994" s="84"/>
      <c r="G994" s="83"/>
      <c r="H994" s="84"/>
      <c r="I994" s="84"/>
      <c r="J994" s="84"/>
      <c r="K994" s="84"/>
      <c r="L994" s="84"/>
      <c r="M994" s="84"/>
      <c r="N994" s="84"/>
      <c r="O994" s="84"/>
      <c r="P994" s="85"/>
      <c r="Q994" s="75"/>
      <c r="R994" s="75"/>
      <c r="S994" s="75"/>
      <c r="T994" s="75"/>
      <c r="U994" s="89"/>
      <c r="V994" s="84"/>
      <c r="W994" s="84"/>
      <c r="X994" s="84"/>
      <c r="Y994" s="84"/>
      <c r="Z994" s="84"/>
    </row>
    <row r="995" spans="1:26" ht="15.75" customHeight="1">
      <c r="A995" s="83"/>
      <c r="B995" s="83"/>
      <c r="C995" s="83"/>
      <c r="D995" s="84"/>
      <c r="E995" s="84"/>
      <c r="F995" s="84"/>
      <c r="G995" s="83"/>
      <c r="H995" s="84"/>
      <c r="I995" s="84"/>
      <c r="J995" s="84"/>
      <c r="K995" s="84"/>
      <c r="L995" s="84"/>
      <c r="M995" s="84"/>
      <c r="N995" s="84"/>
      <c r="O995" s="84"/>
      <c r="P995" s="85"/>
      <c r="Q995" s="75"/>
      <c r="R995" s="75"/>
      <c r="S995" s="75"/>
      <c r="T995" s="75"/>
      <c r="U995" s="89"/>
      <c r="V995" s="84"/>
      <c r="W995" s="84"/>
      <c r="X995" s="84"/>
      <c r="Y995" s="84"/>
      <c r="Z995" s="84"/>
    </row>
    <row r="996" spans="1:26" ht="15.75" customHeight="1">
      <c r="A996" s="83"/>
      <c r="B996" s="83"/>
      <c r="C996" s="83"/>
      <c r="D996" s="84"/>
      <c r="E996" s="84"/>
      <c r="F996" s="84"/>
      <c r="G996" s="83"/>
      <c r="H996" s="84"/>
      <c r="I996" s="84"/>
      <c r="J996" s="84"/>
      <c r="K996" s="84"/>
      <c r="L996" s="84"/>
      <c r="M996" s="84"/>
      <c r="N996" s="84"/>
      <c r="O996" s="84"/>
      <c r="P996" s="85"/>
      <c r="Q996" s="75"/>
      <c r="R996" s="75"/>
      <c r="S996" s="75"/>
      <c r="T996" s="75"/>
      <c r="U996" s="89"/>
      <c r="V996" s="84"/>
      <c r="W996" s="84"/>
      <c r="X996" s="84"/>
      <c r="Y996" s="84"/>
      <c r="Z996" s="84"/>
    </row>
    <row r="997" spans="1:26" ht="15.75" customHeight="1">
      <c r="A997" s="83"/>
      <c r="B997" s="83"/>
      <c r="C997" s="83"/>
      <c r="D997" s="84"/>
      <c r="E997" s="84"/>
      <c r="F997" s="84"/>
      <c r="G997" s="83"/>
      <c r="H997" s="84"/>
      <c r="I997" s="84"/>
      <c r="J997" s="84"/>
      <c r="K997" s="84"/>
      <c r="L997" s="84"/>
      <c r="M997" s="84"/>
      <c r="N997" s="84"/>
      <c r="O997" s="84"/>
      <c r="P997" s="85"/>
      <c r="Q997" s="75"/>
      <c r="R997" s="75"/>
      <c r="S997" s="75"/>
      <c r="T997" s="75"/>
      <c r="U997" s="89"/>
      <c r="V997" s="84"/>
      <c r="W997" s="84"/>
      <c r="X997" s="84"/>
      <c r="Y997" s="84"/>
      <c r="Z997" s="84"/>
    </row>
    <row r="998" spans="1:26" ht="15.75" customHeight="1">
      <c r="A998" s="83"/>
      <c r="B998" s="83"/>
      <c r="C998" s="83"/>
      <c r="D998" s="84"/>
      <c r="E998" s="84"/>
      <c r="F998" s="84"/>
      <c r="G998" s="83"/>
      <c r="H998" s="84"/>
      <c r="I998" s="84"/>
      <c r="J998" s="84"/>
      <c r="K998" s="84"/>
      <c r="L998" s="84"/>
      <c r="M998" s="84"/>
      <c r="N998" s="84"/>
      <c r="O998" s="84"/>
      <c r="P998" s="85"/>
      <c r="Q998" s="75"/>
      <c r="R998" s="75"/>
      <c r="S998" s="75"/>
      <c r="T998" s="75"/>
      <c r="U998" s="89"/>
      <c r="V998" s="84"/>
      <c r="W998" s="84"/>
      <c r="X998" s="84"/>
      <c r="Y998" s="84"/>
      <c r="Z998" s="84"/>
    </row>
    <row r="999" spans="1:26" ht="15.75" customHeight="1">
      <c r="A999" s="83"/>
      <c r="B999" s="83"/>
      <c r="C999" s="83"/>
      <c r="D999" s="84"/>
      <c r="E999" s="84"/>
      <c r="F999" s="84"/>
      <c r="G999" s="83"/>
      <c r="H999" s="84"/>
      <c r="I999" s="84"/>
      <c r="J999" s="84"/>
      <c r="K999" s="84"/>
      <c r="L999" s="84"/>
      <c r="M999" s="84"/>
      <c r="N999" s="84"/>
      <c r="O999" s="84"/>
      <c r="P999" s="85"/>
      <c r="Q999" s="75"/>
      <c r="R999" s="75"/>
      <c r="S999" s="75"/>
      <c r="T999" s="75"/>
      <c r="U999" s="89"/>
      <c r="V999" s="84"/>
      <c r="W999" s="84"/>
      <c r="X999" s="84"/>
      <c r="Y999" s="84"/>
      <c r="Z999" s="84"/>
    </row>
    <row r="1000" spans="1:26" ht="15.75" customHeight="1">
      <c r="A1000" s="83"/>
      <c r="B1000" s="83"/>
      <c r="C1000" s="83"/>
      <c r="D1000" s="84"/>
      <c r="E1000" s="84"/>
      <c r="F1000" s="84"/>
      <c r="G1000" s="83"/>
      <c r="H1000" s="84"/>
      <c r="I1000" s="84"/>
      <c r="J1000" s="84"/>
      <c r="K1000" s="84"/>
      <c r="L1000" s="84"/>
      <c r="M1000" s="84"/>
      <c r="N1000" s="84"/>
      <c r="O1000" s="84"/>
      <c r="P1000" s="85"/>
      <c r="Q1000" s="75"/>
      <c r="R1000" s="75"/>
      <c r="S1000" s="75"/>
      <c r="T1000" s="75"/>
      <c r="U1000" s="89"/>
      <c r="V1000" s="84"/>
      <c r="W1000" s="84"/>
      <c r="X1000" s="84"/>
      <c r="Y1000" s="84"/>
      <c r="Z1000" s="84"/>
    </row>
    <row r="1001" spans="1:26" ht="15.75" customHeight="1">
      <c r="A1001" s="83"/>
      <c r="B1001" s="83"/>
      <c r="C1001" s="83"/>
      <c r="D1001" s="84"/>
      <c r="E1001" s="84"/>
      <c r="F1001" s="84"/>
      <c r="G1001" s="83"/>
      <c r="H1001" s="84"/>
      <c r="I1001" s="84"/>
      <c r="J1001" s="84"/>
      <c r="K1001" s="84"/>
      <c r="L1001" s="84"/>
      <c r="M1001" s="84"/>
      <c r="N1001" s="84"/>
      <c r="O1001" s="84"/>
      <c r="P1001" s="85"/>
      <c r="Q1001" s="75"/>
      <c r="R1001" s="75"/>
      <c r="S1001" s="75"/>
      <c r="T1001" s="75"/>
      <c r="U1001" s="89"/>
      <c r="V1001" s="84"/>
      <c r="W1001" s="84"/>
      <c r="X1001" s="84"/>
      <c r="Y1001" s="84"/>
      <c r="Z1001" s="84"/>
    </row>
    <row r="1002" spans="1:26" ht="15.75" customHeight="1">
      <c r="A1002" s="83"/>
      <c r="B1002" s="83"/>
      <c r="C1002" s="83"/>
      <c r="D1002" s="84"/>
      <c r="E1002" s="84"/>
      <c r="F1002" s="84"/>
      <c r="G1002" s="83"/>
      <c r="H1002" s="84"/>
      <c r="I1002" s="84"/>
      <c r="J1002" s="84"/>
      <c r="K1002" s="84"/>
      <c r="L1002" s="84"/>
      <c r="M1002" s="84"/>
      <c r="N1002" s="84"/>
      <c r="O1002" s="84"/>
      <c r="P1002" s="85"/>
      <c r="Q1002" s="75"/>
      <c r="R1002" s="75"/>
      <c r="S1002" s="75"/>
      <c r="T1002" s="75"/>
      <c r="U1002" s="89"/>
      <c r="V1002" s="84"/>
      <c r="W1002" s="84"/>
      <c r="X1002" s="84"/>
      <c r="Y1002" s="84"/>
      <c r="Z1002" s="84"/>
    </row>
    <row r="1003" spans="1:26" ht="15.75" customHeight="1">
      <c r="A1003" s="83"/>
      <c r="B1003" s="83"/>
      <c r="C1003" s="83"/>
      <c r="D1003" s="84"/>
      <c r="E1003" s="84"/>
      <c r="F1003" s="84"/>
      <c r="G1003" s="83"/>
      <c r="H1003" s="84"/>
      <c r="I1003" s="84"/>
      <c r="J1003" s="84"/>
      <c r="K1003" s="84"/>
      <c r="L1003" s="84"/>
      <c r="M1003" s="84"/>
      <c r="N1003" s="84"/>
      <c r="O1003" s="84"/>
      <c r="P1003" s="85"/>
      <c r="Q1003" s="75"/>
      <c r="R1003" s="75"/>
      <c r="S1003" s="75"/>
      <c r="T1003" s="75"/>
      <c r="U1003" s="89"/>
      <c r="V1003" s="84"/>
      <c r="W1003" s="84"/>
      <c r="X1003" s="84"/>
      <c r="Y1003" s="84"/>
      <c r="Z1003" s="84"/>
    </row>
    <row r="1004" spans="1:26" ht="15.75" customHeight="1">
      <c r="A1004" s="83"/>
      <c r="B1004" s="83"/>
      <c r="C1004" s="83"/>
      <c r="D1004" s="84"/>
      <c r="E1004" s="84"/>
      <c r="F1004" s="84"/>
      <c r="G1004" s="83"/>
      <c r="H1004" s="84"/>
      <c r="I1004" s="84"/>
      <c r="J1004" s="84"/>
      <c r="K1004" s="84"/>
      <c r="L1004" s="84"/>
      <c r="M1004" s="84"/>
      <c r="N1004" s="84"/>
      <c r="O1004" s="84"/>
      <c r="P1004" s="85"/>
      <c r="Q1004" s="75"/>
      <c r="R1004" s="75"/>
      <c r="S1004" s="75"/>
      <c r="T1004" s="75"/>
      <c r="U1004" s="89"/>
      <c r="V1004" s="84"/>
      <c r="W1004" s="84"/>
      <c r="X1004" s="84"/>
      <c r="Y1004" s="84"/>
      <c r="Z1004" s="84"/>
    </row>
    <row r="1005" spans="1:26" ht="15.75" customHeight="1">
      <c r="A1005" s="83"/>
      <c r="B1005" s="83"/>
      <c r="C1005" s="83"/>
      <c r="D1005" s="84"/>
      <c r="E1005" s="84"/>
      <c r="F1005" s="84"/>
      <c r="G1005" s="83"/>
      <c r="H1005" s="84"/>
      <c r="I1005" s="84"/>
      <c r="J1005" s="84"/>
      <c r="K1005" s="84"/>
      <c r="L1005" s="84"/>
      <c r="M1005" s="84"/>
      <c r="N1005" s="84"/>
      <c r="O1005" s="84"/>
      <c r="P1005" s="85"/>
      <c r="Q1005" s="75"/>
      <c r="R1005" s="75"/>
      <c r="S1005" s="75"/>
      <c r="T1005" s="75"/>
      <c r="U1005" s="89"/>
      <c r="V1005" s="84"/>
      <c r="W1005" s="84"/>
      <c r="X1005" s="84"/>
      <c r="Y1005" s="84"/>
      <c r="Z1005" s="84"/>
    </row>
    <row r="1006" spans="1:26" ht="15.75" customHeight="1">
      <c r="A1006" s="83"/>
      <c r="B1006" s="83"/>
      <c r="C1006" s="83"/>
      <c r="D1006" s="84"/>
      <c r="E1006" s="84"/>
      <c r="F1006" s="84"/>
      <c r="G1006" s="83"/>
      <c r="H1006" s="84"/>
      <c r="I1006" s="84"/>
      <c r="J1006" s="84"/>
      <c r="K1006" s="84"/>
      <c r="L1006" s="84"/>
      <c r="M1006" s="84"/>
      <c r="N1006" s="84"/>
      <c r="O1006" s="84"/>
      <c r="P1006" s="85"/>
      <c r="Q1006" s="75"/>
      <c r="R1006" s="75"/>
      <c r="S1006" s="75"/>
      <c r="T1006" s="75"/>
      <c r="U1006" s="89"/>
      <c r="V1006" s="84"/>
      <c r="W1006" s="84"/>
      <c r="X1006" s="84"/>
      <c r="Y1006" s="84"/>
      <c r="Z1006" s="84"/>
    </row>
  </sheetData>
  <conditionalFormatting sqref="T1:T1006">
    <cfRule type="cellIs" dxfId="27" priority="1" operator="equal">
      <formula>"true"</formula>
    </cfRule>
  </conditionalFormatting>
  <conditionalFormatting sqref="Q1:Q1006">
    <cfRule type="cellIs" dxfId="26" priority="2" operator="equal">
      <formula>"true"</formula>
    </cfRule>
  </conditionalFormatting>
  <conditionalFormatting sqref="R1:R1006">
    <cfRule type="cellIs" dxfId="25" priority="3" operator="equal">
      <formula>"true"</formula>
    </cfRule>
  </conditionalFormatting>
  <conditionalFormatting sqref="S1:S1006">
    <cfRule type="cellIs" dxfId="24" priority="4" operator="equal">
      <formula>"true"</formula>
    </cfRule>
  </conditionalFormatting>
  <conditionalFormatting sqref="T1:T1006">
    <cfRule type="cellIs" dxfId="23" priority="5" operator="equal">
      <formula>"true"</formula>
    </cfRule>
  </conditionalFormatting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1000"/>
  <sheetViews>
    <sheetView workbookViewId="0"/>
  </sheetViews>
  <sheetFormatPr defaultColWidth="14.453125" defaultRowHeight="15" customHeight="1"/>
  <cols>
    <col min="1" max="1" width="16" customWidth="1"/>
    <col min="2" max="2" width="8.7265625" customWidth="1"/>
    <col min="3" max="3" width="10.08984375" customWidth="1"/>
  </cols>
  <sheetData>
    <row r="1" spans="1:25">
      <c r="A1" s="118" t="s">
        <v>906</v>
      </c>
      <c r="B1" s="118" t="s">
        <v>907</v>
      </c>
      <c r="C1" s="118" t="s">
        <v>908</v>
      </c>
      <c r="D1" s="118" t="s">
        <v>909</v>
      </c>
      <c r="E1" s="118" t="s">
        <v>910</v>
      </c>
      <c r="F1" s="118" t="s">
        <v>911</v>
      </c>
      <c r="G1" s="118" t="s">
        <v>912</v>
      </c>
      <c r="H1" s="118" t="s">
        <v>913</v>
      </c>
      <c r="I1" s="118" t="s">
        <v>914</v>
      </c>
      <c r="J1" s="118" t="s">
        <v>915</v>
      </c>
      <c r="K1" s="118" t="s">
        <v>916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>
      <c r="A2" s="119">
        <v>1103119879</v>
      </c>
      <c r="B2" s="119">
        <v>0</v>
      </c>
      <c r="C2" s="118" t="s">
        <v>917</v>
      </c>
      <c r="D2" s="120"/>
      <c r="E2" s="120"/>
      <c r="F2" s="121">
        <v>25</v>
      </c>
      <c r="G2" s="119">
        <v>0</v>
      </c>
      <c r="H2" s="119">
        <v>125</v>
      </c>
      <c r="I2" s="119">
        <v>1998</v>
      </c>
      <c r="J2" s="118" t="s">
        <v>918</v>
      </c>
      <c r="K2" s="119" t="s">
        <v>919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>
      <c r="A3" s="119">
        <v>1103119892</v>
      </c>
      <c r="B3" s="119">
        <v>0</v>
      </c>
      <c r="C3" s="118" t="s">
        <v>917</v>
      </c>
      <c r="D3" s="120"/>
      <c r="E3" s="120"/>
      <c r="F3" s="122">
        <v>35</v>
      </c>
      <c r="G3" s="123"/>
      <c r="H3" s="123"/>
      <c r="I3" s="119">
        <v>2007</v>
      </c>
      <c r="J3" s="118" t="s">
        <v>920</v>
      </c>
      <c r="K3" s="119" t="s">
        <v>919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>
      <c r="A4" s="119">
        <v>1103119944</v>
      </c>
      <c r="B4" s="119">
        <v>0</v>
      </c>
      <c r="C4" s="118" t="s">
        <v>917</v>
      </c>
      <c r="D4" s="118" t="s">
        <v>921</v>
      </c>
      <c r="E4" s="118" t="s">
        <v>922</v>
      </c>
      <c r="F4" s="124">
        <v>22</v>
      </c>
      <c r="G4" s="119">
        <v>0</v>
      </c>
      <c r="H4" s="119">
        <v>42</v>
      </c>
      <c r="I4" s="119">
        <v>1978</v>
      </c>
      <c r="J4" s="118" t="s">
        <v>923</v>
      </c>
      <c r="K4" s="119" t="s">
        <v>919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>
      <c r="A5" s="119">
        <v>1103119955</v>
      </c>
      <c r="B5" s="119">
        <v>0</v>
      </c>
      <c r="C5" s="118" t="s">
        <v>917</v>
      </c>
      <c r="D5" s="380" t="s">
        <v>924</v>
      </c>
      <c r="E5" s="372"/>
      <c r="F5" s="125">
        <v>27</v>
      </c>
      <c r="G5" s="119">
        <v>0</v>
      </c>
      <c r="H5" s="119">
        <v>66</v>
      </c>
      <c r="I5" s="119">
        <v>1999</v>
      </c>
      <c r="J5" s="118" t="s">
        <v>925</v>
      </c>
      <c r="K5" s="119" t="s">
        <v>919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>
      <c r="A6" s="119">
        <v>1103119981</v>
      </c>
      <c r="B6" s="119">
        <v>0</v>
      </c>
      <c r="C6" s="118" t="s">
        <v>917</v>
      </c>
      <c r="D6" s="118" t="s">
        <v>926</v>
      </c>
      <c r="E6" s="118" t="s">
        <v>927</v>
      </c>
      <c r="F6" s="125">
        <v>27</v>
      </c>
      <c r="G6" s="119">
        <v>1</v>
      </c>
      <c r="H6" s="119">
        <v>184</v>
      </c>
      <c r="I6" s="119">
        <v>1980</v>
      </c>
      <c r="J6" s="118" t="s">
        <v>928</v>
      </c>
      <c r="K6" s="119" t="s">
        <v>919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>
      <c r="A7" s="119">
        <v>1103120003</v>
      </c>
      <c r="B7" s="119">
        <v>0</v>
      </c>
      <c r="C7" s="118" t="s">
        <v>917</v>
      </c>
      <c r="D7" s="118" t="s">
        <v>929</v>
      </c>
      <c r="E7" s="118" t="s">
        <v>927</v>
      </c>
      <c r="F7" s="125">
        <v>27</v>
      </c>
      <c r="G7" s="119">
        <v>1</v>
      </c>
      <c r="H7" s="119">
        <v>184</v>
      </c>
      <c r="I7" s="119">
        <v>1980</v>
      </c>
      <c r="J7" s="118" t="s">
        <v>930</v>
      </c>
      <c r="K7" s="119" t="s">
        <v>919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>
      <c r="A8" s="119">
        <v>1103120007</v>
      </c>
      <c r="B8" s="119">
        <v>0</v>
      </c>
      <c r="C8" s="118" t="s">
        <v>917</v>
      </c>
      <c r="D8" s="118" t="s">
        <v>931</v>
      </c>
      <c r="E8" s="118" t="s">
        <v>932</v>
      </c>
      <c r="F8" s="125">
        <v>27</v>
      </c>
      <c r="G8" s="123"/>
      <c r="H8" s="119">
        <v>216</v>
      </c>
      <c r="I8" s="119">
        <v>1997</v>
      </c>
      <c r="J8" s="118" t="s">
        <v>933</v>
      </c>
      <c r="K8" s="119" t="s">
        <v>919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>
      <c r="A9" s="119">
        <v>1103120026</v>
      </c>
      <c r="B9" s="119">
        <v>0</v>
      </c>
      <c r="C9" s="118" t="s">
        <v>917</v>
      </c>
      <c r="D9" s="380" t="s">
        <v>924</v>
      </c>
      <c r="E9" s="372"/>
      <c r="F9" s="125">
        <v>27</v>
      </c>
      <c r="G9" s="119">
        <v>0</v>
      </c>
      <c r="H9" s="119">
        <v>66</v>
      </c>
      <c r="I9" s="119">
        <v>1999</v>
      </c>
      <c r="J9" s="118" t="s">
        <v>925</v>
      </c>
      <c r="K9" s="119" t="s">
        <v>919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>
      <c r="A10" s="119">
        <v>1103120068</v>
      </c>
      <c r="B10" s="119">
        <v>0</v>
      </c>
      <c r="C10" s="118" t="s">
        <v>917</v>
      </c>
      <c r="D10" s="380" t="s">
        <v>934</v>
      </c>
      <c r="E10" s="372"/>
      <c r="F10" s="126">
        <v>20</v>
      </c>
      <c r="G10" s="119">
        <v>0</v>
      </c>
      <c r="H10" s="119">
        <v>57</v>
      </c>
      <c r="I10" s="119">
        <v>1974</v>
      </c>
      <c r="J10" s="118" t="s">
        <v>935</v>
      </c>
      <c r="K10" s="119" t="s">
        <v>919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>
      <c r="A11" s="119">
        <v>1103120091</v>
      </c>
      <c r="B11" s="119">
        <v>0</v>
      </c>
      <c r="C11" s="118" t="s">
        <v>917</v>
      </c>
      <c r="D11" s="380" t="s">
        <v>936</v>
      </c>
      <c r="E11" s="372"/>
      <c r="F11" s="127">
        <v>17</v>
      </c>
      <c r="G11" s="119">
        <v>0</v>
      </c>
      <c r="H11" s="119">
        <v>99</v>
      </c>
      <c r="I11" s="119">
        <v>1968</v>
      </c>
      <c r="J11" s="123"/>
      <c r="K11" s="119" t="s">
        <v>919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>
      <c r="A12" s="119">
        <v>1103120100</v>
      </c>
      <c r="B12" s="119">
        <v>0</v>
      </c>
      <c r="C12" s="118" t="s">
        <v>917</v>
      </c>
      <c r="D12" s="118" t="s">
        <v>921</v>
      </c>
      <c r="E12" s="118" t="s">
        <v>937</v>
      </c>
      <c r="F12" s="128">
        <v>28</v>
      </c>
      <c r="G12" s="119">
        <v>0</v>
      </c>
      <c r="H12" s="119">
        <v>395</v>
      </c>
      <c r="I12" s="119">
        <v>1966</v>
      </c>
      <c r="J12" s="118" t="s">
        <v>938</v>
      </c>
      <c r="K12" s="119" t="s">
        <v>919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>
      <c r="A13" s="119">
        <v>1103120117</v>
      </c>
      <c r="B13" s="119">
        <v>0</v>
      </c>
      <c r="C13" s="118" t="s">
        <v>917</v>
      </c>
      <c r="D13" s="380" t="s">
        <v>939</v>
      </c>
      <c r="E13" s="372"/>
      <c r="F13" s="129">
        <v>19</v>
      </c>
      <c r="G13" s="123"/>
      <c r="H13" s="119">
        <v>19</v>
      </c>
      <c r="I13" s="119">
        <v>1954</v>
      </c>
      <c r="J13" s="118" t="s">
        <v>940</v>
      </c>
      <c r="K13" s="119" t="s">
        <v>919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>
      <c r="A14" s="119">
        <v>1103120125</v>
      </c>
      <c r="B14" s="119">
        <v>0</v>
      </c>
      <c r="C14" s="118" t="s">
        <v>917</v>
      </c>
      <c r="D14" s="120"/>
      <c r="E14" s="118" t="s">
        <v>941</v>
      </c>
      <c r="F14" s="130">
        <v>3</v>
      </c>
      <c r="G14" s="119">
        <v>0</v>
      </c>
      <c r="H14" s="119">
        <v>85</v>
      </c>
      <c r="I14" s="119">
        <v>1997</v>
      </c>
      <c r="J14" s="118" t="s">
        <v>942</v>
      </c>
      <c r="K14" s="119" t="s">
        <v>919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>
      <c r="A15" s="119">
        <v>1103120221</v>
      </c>
      <c r="B15" s="119">
        <v>0</v>
      </c>
      <c r="C15" s="118" t="s">
        <v>917</v>
      </c>
      <c r="D15" s="380" t="s">
        <v>943</v>
      </c>
      <c r="E15" s="372"/>
      <c r="F15" s="128">
        <v>28</v>
      </c>
      <c r="G15" s="119">
        <v>0</v>
      </c>
      <c r="H15" s="119">
        <v>56</v>
      </c>
      <c r="I15" s="119">
        <v>1996</v>
      </c>
      <c r="J15" s="118" t="s">
        <v>944</v>
      </c>
      <c r="K15" s="119" t="s">
        <v>919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>
      <c r="A16" s="119">
        <v>1103120249</v>
      </c>
      <c r="B16" s="119">
        <v>0</v>
      </c>
      <c r="C16" s="118" t="s">
        <v>917</v>
      </c>
      <c r="D16" s="380" t="s">
        <v>945</v>
      </c>
      <c r="E16" s="372"/>
      <c r="F16" s="127">
        <v>17</v>
      </c>
      <c r="G16" s="119">
        <v>0</v>
      </c>
      <c r="H16" s="119">
        <v>264</v>
      </c>
      <c r="I16" s="119">
        <v>1959</v>
      </c>
      <c r="J16" s="118" t="s">
        <v>946</v>
      </c>
      <c r="K16" s="119" t="s">
        <v>919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>
      <c r="A17" s="119">
        <v>1103120276</v>
      </c>
      <c r="B17" s="119">
        <v>0</v>
      </c>
      <c r="C17" s="118" t="s">
        <v>917</v>
      </c>
      <c r="D17" s="380" t="s">
        <v>947</v>
      </c>
      <c r="E17" s="372"/>
      <c r="F17" s="131">
        <v>15</v>
      </c>
      <c r="G17" s="119">
        <v>0</v>
      </c>
      <c r="H17" s="119">
        <v>180</v>
      </c>
      <c r="I17" s="119">
        <v>1958</v>
      </c>
      <c r="J17" s="118" t="s">
        <v>948</v>
      </c>
      <c r="K17" s="119" t="s">
        <v>919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>
      <c r="A18" s="119">
        <v>1103120290</v>
      </c>
      <c r="B18" s="119">
        <v>0</v>
      </c>
      <c r="C18" s="118" t="s">
        <v>917</v>
      </c>
      <c r="D18" s="380" t="s">
        <v>815</v>
      </c>
      <c r="E18" s="372"/>
      <c r="F18" s="132">
        <v>23</v>
      </c>
      <c r="G18" s="119">
        <v>0</v>
      </c>
      <c r="H18" s="119">
        <v>92</v>
      </c>
      <c r="I18" s="119">
        <v>1985</v>
      </c>
      <c r="J18" s="118" t="s">
        <v>949</v>
      </c>
      <c r="K18" s="119" t="s">
        <v>919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>
      <c r="A19" s="119">
        <v>1103120312</v>
      </c>
      <c r="B19" s="119">
        <v>0</v>
      </c>
      <c r="C19" s="118" t="s">
        <v>917</v>
      </c>
      <c r="D19" s="380" t="s">
        <v>950</v>
      </c>
      <c r="E19" s="372"/>
      <c r="F19" s="121">
        <v>25</v>
      </c>
      <c r="G19" s="119">
        <v>2</v>
      </c>
      <c r="H19" s="119">
        <v>200</v>
      </c>
      <c r="I19" s="119">
        <v>1985</v>
      </c>
      <c r="J19" s="118" t="s">
        <v>951</v>
      </c>
      <c r="K19" s="119" t="s">
        <v>919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>
      <c r="A20" s="119">
        <v>1103120334</v>
      </c>
      <c r="B20" s="119">
        <v>0</v>
      </c>
      <c r="C20" s="118" t="s">
        <v>917</v>
      </c>
      <c r="D20" s="380" t="s">
        <v>952</v>
      </c>
      <c r="E20" s="372"/>
      <c r="F20" s="128">
        <v>28</v>
      </c>
      <c r="G20" s="119">
        <v>0</v>
      </c>
      <c r="H20" s="119">
        <v>146</v>
      </c>
      <c r="I20" s="119">
        <v>1988</v>
      </c>
      <c r="J20" s="123"/>
      <c r="K20" s="119" t="s">
        <v>919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>
      <c r="A21" s="119">
        <v>1103120381</v>
      </c>
      <c r="B21" s="119">
        <v>0</v>
      </c>
      <c r="C21" s="118" t="s">
        <v>917</v>
      </c>
      <c r="D21" s="380" t="s">
        <v>806</v>
      </c>
      <c r="E21" s="372"/>
      <c r="F21" s="133">
        <v>16</v>
      </c>
      <c r="G21" s="123"/>
      <c r="H21" s="119">
        <v>66</v>
      </c>
      <c r="I21" s="119">
        <v>1958</v>
      </c>
      <c r="J21" s="118" t="s">
        <v>953</v>
      </c>
      <c r="K21" s="119" t="s">
        <v>919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>
      <c r="A22" s="119">
        <v>1103120388</v>
      </c>
      <c r="B22" s="119">
        <v>0</v>
      </c>
      <c r="C22" s="118" t="s">
        <v>917</v>
      </c>
      <c r="D22" s="380" t="s">
        <v>803</v>
      </c>
      <c r="E22" s="372"/>
      <c r="F22" s="126">
        <v>20</v>
      </c>
      <c r="G22" s="123"/>
      <c r="H22" s="119">
        <v>335</v>
      </c>
      <c r="I22" s="119">
        <v>1963</v>
      </c>
      <c r="J22" s="118" t="s">
        <v>954</v>
      </c>
      <c r="K22" s="119" t="s">
        <v>919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>
      <c r="A23" s="119">
        <v>1103120396</v>
      </c>
      <c r="B23" s="119">
        <v>0</v>
      </c>
      <c r="C23" s="118" t="s">
        <v>917</v>
      </c>
      <c r="D23" s="380" t="s">
        <v>809</v>
      </c>
      <c r="E23" s="372"/>
      <c r="F23" s="129">
        <v>19</v>
      </c>
      <c r="G23" s="123"/>
      <c r="H23" s="119">
        <v>160</v>
      </c>
      <c r="I23" s="119">
        <v>1982</v>
      </c>
      <c r="J23" s="118" t="s">
        <v>955</v>
      </c>
      <c r="K23" s="119" t="s">
        <v>919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>
      <c r="A24" s="119">
        <v>1103120407</v>
      </c>
      <c r="B24" s="119">
        <v>0</v>
      </c>
      <c r="C24" s="118" t="s">
        <v>917</v>
      </c>
      <c r="D24" s="380" t="s">
        <v>890</v>
      </c>
      <c r="E24" s="372"/>
      <c r="F24" s="134">
        <v>13</v>
      </c>
      <c r="G24" s="123"/>
      <c r="H24" s="119">
        <v>112</v>
      </c>
      <c r="I24" s="119">
        <v>1962</v>
      </c>
      <c r="J24" s="118" t="s">
        <v>956</v>
      </c>
      <c r="K24" s="119" t="s">
        <v>919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>
      <c r="A25" s="119">
        <v>1103120430</v>
      </c>
      <c r="B25" s="119">
        <v>0</v>
      </c>
      <c r="C25" s="118" t="s">
        <v>917</v>
      </c>
      <c r="D25" s="380" t="s">
        <v>887</v>
      </c>
      <c r="E25" s="372"/>
      <c r="F25" s="134">
        <v>13</v>
      </c>
      <c r="G25" s="119">
        <v>0</v>
      </c>
      <c r="H25" s="119">
        <v>52</v>
      </c>
      <c r="I25" s="119">
        <v>1961</v>
      </c>
      <c r="J25" s="123"/>
      <c r="K25" s="119" t="s">
        <v>919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>
      <c r="A26" s="119">
        <v>1103120445</v>
      </c>
      <c r="B26" s="119">
        <v>0</v>
      </c>
      <c r="C26" s="118" t="s">
        <v>917</v>
      </c>
      <c r="D26" s="380" t="s">
        <v>800</v>
      </c>
      <c r="E26" s="372"/>
      <c r="F26" s="121">
        <v>25</v>
      </c>
      <c r="G26" s="119">
        <v>0</v>
      </c>
      <c r="H26" s="119">
        <v>25</v>
      </c>
      <c r="I26" s="119">
        <v>1999</v>
      </c>
      <c r="J26" s="118" t="s">
        <v>957</v>
      </c>
      <c r="K26" s="119" t="s">
        <v>919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>
      <c r="A27" s="119">
        <v>1103120475</v>
      </c>
      <c r="B27" s="119">
        <v>0</v>
      </c>
      <c r="C27" s="118" t="s">
        <v>917</v>
      </c>
      <c r="D27" s="118" t="s">
        <v>958</v>
      </c>
      <c r="E27" s="118" t="s">
        <v>959</v>
      </c>
      <c r="F27" s="135">
        <v>11</v>
      </c>
      <c r="G27" s="119">
        <v>0</v>
      </c>
      <c r="H27" s="119">
        <v>22</v>
      </c>
      <c r="I27" s="119">
        <v>1958</v>
      </c>
      <c r="J27" s="118" t="s">
        <v>960</v>
      </c>
      <c r="K27" s="119" t="s">
        <v>919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>
      <c r="A28" s="119">
        <v>1103120497</v>
      </c>
      <c r="B28" s="119">
        <v>0</v>
      </c>
      <c r="C28" s="118" t="s">
        <v>917</v>
      </c>
      <c r="D28" s="380" t="s">
        <v>961</v>
      </c>
      <c r="E28" s="372"/>
      <c r="F28" s="136">
        <v>2</v>
      </c>
      <c r="G28" s="123"/>
      <c r="H28" s="119">
        <v>156</v>
      </c>
      <c r="I28" s="119">
        <v>1974</v>
      </c>
      <c r="J28" s="118" t="s">
        <v>962</v>
      </c>
      <c r="K28" s="119" t="s">
        <v>919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>
      <c r="A29" s="119">
        <v>1103120777</v>
      </c>
      <c r="B29" s="119">
        <v>0</v>
      </c>
      <c r="C29" s="118" t="s">
        <v>917</v>
      </c>
      <c r="D29" s="380" t="s">
        <v>963</v>
      </c>
      <c r="E29" s="372"/>
      <c r="F29" s="129">
        <v>19</v>
      </c>
      <c r="G29" s="123"/>
      <c r="H29" s="119">
        <v>91</v>
      </c>
      <c r="I29" s="119">
        <v>1966</v>
      </c>
      <c r="J29" s="118" t="s">
        <v>964</v>
      </c>
      <c r="K29" s="119" t="s">
        <v>919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>
      <c r="A30" s="119">
        <v>1103120796</v>
      </c>
      <c r="B30" s="119">
        <v>0</v>
      </c>
      <c r="C30" s="118" t="s">
        <v>917</v>
      </c>
      <c r="D30" s="380" t="s">
        <v>965</v>
      </c>
      <c r="E30" s="372"/>
      <c r="F30" s="132">
        <v>23</v>
      </c>
      <c r="G30" s="119">
        <v>0</v>
      </c>
      <c r="H30" s="119">
        <v>46</v>
      </c>
      <c r="I30" s="119">
        <v>1987</v>
      </c>
      <c r="J30" s="118" t="s">
        <v>966</v>
      </c>
      <c r="K30" s="119" t="s">
        <v>919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>
      <c r="A31" s="119">
        <v>1103120812</v>
      </c>
      <c r="B31" s="119">
        <v>0</v>
      </c>
      <c r="C31" s="118" t="s">
        <v>917</v>
      </c>
      <c r="D31" s="380" t="s">
        <v>965</v>
      </c>
      <c r="E31" s="372"/>
      <c r="F31" s="132">
        <v>23</v>
      </c>
      <c r="G31" s="119">
        <v>0</v>
      </c>
      <c r="H31" s="119">
        <v>46</v>
      </c>
      <c r="I31" s="119">
        <v>1987</v>
      </c>
      <c r="J31" s="118" t="s">
        <v>966</v>
      </c>
      <c r="K31" s="119" t="s">
        <v>919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>
      <c r="A32" s="119">
        <v>1103120818</v>
      </c>
      <c r="B32" s="119">
        <v>0</v>
      </c>
      <c r="C32" s="118" t="s">
        <v>917</v>
      </c>
      <c r="D32" s="118" t="s">
        <v>967</v>
      </c>
      <c r="E32" s="118" t="s">
        <v>968</v>
      </c>
      <c r="F32" s="137">
        <v>36</v>
      </c>
      <c r="G32" s="119">
        <v>0</v>
      </c>
      <c r="H32" s="119">
        <v>194</v>
      </c>
      <c r="I32" s="119">
        <v>1987</v>
      </c>
      <c r="J32" s="118" t="s">
        <v>969</v>
      </c>
      <c r="K32" s="119" t="s">
        <v>919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>
      <c r="A33" s="119">
        <v>1103120830</v>
      </c>
      <c r="B33" s="119">
        <v>0</v>
      </c>
      <c r="C33" s="118" t="s">
        <v>917</v>
      </c>
      <c r="D33" s="380" t="s">
        <v>970</v>
      </c>
      <c r="E33" s="372"/>
      <c r="F33" s="138">
        <v>12</v>
      </c>
      <c r="G33" s="119">
        <v>0</v>
      </c>
      <c r="H33" s="119">
        <v>45</v>
      </c>
      <c r="I33" s="119">
        <v>1967</v>
      </c>
      <c r="J33" s="118" t="s">
        <v>971</v>
      </c>
      <c r="K33" s="119" t="s">
        <v>919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>
      <c r="A34" s="119">
        <v>1103120938</v>
      </c>
      <c r="B34" s="119">
        <v>0</v>
      </c>
      <c r="C34" s="118" t="s">
        <v>917</v>
      </c>
      <c r="D34" s="118" t="s">
        <v>785</v>
      </c>
      <c r="E34" s="118" t="s">
        <v>968</v>
      </c>
      <c r="F34" s="137">
        <v>36</v>
      </c>
      <c r="G34" s="119">
        <v>0</v>
      </c>
      <c r="H34" s="119">
        <v>193</v>
      </c>
      <c r="I34" s="119">
        <v>1987</v>
      </c>
      <c r="J34" s="118" t="s">
        <v>972</v>
      </c>
      <c r="K34" s="119" t="s">
        <v>919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>
      <c r="A35" s="119">
        <v>1103121811</v>
      </c>
      <c r="B35" s="119">
        <v>0</v>
      </c>
      <c r="C35" s="118" t="s">
        <v>973</v>
      </c>
      <c r="D35" s="380" t="s">
        <v>974</v>
      </c>
      <c r="E35" s="372"/>
      <c r="F35" s="139">
        <v>24</v>
      </c>
      <c r="G35" s="119">
        <v>0</v>
      </c>
      <c r="H35" s="119">
        <v>49</v>
      </c>
      <c r="I35" s="119">
        <v>1988</v>
      </c>
      <c r="J35" s="118" t="s">
        <v>975</v>
      </c>
      <c r="K35" s="119" t="s">
        <v>919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>
      <c r="A36" s="119">
        <v>1103121975</v>
      </c>
      <c r="B36" s="119">
        <v>0</v>
      </c>
      <c r="C36" s="118" t="s">
        <v>973</v>
      </c>
      <c r="D36" s="380" t="s">
        <v>976</v>
      </c>
      <c r="E36" s="372"/>
      <c r="F36" s="140">
        <v>29</v>
      </c>
      <c r="G36" s="119">
        <v>0</v>
      </c>
      <c r="H36" s="119">
        <v>116</v>
      </c>
      <c r="I36" s="119">
        <v>1997</v>
      </c>
      <c r="J36" s="118" t="s">
        <v>977</v>
      </c>
      <c r="K36" s="119" t="s">
        <v>919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>
      <c r="A37" s="119">
        <v>1103121981</v>
      </c>
      <c r="B37" s="119">
        <v>0</v>
      </c>
      <c r="C37" s="118" t="s">
        <v>917</v>
      </c>
      <c r="D37" s="118" t="s">
        <v>921</v>
      </c>
      <c r="E37" s="118" t="s">
        <v>978</v>
      </c>
      <c r="F37" s="141">
        <v>26</v>
      </c>
      <c r="G37" s="123"/>
      <c r="H37" s="119">
        <v>93</v>
      </c>
      <c r="I37" s="119">
        <v>1979</v>
      </c>
      <c r="J37" s="118" t="s">
        <v>979</v>
      </c>
      <c r="K37" s="119" t="s">
        <v>919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>
      <c r="A38" s="119">
        <v>1103123250</v>
      </c>
      <c r="B38" s="119">
        <v>0</v>
      </c>
      <c r="C38" s="118" t="s">
        <v>973</v>
      </c>
      <c r="D38" s="380" t="s">
        <v>980</v>
      </c>
      <c r="E38" s="372"/>
      <c r="F38" s="142">
        <v>21</v>
      </c>
      <c r="G38" s="119">
        <v>0</v>
      </c>
      <c r="H38" s="119">
        <v>45</v>
      </c>
      <c r="I38" s="119">
        <v>1975</v>
      </c>
      <c r="J38" s="118" t="s">
        <v>981</v>
      </c>
      <c r="K38" s="119" t="s">
        <v>919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>
      <c r="A39" s="119">
        <v>1103123565</v>
      </c>
      <c r="B39" s="119">
        <v>0</v>
      </c>
      <c r="C39" s="118" t="s">
        <v>917</v>
      </c>
      <c r="D39" s="380" t="s">
        <v>764</v>
      </c>
      <c r="E39" s="372"/>
      <c r="F39" s="143">
        <v>32</v>
      </c>
      <c r="G39" s="123"/>
      <c r="H39" s="119">
        <v>128</v>
      </c>
      <c r="I39" s="119">
        <v>2002</v>
      </c>
      <c r="J39" s="118" t="s">
        <v>982</v>
      </c>
      <c r="K39" s="119" t="s">
        <v>919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>
      <c r="A40" s="119">
        <v>1103124226</v>
      </c>
      <c r="B40" s="119">
        <v>0</v>
      </c>
      <c r="C40" s="118" t="s">
        <v>983</v>
      </c>
      <c r="D40" s="118" t="s">
        <v>539</v>
      </c>
      <c r="E40" s="118" t="s">
        <v>984</v>
      </c>
      <c r="F40" s="144">
        <v>50</v>
      </c>
      <c r="G40" s="119">
        <v>0</v>
      </c>
      <c r="H40" s="119">
        <v>100</v>
      </c>
      <c r="I40" s="119">
        <v>1984</v>
      </c>
      <c r="J40" s="118" t="s">
        <v>985</v>
      </c>
      <c r="K40" s="119" t="s">
        <v>919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>
      <c r="A41" s="119">
        <v>1103124522</v>
      </c>
      <c r="B41" s="119">
        <v>0</v>
      </c>
      <c r="C41" s="118" t="s">
        <v>973</v>
      </c>
      <c r="D41" s="380" t="s">
        <v>986</v>
      </c>
      <c r="E41" s="372"/>
      <c r="F41" s="132">
        <v>23</v>
      </c>
      <c r="G41" s="119">
        <v>0</v>
      </c>
      <c r="H41" s="119">
        <v>50</v>
      </c>
      <c r="I41" s="119">
        <v>1974</v>
      </c>
      <c r="J41" s="118" t="s">
        <v>987</v>
      </c>
      <c r="K41" s="119" t="s">
        <v>919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>
      <c r="A42" s="119">
        <v>1103124531</v>
      </c>
      <c r="B42" s="119">
        <v>0</v>
      </c>
      <c r="C42" s="118" t="s">
        <v>983</v>
      </c>
      <c r="D42" s="380" t="s">
        <v>550</v>
      </c>
      <c r="E42" s="372"/>
      <c r="F42" s="145">
        <v>48</v>
      </c>
      <c r="G42" s="119">
        <v>1</v>
      </c>
      <c r="H42" s="119">
        <v>108</v>
      </c>
      <c r="I42" s="119">
        <v>1972</v>
      </c>
      <c r="J42" s="118" t="s">
        <v>988</v>
      </c>
      <c r="K42" s="119" t="s">
        <v>919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>
      <c r="A43" s="119">
        <v>1103124762</v>
      </c>
      <c r="B43" s="119">
        <v>0</v>
      </c>
      <c r="C43" s="118" t="s">
        <v>973</v>
      </c>
      <c r="D43" s="380" t="s">
        <v>989</v>
      </c>
      <c r="E43" s="372"/>
      <c r="F43" s="141">
        <v>26</v>
      </c>
      <c r="G43" s="119">
        <v>0</v>
      </c>
      <c r="H43" s="119">
        <v>382</v>
      </c>
      <c r="I43" s="119">
        <v>1966</v>
      </c>
      <c r="J43" s="118" t="s">
        <v>990</v>
      </c>
      <c r="K43" s="119" t="s">
        <v>919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>
      <c r="A44" s="119">
        <v>1103124878</v>
      </c>
      <c r="B44" s="119">
        <v>0</v>
      </c>
      <c r="C44" s="118" t="s">
        <v>973</v>
      </c>
      <c r="D44" s="118" t="s">
        <v>991</v>
      </c>
      <c r="E44" s="118" t="s">
        <v>992</v>
      </c>
      <c r="F44" s="146">
        <v>39</v>
      </c>
      <c r="G44" s="119">
        <v>1</v>
      </c>
      <c r="H44" s="119">
        <v>180</v>
      </c>
      <c r="I44" s="119">
        <v>1989</v>
      </c>
      <c r="J44" s="118" t="s">
        <v>993</v>
      </c>
      <c r="K44" s="119" t="s">
        <v>919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>
      <c r="A45" s="119">
        <v>1103124903</v>
      </c>
      <c r="B45" s="119">
        <v>0</v>
      </c>
      <c r="C45" s="118" t="s">
        <v>983</v>
      </c>
      <c r="D45" s="380" t="s">
        <v>553</v>
      </c>
      <c r="E45" s="372"/>
      <c r="F45" s="125">
        <v>27</v>
      </c>
      <c r="G45" s="119">
        <v>0</v>
      </c>
      <c r="H45" s="119">
        <v>363</v>
      </c>
      <c r="I45" s="119">
        <v>1980</v>
      </c>
      <c r="J45" s="118" t="s">
        <v>994</v>
      </c>
      <c r="K45" s="119" t="s">
        <v>919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>
      <c r="A46" s="119">
        <v>1103125126</v>
      </c>
      <c r="B46" s="119">
        <v>0</v>
      </c>
      <c r="C46" s="118" t="s">
        <v>973</v>
      </c>
      <c r="D46" s="118" t="s">
        <v>995</v>
      </c>
      <c r="E46" s="118" t="s">
        <v>992</v>
      </c>
      <c r="F46" s="147">
        <v>49</v>
      </c>
      <c r="G46" s="119">
        <v>1</v>
      </c>
      <c r="H46" s="119">
        <v>180</v>
      </c>
      <c r="I46" s="119">
        <v>1989</v>
      </c>
      <c r="J46" s="118" t="s">
        <v>996</v>
      </c>
      <c r="K46" s="119" t="s">
        <v>919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>
      <c r="A47" s="119">
        <v>1103125246</v>
      </c>
      <c r="B47" s="119">
        <v>0</v>
      </c>
      <c r="C47" s="118" t="s">
        <v>983</v>
      </c>
      <c r="D47" s="380" t="s">
        <v>559</v>
      </c>
      <c r="E47" s="372"/>
      <c r="F47" s="148">
        <v>31</v>
      </c>
      <c r="G47" s="119">
        <v>3</v>
      </c>
      <c r="H47" s="119">
        <v>31</v>
      </c>
      <c r="I47" s="119">
        <v>2002</v>
      </c>
      <c r="J47" s="118" t="s">
        <v>997</v>
      </c>
      <c r="K47" s="119" t="s">
        <v>919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>
      <c r="A48" s="119">
        <v>1103125983</v>
      </c>
      <c r="B48" s="119">
        <v>0</v>
      </c>
      <c r="C48" s="118" t="s">
        <v>983</v>
      </c>
      <c r="D48" s="380" t="s">
        <v>562</v>
      </c>
      <c r="E48" s="372"/>
      <c r="F48" s="141">
        <v>26</v>
      </c>
      <c r="G48" s="119">
        <v>1</v>
      </c>
      <c r="H48" s="119">
        <v>229</v>
      </c>
      <c r="I48" s="119">
        <v>1965</v>
      </c>
      <c r="J48" s="123"/>
      <c r="K48" s="119" t="s">
        <v>919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>
      <c r="A49" s="119">
        <v>1103126040</v>
      </c>
      <c r="B49" s="119">
        <v>0</v>
      </c>
      <c r="C49" s="118" t="s">
        <v>983</v>
      </c>
      <c r="D49" s="380" t="s">
        <v>574</v>
      </c>
      <c r="E49" s="372"/>
      <c r="F49" s="149">
        <v>38</v>
      </c>
      <c r="G49" s="123"/>
      <c r="H49" s="119">
        <v>234</v>
      </c>
      <c r="I49" s="119">
        <v>2005</v>
      </c>
      <c r="J49" s="118" t="s">
        <v>998</v>
      </c>
      <c r="K49" s="119" t="s">
        <v>919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>
      <c r="A50" s="119">
        <v>1103126700</v>
      </c>
      <c r="B50" s="119">
        <v>0</v>
      </c>
      <c r="C50" s="118" t="s">
        <v>973</v>
      </c>
      <c r="D50" s="380" t="s">
        <v>999</v>
      </c>
      <c r="E50" s="372"/>
      <c r="F50" s="150">
        <v>7</v>
      </c>
      <c r="G50" s="123"/>
      <c r="H50" s="123"/>
      <c r="I50" s="119">
        <v>1993</v>
      </c>
      <c r="J50" s="118" t="s">
        <v>1000</v>
      </c>
      <c r="K50" s="119" t="s">
        <v>919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>
      <c r="A51" s="119">
        <v>1103126886</v>
      </c>
      <c r="B51" s="119">
        <v>0</v>
      </c>
      <c r="C51" s="118" t="s">
        <v>973</v>
      </c>
      <c r="D51" s="380" t="s">
        <v>709</v>
      </c>
      <c r="E51" s="372"/>
      <c r="F51" s="151">
        <v>30</v>
      </c>
      <c r="G51" s="119">
        <v>1</v>
      </c>
      <c r="H51" s="119">
        <v>30</v>
      </c>
      <c r="I51" s="119">
        <v>2004</v>
      </c>
      <c r="J51" s="118" t="s">
        <v>1001</v>
      </c>
      <c r="K51" s="119" t="s">
        <v>919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>
      <c r="A52" s="119">
        <v>1103127021</v>
      </c>
      <c r="B52" s="119">
        <v>0</v>
      </c>
      <c r="C52" s="118" t="s">
        <v>973</v>
      </c>
      <c r="D52" s="380" t="s">
        <v>1002</v>
      </c>
      <c r="E52" s="372"/>
      <c r="F52" s="131">
        <v>15</v>
      </c>
      <c r="G52" s="119">
        <v>0</v>
      </c>
      <c r="H52" s="119">
        <v>96</v>
      </c>
      <c r="I52" s="119">
        <v>1965</v>
      </c>
      <c r="J52" s="123"/>
      <c r="K52" s="119" t="s">
        <v>919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>
      <c r="A53" s="119">
        <v>1103127060</v>
      </c>
      <c r="B53" s="119">
        <v>0</v>
      </c>
      <c r="C53" s="118" t="s">
        <v>973</v>
      </c>
      <c r="D53" s="380" t="s">
        <v>722</v>
      </c>
      <c r="E53" s="372"/>
      <c r="F53" s="124">
        <v>22</v>
      </c>
      <c r="G53" s="119">
        <v>0</v>
      </c>
      <c r="H53" s="119">
        <v>260</v>
      </c>
      <c r="I53" s="119">
        <v>1975</v>
      </c>
      <c r="J53" s="118" t="s">
        <v>1003</v>
      </c>
      <c r="K53" s="119" t="s">
        <v>919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>
      <c r="A54" s="119">
        <v>1103127103</v>
      </c>
      <c r="B54" s="119">
        <v>0</v>
      </c>
      <c r="C54" s="118" t="s">
        <v>973</v>
      </c>
      <c r="D54" s="380" t="s">
        <v>1004</v>
      </c>
      <c r="E54" s="372"/>
      <c r="F54" s="131">
        <v>15</v>
      </c>
      <c r="G54" s="119">
        <v>0</v>
      </c>
      <c r="H54" s="119">
        <v>30</v>
      </c>
      <c r="I54" s="119">
        <v>1966</v>
      </c>
      <c r="J54" s="118" t="s">
        <v>1005</v>
      </c>
      <c r="K54" s="119" t="s">
        <v>919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>
      <c r="A55" s="119">
        <v>1103127104</v>
      </c>
      <c r="B55" s="119">
        <v>0</v>
      </c>
      <c r="C55" s="118" t="s">
        <v>973</v>
      </c>
      <c r="D55" s="380" t="s">
        <v>703</v>
      </c>
      <c r="E55" s="372"/>
      <c r="F55" s="126">
        <v>20</v>
      </c>
      <c r="G55" s="119">
        <v>0</v>
      </c>
      <c r="H55" s="119">
        <v>124</v>
      </c>
      <c r="I55" s="119">
        <v>1987</v>
      </c>
      <c r="J55" s="118" t="s">
        <v>1006</v>
      </c>
      <c r="K55" s="119" t="s">
        <v>919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>
      <c r="A56" s="119">
        <v>1103127265</v>
      </c>
      <c r="B56" s="119">
        <v>0</v>
      </c>
      <c r="C56" s="118" t="s">
        <v>973</v>
      </c>
      <c r="D56" s="380" t="s">
        <v>725</v>
      </c>
      <c r="E56" s="372"/>
      <c r="F56" s="124">
        <v>22</v>
      </c>
      <c r="G56" s="119">
        <v>0</v>
      </c>
      <c r="H56" s="119">
        <v>140</v>
      </c>
      <c r="I56" s="119">
        <v>1978</v>
      </c>
      <c r="J56" s="118" t="s">
        <v>1007</v>
      </c>
      <c r="K56" s="119" t="s">
        <v>919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>
      <c r="A57" s="119">
        <v>1103127279</v>
      </c>
      <c r="B57" s="119">
        <v>0</v>
      </c>
      <c r="C57" s="118" t="s">
        <v>983</v>
      </c>
      <c r="D57" s="118" t="s">
        <v>1008</v>
      </c>
      <c r="E57" s="118" t="s">
        <v>1009</v>
      </c>
      <c r="F57" s="152">
        <v>42</v>
      </c>
      <c r="G57" s="119">
        <v>0</v>
      </c>
      <c r="H57" s="119">
        <v>218</v>
      </c>
      <c r="I57" s="119">
        <v>1987</v>
      </c>
      <c r="J57" s="118" t="s">
        <v>1010</v>
      </c>
      <c r="K57" s="119" t="s">
        <v>919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>
      <c r="A58" s="119">
        <v>1103127299</v>
      </c>
      <c r="B58" s="119">
        <v>0</v>
      </c>
      <c r="C58" s="118" t="s">
        <v>973</v>
      </c>
      <c r="D58" s="380" t="s">
        <v>717</v>
      </c>
      <c r="E58" s="372"/>
      <c r="F58" s="126">
        <v>20</v>
      </c>
      <c r="G58" s="119">
        <v>0</v>
      </c>
      <c r="H58" s="119">
        <v>80</v>
      </c>
      <c r="I58" s="119">
        <v>1984</v>
      </c>
      <c r="J58" s="118" t="s">
        <v>1011</v>
      </c>
      <c r="K58" s="119" t="s">
        <v>919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>
      <c r="A59" s="119">
        <v>1103127322</v>
      </c>
      <c r="B59" s="119">
        <v>0</v>
      </c>
      <c r="C59" s="118" t="s">
        <v>973</v>
      </c>
      <c r="D59" s="380" t="s">
        <v>695</v>
      </c>
      <c r="E59" s="372"/>
      <c r="F59" s="124">
        <v>22</v>
      </c>
      <c r="G59" s="119">
        <v>0</v>
      </c>
      <c r="H59" s="119">
        <v>74</v>
      </c>
      <c r="I59" s="119">
        <v>1976</v>
      </c>
      <c r="J59" s="118" t="s">
        <v>1012</v>
      </c>
      <c r="K59" s="119" t="s">
        <v>919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>
      <c r="A60" s="119">
        <v>1103127344</v>
      </c>
      <c r="B60" s="119">
        <v>0</v>
      </c>
      <c r="C60" s="118" t="s">
        <v>983</v>
      </c>
      <c r="D60" s="380" t="s">
        <v>578</v>
      </c>
      <c r="E60" s="372"/>
      <c r="F60" s="153">
        <v>70</v>
      </c>
      <c r="G60" s="119">
        <v>0</v>
      </c>
      <c r="H60" s="119">
        <v>65</v>
      </c>
      <c r="I60" s="119">
        <v>1989</v>
      </c>
      <c r="J60" s="118" t="s">
        <v>1013</v>
      </c>
      <c r="K60" s="119" t="s">
        <v>919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>
      <c r="A61" s="119">
        <v>1103127364</v>
      </c>
      <c r="B61" s="119">
        <v>0</v>
      </c>
      <c r="C61" s="118" t="s">
        <v>973</v>
      </c>
      <c r="D61" s="380" t="s">
        <v>1014</v>
      </c>
      <c r="E61" s="372"/>
      <c r="F61" s="138">
        <v>12</v>
      </c>
      <c r="G61" s="119">
        <v>0</v>
      </c>
      <c r="H61" s="119">
        <v>42</v>
      </c>
      <c r="I61" s="119">
        <v>1966</v>
      </c>
      <c r="J61" s="123"/>
      <c r="K61" s="119" t="s">
        <v>919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>
      <c r="A62" s="119">
        <v>1103127365</v>
      </c>
      <c r="B62" s="119">
        <v>0</v>
      </c>
      <c r="C62" s="118" t="s">
        <v>973</v>
      </c>
      <c r="D62" s="380" t="s">
        <v>728</v>
      </c>
      <c r="E62" s="372"/>
      <c r="F62" s="125">
        <v>27</v>
      </c>
      <c r="G62" s="119">
        <v>0</v>
      </c>
      <c r="H62" s="119">
        <v>29</v>
      </c>
      <c r="I62" s="119">
        <v>1994</v>
      </c>
      <c r="J62" s="118" t="s">
        <v>1015</v>
      </c>
      <c r="K62" s="119" t="s">
        <v>919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>
      <c r="A63" s="119">
        <v>1103127403</v>
      </c>
      <c r="B63" s="119">
        <v>0</v>
      </c>
      <c r="C63" s="118" t="s">
        <v>973</v>
      </c>
      <c r="D63" s="380" t="s">
        <v>689</v>
      </c>
      <c r="E63" s="372"/>
      <c r="F63" s="132">
        <v>23</v>
      </c>
      <c r="G63" s="119">
        <v>0</v>
      </c>
      <c r="H63" s="119">
        <v>56</v>
      </c>
      <c r="I63" s="119">
        <v>1983</v>
      </c>
      <c r="J63" s="118" t="s">
        <v>1016</v>
      </c>
      <c r="K63" s="119" t="s">
        <v>919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>
      <c r="A64" s="119">
        <v>1103127459</v>
      </c>
      <c r="B64" s="119">
        <v>0</v>
      </c>
      <c r="C64" s="118" t="s">
        <v>983</v>
      </c>
      <c r="D64" s="118" t="s">
        <v>1017</v>
      </c>
      <c r="E64" s="118" t="s">
        <v>1009</v>
      </c>
      <c r="F64" s="154">
        <v>46</v>
      </c>
      <c r="G64" s="119">
        <v>0</v>
      </c>
      <c r="H64" s="119">
        <v>240</v>
      </c>
      <c r="I64" s="119">
        <v>1987</v>
      </c>
      <c r="J64" s="118" t="s">
        <v>1018</v>
      </c>
      <c r="K64" s="119" t="s">
        <v>919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>
      <c r="A65" s="119">
        <v>1103127526</v>
      </c>
      <c r="B65" s="119">
        <v>0</v>
      </c>
      <c r="C65" s="118" t="s">
        <v>973</v>
      </c>
      <c r="D65" s="380" t="s">
        <v>686</v>
      </c>
      <c r="E65" s="372"/>
      <c r="F65" s="129">
        <v>19</v>
      </c>
      <c r="G65" s="119">
        <v>0</v>
      </c>
      <c r="H65" s="119">
        <v>65</v>
      </c>
      <c r="I65" s="119">
        <v>1971</v>
      </c>
      <c r="J65" s="118" t="s">
        <v>1019</v>
      </c>
      <c r="K65" s="119" t="s">
        <v>919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>
      <c r="A66" s="119">
        <v>1103127632</v>
      </c>
      <c r="B66" s="119">
        <v>0</v>
      </c>
      <c r="C66" s="118" t="s">
        <v>973</v>
      </c>
      <c r="D66" s="380" t="s">
        <v>680</v>
      </c>
      <c r="E66" s="372"/>
      <c r="F66" s="133">
        <v>16</v>
      </c>
      <c r="G66" s="119">
        <v>0</v>
      </c>
      <c r="H66" s="119">
        <v>105</v>
      </c>
      <c r="I66" s="119">
        <v>1970</v>
      </c>
      <c r="J66" s="123"/>
      <c r="K66" s="119" t="s">
        <v>919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>
      <c r="A67" s="119">
        <v>1103127766</v>
      </c>
      <c r="B67" s="119">
        <v>0</v>
      </c>
      <c r="C67" s="118" t="s">
        <v>973</v>
      </c>
      <c r="D67" s="380" t="s">
        <v>683</v>
      </c>
      <c r="E67" s="372"/>
      <c r="F67" s="132">
        <v>23</v>
      </c>
      <c r="G67" s="119">
        <v>0</v>
      </c>
      <c r="H67" s="119">
        <v>180</v>
      </c>
      <c r="I67" s="119">
        <v>1977</v>
      </c>
      <c r="J67" s="118" t="s">
        <v>1020</v>
      </c>
      <c r="K67" s="119" t="s">
        <v>919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>
      <c r="A68" s="119">
        <v>1103127899</v>
      </c>
      <c r="B68" s="119">
        <v>0</v>
      </c>
      <c r="C68" s="118" t="s">
        <v>983</v>
      </c>
      <c r="D68" s="380" t="s">
        <v>596</v>
      </c>
      <c r="E68" s="372"/>
      <c r="F68" s="122">
        <v>35</v>
      </c>
      <c r="G68" s="119">
        <v>0</v>
      </c>
      <c r="H68" s="119">
        <v>130</v>
      </c>
      <c r="I68" s="119">
        <v>1981</v>
      </c>
      <c r="J68" s="118" t="s">
        <v>1021</v>
      </c>
      <c r="K68" s="119" t="s">
        <v>919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>
      <c r="A69" s="119">
        <v>1103128154</v>
      </c>
      <c r="B69" s="119">
        <v>0</v>
      </c>
      <c r="C69" s="118" t="s">
        <v>973</v>
      </c>
      <c r="D69" s="380" t="s">
        <v>669</v>
      </c>
      <c r="E69" s="372"/>
      <c r="F69" s="133">
        <v>16</v>
      </c>
      <c r="G69" s="119">
        <v>0</v>
      </c>
      <c r="H69" s="119">
        <v>16</v>
      </c>
      <c r="I69" s="119">
        <v>1962</v>
      </c>
      <c r="J69" s="118" t="s">
        <v>1022</v>
      </c>
      <c r="K69" s="119" t="s">
        <v>919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>
      <c r="A70" s="119">
        <v>1103128259</v>
      </c>
      <c r="B70" s="119">
        <v>0</v>
      </c>
      <c r="C70" s="118" t="s">
        <v>973</v>
      </c>
      <c r="D70" s="380" t="s">
        <v>666</v>
      </c>
      <c r="E70" s="372"/>
      <c r="F70" s="127">
        <v>17</v>
      </c>
      <c r="G70" s="119">
        <v>0</v>
      </c>
      <c r="H70" s="119">
        <v>72</v>
      </c>
      <c r="I70" s="119">
        <v>1964</v>
      </c>
      <c r="J70" s="118" t="s">
        <v>1023</v>
      </c>
      <c r="K70" s="119" t="s">
        <v>919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>
      <c r="A71" s="119">
        <v>1103128290</v>
      </c>
      <c r="B71" s="119">
        <v>0</v>
      </c>
      <c r="C71" s="118" t="s">
        <v>973</v>
      </c>
      <c r="D71" s="118" t="s">
        <v>672</v>
      </c>
      <c r="E71" s="120"/>
      <c r="F71" s="132">
        <v>23</v>
      </c>
      <c r="G71" s="119">
        <v>0</v>
      </c>
      <c r="H71" s="119">
        <v>23</v>
      </c>
      <c r="I71" s="119">
        <v>1978</v>
      </c>
      <c r="J71" s="118" t="s">
        <v>1024</v>
      </c>
      <c r="K71" s="119" t="s">
        <v>919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>
      <c r="A72" s="119">
        <v>1103128311</v>
      </c>
      <c r="B72" s="119">
        <v>0</v>
      </c>
      <c r="C72" s="118" t="s">
        <v>973</v>
      </c>
      <c r="D72" s="380" t="s">
        <v>1025</v>
      </c>
      <c r="E72" s="372"/>
      <c r="F72" s="124">
        <v>22</v>
      </c>
      <c r="G72" s="119">
        <v>0</v>
      </c>
      <c r="H72" s="119">
        <v>104</v>
      </c>
      <c r="I72" s="119">
        <v>1977</v>
      </c>
      <c r="J72" s="118" t="s">
        <v>1026</v>
      </c>
      <c r="K72" s="119" t="s">
        <v>919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>
      <c r="A73" s="119">
        <v>1103128444</v>
      </c>
      <c r="B73" s="119">
        <v>0</v>
      </c>
      <c r="C73" s="118" t="s">
        <v>973</v>
      </c>
      <c r="D73" s="380" t="s">
        <v>654</v>
      </c>
      <c r="E73" s="372"/>
      <c r="F73" s="155">
        <v>14</v>
      </c>
      <c r="G73" s="119">
        <v>0</v>
      </c>
      <c r="H73" s="119">
        <v>37</v>
      </c>
      <c r="I73" s="119">
        <v>1967</v>
      </c>
      <c r="J73" s="118" t="s">
        <v>1027</v>
      </c>
      <c r="K73" s="119" t="s">
        <v>919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>
      <c r="A74" s="119">
        <v>1103128465</v>
      </c>
      <c r="B74" s="119">
        <v>0</v>
      </c>
      <c r="C74" s="118" t="s">
        <v>973</v>
      </c>
      <c r="D74" s="380" t="s">
        <v>651</v>
      </c>
      <c r="E74" s="372"/>
      <c r="F74" s="142">
        <v>21</v>
      </c>
      <c r="G74" s="119">
        <v>0</v>
      </c>
      <c r="H74" s="119">
        <v>105</v>
      </c>
      <c r="I74" s="119">
        <v>1967</v>
      </c>
      <c r="J74" s="118" t="s">
        <v>1028</v>
      </c>
      <c r="K74" s="119" t="s">
        <v>919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>
      <c r="A75" s="119">
        <v>1103128541</v>
      </c>
      <c r="B75" s="119">
        <v>0</v>
      </c>
      <c r="C75" s="118" t="s">
        <v>983</v>
      </c>
      <c r="D75" s="118" t="s">
        <v>1029</v>
      </c>
      <c r="E75" s="118" t="s">
        <v>1030</v>
      </c>
      <c r="F75" s="154">
        <v>46</v>
      </c>
      <c r="G75" s="119">
        <v>0</v>
      </c>
      <c r="H75" s="119">
        <v>73</v>
      </c>
      <c r="I75" s="119">
        <v>1990</v>
      </c>
      <c r="J75" s="118" t="s">
        <v>1031</v>
      </c>
      <c r="K75" s="119" t="s">
        <v>919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>
      <c r="A76" s="119">
        <v>1103128578</v>
      </c>
      <c r="B76" s="119">
        <v>0</v>
      </c>
      <c r="C76" s="118" t="s">
        <v>973</v>
      </c>
      <c r="D76" s="380" t="s">
        <v>642</v>
      </c>
      <c r="E76" s="372"/>
      <c r="F76" s="139">
        <v>24</v>
      </c>
      <c r="G76" s="119">
        <v>0</v>
      </c>
      <c r="H76" s="119">
        <v>56</v>
      </c>
      <c r="I76" s="119">
        <v>1987</v>
      </c>
      <c r="J76" s="118" t="s">
        <v>1032</v>
      </c>
      <c r="K76" s="119" t="s">
        <v>919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>
      <c r="A77" s="119">
        <v>1103128579</v>
      </c>
      <c r="B77" s="119">
        <v>0</v>
      </c>
      <c r="C77" s="118" t="s">
        <v>973</v>
      </c>
      <c r="D77" s="380" t="s">
        <v>639</v>
      </c>
      <c r="E77" s="372"/>
      <c r="F77" s="151">
        <v>30</v>
      </c>
      <c r="G77" s="119">
        <v>0</v>
      </c>
      <c r="H77" s="119">
        <v>60</v>
      </c>
      <c r="I77" s="119">
        <v>1991</v>
      </c>
      <c r="J77" s="123"/>
      <c r="K77" s="119" t="s">
        <v>919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>
      <c r="A78" s="119">
        <v>1103128583</v>
      </c>
      <c r="B78" s="119">
        <v>0</v>
      </c>
      <c r="C78" s="118" t="s">
        <v>973</v>
      </c>
      <c r="D78" s="118" t="s">
        <v>630</v>
      </c>
      <c r="E78" s="118" t="s">
        <v>1033</v>
      </c>
      <c r="F78" s="124">
        <v>22</v>
      </c>
      <c r="G78" s="119">
        <v>0</v>
      </c>
      <c r="H78" s="119">
        <v>280</v>
      </c>
      <c r="I78" s="119">
        <v>1979</v>
      </c>
      <c r="J78" s="118" t="s">
        <v>1034</v>
      </c>
      <c r="K78" s="119" t="s">
        <v>919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>
      <c r="A79" s="119">
        <v>1103128615</v>
      </c>
      <c r="B79" s="119">
        <v>0</v>
      </c>
      <c r="C79" s="118" t="s">
        <v>973</v>
      </c>
      <c r="D79" s="380" t="s">
        <v>657</v>
      </c>
      <c r="E79" s="372"/>
      <c r="F79" s="151">
        <v>30</v>
      </c>
      <c r="G79" s="119">
        <v>0</v>
      </c>
      <c r="H79" s="119">
        <v>40</v>
      </c>
      <c r="I79" s="119">
        <v>1994</v>
      </c>
      <c r="J79" s="123"/>
      <c r="K79" s="119" t="s">
        <v>919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>
      <c r="A80" s="119">
        <v>1103128735</v>
      </c>
      <c r="B80" s="119">
        <v>0</v>
      </c>
      <c r="C80" s="118" t="s">
        <v>973</v>
      </c>
      <c r="D80" s="380" t="s">
        <v>645</v>
      </c>
      <c r="E80" s="372"/>
      <c r="F80" s="133">
        <v>16</v>
      </c>
      <c r="G80" s="119">
        <v>0</v>
      </c>
      <c r="H80" s="119">
        <v>80</v>
      </c>
      <c r="I80" s="119">
        <v>1968</v>
      </c>
      <c r="J80" s="123"/>
      <c r="K80" s="119" t="s">
        <v>919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>
      <c r="A81" s="119">
        <v>1103128744</v>
      </c>
      <c r="B81" s="119">
        <v>0</v>
      </c>
      <c r="C81" s="118" t="s">
        <v>973</v>
      </c>
      <c r="D81" s="380" t="s">
        <v>614</v>
      </c>
      <c r="E81" s="372"/>
      <c r="F81" s="121">
        <v>25</v>
      </c>
      <c r="G81" s="119">
        <v>0</v>
      </c>
      <c r="H81" s="119">
        <v>254</v>
      </c>
      <c r="I81" s="119">
        <v>1996</v>
      </c>
      <c r="J81" s="118" t="s">
        <v>1035</v>
      </c>
      <c r="K81" s="119" t="s">
        <v>919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>
      <c r="A82" s="119">
        <v>1103128834</v>
      </c>
      <c r="B82" s="119">
        <v>0</v>
      </c>
      <c r="C82" s="118" t="s">
        <v>973</v>
      </c>
      <c r="D82" s="380" t="s">
        <v>1036</v>
      </c>
      <c r="E82" s="372"/>
      <c r="F82" s="151">
        <v>30</v>
      </c>
      <c r="G82" s="123"/>
      <c r="H82" s="123"/>
      <c r="I82" s="119">
        <v>1972</v>
      </c>
      <c r="J82" s="118" t="s">
        <v>1037</v>
      </c>
      <c r="K82" s="119" t="s">
        <v>919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>
      <c r="A83" s="119">
        <v>1103128895</v>
      </c>
      <c r="B83" s="119">
        <v>0</v>
      </c>
      <c r="C83" s="118" t="s">
        <v>973</v>
      </c>
      <c r="D83" s="380" t="s">
        <v>621</v>
      </c>
      <c r="E83" s="372"/>
      <c r="F83" s="127">
        <v>17</v>
      </c>
      <c r="G83" s="119">
        <v>0</v>
      </c>
      <c r="H83" s="119">
        <v>102</v>
      </c>
      <c r="I83" s="119">
        <v>1965</v>
      </c>
      <c r="J83" s="118" t="s">
        <v>1038</v>
      </c>
      <c r="K83" s="119" t="s">
        <v>919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>
      <c r="A84" s="119">
        <v>1103128896</v>
      </c>
      <c r="B84" s="119">
        <v>0</v>
      </c>
      <c r="C84" s="118" t="s">
        <v>973</v>
      </c>
      <c r="D84" s="380" t="s">
        <v>624</v>
      </c>
      <c r="E84" s="372"/>
      <c r="F84" s="128">
        <v>28</v>
      </c>
      <c r="G84" s="119">
        <v>0</v>
      </c>
      <c r="H84" s="119">
        <v>56</v>
      </c>
      <c r="I84" s="119">
        <v>1977</v>
      </c>
      <c r="J84" s="118" t="s">
        <v>1039</v>
      </c>
      <c r="K84" s="119" t="s">
        <v>919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>
      <c r="A85" s="119">
        <v>1103128900</v>
      </c>
      <c r="B85" s="119">
        <v>0</v>
      </c>
      <c r="C85" s="118" t="s">
        <v>973</v>
      </c>
      <c r="D85" s="380" t="s">
        <v>636</v>
      </c>
      <c r="E85" s="372"/>
      <c r="F85" s="143">
        <v>32</v>
      </c>
      <c r="G85" s="119">
        <v>2</v>
      </c>
      <c r="H85" s="119">
        <v>32</v>
      </c>
      <c r="I85" s="119">
        <v>1988</v>
      </c>
      <c r="J85" s="118" t="s">
        <v>1040</v>
      </c>
      <c r="K85" s="119" t="s">
        <v>919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>
      <c r="A86" s="119">
        <v>1103128909</v>
      </c>
      <c r="B86" s="119">
        <v>0</v>
      </c>
      <c r="C86" s="118" t="s">
        <v>973</v>
      </c>
      <c r="D86" s="380" t="s">
        <v>633</v>
      </c>
      <c r="E86" s="372"/>
      <c r="F86" s="156">
        <v>40</v>
      </c>
      <c r="G86" s="123"/>
      <c r="H86" s="119">
        <v>480</v>
      </c>
      <c r="I86" s="119">
        <v>1988</v>
      </c>
      <c r="J86" s="118" t="s">
        <v>1041</v>
      </c>
      <c r="K86" s="119" t="s">
        <v>919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>
      <c r="A87" s="119">
        <v>1108222012</v>
      </c>
      <c r="B87" s="119">
        <v>0</v>
      </c>
      <c r="C87" s="118" t="s">
        <v>1042</v>
      </c>
      <c r="D87" s="380" t="s">
        <v>445</v>
      </c>
      <c r="E87" s="372"/>
      <c r="F87" s="121">
        <v>25</v>
      </c>
      <c r="G87" s="119">
        <v>0</v>
      </c>
      <c r="H87" s="119">
        <v>73</v>
      </c>
      <c r="I87" s="119">
        <v>1983</v>
      </c>
      <c r="J87" s="118" t="s">
        <v>1043</v>
      </c>
      <c r="K87" s="119" t="s">
        <v>919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>
      <c r="A88" s="119">
        <v>1108222026</v>
      </c>
      <c r="B88" s="119">
        <v>0</v>
      </c>
      <c r="C88" s="118" t="s">
        <v>1044</v>
      </c>
      <c r="D88" s="380" t="s">
        <v>1045</v>
      </c>
      <c r="E88" s="372"/>
      <c r="F88" s="157">
        <v>6</v>
      </c>
      <c r="G88" s="119">
        <v>0</v>
      </c>
      <c r="H88" s="119">
        <v>18</v>
      </c>
      <c r="I88" s="119">
        <v>1971</v>
      </c>
      <c r="J88" s="118" t="s">
        <v>1046</v>
      </c>
      <c r="K88" s="119" t="s">
        <v>919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>
      <c r="A89" s="119">
        <v>1108222031</v>
      </c>
      <c r="B89" s="119">
        <v>0</v>
      </c>
      <c r="C89" s="118" t="s">
        <v>1042</v>
      </c>
      <c r="D89" s="380" t="s">
        <v>1047</v>
      </c>
      <c r="E89" s="372"/>
      <c r="F89" s="124">
        <v>22</v>
      </c>
      <c r="G89" s="119">
        <v>0</v>
      </c>
      <c r="H89" s="119">
        <v>88</v>
      </c>
      <c r="I89" s="119">
        <v>1984</v>
      </c>
      <c r="J89" s="118" t="s">
        <v>1048</v>
      </c>
      <c r="K89" s="119" t="s">
        <v>919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>
      <c r="A90" s="119">
        <v>1108222109</v>
      </c>
      <c r="B90" s="119">
        <v>0</v>
      </c>
      <c r="C90" s="118" t="s">
        <v>1042</v>
      </c>
      <c r="D90" s="380" t="s">
        <v>1049</v>
      </c>
      <c r="E90" s="372"/>
      <c r="F90" s="137">
        <v>36</v>
      </c>
      <c r="G90" s="123"/>
      <c r="H90" s="119">
        <v>198</v>
      </c>
      <c r="I90" s="119">
        <v>1997</v>
      </c>
      <c r="J90" s="123"/>
      <c r="K90" s="119" t="s">
        <v>919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>
      <c r="A91" s="119">
        <v>1108222149</v>
      </c>
      <c r="B91" s="119">
        <v>0</v>
      </c>
      <c r="C91" s="118" t="s">
        <v>1042</v>
      </c>
      <c r="D91" s="118" t="s">
        <v>463</v>
      </c>
      <c r="E91" s="118" t="s">
        <v>1050</v>
      </c>
      <c r="F91" s="158">
        <v>5</v>
      </c>
      <c r="G91" s="119">
        <v>0</v>
      </c>
      <c r="H91" s="119">
        <v>32</v>
      </c>
      <c r="I91" s="119">
        <v>1981</v>
      </c>
      <c r="J91" s="118" t="s">
        <v>1051</v>
      </c>
      <c r="K91" s="119" t="s">
        <v>919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>
      <c r="A92" s="119">
        <v>1108222155</v>
      </c>
      <c r="B92" s="119">
        <v>0</v>
      </c>
      <c r="C92" s="118" t="s">
        <v>1042</v>
      </c>
      <c r="D92" s="380" t="s">
        <v>1052</v>
      </c>
      <c r="E92" s="372"/>
      <c r="F92" s="127">
        <v>17</v>
      </c>
      <c r="G92" s="119">
        <v>0</v>
      </c>
      <c r="H92" s="119">
        <v>68</v>
      </c>
      <c r="I92" s="119">
        <v>1994</v>
      </c>
      <c r="J92" s="123"/>
      <c r="K92" s="119" t="s">
        <v>919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>
      <c r="A93" s="119">
        <v>1108222206</v>
      </c>
      <c r="B93" s="119">
        <v>0</v>
      </c>
      <c r="C93" s="380" t="s">
        <v>1042</v>
      </c>
      <c r="D93" s="372"/>
      <c r="E93" s="120"/>
      <c r="F93" s="159">
        <v>9</v>
      </c>
      <c r="G93" s="119">
        <v>0</v>
      </c>
      <c r="H93" s="119">
        <v>52</v>
      </c>
      <c r="I93" s="119">
        <v>1959</v>
      </c>
      <c r="J93" s="123"/>
      <c r="K93" s="119" t="s">
        <v>919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>
      <c r="A94" s="119">
        <v>1108222285</v>
      </c>
      <c r="B94" s="119">
        <v>0</v>
      </c>
      <c r="C94" s="118" t="s">
        <v>1042</v>
      </c>
      <c r="D94" s="380" t="s">
        <v>468</v>
      </c>
      <c r="E94" s="372"/>
      <c r="F94" s="141">
        <v>26</v>
      </c>
      <c r="G94" s="119">
        <v>0</v>
      </c>
      <c r="H94" s="119">
        <v>100</v>
      </c>
      <c r="I94" s="119">
        <v>1998</v>
      </c>
      <c r="J94" s="118" t="s">
        <v>1053</v>
      </c>
      <c r="K94" s="119" t="s">
        <v>919</v>
      </c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>
      <c r="A95" s="119">
        <v>1108222376</v>
      </c>
      <c r="B95" s="119">
        <v>0</v>
      </c>
      <c r="C95" s="118" t="s">
        <v>1042</v>
      </c>
      <c r="D95" s="380" t="s">
        <v>474</v>
      </c>
      <c r="E95" s="372"/>
      <c r="F95" s="160">
        <v>8</v>
      </c>
      <c r="G95" s="123"/>
      <c r="H95" s="119">
        <v>8</v>
      </c>
      <c r="I95" s="119">
        <v>1961</v>
      </c>
      <c r="J95" s="118" t="s">
        <v>1054</v>
      </c>
      <c r="K95" s="119" t="s">
        <v>919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>
      <c r="A96" s="119">
        <v>1108222447</v>
      </c>
      <c r="B96" s="119">
        <v>0</v>
      </c>
      <c r="C96" s="118" t="s">
        <v>1042</v>
      </c>
      <c r="D96" s="118" t="s">
        <v>483</v>
      </c>
      <c r="E96" s="118" t="s">
        <v>1055</v>
      </c>
      <c r="F96" s="138">
        <v>12</v>
      </c>
      <c r="G96" s="119">
        <v>0</v>
      </c>
      <c r="H96" s="119">
        <v>72</v>
      </c>
      <c r="I96" s="119">
        <v>1983</v>
      </c>
      <c r="J96" s="118" t="s">
        <v>1056</v>
      </c>
      <c r="K96" s="119" t="s">
        <v>919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>
      <c r="A97" s="119">
        <v>1108222452</v>
      </c>
      <c r="B97" s="119">
        <v>0</v>
      </c>
      <c r="C97" s="118" t="s">
        <v>1042</v>
      </c>
      <c r="D97" s="380" t="s">
        <v>477</v>
      </c>
      <c r="E97" s="372"/>
      <c r="F97" s="161">
        <v>10</v>
      </c>
      <c r="G97" s="119">
        <v>0</v>
      </c>
      <c r="H97" s="119">
        <v>17</v>
      </c>
      <c r="I97" s="119">
        <v>1980</v>
      </c>
      <c r="J97" s="118" t="s">
        <v>1057</v>
      </c>
      <c r="K97" s="119" t="s">
        <v>919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>
      <c r="A98" s="119">
        <v>1108222564</v>
      </c>
      <c r="B98" s="119">
        <v>0</v>
      </c>
      <c r="C98" s="118" t="s">
        <v>1042</v>
      </c>
      <c r="D98" s="380" t="s">
        <v>437</v>
      </c>
      <c r="E98" s="372"/>
      <c r="F98" s="132">
        <v>23</v>
      </c>
      <c r="G98" s="119">
        <v>0</v>
      </c>
      <c r="H98" s="119">
        <v>84</v>
      </c>
      <c r="I98" s="119">
        <v>1983</v>
      </c>
      <c r="J98" s="118" t="s">
        <v>1058</v>
      </c>
      <c r="K98" s="119" t="s">
        <v>919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>
      <c r="A99" s="119">
        <v>1108222641</v>
      </c>
      <c r="B99" s="119">
        <v>0</v>
      </c>
      <c r="C99" s="118" t="s">
        <v>1042</v>
      </c>
      <c r="D99" s="380" t="s">
        <v>442</v>
      </c>
      <c r="E99" s="372"/>
      <c r="F99" s="135">
        <v>11</v>
      </c>
      <c r="G99" s="119">
        <v>0</v>
      </c>
      <c r="H99" s="119">
        <v>44</v>
      </c>
      <c r="I99" s="119">
        <v>1985</v>
      </c>
      <c r="J99" s="118" t="s">
        <v>1059</v>
      </c>
      <c r="K99" s="119" t="s">
        <v>919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>
      <c r="A100" s="119">
        <v>1108222663</v>
      </c>
      <c r="B100" s="119">
        <v>0</v>
      </c>
      <c r="C100" s="380" t="s">
        <v>1042</v>
      </c>
      <c r="D100" s="372"/>
      <c r="E100" s="120"/>
      <c r="F100" s="160">
        <v>8</v>
      </c>
      <c r="G100" s="119">
        <v>0</v>
      </c>
      <c r="H100" s="119">
        <v>16</v>
      </c>
      <c r="I100" s="119">
        <v>1961</v>
      </c>
      <c r="J100" s="118" t="s">
        <v>1060</v>
      </c>
      <c r="K100" s="119" t="s">
        <v>919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>
      <c r="A101" s="119">
        <v>1108222674</v>
      </c>
      <c r="B101" s="119">
        <v>0</v>
      </c>
      <c r="C101" s="118" t="s">
        <v>1042</v>
      </c>
      <c r="D101" s="380" t="s">
        <v>486</v>
      </c>
      <c r="E101" s="372"/>
      <c r="F101" s="138">
        <v>12</v>
      </c>
      <c r="G101" s="123"/>
      <c r="H101" s="119">
        <v>18</v>
      </c>
      <c r="I101" s="119">
        <v>1990</v>
      </c>
      <c r="J101" s="118" t="s">
        <v>1061</v>
      </c>
      <c r="K101" s="119" t="s">
        <v>919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>
      <c r="A102" s="119">
        <v>1108222796</v>
      </c>
      <c r="B102" s="119">
        <v>0</v>
      </c>
      <c r="C102" s="118" t="s">
        <v>1042</v>
      </c>
      <c r="D102" s="118" t="s">
        <v>1062</v>
      </c>
      <c r="E102" s="118" t="s">
        <v>1063</v>
      </c>
      <c r="F102" s="161">
        <v>10</v>
      </c>
      <c r="G102" s="119">
        <v>0</v>
      </c>
      <c r="H102" s="119">
        <v>40</v>
      </c>
      <c r="I102" s="119">
        <v>1972</v>
      </c>
      <c r="J102" s="123"/>
      <c r="K102" s="119" t="s">
        <v>919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>
      <c r="A103" s="119">
        <v>1108222836</v>
      </c>
      <c r="B103" s="119">
        <v>0</v>
      </c>
      <c r="C103" s="118" t="s">
        <v>1042</v>
      </c>
      <c r="D103" s="380" t="s">
        <v>492</v>
      </c>
      <c r="E103" s="372"/>
      <c r="F103" s="138">
        <v>12</v>
      </c>
      <c r="G103" s="119">
        <v>0</v>
      </c>
      <c r="H103" s="119">
        <v>88</v>
      </c>
      <c r="I103" s="119">
        <v>1969</v>
      </c>
      <c r="J103" s="118" t="s">
        <v>1064</v>
      </c>
      <c r="K103" s="119" t="s">
        <v>919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>
      <c r="A104" s="119">
        <v>1108222878</v>
      </c>
      <c r="B104" s="119">
        <v>0</v>
      </c>
      <c r="C104" s="118" t="s">
        <v>1042</v>
      </c>
      <c r="D104" s="380" t="s">
        <v>495</v>
      </c>
      <c r="E104" s="372"/>
      <c r="F104" s="162">
        <v>34</v>
      </c>
      <c r="G104" s="119">
        <v>0</v>
      </c>
      <c r="H104" s="119">
        <v>363</v>
      </c>
      <c r="I104" s="119">
        <v>1998</v>
      </c>
      <c r="J104" s="118" t="s">
        <v>1065</v>
      </c>
      <c r="K104" s="119" t="s">
        <v>919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>
      <c r="A105" s="119">
        <v>1108223015</v>
      </c>
      <c r="B105" s="119">
        <v>0</v>
      </c>
      <c r="C105" s="118" t="s">
        <v>1042</v>
      </c>
      <c r="D105" s="118" t="s">
        <v>501</v>
      </c>
      <c r="E105" s="118" t="s">
        <v>1066</v>
      </c>
      <c r="F105" s="138">
        <v>12</v>
      </c>
      <c r="G105" s="119">
        <v>1</v>
      </c>
      <c r="H105" s="119">
        <v>191</v>
      </c>
      <c r="I105" s="119">
        <v>1982</v>
      </c>
      <c r="J105" s="118" t="s">
        <v>1067</v>
      </c>
      <c r="K105" s="119" t="s">
        <v>919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>
      <c r="A106" s="119">
        <v>1108223041</v>
      </c>
      <c r="B106" s="119">
        <v>0</v>
      </c>
      <c r="C106" s="118" t="s">
        <v>1042</v>
      </c>
      <c r="D106" s="380" t="s">
        <v>504</v>
      </c>
      <c r="E106" s="372"/>
      <c r="F106" s="134">
        <v>13</v>
      </c>
      <c r="G106" s="119">
        <v>0</v>
      </c>
      <c r="H106" s="119">
        <v>96</v>
      </c>
      <c r="I106" s="119">
        <v>1980</v>
      </c>
      <c r="J106" s="118" t="s">
        <v>1068</v>
      </c>
      <c r="K106" s="119" t="s">
        <v>919</v>
      </c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>
      <c r="A107" s="119">
        <v>1108223046</v>
      </c>
      <c r="B107" s="119">
        <v>0</v>
      </c>
      <c r="C107" s="380" t="s">
        <v>1042</v>
      </c>
      <c r="D107" s="372"/>
      <c r="E107" s="123"/>
      <c r="F107" s="158">
        <v>5</v>
      </c>
      <c r="G107" s="119">
        <v>0</v>
      </c>
      <c r="H107" s="119">
        <v>8</v>
      </c>
      <c r="I107" s="119">
        <v>1949</v>
      </c>
      <c r="J107" s="118" t="s">
        <v>1069</v>
      </c>
      <c r="K107" s="119" t="s">
        <v>919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>
      <c r="A108" s="119">
        <v>1108223122</v>
      </c>
      <c r="B108" s="119">
        <v>0</v>
      </c>
      <c r="C108" s="118" t="s">
        <v>1042</v>
      </c>
      <c r="D108" s="118" t="s">
        <v>498</v>
      </c>
      <c r="E108" s="118" t="s">
        <v>1066</v>
      </c>
      <c r="F108" s="138">
        <v>12</v>
      </c>
      <c r="G108" s="119">
        <v>1</v>
      </c>
      <c r="H108" s="119">
        <v>144</v>
      </c>
      <c r="I108" s="119">
        <v>1982</v>
      </c>
      <c r="J108" s="118" t="s">
        <v>1070</v>
      </c>
      <c r="K108" s="119" t="s">
        <v>919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>
      <c r="A109" s="119">
        <v>1108223154</v>
      </c>
      <c r="B109" s="119">
        <v>0</v>
      </c>
      <c r="C109" s="118" t="s">
        <v>1071</v>
      </c>
      <c r="D109" s="118" t="s">
        <v>1072</v>
      </c>
      <c r="E109" s="118" t="s">
        <v>1073</v>
      </c>
      <c r="F109" s="124">
        <v>22</v>
      </c>
      <c r="G109" s="119">
        <v>0</v>
      </c>
      <c r="H109" s="119">
        <v>126</v>
      </c>
      <c r="I109" s="119">
        <v>1973</v>
      </c>
      <c r="J109" s="123"/>
      <c r="K109" s="119" t="s">
        <v>919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>
      <c r="A110" s="119">
        <v>1108223170</v>
      </c>
      <c r="B110" s="119">
        <v>0</v>
      </c>
      <c r="C110" s="118" t="s">
        <v>1071</v>
      </c>
      <c r="D110" s="118" t="s">
        <v>1072</v>
      </c>
      <c r="E110" s="118" t="s">
        <v>1073</v>
      </c>
      <c r="F110" s="124">
        <v>22</v>
      </c>
      <c r="G110" s="119">
        <v>0</v>
      </c>
      <c r="H110" s="119">
        <v>126</v>
      </c>
      <c r="I110" s="119">
        <v>1973</v>
      </c>
      <c r="J110" s="123"/>
      <c r="K110" s="119" t="s">
        <v>919</v>
      </c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>
      <c r="A111" s="119">
        <v>1108223284</v>
      </c>
      <c r="B111" s="119">
        <v>0</v>
      </c>
      <c r="C111" s="118" t="s">
        <v>1071</v>
      </c>
      <c r="D111" s="380" t="s">
        <v>1074</v>
      </c>
      <c r="E111" s="372"/>
      <c r="F111" s="133">
        <v>16</v>
      </c>
      <c r="G111" s="119">
        <v>0</v>
      </c>
      <c r="H111" s="119">
        <v>400</v>
      </c>
      <c r="I111" s="119">
        <v>1989</v>
      </c>
      <c r="J111" s="123"/>
      <c r="K111" s="119" t="s">
        <v>919</v>
      </c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>
      <c r="A112" s="119">
        <v>1108223340</v>
      </c>
      <c r="B112" s="119">
        <v>0</v>
      </c>
      <c r="C112" s="118" t="s">
        <v>1042</v>
      </c>
      <c r="D112" s="380" t="s">
        <v>513</v>
      </c>
      <c r="E112" s="372"/>
      <c r="F112" s="138">
        <v>12</v>
      </c>
      <c r="G112" s="119">
        <v>0</v>
      </c>
      <c r="H112" s="119">
        <v>25</v>
      </c>
      <c r="I112" s="119">
        <v>1970</v>
      </c>
      <c r="J112" s="118" t="s">
        <v>1075</v>
      </c>
      <c r="K112" s="119" t="s">
        <v>919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>
      <c r="A113" s="119">
        <v>1108223515</v>
      </c>
      <c r="B113" s="119">
        <v>0</v>
      </c>
      <c r="C113" s="118" t="s">
        <v>1042</v>
      </c>
      <c r="D113" s="380" t="s">
        <v>413</v>
      </c>
      <c r="E113" s="372"/>
      <c r="F113" s="135">
        <v>11</v>
      </c>
      <c r="G113" s="119">
        <v>0</v>
      </c>
      <c r="H113" s="119">
        <v>117</v>
      </c>
      <c r="I113" s="119">
        <v>1988</v>
      </c>
      <c r="J113" s="118" t="s">
        <v>1076</v>
      </c>
      <c r="K113" s="119" t="s">
        <v>919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>
      <c r="A114" s="119">
        <v>1108223543</v>
      </c>
      <c r="B114" s="119">
        <v>0</v>
      </c>
      <c r="C114" s="118" t="s">
        <v>1077</v>
      </c>
      <c r="D114" s="380" t="s">
        <v>1078</v>
      </c>
      <c r="E114" s="372"/>
      <c r="F114" s="157">
        <v>6</v>
      </c>
      <c r="G114" s="119">
        <v>0</v>
      </c>
      <c r="H114" s="119">
        <v>50</v>
      </c>
      <c r="I114" s="119">
        <v>1971</v>
      </c>
      <c r="J114" s="118" t="s">
        <v>1079</v>
      </c>
      <c r="K114" s="119" t="s">
        <v>919</v>
      </c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>
      <c r="A115" s="119">
        <v>1108223658</v>
      </c>
      <c r="B115" s="119">
        <v>0</v>
      </c>
      <c r="C115" s="118" t="s">
        <v>1042</v>
      </c>
      <c r="D115" s="380" t="s">
        <v>416</v>
      </c>
      <c r="E115" s="372"/>
      <c r="F115" s="161">
        <v>10</v>
      </c>
      <c r="G115" s="119">
        <v>0</v>
      </c>
      <c r="H115" s="119">
        <v>113</v>
      </c>
      <c r="I115" s="119">
        <v>1979</v>
      </c>
      <c r="J115" s="118" t="s">
        <v>1080</v>
      </c>
      <c r="K115" s="119" t="s">
        <v>919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>
      <c r="A116" s="119">
        <v>1108223789</v>
      </c>
      <c r="B116" s="119">
        <v>0</v>
      </c>
      <c r="C116" s="118" t="s">
        <v>1077</v>
      </c>
      <c r="D116" s="380" t="s">
        <v>1081</v>
      </c>
      <c r="E116" s="372"/>
      <c r="F116" s="157">
        <v>6</v>
      </c>
      <c r="G116" s="119">
        <v>0</v>
      </c>
      <c r="H116" s="119">
        <v>22</v>
      </c>
      <c r="I116" s="119">
        <v>1972</v>
      </c>
      <c r="J116" s="118" t="s">
        <v>1082</v>
      </c>
      <c r="K116" s="119" t="s">
        <v>919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>
      <c r="A117" s="119">
        <v>1108224084</v>
      </c>
      <c r="B117" s="119">
        <v>0</v>
      </c>
      <c r="C117" s="380" t="s">
        <v>1042</v>
      </c>
      <c r="D117" s="372"/>
      <c r="E117" s="123"/>
      <c r="F117" s="158">
        <v>5</v>
      </c>
      <c r="G117" s="119">
        <v>0</v>
      </c>
      <c r="H117" s="119">
        <v>10</v>
      </c>
      <c r="I117" s="119">
        <v>1949</v>
      </c>
      <c r="J117" s="118" t="s">
        <v>1083</v>
      </c>
      <c r="K117" s="119" t="s">
        <v>919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>
      <c r="A118" s="119">
        <v>1108224091</v>
      </c>
      <c r="B118" s="119">
        <v>0</v>
      </c>
      <c r="C118" s="380" t="s">
        <v>1077</v>
      </c>
      <c r="D118" s="372"/>
      <c r="E118" s="123"/>
      <c r="F118" s="163">
        <v>4</v>
      </c>
      <c r="G118" s="119">
        <v>0</v>
      </c>
      <c r="H118" s="119">
        <v>12</v>
      </c>
      <c r="I118" s="119">
        <v>1961</v>
      </c>
      <c r="J118" s="118" t="s">
        <v>1084</v>
      </c>
      <c r="K118" s="119" t="s">
        <v>919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>
      <c r="A119" s="119">
        <v>1108224142</v>
      </c>
      <c r="B119" s="119">
        <v>0</v>
      </c>
      <c r="C119" s="118" t="s">
        <v>1042</v>
      </c>
      <c r="D119" s="118" t="s">
        <v>1085</v>
      </c>
      <c r="E119" s="118" t="s">
        <v>1085</v>
      </c>
      <c r="F119" s="136">
        <v>2</v>
      </c>
      <c r="G119" s="119">
        <v>0</v>
      </c>
      <c r="H119" s="119">
        <v>69</v>
      </c>
      <c r="I119" s="119">
        <v>1975</v>
      </c>
      <c r="J119" s="123"/>
      <c r="K119" s="119" t="s">
        <v>919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>
      <c r="A120" s="119">
        <v>1108224661</v>
      </c>
      <c r="B120" s="119">
        <v>0</v>
      </c>
      <c r="C120" s="118" t="s">
        <v>1042</v>
      </c>
      <c r="D120" s="380" t="s">
        <v>1086</v>
      </c>
      <c r="E120" s="372"/>
      <c r="F120" s="135">
        <v>11</v>
      </c>
      <c r="G120" s="119">
        <v>0</v>
      </c>
      <c r="H120" s="119">
        <v>66</v>
      </c>
      <c r="I120" s="119">
        <v>1976</v>
      </c>
      <c r="J120" s="118" t="s">
        <v>1087</v>
      </c>
      <c r="K120" s="119" t="s">
        <v>919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>
      <c r="A121" s="119">
        <v>1108224749</v>
      </c>
      <c r="B121" s="119">
        <v>0</v>
      </c>
      <c r="C121" s="118" t="s">
        <v>1071</v>
      </c>
      <c r="D121" s="380" t="s">
        <v>1088</v>
      </c>
      <c r="E121" s="372"/>
      <c r="F121" s="155">
        <v>14</v>
      </c>
      <c r="G121" s="119">
        <v>0</v>
      </c>
      <c r="H121" s="119">
        <v>109</v>
      </c>
      <c r="I121" s="119">
        <v>1965</v>
      </c>
      <c r="J121" s="118" t="s">
        <v>1089</v>
      </c>
      <c r="K121" s="119" t="s">
        <v>919</v>
      </c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>
      <c r="A122" s="119">
        <v>1108224764</v>
      </c>
      <c r="B122" s="119">
        <v>0</v>
      </c>
      <c r="C122" s="118" t="s">
        <v>1042</v>
      </c>
      <c r="D122" s="380" t="s">
        <v>391</v>
      </c>
      <c r="E122" s="372"/>
      <c r="F122" s="155">
        <v>14</v>
      </c>
      <c r="G122" s="119">
        <v>0</v>
      </c>
      <c r="H122" s="119">
        <v>43</v>
      </c>
      <c r="I122" s="119">
        <v>1997</v>
      </c>
      <c r="J122" s="118" t="s">
        <v>1090</v>
      </c>
      <c r="K122" s="119" t="s">
        <v>919</v>
      </c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>
      <c r="A123" s="119">
        <v>1108225465</v>
      </c>
      <c r="B123" s="119">
        <v>0</v>
      </c>
      <c r="C123" s="118" t="s">
        <v>1042</v>
      </c>
      <c r="D123" s="380" t="s">
        <v>382</v>
      </c>
      <c r="E123" s="372"/>
      <c r="F123" s="161">
        <v>10</v>
      </c>
      <c r="G123" s="119">
        <v>0</v>
      </c>
      <c r="H123" s="119">
        <v>21</v>
      </c>
      <c r="I123" s="119">
        <v>1962</v>
      </c>
      <c r="J123" s="118" t="s">
        <v>1091</v>
      </c>
      <c r="K123" s="119" t="s">
        <v>919</v>
      </c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>
      <c r="A124" s="119">
        <v>1108225865</v>
      </c>
      <c r="B124" s="119">
        <v>0</v>
      </c>
      <c r="C124" s="118" t="s">
        <v>1042</v>
      </c>
      <c r="D124" s="380" t="s">
        <v>369</v>
      </c>
      <c r="E124" s="372"/>
      <c r="F124" s="135">
        <v>11</v>
      </c>
      <c r="G124" s="119">
        <v>0</v>
      </c>
      <c r="H124" s="119">
        <v>45</v>
      </c>
      <c r="I124" s="119">
        <v>1982</v>
      </c>
      <c r="J124" s="118" t="s">
        <v>1092</v>
      </c>
      <c r="K124" s="119" t="s">
        <v>919</v>
      </c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>
      <c r="A125" s="119">
        <v>1108225903</v>
      </c>
      <c r="B125" s="119">
        <v>0</v>
      </c>
      <c r="C125" s="118" t="s">
        <v>1042</v>
      </c>
      <c r="D125" s="380" t="s">
        <v>372</v>
      </c>
      <c r="E125" s="372"/>
      <c r="F125" s="138">
        <v>12</v>
      </c>
      <c r="G125" s="119">
        <v>0</v>
      </c>
      <c r="H125" s="119">
        <v>120</v>
      </c>
      <c r="I125" s="119">
        <v>1963</v>
      </c>
      <c r="J125" s="118" t="s">
        <v>1093</v>
      </c>
      <c r="K125" s="119" t="s">
        <v>919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>
      <c r="A126" s="119">
        <v>1108225950</v>
      </c>
      <c r="B126" s="119">
        <v>0</v>
      </c>
      <c r="C126" s="118" t="s">
        <v>1042</v>
      </c>
      <c r="D126" s="380" t="s">
        <v>378</v>
      </c>
      <c r="E126" s="372"/>
      <c r="F126" s="138">
        <v>12</v>
      </c>
      <c r="G126" s="119">
        <v>0</v>
      </c>
      <c r="H126" s="119">
        <v>132</v>
      </c>
      <c r="I126" s="119">
        <v>1981</v>
      </c>
      <c r="J126" s="118" t="s">
        <v>1094</v>
      </c>
      <c r="K126" s="119" t="s">
        <v>919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>
      <c r="A127" s="119">
        <v>1108226016</v>
      </c>
      <c r="B127" s="119">
        <v>0</v>
      </c>
      <c r="C127" s="118" t="s">
        <v>1042</v>
      </c>
      <c r="D127" s="380" t="s">
        <v>375</v>
      </c>
      <c r="E127" s="372"/>
      <c r="F127" s="135">
        <v>11</v>
      </c>
      <c r="G127" s="119">
        <v>0</v>
      </c>
      <c r="H127" s="119">
        <v>30</v>
      </c>
      <c r="I127" s="119">
        <v>1983</v>
      </c>
      <c r="J127" s="118" t="s">
        <v>1095</v>
      </c>
      <c r="K127" s="119" t="s">
        <v>919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>
      <c r="A128" s="119">
        <v>1108226640</v>
      </c>
      <c r="B128" s="119">
        <v>0</v>
      </c>
      <c r="C128" s="118" t="s">
        <v>1042</v>
      </c>
      <c r="D128" s="380" t="s">
        <v>358</v>
      </c>
      <c r="E128" s="372"/>
      <c r="F128" s="150">
        <v>7</v>
      </c>
      <c r="G128" s="119">
        <v>0</v>
      </c>
      <c r="H128" s="119">
        <v>42</v>
      </c>
      <c r="I128" s="119">
        <v>1956</v>
      </c>
      <c r="J128" s="123"/>
      <c r="K128" s="119" t="s">
        <v>919</v>
      </c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>
      <c r="A129" s="119">
        <v>1108226735</v>
      </c>
      <c r="B129" s="119">
        <v>0</v>
      </c>
      <c r="C129" s="118" t="s">
        <v>1042</v>
      </c>
      <c r="D129" s="118" t="s">
        <v>1096</v>
      </c>
      <c r="E129" s="118" t="s">
        <v>1097</v>
      </c>
      <c r="F129" s="138">
        <v>12</v>
      </c>
      <c r="G129" s="119">
        <v>0</v>
      </c>
      <c r="H129" s="119">
        <v>204</v>
      </c>
      <c r="I129" s="119">
        <v>1960</v>
      </c>
      <c r="J129" s="123"/>
      <c r="K129" s="119" t="s">
        <v>919</v>
      </c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>
      <c r="A130" s="119">
        <v>1108226958</v>
      </c>
      <c r="B130" s="119">
        <v>0</v>
      </c>
      <c r="C130" s="380" t="s">
        <v>1042</v>
      </c>
      <c r="D130" s="372"/>
      <c r="E130" s="120"/>
      <c r="F130" s="160">
        <v>8</v>
      </c>
      <c r="G130" s="119">
        <v>0</v>
      </c>
      <c r="H130" s="119">
        <v>46</v>
      </c>
      <c r="I130" s="119">
        <v>1959</v>
      </c>
      <c r="J130" s="118" t="s">
        <v>1098</v>
      </c>
      <c r="K130" s="119" t="s">
        <v>919</v>
      </c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>
      <c r="A131" s="119">
        <v>1108227078</v>
      </c>
      <c r="B131" s="119">
        <v>0</v>
      </c>
      <c r="C131" s="118" t="s">
        <v>1042</v>
      </c>
      <c r="D131" s="380" t="s">
        <v>1099</v>
      </c>
      <c r="E131" s="372"/>
      <c r="F131" s="134">
        <v>13</v>
      </c>
      <c r="G131" s="119">
        <v>0</v>
      </c>
      <c r="H131" s="119">
        <v>25</v>
      </c>
      <c r="I131" s="119">
        <v>1993</v>
      </c>
      <c r="J131" s="118" t="s">
        <v>1100</v>
      </c>
      <c r="K131" s="119" t="s">
        <v>919</v>
      </c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>
      <c r="A132" s="119">
        <v>1108228236</v>
      </c>
      <c r="B132" s="119">
        <v>0</v>
      </c>
      <c r="C132" s="118" t="s">
        <v>1042</v>
      </c>
      <c r="D132" s="380" t="s">
        <v>347</v>
      </c>
      <c r="E132" s="372"/>
      <c r="F132" s="142">
        <v>21</v>
      </c>
      <c r="G132" s="119">
        <v>0</v>
      </c>
      <c r="H132" s="119">
        <v>42</v>
      </c>
      <c r="I132" s="119">
        <v>1999</v>
      </c>
      <c r="J132" s="118" t="s">
        <v>1101</v>
      </c>
      <c r="K132" s="119" t="s">
        <v>919</v>
      </c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>
      <c r="A133" s="119">
        <v>1108228278</v>
      </c>
      <c r="B133" s="119">
        <v>0</v>
      </c>
      <c r="C133" s="118" t="s">
        <v>1042</v>
      </c>
      <c r="D133" s="380" t="s">
        <v>350</v>
      </c>
      <c r="E133" s="372"/>
      <c r="F133" s="135">
        <v>11</v>
      </c>
      <c r="G133" s="119">
        <v>0</v>
      </c>
      <c r="H133" s="119">
        <v>88</v>
      </c>
      <c r="I133" s="119">
        <v>1963</v>
      </c>
      <c r="J133" s="118" t="s">
        <v>1102</v>
      </c>
      <c r="K133" s="119" t="s">
        <v>919</v>
      </c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>
      <c r="A134" s="119">
        <v>1108228341</v>
      </c>
      <c r="B134" s="119">
        <v>0</v>
      </c>
      <c r="C134" s="380" t="s">
        <v>1042</v>
      </c>
      <c r="D134" s="372"/>
      <c r="E134" s="120"/>
      <c r="F134" s="157">
        <v>6</v>
      </c>
      <c r="G134" s="119">
        <v>0</v>
      </c>
      <c r="H134" s="119">
        <v>13</v>
      </c>
      <c r="I134" s="119">
        <v>1973</v>
      </c>
      <c r="J134" s="118" t="s">
        <v>1103</v>
      </c>
      <c r="K134" s="119" t="s">
        <v>919</v>
      </c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>
      <c r="A135" s="119">
        <v>1108229242</v>
      </c>
      <c r="B135" s="119">
        <v>0</v>
      </c>
      <c r="C135" s="118" t="s">
        <v>1042</v>
      </c>
      <c r="D135" s="380" t="s">
        <v>344</v>
      </c>
      <c r="E135" s="372"/>
      <c r="F135" s="138">
        <v>12</v>
      </c>
      <c r="G135" s="119">
        <v>0</v>
      </c>
      <c r="H135" s="119">
        <v>47</v>
      </c>
      <c r="I135" s="119">
        <v>1966</v>
      </c>
      <c r="J135" s="118" t="s">
        <v>1104</v>
      </c>
      <c r="K135" s="119" t="s">
        <v>919</v>
      </c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>
      <c r="A136" s="119">
        <v>1108229291</v>
      </c>
      <c r="B136" s="119">
        <v>0</v>
      </c>
      <c r="C136" s="118" t="s">
        <v>1042</v>
      </c>
      <c r="D136" s="380" t="s">
        <v>1105</v>
      </c>
      <c r="E136" s="372"/>
      <c r="F136" s="133">
        <v>16</v>
      </c>
      <c r="G136" s="119">
        <v>0</v>
      </c>
      <c r="H136" s="119">
        <v>139</v>
      </c>
      <c r="I136" s="119">
        <v>1979</v>
      </c>
      <c r="J136" s="123"/>
      <c r="K136" s="119" t="s">
        <v>919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>
      <c r="A137" s="119">
        <v>1108229363</v>
      </c>
      <c r="B137" s="119">
        <v>0</v>
      </c>
      <c r="C137" s="118" t="s">
        <v>1042</v>
      </c>
      <c r="D137" s="380" t="s">
        <v>1106</v>
      </c>
      <c r="E137" s="372"/>
      <c r="F137" s="155">
        <v>14</v>
      </c>
      <c r="G137" s="119">
        <v>0</v>
      </c>
      <c r="H137" s="119">
        <v>28</v>
      </c>
      <c r="I137" s="119">
        <v>1964</v>
      </c>
      <c r="J137" s="123"/>
      <c r="K137" s="119" t="s">
        <v>919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>
      <c r="A138" s="119">
        <v>1108230402</v>
      </c>
      <c r="B138" s="119">
        <v>0</v>
      </c>
      <c r="C138" s="118" t="s">
        <v>1107</v>
      </c>
      <c r="D138" s="380" t="s">
        <v>323</v>
      </c>
      <c r="E138" s="372"/>
      <c r="F138" s="132">
        <v>23</v>
      </c>
      <c r="G138" s="119">
        <v>0</v>
      </c>
      <c r="H138" s="119">
        <v>30</v>
      </c>
      <c r="I138" s="119">
        <v>1994</v>
      </c>
      <c r="J138" s="118" t="s">
        <v>1108</v>
      </c>
      <c r="K138" s="119" t="s">
        <v>919</v>
      </c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>
      <c r="A139" s="119">
        <v>1108230410</v>
      </c>
      <c r="B139" s="119">
        <v>0</v>
      </c>
      <c r="C139" s="118" t="s">
        <v>1107</v>
      </c>
      <c r="D139" s="380" t="s">
        <v>332</v>
      </c>
      <c r="E139" s="372"/>
      <c r="F139" s="155">
        <v>14</v>
      </c>
      <c r="G139" s="119">
        <v>0</v>
      </c>
      <c r="H139" s="119">
        <v>56</v>
      </c>
      <c r="I139" s="119">
        <v>1963</v>
      </c>
      <c r="J139" s="118" t="s">
        <v>1109</v>
      </c>
      <c r="K139" s="119" t="s">
        <v>919</v>
      </c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>
      <c r="A140" s="119">
        <v>1108230452</v>
      </c>
      <c r="B140" s="119">
        <v>0</v>
      </c>
      <c r="C140" s="118" t="s">
        <v>1107</v>
      </c>
      <c r="D140" s="380" t="s">
        <v>1110</v>
      </c>
      <c r="E140" s="372"/>
      <c r="F140" s="131">
        <v>15</v>
      </c>
      <c r="G140" s="119">
        <v>0</v>
      </c>
      <c r="H140" s="119">
        <v>15</v>
      </c>
      <c r="I140" s="119">
        <v>1981</v>
      </c>
      <c r="J140" s="118" t="s">
        <v>1111</v>
      </c>
      <c r="K140" s="119" t="s">
        <v>919</v>
      </c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>
      <c r="A141" s="119">
        <v>1108231496</v>
      </c>
      <c r="B141" s="119">
        <v>0</v>
      </c>
      <c r="C141" s="118" t="s">
        <v>1107</v>
      </c>
      <c r="D141" s="380" t="s">
        <v>317</v>
      </c>
      <c r="E141" s="372"/>
      <c r="F141" s="128">
        <v>28</v>
      </c>
      <c r="G141" s="119">
        <v>0</v>
      </c>
      <c r="H141" s="119">
        <v>186</v>
      </c>
      <c r="I141" s="119">
        <v>2003</v>
      </c>
      <c r="J141" s="118" t="s">
        <v>1112</v>
      </c>
      <c r="K141" s="119" t="s">
        <v>919</v>
      </c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>
      <c r="A142" s="119">
        <v>1108231548</v>
      </c>
      <c r="B142" s="119">
        <v>0</v>
      </c>
      <c r="C142" s="118" t="s">
        <v>1107</v>
      </c>
      <c r="D142" s="380" t="s">
        <v>313</v>
      </c>
      <c r="E142" s="372"/>
      <c r="F142" s="131">
        <v>15</v>
      </c>
      <c r="G142" s="119">
        <v>0</v>
      </c>
      <c r="H142" s="119">
        <v>136</v>
      </c>
      <c r="I142" s="119">
        <v>1970</v>
      </c>
      <c r="J142" s="123"/>
      <c r="K142" s="119" t="s">
        <v>919</v>
      </c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>
      <c r="A143" s="119">
        <v>1108232023</v>
      </c>
      <c r="B143" s="119">
        <v>0</v>
      </c>
      <c r="C143" s="380" t="s">
        <v>1107</v>
      </c>
      <c r="D143" s="372"/>
      <c r="E143" s="123"/>
      <c r="F143" s="123"/>
      <c r="G143" s="123"/>
      <c r="H143" s="123"/>
      <c r="I143" s="119">
        <v>1995</v>
      </c>
      <c r="J143" s="118" t="s">
        <v>1113</v>
      </c>
      <c r="K143" s="119" t="s">
        <v>919</v>
      </c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>
      <c r="A144" s="119">
        <v>1108232710</v>
      </c>
      <c r="B144" s="119">
        <v>0</v>
      </c>
      <c r="C144" s="118" t="s">
        <v>1107</v>
      </c>
      <c r="D144" s="380" t="s">
        <v>301</v>
      </c>
      <c r="E144" s="372"/>
      <c r="F144" s="127">
        <v>17</v>
      </c>
      <c r="G144" s="119">
        <v>0</v>
      </c>
      <c r="H144" s="119">
        <v>62</v>
      </c>
      <c r="I144" s="119">
        <v>1963</v>
      </c>
      <c r="J144" s="123"/>
      <c r="K144" s="119" t="s">
        <v>919</v>
      </c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>
      <c r="A145" s="119">
        <v>1108232776</v>
      </c>
      <c r="B145" s="119">
        <v>0</v>
      </c>
      <c r="C145" s="118" t="s">
        <v>1107</v>
      </c>
      <c r="D145" s="380" t="s">
        <v>304</v>
      </c>
      <c r="E145" s="372"/>
      <c r="F145" s="127">
        <v>17</v>
      </c>
      <c r="G145" s="119">
        <v>0</v>
      </c>
      <c r="H145" s="119">
        <v>147</v>
      </c>
      <c r="I145" s="119">
        <v>1958</v>
      </c>
      <c r="J145" s="123"/>
      <c r="K145" s="119" t="s">
        <v>919</v>
      </c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>
      <c r="A146" s="119">
        <v>1108233780</v>
      </c>
      <c r="B146" s="119">
        <v>0</v>
      </c>
      <c r="C146" s="118" t="s">
        <v>1107</v>
      </c>
      <c r="D146" s="380" t="s">
        <v>287</v>
      </c>
      <c r="E146" s="372"/>
      <c r="F146" s="132">
        <v>23</v>
      </c>
      <c r="G146" s="119">
        <v>1</v>
      </c>
      <c r="H146" s="119">
        <v>110</v>
      </c>
      <c r="I146" s="119">
        <v>1984</v>
      </c>
      <c r="J146" s="118" t="s">
        <v>1114</v>
      </c>
      <c r="K146" s="119" t="s">
        <v>919</v>
      </c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>
      <c r="A147" s="119">
        <v>1108233928</v>
      </c>
      <c r="B147" s="119">
        <v>0</v>
      </c>
      <c r="C147" s="118" t="s">
        <v>1107</v>
      </c>
      <c r="D147" s="380" t="s">
        <v>295</v>
      </c>
      <c r="E147" s="372"/>
      <c r="F147" s="141">
        <v>26</v>
      </c>
      <c r="G147" s="119">
        <v>1</v>
      </c>
      <c r="H147" s="119">
        <v>69</v>
      </c>
      <c r="I147" s="119">
        <v>1994</v>
      </c>
      <c r="J147" s="118" t="s">
        <v>1115</v>
      </c>
      <c r="K147" s="119" t="s">
        <v>919</v>
      </c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>
      <c r="A148" s="119">
        <v>1108235355</v>
      </c>
      <c r="B148" s="119">
        <v>0</v>
      </c>
      <c r="C148" s="118" t="s">
        <v>1107</v>
      </c>
      <c r="D148" s="380" t="s">
        <v>276</v>
      </c>
      <c r="E148" s="372"/>
      <c r="F148" s="133">
        <v>16</v>
      </c>
      <c r="G148" s="119">
        <v>0</v>
      </c>
      <c r="H148" s="119">
        <v>53</v>
      </c>
      <c r="I148" s="119">
        <v>1963</v>
      </c>
      <c r="J148" s="118" t="s">
        <v>1116</v>
      </c>
      <c r="K148" s="119" t="s">
        <v>919</v>
      </c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>
      <c r="A149" s="119">
        <v>1108235445</v>
      </c>
      <c r="B149" s="119">
        <v>0</v>
      </c>
      <c r="C149" s="118" t="s">
        <v>1107</v>
      </c>
      <c r="D149" s="380" t="s">
        <v>279</v>
      </c>
      <c r="E149" s="372"/>
      <c r="F149" s="133">
        <v>16</v>
      </c>
      <c r="G149" s="119">
        <v>0</v>
      </c>
      <c r="H149" s="119">
        <v>16</v>
      </c>
      <c r="I149" s="119">
        <v>1967</v>
      </c>
      <c r="J149" s="118" t="s">
        <v>1117</v>
      </c>
      <c r="K149" s="119" t="s">
        <v>919</v>
      </c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>
      <c r="A150" s="119">
        <v>1108236167</v>
      </c>
      <c r="B150" s="119">
        <v>0</v>
      </c>
      <c r="C150" s="118" t="s">
        <v>1107</v>
      </c>
      <c r="D150" s="380" t="s">
        <v>263</v>
      </c>
      <c r="E150" s="372"/>
      <c r="F150" s="132">
        <v>23</v>
      </c>
      <c r="G150" s="119">
        <v>0</v>
      </c>
      <c r="H150" s="119">
        <v>189</v>
      </c>
      <c r="I150" s="119">
        <v>1971</v>
      </c>
      <c r="J150" s="123"/>
      <c r="K150" s="119" t="s">
        <v>919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>
      <c r="A151" s="119">
        <v>1108236334</v>
      </c>
      <c r="B151" s="119">
        <v>0</v>
      </c>
      <c r="C151" s="118" t="s">
        <v>1107</v>
      </c>
      <c r="D151" s="380" t="s">
        <v>273</v>
      </c>
      <c r="E151" s="372"/>
      <c r="F151" s="139">
        <v>24</v>
      </c>
      <c r="G151" s="119">
        <v>0</v>
      </c>
      <c r="H151" s="119">
        <v>24</v>
      </c>
      <c r="I151" s="119">
        <v>2002</v>
      </c>
      <c r="J151" s="118" t="s">
        <v>1118</v>
      </c>
      <c r="K151" s="119" t="s">
        <v>919</v>
      </c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>
      <c r="A152" s="119">
        <v>1108236423</v>
      </c>
      <c r="B152" s="119">
        <v>0</v>
      </c>
      <c r="C152" s="118" t="s">
        <v>1107</v>
      </c>
      <c r="D152" s="380" t="s">
        <v>270</v>
      </c>
      <c r="E152" s="372"/>
      <c r="F152" s="140">
        <v>29</v>
      </c>
      <c r="G152" s="119">
        <v>2</v>
      </c>
      <c r="H152" s="119">
        <v>453</v>
      </c>
      <c r="I152" s="119">
        <v>1966</v>
      </c>
      <c r="J152" s="123"/>
      <c r="K152" s="119" t="s">
        <v>919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>
      <c r="A153" s="119">
        <v>1108236428</v>
      </c>
      <c r="B153" s="119">
        <v>0</v>
      </c>
      <c r="C153" s="118" t="s">
        <v>1107</v>
      </c>
      <c r="D153" s="380" t="s">
        <v>267</v>
      </c>
      <c r="E153" s="372"/>
      <c r="F153" s="124">
        <v>22</v>
      </c>
      <c r="G153" s="119">
        <v>0</v>
      </c>
      <c r="H153" s="119">
        <v>345</v>
      </c>
      <c r="I153" s="119">
        <v>1984</v>
      </c>
      <c r="J153" s="118" t="s">
        <v>1119</v>
      </c>
      <c r="K153" s="119" t="s">
        <v>919</v>
      </c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>
      <c r="A154" s="119">
        <v>1108237754</v>
      </c>
      <c r="B154" s="119">
        <v>0</v>
      </c>
      <c r="C154" s="118" t="s">
        <v>1107</v>
      </c>
      <c r="D154" s="380" t="s">
        <v>251</v>
      </c>
      <c r="E154" s="372"/>
      <c r="F154" s="139">
        <v>24</v>
      </c>
      <c r="G154" s="119">
        <v>0</v>
      </c>
      <c r="H154" s="119">
        <v>24</v>
      </c>
      <c r="I154" s="119">
        <v>1997</v>
      </c>
      <c r="J154" s="118" t="s">
        <v>1120</v>
      </c>
      <c r="K154" s="119" t="s">
        <v>919</v>
      </c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>
      <c r="A155" s="119">
        <v>1108237821</v>
      </c>
      <c r="B155" s="119">
        <v>0</v>
      </c>
      <c r="C155" s="118" t="s">
        <v>1107</v>
      </c>
      <c r="D155" s="380" t="s">
        <v>254</v>
      </c>
      <c r="E155" s="372"/>
      <c r="F155" s="124">
        <v>22</v>
      </c>
      <c r="G155" s="119">
        <v>0</v>
      </c>
      <c r="H155" s="119">
        <v>30</v>
      </c>
      <c r="I155" s="119">
        <v>1975</v>
      </c>
      <c r="J155" s="118" t="s">
        <v>1121</v>
      </c>
      <c r="K155" s="119" t="s">
        <v>919</v>
      </c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>
      <c r="A156" s="119">
        <v>1108237866</v>
      </c>
      <c r="B156" s="119">
        <v>0</v>
      </c>
      <c r="C156" s="118" t="s">
        <v>1107</v>
      </c>
      <c r="D156" s="380" t="s">
        <v>257</v>
      </c>
      <c r="E156" s="372"/>
      <c r="F156" s="139">
        <v>24</v>
      </c>
      <c r="G156" s="119">
        <v>1</v>
      </c>
      <c r="H156" s="119">
        <v>26</v>
      </c>
      <c r="I156" s="119">
        <v>1995</v>
      </c>
      <c r="J156" s="118" t="s">
        <v>1122</v>
      </c>
      <c r="K156" s="119" t="s">
        <v>919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>
      <c r="A157" s="119">
        <v>1108238725</v>
      </c>
      <c r="B157" s="119">
        <v>0</v>
      </c>
      <c r="C157" s="118" t="s">
        <v>1107</v>
      </c>
      <c r="D157" s="380" t="s">
        <v>1123</v>
      </c>
      <c r="E157" s="372"/>
      <c r="F157" s="130">
        <v>3</v>
      </c>
      <c r="G157" s="119">
        <v>0</v>
      </c>
      <c r="H157" s="119">
        <v>165</v>
      </c>
      <c r="I157" s="119">
        <v>1966</v>
      </c>
      <c r="J157" s="118" t="s">
        <v>1124</v>
      </c>
      <c r="K157" s="119" t="s">
        <v>919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>
      <c r="A158" s="119">
        <v>1108238831</v>
      </c>
      <c r="B158" s="119">
        <v>0</v>
      </c>
      <c r="C158" s="118" t="s">
        <v>1107</v>
      </c>
      <c r="D158" s="380" t="s">
        <v>242</v>
      </c>
      <c r="E158" s="372"/>
      <c r="F158" s="134">
        <v>13</v>
      </c>
      <c r="G158" s="119">
        <v>0</v>
      </c>
      <c r="H158" s="119">
        <v>26</v>
      </c>
      <c r="I158" s="119">
        <v>1974</v>
      </c>
      <c r="J158" s="118" t="s">
        <v>1125</v>
      </c>
      <c r="K158" s="119" t="s">
        <v>919</v>
      </c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>
      <c r="A159" s="119">
        <v>1108239101</v>
      </c>
      <c r="B159" s="119">
        <v>0</v>
      </c>
      <c r="C159" s="118" t="s">
        <v>1107</v>
      </c>
      <c r="D159" s="380" t="s">
        <v>245</v>
      </c>
      <c r="E159" s="372"/>
      <c r="F159" s="134">
        <v>13</v>
      </c>
      <c r="G159" s="119">
        <v>0</v>
      </c>
      <c r="H159" s="119">
        <v>48</v>
      </c>
      <c r="I159" s="119">
        <v>1967</v>
      </c>
      <c r="J159" s="118" t="s">
        <v>1126</v>
      </c>
      <c r="K159" s="119" t="s">
        <v>919</v>
      </c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>
      <c r="A160" s="119">
        <v>1108239661</v>
      </c>
      <c r="B160" s="119">
        <v>0</v>
      </c>
      <c r="C160" s="118" t="s">
        <v>1107</v>
      </c>
      <c r="D160" s="380" t="s">
        <v>229</v>
      </c>
      <c r="E160" s="372"/>
      <c r="F160" s="139">
        <v>24</v>
      </c>
      <c r="G160" s="119">
        <v>0</v>
      </c>
      <c r="H160" s="119">
        <v>48</v>
      </c>
      <c r="I160" s="119">
        <v>1976</v>
      </c>
      <c r="J160" s="118" t="s">
        <v>1127</v>
      </c>
      <c r="K160" s="119" t="s">
        <v>919</v>
      </c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>
      <c r="A161" s="119">
        <v>1108239696</v>
      </c>
      <c r="B161" s="119">
        <v>0</v>
      </c>
      <c r="C161" s="118" t="s">
        <v>1107</v>
      </c>
      <c r="D161" s="380" t="s">
        <v>1128</v>
      </c>
      <c r="E161" s="372"/>
      <c r="F161" s="161">
        <v>10</v>
      </c>
      <c r="G161" s="119">
        <v>0</v>
      </c>
      <c r="H161" s="119">
        <v>31</v>
      </c>
      <c r="I161" s="119">
        <v>1962</v>
      </c>
      <c r="J161" s="118" t="s">
        <v>1129</v>
      </c>
      <c r="K161" s="119" t="s">
        <v>919</v>
      </c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>
      <c r="A162" s="119">
        <v>1108240186</v>
      </c>
      <c r="B162" s="119">
        <v>0</v>
      </c>
      <c r="C162" s="118" t="s">
        <v>1107</v>
      </c>
      <c r="D162" s="380" t="s">
        <v>1130</v>
      </c>
      <c r="E162" s="372"/>
      <c r="F162" s="133">
        <v>16</v>
      </c>
      <c r="G162" s="119">
        <v>0</v>
      </c>
      <c r="H162" s="119">
        <v>90</v>
      </c>
      <c r="I162" s="119">
        <v>1966</v>
      </c>
      <c r="J162" s="118" t="s">
        <v>1131</v>
      </c>
      <c r="K162" s="119" t="s">
        <v>919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>
      <c r="A163" s="119">
        <v>1108240221</v>
      </c>
      <c r="B163" s="119">
        <v>0</v>
      </c>
      <c r="C163" s="118" t="s">
        <v>1107</v>
      </c>
      <c r="D163" s="380" t="s">
        <v>220</v>
      </c>
      <c r="E163" s="372"/>
      <c r="F163" s="138">
        <v>12</v>
      </c>
      <c r="G163" s="119">
        <v>0</v>
      </c>
      <c r="H163" s="119">
        <v>24</v>
      </c>
      <c r="I163" s="119">
        <v>1962</v>
      </c>
      <c r="J163" s="118" t="s">
        <v>1132</v>
      </c>
      <c r="K163" s="119" t="s">
        <v>919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>
      <c r="A164" s="119">
        <v>1108240652</v>
      </c>
      <c r="B164" s="119">
        <v>0</v>
      </c>
      <c r="C164" s="380" t="s">
        <v>1107</v>
      </c>
      <c r="D164" s="372"/>
      <c r="E164" s="123"/>
      <c r="F164" s="161">
        <v>10</v>
      </c>
      <c r="G164" s="119">
        <v>0</v>
      </c>
      <c r="H164" s="119">
        <v>20</v>
      </c>
      <c r="I164" s="119">
        <v>1965</v>
      </c>
      <c r="J164" s="118" t="s">
        <v>1133</v>
      </c>
      <c r="K164" s="119" t="s">
        <v>919</v>
      </c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>
      <c r="A165" s="119">
        <v>1108240658</v>
      </c>
      <c r="B165" s="119">
        <v>0</v>
      </c>
      <c r="C165" s="118" t="s">
        <v>1107</v>
      </c>
      <c r="D165" s="380" t="s">
        <v>214</v>
      </c>
      <c r="E165" s="372"/>
      <c r="F165" s="133">
        <v>16</v>
      </c>
      <c r="G165" s="119">
        <v>0</v>
      </c>
      <c r="H165" s="119">
        <v>110</v>
      </c>
      <c r="I165" s="119">
        <v>1975</v>
      </c>
      <c r="J165" s="118" t="s">
        <v>1134</v>
      </c>
      <c r="K165" s="119" t="s">
        <v>919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>
      <c r="A166" s="119">
        <v>1108240865</v>
      </c>
      <c r="B166" s="119">
        <v>0</v>
      </c>
      <c r="C166" s="118" t="s">
        <v>1107</v>
      </c>
      <c r="D166" s="380" t="s">
        <v>1135</v>
      </c>
      <c r="E166" s="372"/>
      <c r="F166" s="164">
        <v>18</v>
      </c>
      <c r="G166" s="119">
        <v>0</v>
      </c>
      <c r="H166" s="119">
        <v>21</v>
      </c>
      <c r="I166" s="119">
        <v>1999</v>
      </c>
      <c r="J166" s="118" t="s">
        <v>1136</v>
      </c>
      <c r="K166" s="119" t="s">
        <v>919</v>
      </c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>
      <c r="A167" s="119">
        <v>1108241688</v>
      </c>
      <c r="B167" s="119">
        <v>0</v>
      </c>
      <c r="C167" s="380" t="s">
        <v>1107</v>
      </c>
      <c r="D167" s="372"/>
      <c r="E167" s="123"/>
      <c r="F167" s="161">
        <v>10</v>
      </c>
      <c r="G167" s="119">
        <v>0</v>
      </c>
      <c r="H167" s="119">
        <v>20</v>
      </c>
      <c r="I167" s="119">
        <v>1965</v>
      </c>
      <c r="J167" s="118" t="s">
        <v>1133</v>
      </c>
      <c r="K167" s="119" t="s">
        <v>919</v>
      </c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>
      <c r="A168" s="119">
        <v>1108241727</v>
      </c>
      <c r="B168" s="119">
        <v>0</v>
      </c>
      <c r="C168" s="118" t="s">
        <v>1107</v>
      </c>
      <c r="D168" s="380" t="s">
        <v>201</v>
      </c>
      <c r="E168" s="372"/>
      <c r="F168" s="131">
        <v>15</v>
      </c>
      <c r="G168" s="119">
        <v>0</v>
      </c>
      <c r="H168" s="119">
        <v>94</v>
      </c>
      <c r="I168" s="119">
        <v>1964</v>
      </c>
      <c r="J168" s="118" t="s">
        <v>1137</v>
      </c>
      <c r="K168" s="119" t="s">
        <v>919</v>
      </c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>
      <c r="A169" s="119">
        <v>1108241768</v>
      </c>
      <c r="B169" s="119">
        <v>0</v>
      </c>
      <c r="C169" s="118" t="s">
        <v>1107</v>
      </c>
      <c r="D169" s="380" t="s">
        <v>198</v>
      </c>
      <c r="E169" s="372"/>
      <c r="F169" s="135">
        <v>11</v>
      </c>
      <c r="G169" s="119">
        <v>0</v>
      </c>
      <c r="H169" s="119">
        <v>22</v>
      </c>
      <c r="I169" s="119">
        <v>1965</v>
      </c>
      <c r="J169" s="118" t="s">
        <v>1138</v>
      </c>
      <c r="K169" s="119" t="s">
        <v>919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>
      <c r="A170" s="119">
        <v>1108242144</v>
      </c>
      <c r="B170" s="119">
        <v>0</v>
      </c>
      <c r="C170" s="380" t="s">
        <v>1107</v>
      </c>
      <c r="D170" s="372"/>
      <c r="E170" s="123"/>
      <c r="F170" s="142">
        <v>21</v>
      </c>
      <c r="G170" s="119">
        <v>0</v>
      </c>
      <c r="H170" s="119">
        <v>42</v>
      </c>
      <c r="I170" s="119">
        <v>1999</v>
      </c>
      <c r="J170" s="118" t="s">
        <v>1139</v>
      </c>
      <c r="K170" s="119" t="s">
        <v>919</v>
      </c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>
      <c r="A171" s="119">
        <v>1108242315</v>
      </c>
      <c r="B171" s="119">
        <v>0</v>
      </c>
      <c r="C171" s="118" t="s">
        <v>1107</v>
      </c>
      <c r="D171" s="380" t="s">
        <v>1140</v>
      </c>
      <c r="E171" s="372"/>
      <c r="F171" s="164">
        <v>18</v>
      </c>
      <c r="G171" s="119">
        <v>0</v>
      </c>
      <c r="H171" s="119">
        <v>18</v>
      </c>
      <c r="I171" s="119">
        <v>1993</v>
      </c>
      <c r="J171" s="118" t="s">
        <v>1141</v>
      </c>
      <c r="K171" s="119" t="s">
        <v>919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>
      <c r="A172" s="119">
        <v>1108242855</v>
      </c>
      <c r="B172" s="119">
        <v>0</v>
      </c>
      <c r="C172" s="118" t="s">
        <v>1107</v>
      </c>
      <c r="D172" s="118" t="s">
        <v>1142</v>
      </c>
      <c r="E172" s="123"/>
      <c r="F172" s="135">
        <v>11</v>
      </c>
      <c r="G172" s="119">
        <v>0</v>
      </c>
      <c r="H172" s="119">
        <v>25</v>
      </c>
      <c r="I172" s="119">
        <v>1971</v>
      </c>
      <c r="J172" s="118" t="s">
        <v>1143</v>
      </c>
      <c r="K172" s="119" t="s">
        <v>919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>
      <c r="A173" s="119">
        <v>1108243250</v>
      </c>
      <c r="B173" s="119">
        <v>0</v>
      </c>
      <c r="C173" s="118" t="s">
        <v>1107</v>
      </c>
      <c r="D173" s="380" t="s">
        <v>1144</v>
      </c>
      <c r="E173" s="372"/>
      <c r="F173" s="164">
        <v>18</v>
      </c>
      <c r="G173" s="123"/>
      <c r="H173" s="119">
        <v>531</v>
      </c>
      <c r="I173" s="119">
        <v>1993</v>
      </c>
      <c r="J173" s="118" t="s">
        <v>1145</v>
      </c>
      <c r="K173" s="119" t="s">
        <v>919</v>
      </c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>
      <c r="A174" s="119">
        <v>1108243542</v>
      </c>
      <c r="B174" s="119">
        <v>0</v>
      </c>
      <c r="C174" s="118" t="s">
        <v>1107</v>
      </c>
      <c r="D174" s="380" t="s">
        <v>1146</v>
      </c>
      <c r="E174" s="372"/>
      <c r="F174" s="136">
        <v>2</v>
      </c>
      <c r="G174" s="123"/>
      <c r="H174" s="119">
        <v>68</v>
      </c>
      <c r="I174" s="119">
        <v>1985</v>
      </c>
      <c r="J174" s="118" t="s">
        <v>1147</v>
      </c>
      <c r="K174" s="119" t="s">
        <v>919</v>
      </c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>
      <c r="A175" s="119">
        <v>1108243793</v>
      </c>
      <c r="B175" s="119">
        <v>0</v>
      </c>
      <c r="C175" s="118" t="s">
        <v>1107</v>
      </c>
      <c r="D175" s="380" t="s">
        <v>146</v>
      </c>
      <c r="E175" s="372"/>
      <c r="F175" s="134">
        <v>13</v>
      </c>
      <c r="G175" s="119">
        <v>0</v>
      </c>
      <c r="H175" s="119">
        <v>78</v>
      </c>
      <c r="I175" s="119">
        <v>1958</v>
      </c>
      <c r="J175" s="118" t="s">
        <v>1148</v>
      </c>
      <c r="K175" s="119" t="s">
        <v>919</v>
      </c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>
      <c r="A176" s="119">
        <v>1108244060</v>
      </c>
      <c r="B176" s="119">
        <v>0</v>
      </c>
      <c r="C176" s="118" t="s">
        <v>1107</v>
      </c>
      <c r="D176" s="380" t="s">
        <v>137</v>
      </c>
      <c r="E176" s="372"/>
      <c r="F176" s="127">
        <v>17</v>
      </c>
      <c r="G176" s="119">
        <v>0</v>
      </c>
      <c r="H176" s="119">
        <v>674</v>
      </c>
      <c r="I176" s="119">
        <v>1959</v>
      </c>
      <c r="J176" s="123"/>
      <c r="K176" s="119" t="s">
        <v>919</v>
      </c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>
      <c r="A177" s="119">
        <v>1108244082</v>
      </c>
      <c r="B177" s="119">
        <v>0</v>
      </c>
      <c r="C177" s="118" t="s">
        <v>1107</v>
      </c>
      <c r="D177" s="380" t="s">
        <v>137</v>
      </c>
      <c r="E177" s="372"/>
      <c r="F177" s="127">
        <v>17</v>
      </c>
      <c r="G177" s="119">
        <v>0</v>
      </c>
      <c r="H177" s="119">
        <v>674</v>
      </c>
      <c r="I177" s="119">
        <v>1959</v>
      </c>
      <c r="J177" s="123"/>
      <c r="K177" s="119" t="s">
        <v>919</v>
      </c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>
      <c r="A178" s="119">
        <v>1108244151</v>
      </c>
      <c r="B178" s="119">
        <v>0</v>
      </c>
      <c r="C178" s="118" t="s">
        <v>1107</v>
      </c>
      <c r="D178" s="380" t="s">
        <v>137</v>
      </c>
      <c r="E178" s="372"/>
      <c r="F178" s="127">
        <v>17</v>
      </c>
      <c r="G178" s="119">
        <v>0</v>
      </c>
      <c r="H178" s="119">
        <v>674</v>
      </c>
      <c r="I178" s="119">
        <v>1959</v>
      </c>
      <c r="J178" s="123"/>
      <c r="K178" s="119" t="s">
        <v>919</v>
      </c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>
      <c r="A179" s="119">
        <v>1108244238</v>
      </c>
      <c r="B179" s="119">
        <v>0</v>
      </c>
      <c r="C179" s="118" t="s">
        <v>1107</v>
      </c>
      <c r="D179" s="380" t="s">
        <v>112</v>
      </c>
      <c r="E179" s="372"/>
      <c r="F179" s="128">
        <v>28</v>
      </c>
      <c r="G179" s="119">
        <v>0</v>
      </c>
      <c r="H179" s="119">
        <v>26</v>
      </c>
      <c r="I179" s="119">
        <v>1998</v>
      </c>
      <c r="J179" s="118" t="s">
        <v>1149</v>
      </c>
      <c r="K179" s="119" t="s">
        <v>919</v>
      </c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>
      <c r="A180" s="119">
        <v>1108246239</v>
      </c>
      <c r="B180" s="119">
        <v>0</v>
      </c>
      <c r="C180" s="118" t="s">
        <v>1107</v>
      </c>
      <c r="D180" s="380" t="s">
        <v>287</v>
      </c>
      <c r="E180" s="372"/>
      <c r="F180" s="132">
        <v>23</v>
      </c>
      <c r="G180" s="119">
        <v>1</v>
      </c>
      <c r="H180" s="119">
        <v>110</v>
      </c>
      <c r="I180" s="119">
        <v>1984</v>
      </c>
      <c r="J180" s="118" t="s">
        <v>1114</v>
      </c>
      <c r="K180" s="119" t="s">
        <v>919</v>
      </c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>
      <c r="A181" s="119">
        <v>1109261336</v>
      </c>
      <c r="B181" s="119">
        <v>0</v>
      </c>
      <c r="C181" s="118" t="s">
        <v>1107</v>
      </c>
      <c r="D181" s="380" t="s">
        <v>307</v>
      </c>
      <c r="E181" s="372"/>
      <c r="F181" s="131">
        <v>15</v>
      </c>
      <c r="G181" s="119">
        <v>0</v>
      </c>
      <c r="H181" s="119">
        <v>57</v>
      </c>
      <c r="I181" s="119">
        <v>1979</v>
      </c>
      <c r="J181" s="118" t="s">
        <v>1150</v>
      </c>
      <c r="K181" s="119" t="s">
        <v>919</v>
      </c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>
      <c r="A182" s="119">
        <v>1109346356</v>
      </c>
      <c r="B182" s="119">
        <v>0</v>
      </c>
      <c r="C182" s="118" t="s">
        <v>973</v>
      </c>
      <c r="D182" s="380" t="s">
        <v>674</v>
      </c>
      <c r="E182" s="372"/>
      <c r="F182" s="138">
        <v>12</v>
      </c>
      <c r="G182" s="119">
        <v>0</v>
      </c>
      <c r="H182" s="119">
        <v>39</v>
      </c>
      <c r="I182" s="119">
        <v>1965</v>
      </c>
      <c r="J182" s="118" t="s">
        <v>1151</v>
      </c>
      <c r="K182" s="119" t="s">
        <v>919</v>
      </c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>
      <c r="A183" s="119">
        <v>1109346361</v>
      </c>
      <c r="B183" s="119">
        <v>0</v>
      </c>
      <c r="C183" s="118" t="s">
        <v>973</v>
      </c>
      <c r="D183" s="380" t="s">
        <v>677</v>
      </c>
      <c r="E183" s="372"/>
      <c r="F183" s="138">
        <v>12</v>
      </c>
      <c r="G183" s="119">
        <v>0</v>
      </c>
      <c r="H183" s="119">
        <v>22</v>
      </c>
      <c r="I183" s="119">
        <v>1967</v>
      </c>
      <c r="J183" s="118" t="s">
        <v>1152</v>
      </c>
      <c r="K183" s="119" t="s">
        <v>919</v>
      </c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>
      <c r="A184" s="119">
        <v>1810079778</v>
      </c>
      <c r="B184" s="119">
        <v>0</v>
      </c>
      <c r="C184" s="118" t="s">
        <v>973</v>
      </c>
      <c r="D184" s="380" t="s">
        <v>706</v>
      </c>
      <c r="E184" s="372"/>
      <c r="F184" s="137">
        <v>36</v>
      </c>
      <c r="G184" s="119">
        <v>4</v>
      </c>
      <c r="H184" s="123"/>
      <c r="I184" s="119">
        <v>2012</v>
      </c>
      <c r="J184" s="123"/>
      <c r="K184" s="119" t="s">
        <v>919</v>
      </c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>
      <c r="A185" s="119">
        <v>1810094197</v>
      </c>
      <c r="B185" s="119">
        <v>0</v>
      </c>
      <c r="C185" s="118" t="s">
        <v>983</v>
      </c>
      <c r="D185" s="380" t="s">
        <v>1153</v>
      </c>
      <c r="E185" s="372"/>
      <c r="F185" s="125">
        <v>27</v>
      </c>
      <c r="G185" s="119">
        <v>4</v>
      </c>
      <c r="H185" s="123"/>
      <c r="I185" s="119">
        <v>2012</v>
      </c>
      <c r="J185" s="123"/>
      <c r="K185" s="119" t="s">
        <v>919</v>
      </c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>
      <c r="A186" s="119">
        <v>1810106386</v>
      </c>
      <c r="B186" s="119">
        <v>0</v>
      </c>
      <c r="C186" s="118" t="s">
        <v>1107</v>
      </c>
      <c r="D186" s="380" t="s">
        <v>291</v>
      </c>
      <c r="E186" s="372"/>
      <c r="F186" s="126">
        <v>20</v>
      </c>
      <c r="G186" s="119">
        <v>0</v>
      </c>
      <c r="H186" s="119">
        <v>21</v>
      </c>
      <c r="I186" s="119">
        <v>1958</v>
      </c>
      <c r="J186" s="118" t="s">
        <v>1154</v>
      </c>
      <c r="K186" s="119" t="s">
        <v>919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>
      <c r="A187" s="119">
        <v>1810183790</v>
      </c>
      <c r="B187" s="119">
        <v>0</v>
      </c>
      <c r="C187" s="118" t="s">
        <v>973</v>
      </c>
      <c r="D187" s="380" t="s">
        <v>1155</v>
      </c>
      <c r="E187" s="372"/>
      <c r="F187" s="124">
        <v>22</v>
      </c>
      <c r="G187" s="119">
        <v>1</v>
      </c>
      <c r="H187" s="123"/>
      <c r="I187" s="119">
        <v>1972</v>
      </c>
      <c r="J187" s="123"/>
      <c r="K187" s="119" t="s">
        <v>919</v>
      </c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>
      <c r="A188" s="119">
        <v>1810186401</v>
      </c>
      <c r="B188" s="119">
        <v>0</v>
      </c>
      <c r="C188" s="118" t="s">
        <v>917</v>
      </c>
      <c r="D188" s="380" t="s">
        <v>924</v>
      </c>
      <c r="E188" s="372"/>
      <c r="F188" s="125">
        <v>27</v>
      </c>
      <c r="G188" s="119">
        <v>0</v>
      </c>
      <c r="H188" s="119">
        <v>66</v>
      </c>
      <c r="I188" s="119">
        <v>1999</v>
      </c>
      <c r="J188" s="118" t="s">
        <v>925</v>
      </c>
      <c r="K188" s="119" t="s">
        <v>919</v>
      </c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157">
    <mergeCell ref="D171:E171"/>
    <mergeCell ref="D173:E173"/>
    <mergeCell ref="D174:E174"/>
    <mergeCell ref="D175:E175"/>
    <mergeCell ref="D176:E176"/>
    <mergeCell ref="D177:E177"/>
    <mergeCell ref="D178:E178"/>
    <mergeCell ref="D162:E162"/>
    <mergeCell ref="D163:E163"/>
    <mergeCell ref="C164:D164"/>
    <mergeCell ref="D165:E165"/>
    <mergeCell ref="D166:E166"/>
    <mergeCell ref="C167:D167"/>
    <mergeCell ref="D168:E168"/>
    <mergeCell ref="D169:E169"/>
    <mergeCell ref="C170:D170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87:E187"/>
    <mergeCell ref="D188:E188"/>
    <mergeCell ref="D179:E179"/>
    <mergeCell ref="D180:E180"/>
    <mergeCell ref="D181:E181"/>
    <mergeCell ref="D182:E182"/>
    <mergeCell ref="D183:E183"/>
    <mergeCell ref="D184:E184"/>
    <mergeCell ref="D185:E185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86:E186"/>
    <mergeCell ref="D128:E128"/>
    <mergeCell ref="C130:D130"/>
    <mergeCell ref="D131:E131"/>
    <mergeCell ref="D132:E132"/>
    <mergeCell ref="D133:E133"/>
    <mergeCell ref="C134:D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C143:D143"/>
    <mergeCell ref="C107:D107"/>
    <mergeCell ref="D111:E111"/>
    <mergeCell ref="D112:E112"/>
    <mergeCell ref="D113:E113"/>
    <mergeCell ref="D114:E114"/>
    <mergeCell ref="D115:E115"/>
    <mergeCell ref="D116:E116"/>
    <mergeCell ref="C117:D117"/>
    <mergeCell ref="C118:D118"/>
    <mergeCell ref="D95:E95"/>
    <mergeCell ref="D97:E97"/>
    <mergeCell ref="D98:E98"/>
    <mergeCell ref="D99:E99"/>
    <mergeCell ref="C100:D100"/>
    <mergeCell ref="D101:E101"/>
    <mergeCell ref="D103:E103"/>
    <mergeCell ref="D104:E104"/>
    <mergeCell ref="D106:E106"/>
    <mergeCell ref="D85:E85"/>
    <mergeCell ref="D86:E86"/>
    <mergeCell ref="D87:E87"/>
    <mergeCell ref="D88:E88"/>
    <mergeCell ref="D89:E89"/>
    <mergeCell ref="D90:E90"/>
    <mergeCell ref="D92:E92"/>
    <mergeCell ref="C93:D93"/>
    <mergeCell ref="D94:E94"/>
    <mergeCell ref="D74:E74"/>
    <mergeCell ref="D76:E76"/>
    <mergeCell ref="D77:E77"/>
    <mergeCell ref="D79:E79"/>
    <mergeCell ref="D80:E80"/>
    <mergeCell ref="D81:E81"/>
    <mergeCell ref="D82:E82"/>
    <mergeCell ref="D83:E83"/>
    <mergeCell ref="D84:E84"/>
    <mergeCell ref="D63:E63"/>
    <mergeCell ref="D65:E65"/>
    <mergeCell ref="D66:E66"/>
    <mergeCell ref="D67:E67"/>
    <mergeCell ref="D68:E68"/>
    <mergeCell ref="D69:E69"/>
    <mergeCell ref="D70:E70"/>
    <mergeCell ref="D72:E72"/>
    <mergeCell ref="D73:E73"/>
    <mergeCell ref="D53:E53"/>
    <mergeCell ref="D54:E54"/>
    <mergeCell ref="D55:E55"/>
    <mergeCell ref="D56:E56"/>
    <mergeCell ref="D58:E58"/>
    <mergeCell ref="D59:E59"/>
    <mergeCell ref="D60:E60"/>
    <mergeCell ref="D61:E61"/>
    <mergeCell ref="D62:E62"/>
    <mergeCell ref="D42:E42"/>
    <mergeCell ref="D43:E43"/>
    <mergeCell ref="D45:E45"/>
    <mergeCell ref="D47:E47"/>
    <mergeCell ref="D48:E48"/>
    <mergeCell ref="D49:E49"/>
    <mergeCell ref="D50:E50"/>
    <mergeCell ref="D51:E51"/>
    <mergeCell ref="D52:E52"/>
    <mergeCell ref="D29:E29"/>
    <mergeCell ref="D30:E30"/>
    <mergeCell ref="D31:E31"/>
    <mergeCell ref="D33:E33"/>
    <mergeCell ref="D35:E35"/>
    <mergeCell ref="D36:E36"/>
    <mergeCell ref="D38:E38"/>
    <mergeCell ref="D39:E39"/>
    <mergeCell ref="D41:E41"/>
    <mergeCell ref="D19:E19"/>
    <mergeCell ref="D20:E20"/>
    <mergeCell ref="D21:E21"/>
    <mergeCell ref="D22:E22"/>
    <mergeCell ref="D23:E23"/>
    <mergeCell ref="D24:E24"/>
    <mergeCell ref="D25:E25"/>
    <mergeCell ref="D26:E26"/>
    <mergeCell ref="D28:E28"/>
    <mergeCell ref="D5:E5"/>
    <mergeCell ref="D9:E9"/>
    <mergeCell ref="D10:E10"/>
    <mergeCell ref="D11:E11"/>
    <mergeCell ref="D13:E13"/>
    <mergeCell ref="D15:E15"/>
    <mergeCell ref="D16:E16"/>
    <mergeCell ref="D17:E17"/>
    <mergeCell ref="D18:E1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D9EAD3"/>
    <outlinePr summaryBelow="0" summaryRight="0"/>
  </sheetPr>
  <dimension ref="A1:AC1001"/>
  <sheetViews>
    <sheetView workbookViewId="0"/>
  </sheetViews>
  <sheetFormatPr defaultColWidth="14.453125" defaultRowHeight="15" customHeight="1"/>
  <cols>
    <col min="1" max="1" width="3.7265625" customWidth="1"/>
    <col min="2" max="2" width="10.08984375" customWidth="1"/>
    <col min="3" max="3" width="10.54296875" customWidth="1"/>
    <col min="4" max="4" width="10.81640625" customWidth="1"/>
    <col min="5" max="5" width="10.54296875" customWidth="1"/>
    <col min="6" max="6" width="10.81640625" customWidth="1"/>
    <col min="12" max="12" width="4.81640625" customWidth="1"/>
    <col min="13" max="13" width="22.54296875" customWidth="1"/>
  </cols>
  <sheetData>
    <row r="1" spans="1:29" ht="15" customHeight="1">
      <c r="A1" s="90" t="s">
        <v>95</v>
      </c>
      <c r="B1" s="91" t="s">
        <v>40</v>
      </c>
      <c r="C1" s="90" t="s">
        <v>515</v>
      </c>
      <c r="D1" s="92" t="s">
        <v>516</v>
      </c>
      <c r="E1" s="92" t="s">
        <v>517</v>
      </c>
      <c r="F1" s="92" t="s">
        <v>518</v>
      </c>
      <c r="G1" s="93" t="s">
        <v>519</v>
      </c>
      <c r="H1" s="94" t="s">
        <v>520</v>
      </c>
      <c r="I1" s="90" t="s">
        <v>521</v>
      </c>
      <c r="J1" s="90" t="s">
        <v>522</v>
      </c>
      <c r="K1" s="90" t="s">
        <v>523</v>
      </c>
      <c r="L1" s="95"/>
      <c r="M1" s="379" t="s">
        <v>524</v>
      </c>
      <c r="N1" s="372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</row>
    <row r="2" spans="1:29" ht="15" customHeight="1">
      <c r="A2" s="96">
        <v>0</v>
      </c>
      <c r="B2" s="97">
        <f>VLOOKUP(A2,E!B:D,3,FALSE)</f>
        <v>200</v>
      </c>
      <c r="C2" s="98">
        <f ca="1">IFERROR(__xludf.DUMMYFUNCTION("IFERROR(AVERAGE(QUERY(E_all,""SELECT U WHERE B=""&amp;$A2)))"),26.25)</f>
        <v>26.25</v>
      </c>
      <c r="D2" s="98">
        <f ca="1">IFERROR(__xludf.DUMMYFUNCTION("IFERROR(STDEV(QUERY(E_all,""SELECT U WHERE B=""&amp;$A2)))"),26.2852937336957)</f>
        <v>26.285293733695699</v>
      </c>
      <c r="E2" s="98">
        <f ca="1">IFERROR(__xludf.DUMMYFUNCTION("IFERROR(AVERAGE(QUERY(E_all,""SELECT U WHERE B=""&amp;$A2&amp;"" AND Q=FALSE AND R=FALSE"")))"),49)</f>
        <v>49</v>
      </c>
      <c r="F2" s="98">
        <f ca="1">IFERROR(__xludf.DUMMYFUNCTION("IFERROR(STDEV(QUERY(E_all,""SELECT U WHERE B=""&amp;$A2&amp;"" AND Q=FALSE AND R=FALSE"")))"),1.41421356237309)</f>
        <v>1.41421356237309</v>
      </c>
      <c r="G2" s="99" t="str">
        <f ca="1">IFERROR(__xludf.DUMMYFUNCTION("IFERROR(AVERAGE(QUERY(E_all,""SELECT U WHERE B=""&amp;$A2&amp;"" AND Q=FALSE AND R=FALSE AND U&gt;=""&amp;E_mean-2*E_sd&amp;"" AND U&lt;=""&amp;E_mean+2*E_sd)))"),"")</f>
        <v/>
      </c>
      <c r="H2" s="98" t="str">
        <f ca="1">IFERROR(__xludf.DUMMYFUNCTION("IFERROR(STDEV(QUERY(E_all,""SELECT U WHERE B=""&amp;$A2&amp;"" AND Q=FALSE AND R=FALSE AND U&gt;=""&amp;E_mean-2*E_sd&amp;"" AND U&lt;=""&amp;E_mean+2*E_sd)))"),"")</f>
        <v/>
      </c>
      <c r="I2" s="100" t="str">
        <f ca="1">IFERROR(__xludf.DUMMYFUNCTION("IFERROR(IF(ISBLANK(G2),,RANK.AVG(B2,QUERY(B$2:G$36,""SELECT B WHERE G IS NOT NULL""),TRUE)))"),"")</f>
        <v/>
      </c>
      <c r="J2" s="100" t="s">
        <v>556</v>
      </c>
      <c r="K2" s="100" t="e">
        <f t="shared" ref="K2:K36" ca="1" si="0">IF(ISBLANK(G2),,(I2-J2)^2)</f>
        <v>#VALUE!</v>
      </c>
      <c r="L2" s="101"/>
      <c r="M2" s="21" t="s">
        <v>525</v>
      </c>
      <c r="N2" s="102">
        <f ca="1">IFERROR(__xludf.DUMMYFUNCTION("AVERAGE(QUERY(E_all,""SELECT U""))"),19.8776978417266)</f>
        <v>19.877697841726601</v>
      </c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</row>
    <row r="3" spans="1:29" ht="15" customHeight="1">
      <c r="A3" s="96">
        <v>1</v>
      </c>
      <c r="B3" s="97">
        <f>VLOOKUP(A3,E!B:D,3,FALSE)</f>
        <v>400</v>
      </c>
      <c r="C3" s="98">
        <f ca="1">IFERROR(__xludf.DUMMYFUNCTION("IFERROR(AVERAGE(QUERY(E_all,""SELECT U WHERE B=""&amp;$A3)))"),14.5)</f>
        <v>14.5</v>
      </c>
      <c r="D3" s="98">
        <f ca="1">IFERROR(__xludf.DUMMYFUNCTION("IFERROR(STDEV(QUERY(E_all,""SELECT U WHERE B=""&amp;$A3)))"),16.8226038412607)</f>
        <v>16.822603841260701</v>
      </c>
      <c r="E3" s="98">
        <f ca="1">IFERROR(__xludf.DUMMYFUNCTION("IFERROR(AVERAGE(QUERY(E_all,""SELECT U WHERE B=""&amp;$A3&amp;"" AND Q=FALSE AND R=FALSE"")))"),29)</f>
        <v>29</v>
      </c>
      <c r="F3" s="98">
        <f ca="1">IFERROR(__xludf.DUMMYFUNCTION("IFERROR(STDEV(QUERY(E_all,""SELECT U WHERE B=""&amp;$A3&amp;"" AND Q=FALSE AND R=FALSE"")))"),2.82842712474619)</f>
        <v>2.8284271247461898</v>
      </c>
      <c r="G3" s="99">
        <f ca="1">IFERROR(__xludf.DUMMYFUNCTION("IFERROR(AVERAGE(QUERY(E_all,""SELECT U WHERE B=""&amp;$A3&amp;"" AND Q=FALSE AND R=FALSE AND U&gt;=""&amp;E_mean-2*E_sd&amp;"" AND U&lt;=""&amp;E_mean+2*E_sd)))"),29)</f>
        <v>29</v>
      </c>
      <c r="H3" s="98">
        <f ca="1">IFERROR(__xludf.DUMMYFUNCTION("IFERROR(STDEV(QUERY(E_all,""SELECT U WHERE B=""&amp;$A3&amp;"" AND Q=FALSE AND R=FALSE AND U&gt;=""&amp;E_mean-2*E_sd&amp;"" AND U&lt;=""&amp;E_mean+2*E_sd)))"),2.82842712474619)</f>
        <v>2.8284271247461898</v>
      </c>
      <c r="I3" s="100">
        <f ca="1">IFERROR(__xludf.DUMMYFUNCTION("IFERROR(IF(ISBLANK(G3),,RANK.AVG(B3,QUERY(B$2:G$36,""SELECT B WHERE G IS NOT NULL""),TRUE)))"),1)</f>
        <v>1</v>
      </c>
      <c r="J3" s="100">
        <v>25</v>
      </c>
      <c r="K3" s="100">
        <f t="shared" ca="1" si="0"/>
        <v>576</v>
      </c>
      <c r="L3" s="101"/>
      <c r="M3" s="21" t="s">
        <v>526</v>
      </c>
      <c r="N3" s="103">
        <f ca="1">IFERROR(__xludf.DUMMYFUNCTION("STDEV(QUERY(E_all,""SELECT U""))"),13.2525416931367)</f>
        <v>13.252541693136701</v>
      </c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</row>
    <row r="4" spans="1:29" ht="15" customHeight="1">
      <c r="A4" s="96">
        <v>2</v>
      </c>
      <c r="B4" s="97">
        <f>VLOOKUP(A4,E!B:D,3,FALSE)</f>
        <v>600</v>
      </c>
      <c r="C4" s="98">
        <f ca="1">IFERROR(__xludf.DUMMYFUNCTION("IFERROR(AVERAGE(QUERY(E_all,""SELECT U WHERE B=""&amp;$A4)))"),12.75)</f>
        <v>12.75</v>
      </c>
      <c r="D4" s="98">
        <f ca="1">IFERROR(__xludf.DUMMYFUNCTION("IFERROR(STDEV(QUERY(E_all,""SELECT U WHERE B=""&amp;$A4)))"),14.7280910734102)</f>
        <v>14.7280910734102</v>
      </c>
      <c r="E4" s="98">
        <f ca="1">IFERROR(__xludf.DUMMYFUNCTION("IFERROR(AVERAGE(QUERY(E_all,""SELECT U WHERE B=""&amp;$A4&amp;"" AND Q=FALSE AND R=FALSE"")))"),25.5)</f>
        <v>25.5</v>
      </c>
      <c r="F4" s="98">
        <f ca="1">IFERROR(__xludf.DUMMYFUNCTION("IFERROR(STDEV(QUERY(E_all,""SELECT U WHERE B=""&amp;$A4&amp;"" AND Q=FALSE AND R=FALSE"")))"),0.707106781186547)</f>
        <v>0.70710678118654702</v>
      </c>
      <c r="G4" s="99">
        <f ca="1">IFERROR(__xludf.DUMMYFUNCTION("IFERROR(AVERAGE(QUERY(E_all,""SELECT U WHERE B=""&amp;$A4&amp;"" AND Q=FALSE AND R=FALSE AND U&gt;=""&amp;E_mean-2*E_sd&amp;"" AND U&lt;=""&amp;E_mean+2*E_sd)))"),25.5)</f>
        <v>25.5</v>
      </c>
      <c r="H4" s="98">
        <f ca="1">IFERROR(__xludf.DUMMYFUNCTION("IFERROR(STDEV(QUERY(E_all,""SELECT U WHERE B=""&amp;$A4&amp;"" AND Q=FALSE AND R=FALSE AND U&gt;=""&amp;E_mean-2*E_sd&amp;"" AND U&lt;=""&amp;E_mean+2*E_sd)))"),0.707106781186547)</f>
        <v>0.70710678118654702</v>
      </c>
      <c r="I4" s="100">
        <f ca="1">IFERROR(__xludf.DUMMYFUNCTION("IFERROR(IF(ISBLANK(G4),,RANK.AVG(B4,QUERY(B$2:G$36,""SELECT B WHERE G IS NOT NULL""),TRUE)))"),2)</f>
        <v>2</v>
      </c>
      <c r="J4" s="100">
        <v>17</v>
      </c>
      <c r="K4" s="100">
        <f t="shared" ca="1" si="0"/>
        <v>225</v>
      </c>
      <c r="L4" s="101"/>
      <c r="M4" s="21" t="s">
        <v>527</v>
      </c>
      <c r="N4" s="102">
        <f ca="1">IFERROR(__xludf.DUMMYFUNCTION("AVERAGE(QUERY(E_all,""SELECT U WHERE Q=FALSE AND R=FALSE""))"),24.9622641509433)</f>
        <v>24.962264150943302</v>
      </c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</row>
    <row r="5" spans="1:29" ht="15" customHeight="1">
      <c r="A5" s="96">
        <v>3</v>
      </c>
      <c r="B5" s="97">
        <f>VLOOKUP(A5,E!B:D,3,FALSE)</f>
        <v>800</v>
      </c>
      <c r="C5" s="98">
        <f ca="1">IFERROR(__xludf.DUMMYFUNCTION("IFERROR(AVERAGE(QUERY(E_all,""SELECT U WHERE B=""&amp;$A5)))"),16.25)</f>
        <v>16.25</v>
      </c>
      <c r="D5" s="98">
        <f ca="1">IFERROR(__xludf.DUMMYFUNCTION("IFERROR(STDEV(QUERY(E_all,""SELECT U WHERE B=""&amp;$A5)))"),19.2937813815747)</f>
        <v>19.2937813815747</v>
      </c>
      <c r="E5" s="98">
        <f ca="1">IFERROR(__xludf.DUMMYFUNCTION("IFERROR(AVERAGE(QUERY(E_all,""SELECT U WHERE B=""&amp;$A5&amp;"" AND Q=FALSE AND R=FALSE"")))"),32.5)</f>
        <v>32.5</v>
      </c>
      <c r="F5" s="98">
        <f ca="1">IFERROR(__xludf.DUMMYFUNCTION("IFERROR(STDEV(QUERY(E_all,""SELECT U WHERE B=""&amp;$A5&amp;"" AND Q=FALSE AND R=FALSE"")))"),7.77817459305202)</f>
        <v>7.7781745930520199</v>
      </c>
      <c r="G5" s="99">
        <f ca="1">IFERROR(__xludf.DUMMYFUNCTION("IFERROR(AVERAGE(QUERY(E_all,""SELECT U WHERE B=""&amp;$A5&amp;"" AND Q=FALSE AND R=FALSE AND U&gt;=""&amp;E_mean-2*E_sd&amp;"" AND U&lt;=""&amp;E_mean+2*E_sd)))"),32.5)</f>
        <v>32.5</v>
      </c>
      <c r="H5" s="98">
        <f ca="1">IFERROR(__xludf.DUMMYFUNCTION("IFERROR(STDEV(QUERY(E_all,""SELECT U WHERE B=""&amp;$A5&amp;"" AND Q=FALSE AND R=FALSE AND U&gt;=""&amp;E_mean-2*E_sd&amp;"" AND U&lt;=""&amp;E_mean+2*E_sd)))"),7.77817459305202)</f>
        <v>7.7781745930520199</v>
      </c>
      <c r="I5" s="100">
        <f ca="1">IFERROR(__xludf.DUMMYFUNCTION("IFERROR(IF(ISBLANK(G5),,RANK.AVG(B5,QUERY(B$2:G$36,""SELECT B WHERE G IS NOT NULL""),TRUE)))"),3)</f>
        <v>3</v>
      </c>
      <c r="J5" s="100">
        <v>28</v>
      </c>
      <c r="K5" s="100">
        <f t="shared" ca="1" si="0"/>
        <v>625</v>
      </c>
      <c r="L5" s="101"/>
      <c r="M5" s="21" t="s">
        <v>528</v>
      </c>
      <c r="N5" s="103">
        <f ca="1">IFERROR(__xludf.DUMMYFUNCTION("STDEV(QUERY(E_all,""SELECT U WHERE Q=FALSE AND R=FALSE""))"),10.0739404767727)</f>
        <v>10.0739404767727</v>
      </c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</row>
    <row r="6" spans="1:29" ht="15" customHeight="1">
      <c r="A6" s="96">
        <v>4</v>
      </c>
      <c r="B6" s="97">
        <f>VLOOKUP(A6,E!B:D,3,FALSE)</f>
        <v>1000</v>
      </c>
      <c r="C6" s="98">
        <f ca="1">IFERROR(__xludf.DUMMYFUNCTION("IFERROR(AVERAGE(QUERY(E_all,""SELECT U WHERE B=""&amp;$A6)))"),18)</f>
        <v>18</v>
      </c>
      <c r="D6" s="98">
        <f ca="1">IFERROR(__xludf.DUMMYFUNCTION("IFERROR(STDEV(QUERY(E_all,""SELECT U WHERE B=""&amp;$A6)))"),36)</f>
        <v>36</v>
      </c>
      <c r="E6" s="98">
        <f ca="1">IFERROR(__xludf.DUMMYFUNCTION("IFERROR(AVERAGE(QUERY(E_all,""SELECT U WHERE B=""&amp;$A6&amp;"" AND Q=FALSE AND R=FALSE"")))"),72)</f>
        <v>72</v>
      </c>
      <c r="F6" s="98" t="str">
        <f ca="1">IFERROR(__xludf.DUMMYFUNCTION("IFERROR(STDEV(QUERY(E_all,""SELECT U WHERE B=""&amp;$A6&amp;"" AND Q=FALSE AND R=FALSE"")))"),"")</f>
        <v/>
      </c>
      <c r="G6" s="99" t="str">
        <f ca="1">IFERROR(__xludf.DUMMYFUNCTION("IFERROR(AVERAGE(QUERY(E_all,""SELECT U WHERE B=""&amp;$A6&amp;"" AND Q=FALSE AND R=FALSE AND U&gt;=""&amp;E_mean-2*E_sd&amp;"" AND U&lt;=""&amp;E_mean+2*E_sd)))"),"")</f>
        <v/>
      </c>
      <c r="H6" s="98" t="str">
        <f ca="1">IFERROR(__xludf.DUMMYFUNCTION("IFERROR(STDEV(QUERY(E_all,""SELECT U WHERE B=""&amp;$A6&amp;"" AND Q=FALSE AND R=FALSE AND U&gt;=""&amp;E_mean-2*E_sd&amp;"" AND U&lt;=""&amp;E_mean+2*E_sd)))"),"")</f>
        <v/>
      </c>
      <c r="I6" s="100" t="str">
        <f ca="1">IFERROR(__xludf.DUMMYFUNCTION("IFERROR(IF(ISBLANK(G6),,RANK.AVG(B6,QUERY(B$2:G$36,""SELECT B WHERE G IS NOT NULL""),TRUE)))"),"")</f>
        <v/>
      </c>
      <c r="J6" s="100" t="s">
        <v>556</v>
      </c>
      <c r="K6" s="100" t="e">
        <f t="shared" ca="1" si="0"/>
        <v>#VALUE!</v>
      </c>
      <c r="L6" s="101"/>
      <c r="M6" s="21" t="s">
        <v>529</v>
      </c>
      <c r="N6" s="104">
        <f ca="1">N4+2*N5</f>
        <v>45.110145104488701</v>
      </c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</row>
    <row r="7" spans="1:29" ht="15" customHeight="1">
      <c r="A7" s="96">
        <v>5</v>
      </c>
      <c r="B7" s="97">
        <f>VLOOKUP(A7,E!B:D,3,FALSE)</f>
        <v>1200</v>
      </c>
      <c r="C7" s="98">
        <f ca="1">IFERROR(__xludf.DUMMYFUNCTION("IFERROR(AVERAGE(QUERY(E_all,""SELECT U WHERE B=""&amp;$A7)))"),27)</f>
        <v>27</v>
      </c>
      <c r="D7" s="98">
        <f ca="1">IFERROR(__xludf.DUMMYFUNCTION("IFERROR(STDEV(QUERY(E_all,""SELECT U WHERE B=""&amp;$A7)))"),21.3229141222926)</f>
        <v>21.322914122292602</v>
      </c>
      <c r="E7" s="98">
        <f ca="1">IFERROR(__xludf.DUMMYFUNCTION("IFERROR(AVERAGE(QUERY(E_all,""SELECT U WHERE B=""&amp;$A7&amp;"" AND Q=FALSE AND R=FALSE"")))"),44)</f>
        <v>44</v>
      </c>
      <c r="F7" s="98">
        <f ca="1">IFERROR(__xludf.DUMMYFUNCTION("IFERROR(STDEV(QUERY(E_all,""SELECT U WHERE B=""&amp;$A7&amp;"" AND Q=FALSE AND R=FALSE"")))"),2.82842712474619)</f>
        <v>2.8284271247461898</v>
      </c>
      <c r="G7" s="99">
        <f ca="1">IFERROR(__xludf.DUMMYFUNCTION("IFERROR(AVERAGE(QUERY(E_all,""SELECT U WHERE B=""&amp;$A7&amp;"" AND Q=FALSE AND R=FALSE AND U&gt;=""&amp;E_mean-2*E_sd&amp;"" AND U&lt;=""&amp;E_mean+2*E_sd)))"),42)</f>
        <v>42</v>
      </c>
      <c r="H7" s="98" t="str">
        <f ca="1">IFERROR(__xludf.DUMMYFUNCTION("IFERROR(STDEV(QUERY(E_all,""SELECT U WHERE B=""&amp;$A7&amp;"" AND Q=FALSE AND R=FALSE AND U&gt;=""&amp;E_mean-2*E_sd&amp;"" AND U&lt;=""&amp;E_mean+2*E_sd)))"),"")</f>
        <v/>
      </c>
      <c r="I7" s="100">
        <f ca="1">IFERROR(__xludf.DUMMYFUNCTION("IFERROR(IF(ISBLANK(G7),,RANK.AVG(B7,QUERY(B$2:G$36,""SELECT B WHERE G IS NOT NULL""),TRUE)))"),4)</f>
        <v>4</v>
      </c>
      <c r="J7" s="100">
        <v>31</v>
      </c>
      <c r="K7" s="100">
        <f t="shared" ca="1" si="0"/>
        <v>729</v>
      </c>
      <c r="L7" s="101"/>
      <c r="M7" s="21" t="s">
        <v>530</v>
      </c>
      <c r="N7" s="104">
        <f ca="1">N4-2*N5</f>
        <v>4.8143831973979019</v>
      </c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</row>
    <row r="8" spans="1:29" ht="15" customHeight="1">
      <c r="A8" s="96">
        <v>6</v>
      </c>
      <c r="B8" s="97">
        <f>VLOOKUP(A8,E!B:D,3,FALSE)</f>
        <v>1400</v>
      </c>
      <c r="C8" s="98">
        <f ca="1">IFERROR(__xludf.DUMMYFUNCTION("IFERROR(AVERAGE(QUERY(E_all,""SELECT U WHERE B=""&amp;$A8)))"),20.25)</f>
        <v>20.25</v>
      </c>
      <c r="D8" s="98">
        <f ca="1">IFERROR(__xludf.DUMMYFUNCTION("IFERROR(STDEV(QUERY(E_all,""SELECT U WHERE B=""&amp;$A8)))"),23.810011899759)</f>
        <v>23.810011899759001</v>
      </c>
      <c r="E8" s="98">
        <f ca="1">IFERROR(__xludf.DUMMYFUNCTION("IFERROR(AVERAGE(QUERY(E_all,""SELECT U WHERE B=""&amp;$A8&amp;"" AND Q=FALSE AND R=FALSE"")))"),40.5)</f>
        <v>40.5</v>
      </c>
      <c r="F8" s="98">
        <f ca="1">IFERROR(__xludf.DUMMYFUNCTION("IFERROR(STDEV(QUERY(E_all,""SELECT U WHERE B=""&amp;$A8&amp;"" AND Q=FALSE AND R=FALSE"")))"),7.77817459305202)</f>
        <v>7.7781745930520199</v>
      </c>
      <c r="G8" s="99">
        <f ca="1">IFERROR(__xludf.DUMMYFUNCTION("IFERROR(AVERAGE(QUERY(E_all,""SELECT U WHERE B=""&amp;$A8&amp;"" AND Q=FALSE AND R=FALSE AND U&gt;=""&amp;E_mean-2*E_sd&amp;"" AND U&lt;=""&amp;E_mean+2*E_sd)))"),35)</f>
        <v>35</v>
      </c>
      <c r="H8" s="98" t="str">
        <f ca="1">IFERROR(__xludf.DUMMYFUNCTION("IFERROR(STDEV(QUERY(E_all,""SELECT U WHERE B=""&amp;$A8&amp;"" AND Q=FALSE AND R=FALSE AND U&gt;=""&amp;E_mean-2*E_sd&amp;"" AND U&lt;=""&amp;E_mean+2*E_sd)))"),"")</f>
        <v/>
      </c>
      <c r="I8" s="100">
        <f ca="1">IFERROR(__xludf.DUMMYFUNCTION("IFERROR(IF(ISBLANK(G8),,RANK.AVG(B8,QUERY(B$2:G$36,""SELECT B WHERE G IS NOT NULL""),TRUE)))"),5)</f>
        <v>5</v>
      </c>
      <c r="J8" s="100">
        <v>29.5</v>
      </c>
      <c r="K8" s="100">
        <f t="shared" ca="1" si="0"/>
        <v>600.25</v>
      </c>
      <c r="L8" s="101"/>
      <c r="M8" s="21" t="s">
        <v>531</v>
      </c>
      <c r="N8" s="104">
        <f ca="1">IFERROR(__xludf.DUMMYFUNCTION("AVERAGE(QUERY(E_all,""SELECT U WHERE Q=FALSE AND R=FALSE AND U&gt;""&amp;E_mean-2*E_sd&amp;"" AND U&lt;""&amp;E_mean+2*E_sd))"),23.5454545454545)</f>
        <v>23.545454545454501</v>
      </c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</row>
    <row r="9" spans="1:29" ht="15" customHeight="1">
      <c r="A9" s="96">
        <v>7</v>
      </c>
      <c r="B9" s="97">
        <f>VLOOKUP(A9,E!B:D,3,FALSE)</f>
        <v>1600</v>
      </c>
      <c r="C9" s="98">
        <f ca="1">IFERROR(__xludf.DUMMYFUNCTION("IFERROR(AVERAGE(QUERY(E_all,""SELECT U WHERE B=""&amp;$A9)))"),17.5)</f>
        <v>17.5</v>
      </c>
      <c r="D9" s="98">
        <f ca="1">IFERROR(__xludf.DUMMYFUNCTION("IFERROR(STDEV(QUERY(E_all,""SELECT U WHERE B=""&amp;$A9)))"),20.2072594216369)</f>
        <v>20.207259421636898</v>
      </c>
      <c r="E9" s="98">
        <f ca="1">IFERROR(__xludf.DUMMYFUNCTION("IFERROR(AVERAGE(QUERY(E_all,""SELECT U WHERE B=""&amp;$A9&amp;"" AND Q=FALSE AND R=FALSE"")))"),35)</f>
        <v>35</v>
      </c>
      <c r="F9" s="98" t="str">
        <f ca="1">IFERROR(__xludf.DUMMYFUNCTION("IFERROR(STDEV(QUERY(E_all,""SELECT U WHERE B=""&amp;$A9&amp;"" AND Q=FALSE AND R=FALSE"")))"),"")</f>
        <v/>
      </c>
      <c r="G9" s="99">
        <f ca="1">IFERROR(__xludf.DUMMYFUNCTION("IFERROR(AVERAGE(QUERY(E_all,""SELECT U WHERE B=""&amp;$A9&amp;"" AND Q=FALSE AND R=FALSE AND U&gt;=""&amp;E_mean-2*E_sd&amp;"" AND U&lt;=""&amp;E_mean+2*E_sd)))"),35)</f>
        <v>35</v>
      </c>
      <c r="H9" s="98" t="str">
        <f ca="1">IFERROR(__xludf.DUMMYFUNCTION("IFERROR(STDEV(QUERY(E_all,""SELECT U WHERE B=""&amp;$A9&amp;"" AND Q=FALSE AND R=FALSE AND U&gt;=""&amp;E_mean-2*E_sd&amp;"" AND U&lt;=""&amp;E_mean+2*E_sd)))"),"")</f>
        <v/>
      </c>
      <c r="I9" s="100">
        <f ca="1">IFERROR(__xludf.DUMMYFUNCTION("IFERROR(IF(ISBLANK(G9),,RANK.AVG(B9,QUERY(B$2:G$36,""SELECT B WHERE G IS NOT NULL""),TRUE)))"),6)</f>
        <v>6</v>
      </c>
      <c r="J9" s="100">
        <v>29.5</v>
      </c>
      <c r="K9" s="100">
        <f t="shared" ca="1" si="0"/>
        <v>552.25</v>
      </c>
      <c r="L9" s="101"/>
      <c r="M9" s="21" t="s">
        <v>532</v>
      </c>
      <c r="N9" s="104">
        <f ca="1">IFERROR(__xludf.DUMMYFUNCTION("STDEV(QUERY(E_all,""SELECT U WHERE Q=FALSE AND R=FALSE AND U&gt;""&amp;E_mean-2*E_sd&amp;"" AND U&lt;""&amp;E_mean+2*E_sd))"),7.27348094425098)</f>
        <v>7.2734809442509798</v>
      </c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</row>
    <row r="10" spans="1:29" ht="15" customHeight="1">
      <c r="A10" s="96">
        <v>8</v>
      </c>
      <c r="B10" s="97">
        <f>VLOOKUP(A10,E!B:D,3,FALSE)</f>
        <v>1800</v>
      </c>
      <c r="C10" s="98">
        <f ca="1">IFERROR(__xludf.DUMMYFUNCTION("IFERROR(AVERAGE(QUERY(E_all,""SELECT U WHERE B=""&amp;$A10)))"),21.75)</f>
        <v>21.75</v>
      </c>
      <c r="D10" s="98">
        <f ca="1">IFERROR(__xludf.DUMMYFUNCTION("IFERROR(STDEV(QUERY(E_all,""SELECT U WHERE B=""&amp;$A10)))"),2.5)</f>
        <v>2.5</v>
      </c>
      <c r="E10" s="98">
        <f ca="1">IFERROR(__xludf.DUMMYFUNCTION("IFERROR(AVERAGE(QUERY(E_all,""SELECT U WHERE B=""&amp;$A10&amp;"" AND Q=FALSE AND R=FALSE"")))"),21.75)</f>
        <v>21.75</v>
      </c>
      <c r="F10" s="98">
        <f ca="1">IFERROR(__xludf.DUMMYFUNCTION("IFERROR(STDEV(QUERY(E_all,""SELECT U WHERE B=""&amp;$A10&amp;"" AND Q=FALSE AND R=FALSE"")))"),2.5)</f>
        <v>2.5</v>
      </c>
      <c r="G10" s="99">
        <f ca="1">IFERROR(__xludf.DUMMYFUNCTION("IFERROR(AVERAGE(QUERY(E_all,""SELECT U WHERE B=""&amp;$A10&amp;"" AND Q=FALSE AND R=FALSE AND U&gt;=""&amp;E_mean-2*E_sd&amp;"" AND U&lt;=""&amp;E_mean+2*E_sd)))"),21.75)</f>
        <v>21.75</v>
      </c>
      <c r="H10" s="98">
        <f ca="1">IFERROR(__xludf.DUMMYFUNCTION("IFERROR(STDEV(QUERY(E_all,""SELECT U WHERE B=""&amp;$A10&amp;"" AND Q=FALSE AND R=FALSE AND U&gt;=""&amp;E_mean-2*E_sd&amp;"" AND U&lt;=""&amp;E_mean+2*E_sd)))"),2.5)</f>
        <v>2.5</v>
      </c>
      <c r="I10" s="100">
        <f ca="1">IFERROR(__xludf.DUMMYFUNCTION("IFERROR(IF(ISBLANK(G10),,RANK.AVG(B10,QUERY(B$2:G$36,""SELECT B WHERE G IS NOT NULL""),TRUE)))"),7)</f>
        <v>7</v>
      </c>
      <c r="J10" s="100">
        <v>12</v>
      </c>
      <c r="K10" s="100">
        <f t="shared" ca="1" si="0"/>
        <v>25</v>
      </c>
      <c r="L10" s="101"/>
      <c r="M10" s="105" t="s">
        <v>533</v>
      </c>
      <c r="N10" s="106">
        <f ca="1">COUNT(E_d2)</f>
        <v>31</v>
      </c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</row>
    <row r="11" spans="1:29" ht="15" customHeight="1">
      <c r="A11" s="96">
        <v>9</v>
      </c>
      <c r="B11" s="97">
        <f>VLOOKUP(A11,E!B:D,3,FALSE)</f>
        <v>2000</v>
      </c>
      <c r="C11" s="98">
        <f ca="1">IFERROR(__xludf.DUMMYFUNCTION("IFERROR(AVERAGE(QUERY(E_all,""SELECT U WHERE B=""&amp;$A11)))"),20.75)</f>
        <v>20.75</v>
      </c>
      <c r="D11" s="98">
        <f ca="1">IFERROR(__xludf.DUMMYFUNCTION("IFERROR(STDEV(QUERY(E_all,""SELECT U WHERE B=""&amp;$A11)))"),5.5)</f>
        <v>5.5</v>
      </c>
      <c r="E11" s="98">
        <f ca="1">IFERROR(__xludf.DUMMYFUNCTION("IFERROR(AVERAGE(QUERY(E_all,""SELECT U WHERE B=""&amp;$A11&amp;"" AND Q=FALSE AND R=FALSE"")))"),20.75)</f>
        <v>20.75</v>
      </c>
      <c r="F11" s="98">
        <f ca="1">IFERROR(__xludf.DUMMYFUNCTION("IFERROR(STDEV(QUERY(E_all,""SELECT U WHERE B=""&amp;$A11&amp;"" AND Q=FALSE AND R=FALSE"")))"),5.5)</f>
        <v>5.5</v>
      </c>
      <c r="G11" s="99">
        <f ca="1">IFERROR(__xludf.DUMMYFUNCTION("IFERROR(AVERAGE(QUERY(E_all,""SELECT U WHERE B=""&amp;$A11&amp;"" AND Q=FALSE AND R=FALSE AND U&gt;=""&amp;E_mean-2*E_sd&amp;"" AND U&lt;=""&amp;E_mean+2*E_sd)))"),20.75)</f>
        <v>20.75</v>
      </c>
      <c r="H11" s="98">
        <f ca="1">IFERROR(__xludf.DUMMYFUNCTION("IFERROR(STDEV(QUERY(E_all,""SELECT U WHERE B=""&amp;$A11&amp;"" AND Q=FALSE AND R=FALSE AND U&gt;=""&amp;E_mean-2*E_sd&amp;"" AND U&lt;=""&amp;E_mean+2*E_sd)))"),5.5)</f>
        <v>5.5</v>
      </c>
      <c r="I11" s="100">
        <f ca="1">IFERROR(__xludf.DUMMYFUNCTION("IFERROR(IF(ISBLANK(G11),,RANK.AVG(B11,QUERY(B$2:G$36,""SELECT B WHERE G IS NOT NULL""),TRUE)))"),8)</f>
        <v>8</v>
      </c>
      <c r="J11" s="100">
        <v>11</v>
      </c>
      <c r="K11" s="100">
        <f t="shared" ca="1" si="0"/>
        <v>9</v>
      </c>
      <c r="L11" s="101"/>
      <c r="M11" s="21" t="s">
        <v>534</v>
      </c>
      <c r="N11" s="107" t="e">
        <f ca="1">1-(6*SUM(E_d2)/(N10^3-N10))</f>
        <v>#VALUE!</v>
      </c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</row>
    <row r="12" spans="1:29" ht="15" customHeight="1">
      <c r="A12" s="96">
        <v>10</v>
      </c>
      <c r="B12" s="97">
        <f>VLOOKUP(A12,E!B:D,3,FALSE)</f>
        <v>2200</v>
      </c>
      <c r="C12" s="98">
        <f ca="1">IFERROR(__xludf.DUMMYFUNCTION("IFERROR(AVERAGE(QUERY(E_all,""SELECT U WHERE B=""&amp;$A12)))"),31.5)</f>
        <v>31.5</v>
      </c>
      <c r="D12" s="98">
        <f ca="1">IFERROR(__xludf.DUMMYFUNCTION("IFERROR(STDEV(QUERY(E_all,""SELECT U WHERE B=""&amp;$A12)))"),6.60807586719967)</f>
        <v>6.6080758671996698</v>
      </c>
      <c r="E12" s="98">
        <f ca="1">IFERROR(__xludf.DUMMYFUNCTION("IFERROR(AVERAGE(QUERY(E_all,""SELECT U WHERE B=""&amp;$A12&amp;"" AND Q=FALSE AND R=FALSE"")))"),31.5)</f>
        <v>31.5</v>
      </c>
      <c r="F12" s="98">
        <f ca="1">IFERROR(__xludf.DUMMYFUNCTION("IFERROR(STDEV(QUERY(E_all,""SELECT U WHERE B=""&amp;$A12&amp;"" AND Q=FALSE AND R=FALSE"")))"),6.60807586719967)</f>
        <v>6.6080758671996698</v>
      </c>
      <c r="G12" s="99">
        <f ca="1">IFERROR(__xludf.DUMMYFUNCTION("IFERROR(AVERAGE(QUERY(E_all,""SELECT U WHERE B=""&amp;$A12&amp;"" AND Q=FALSE AND R=FALSE AND U&gt;=""&amp;E_mean-2*E_sd&amp;"" AND U&lt;=""&amp;E_mean+2*E_sd)))"),31.5)</f>
        <v>31.5</v>
      </c>
      <c r="H12" s="98">
        <f ca="1">IFERROR(__xludf.DUMMYFUNCTION("IFERROR(STDEV(QUERY(E_all,""SELECT U WHERE B=""&amp;$A12&amp;"" AND Q=FALSE AND R=FALSE AND U&gt;=""&amp;E_mean-2*E_sd&amp;"" AND U&lt;=""&amp;E_mean+2*E_sd)))"),6.60807586719967)</f>
        <v>6.6080758671996698</v>
      </c>
      <c r="I12" s="100">
        <f ca="1">IFERROR(__xludf.DUMMYFUNCTION("IFERROR(IF(ISBLANK(G12),,RANK.AVG(B12,QUERY(B$2:G$36,""SELECT B WHERE G IS NOT NULL""),TRUE)))"),9)</f>
        <v>9</v>
      </c>
      <c r="J12" s="100">
        <v>27</v>
      </c>
      <c r="K12" s="100">
        <f t="shared" ca="1" si="0"/>
        <v>324</v>
      </c>
      <c r="L12" s="101"/>
      <c r="M12" s="21" t="s">
        <v>315</v>
      </c>
      <c r="N12" s="107" t="e">
        <f ca="1">SQRT(N11^2*(N10-2)/(1-N11^2))</f>
        <v>#VALUE!</v>
      </c>
      <c r="O12" s="108"/>
      <c r="P12" s="109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</row>
    <row r="13" spans="1:29" ht="13">
      <c r="A13" s="96">
        <v>11</v>
      </c>
      <c r="B13" s="97">
        <f>VLOOKUP(A13,E!B:D,3,FALSE)</f>
        <v>2400</v>
      </c>
      <c r="C13" s="98">
        <f ca="1">IFERROR(__xludf.DUMMYFUNCTION("IFERROR(AVERAGE(QUERY(E_all,""SELECT U WHERE B=""&amp;$A13)))"),20.25)</f>
        <v>20.25</v>
      </c>
      <c r="D13" s="98">
        <f ca="1">IFERROR(__xludf.DUMMYFUNCTION("IFERROR(STDEV(QUERY(E_all,""SELECT U WHERE B=""&amp;$A13)))"),7.13559154286921)</f>
        <v>7.1355915428692098</v>
      </c>
      <c r="E13" s="98">
        <f ca="1">IFERROR(__xludf.DUMMYFUNCTION("IFERROR(AVERAGE(QUERY(E_all,""SELECT U WHERE B=""&amp;$A13&amp;"" AND Q=FALSE AND R=FALSE"")))"),20.25)</f>
        <v>20.25</v>
      </c>
      <c r="F13" s="98">
        <f ca="1">IFERROR(__xludf.DUMMYFUNCTION("IFERROR(STDEV(QUERY(E_all,""SELECT U WHERE B=""&amp;$A13&amp;"" AND Q=FALSE AND R=FALSE"")))"),7.13559154286921)</f>
        <v>7.1355915428692098</v>
      </c>
      <c r="G13" s="99">
        <f ca="1">IFERROR(__xludf.DUMMYFUNCTION("IFERROR(AVERAGE(QUERY(E_all,""SELECT U WHERE B=""&amp;$A13&amp;"" AND Q=FALSE AND R=FALSE AND U&gt;=""&amp;E_mean-2*E_sd&amp;"" AND U&lt;=""&amp;E_mean+2*E_sd)))"),20.25)</f>
        <v>20.25</v>
      </c>
      <c r="H13" s="98">
        <f ca="1">IFERROR(__xludf.DUMMYFUNCTION("IFERROR(STDEV(QUERY(E_all,""SELECT U WHERE B=""&amp;$A13&amp;"" AND Q=FALSE AND R=FALSE AND U&gt;=""&amp;E_mean-2*E_sd&amp;"" AND U&lt;=""&amp;E_mean+2*E_sd)))"),7.13559154286921)</f>
        <v>7.1355915428692098</v>
      </c>
      <c r="I13" s="100">
        <f ca="1">IFERROR(__xludf.DUMMYFUNCTION("IFERROR(IF(ISBLANK(G13),,RANK.AVG(B13,QUERY(B$2:G$36,""SELECT B WHERE G IS NOT NULL""),TRUE)))"),10)</f>
        <v>10</v>
      </c>
      <c r="J13" s="100">
        <v>9.5</v>
      </c>
      <c r="K13" s="100">
        <f t="shared" ca="1" si="0"/>
        <v>0.25</v>
      </c>
      <c r="L13" s="101"/>
      <c r="M13" s="110" t="s">
        <v>535</v>
      </c>
      <c r="N13" s="111">
        <f ca="1">_xlfn.T.INV.2T(0.05,N10-2)</f>
        <v>2.0452296421327048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</row>
    <row r="14" spans="1:29" ht="13">
      <c r="A14" s="96">
        <v>12</v>
      </c>
      <c r="B14" s="97">
        <f>VLOOKUP(A14,E!B:D,3,FALSE)</f>
        <v>2600</v>
      </c>
      <c r="C14" s="98">
        <f ca="1">IFERROR(__xludf.DUMMYFUNCTION("IFERROR(AVERAGE(QUERY(E_all,""SELECT U WHERE B=""&amp;$A14)))"),22.5)</f>
        <v>22.5</v>
      </c>
      <c r="D14" s="98">
        <f ca="1">IFERROR(__xludf.DUMMYFUNCTION("IFERROR(STDEV(QUERY(E_all,""SELECT U WHERE B=""&amp;$A14)))"),5.44671154612273)</f>
        <v>5.4467115461227298</v>
      </c>
      <c r="E14" s="98">
        <f ca="1">IFERROR(__xludf.DUMMYFUNCTION("IFERROR(AVERAGE(QUERY(E_all,""SELECT U WHERE B=""&amp;$A14&amp;"" AND Q=FALSE AND R=FALSE"")))"),22.5)</f>
        <v>22.5</v>
      </c>
      <c r="F14" s="98">
        <f ca="1">IFERROR(__xludf.DUMMYFUNCTION("IFERROR(STDEV(QUERY(E_all,""SELECT U WHERE B=""&amp;$A14&amp;"" AND Q=FALSE AND R=FALSE"")))"),5.44671154612273)</f>
        <v>5.4467115461227298</v>
      </c>
      <c r="G14" s="99">
        <f ca="1">IFERROR(__xludf.DUMMYFUNCTION("IFERROR(AVERAGE(QUERY(E_all,""SELECT U WHERE B=""&amp;$A14&amp;"" AND Q=FALSE AND R=FALSE AND U&gt;=""&amp;E_mean-2*E_sd&amp;"" AND U&lt;=""&amp;E_mean+2*E_sd)))"),22.5)</f>
        <v>22.5</v>
      </c>
      <c r="H14" s="98">
        <f ca="1">IFERROR(__xludf.DUMMYFUNCTION("IFERROR(STDEV(QUERY(E_all,""SELECT U WHERE B=""&amp;$A14&amp;"" AND Q=FALSE AND R=FALSE AND U&gt;=""&amp;E_mean-2*E_sd&amp;"" AND U&lt;=""&amp;E_mean+2*E_sd)))"),5.44671154612273)</f>
        <v>5.4467115461227298</v>
      </c>
      <c r="I14" s="100">
        <f ca="1">IFERROR(__xludf.DUMMYFUNCTION("IFERROR(IF(ISBLANK(G14),,RANK.AVG(B14,QUERY(B$2:G$36,""SELECT B WHERE G IS NOT NULL""),TRUE)))"),11)</f>
        <v>11</v>
      </c>
      <c r="J14" s="100">
        <v>13.5</v>
      </c>
      <c r="K14" s="100">
        <f t="shared" ca="1" si="0"/>
        <v>6.25</v>
      </c>
      <c r="L14" s="101"/>
      <c r="M14" s="21" t="s">
        <v>91</v>
      </c>
      <c r="N14" s="112" t="e">
        <f ca="1">N12&gt;N13</f>
        <v>#VALUE!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</row>
    <row r="15" spans="1:29" ht="13">
      <c r="A15" s="96">
        <v>13</v>
      </c>
      <c r="B15" s="97">
        <f>VLOOKUP(A15,E!B:D,3,FALSE)</f>
        <v>2800</v>
      </c>
      <c r="C15" s="98">
        <f ca="1">IFERROR(__xludf.DUMMYFUNCTION("IFERROR(AVERAGE(QUERY(E_all,""SELECT U WHERE B=""&amp;$A15)))"),15.75)</f>
        <v>15.75</v>
      </c>
      <c r="D15" s="98">
        <f ca="1">IFERROR(__xludf.DUMMYFUNCTION("IFERROR(STDEV(QUERY(E_all,""SELECT U WHERE B=""&amp;$A15)))"),5.18812747209112)</f>
        <v>5.1881274720911197</v>
      </c>
      <c r="E15" s="98">
        <f ca="1">IFERROR(__xludf.DUMMYFUNCTION("IFERROR(AVERAGE(QUERY(E_all,""SELECT U WHERE B=""&amp;$A15&amp;"" AND Q=FALSE AND R=FALSE"")))"),15.75)</f>
        <v>15.75</v>
      </c>
      <c r="F15" s="98">
        <f ca="1">IFERROR(__xludf.DUMMYFUNCTION("IFERROR(STDEV(QUERY(E_all,""SELECT U WHERE B=""&amp;$A15&amp;"" AND Q=FALSE AND R=FALSE"")))"),5.18812747209112)</f>
        <v>5.1881274720911197</v>
      </c>
      <c r="G15" s="99">
        <f ca="1">IFERROR(__xludf.DUMMYFUNCTION("IFERROR(AVERAGE(QUERY(E_all,""SELECT U WHERE B=""&amp;$A15&amp;"" AND Q=FALSE AND R=FALSE AND U&gt;=""&amp;E_mean-2*E_sd&amp;"" AND U&lt;=""&amp;E_mean+2*E_sd)))"),15.75)</f>
        <v>15.75</v>
      </c>
      <c r="H15" s="98">
        <f ca="1">IFERROR(__xludf.DUMMYFUNCTION("IFERROR(STDEV(QUERY(E_all,""SELECT U WHERE B=""&amp;$A15&amp;"" AND Q=FALSE AND R=FALSE AND U&gt;=""&amp;E_mean-2*E_sd&amp;"" AND U&lt;=""&amp;E_mean+2*E_sd)))"),5.18812747209112)</f>
        <v>5.1881274720911197</v>
      </c>
      <c r="I15" s="100">
        <f ca="1">IFERROR(__xludf.DUMMYFUNCTION("IFERROR(IF(ISBLANK(G15),,RANK.AVG(B15,QUERY(B$2:G$36,""SELECT B WHERE G IS NOT NULL""),TRUE)))"),12)</f>
        <v>12</v>
      </c>
      <c r="J15" s="100">
        <v>1</v>
      </c>
      <c r="K15" s="100">
        <f t="shared" ca="1" si="0"/>
        <v>121</v>
      </c>
      <c r="L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</row>
    <row r="16" spans="1:29" ht="13">
      <c r="A16" s="96">
        <v>14</v>
      </c>
      <c r="B16" s="97">
        <f>VLOOKUP(A16,E!B:D,3,FALSE)</f>
        <v>3000</v>
      </c>
      <c r="C16" s="98">
        <f ca="1">IFERROR(__xludf.DUMMYFUNCTION("IFERROR(AVERAGE(QUERY(E_all,""SELECT U WHERE B=""&amp;$A16)))"),20.25)</f>
        <v>20.25</v>
      </c>
      <c r="D16" s="98">
        <f ca="1">IFERROR(__xludf.DUMMYFUNCTION("IFERROR(STDEV(QUERY(E_all,""SELECT U WHERE B=""&amp;$A16)))"),3.40342964277702)</f>
        <v>3.4034296427770201</v>
      </c>
      <c r="E16" s="98">
        <f ca="1">IFERROR(__xludf.DUMMYFUNCTION("IFERROR(AVERAGE(QUERY(E_all,""SELECT U WHERE B=""&amp;$A16&amp;"" AND Q=FALSE AND R=FALSE"")))"),20.25)</f>
        <v>20.25</v>
      </c>
      <c r="F16" s="98">
        <f ca="1">IFERROR(__xludf.DUMMYFUNCTION("IFERROR(STDEV(QUERY(E_all,""SELECT U WHERE B=""&amp;$A16&amp;"" AND Q=FALSE AND R=FALSE"")))"),3.40342964277702)</f>
        <v>3.4034296427770201</v>
      </c>
      <c r="G16" s="99">
        <f ca="1">IFERROR(__xludf.DUMMYFUNCTION("IFERROR(AVERAGE(QUERY(E_all,""SELECT U WHERE B=""&amp;$A16&amp;"" AND Q=FALSE AND R=FALSE AND U&gt;=""&amp;E_mean-2*E_sd&amp;"" AND U&lt;=""&amp;E_mean+2*E_sd)))"),20.25)</f>
        <v>20.25</v>
      </c>
      <c r="H16" s="98">
        <f ca="1">IFERROR(__xludf.DUMMYFUNCTION("IFERROR(STDEV(QUERY(E_all,""SELECT U WHERE B=""&amp;$A16&amp;"" AND Q=FALSE AND R=FALSE AND U&gt;=""&amp;E_mean-2*E_sd&amp;"" AND U&lt;=""&amp;E_mean+2*E_sd)))"),3.40342964277702)</f>
        <v>3.4034296427770201</v>
      </c>
      <c r="I16" s="100">
        <f ca="1">IFERROR(__xludf.DUMMYFUNCTION("IFERROR(IF(ISBLANK(G16),,RANK.AVG(B16,QUERY(B$2:G$36,""SELECT B WHERE G IS NOT NULL""),TRUE)))"),13)</f>
        <v>13</v>
      </c>
      <c r="J16" s="100">
        <v>9.5</v>
      </c>
      <c r="K16" s="100">
        <f t="shared" ca="1" si="0"/>
        <v>12.25</v>
      </c>
      <c r="L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</row>
    <row r="17" spans="1:29" ht="13">
      <c r="A17" s="96">
        <v>15</v>
      </c>
      <c r="B17" s="97">
        <f>VLOOKUP(A17,E!B:D,3,FALSE)</f>
        <v>3200</v>
      </c>
      <c r="C17" s="98">
        <f ca="1">IFERROR(__xludf.DUMMYFUNCTION("IFERROR(AVERAGE(QUERY(E_all,""SELECT U WHERE B=""&amp;$A17)))"),18.75)</f>
        <v>18.75</v>
      </c>
      <c r="D17" s="98">
        <f ca="1">IFERROR(__xludf.DUMMYFUNCTION("IFERROR(STDEV(QUERY(E_all,""SELECT U WHERE B=""&amp;$A17)))"),4.34932945023329)</f>
        <v>4.3493294502332898</v>
      </c>
      <c r="E17" s="98">
        <f ca="1">IFERROR(__xludf.DUMMYFUNCTION("IFERROR(AVERAGE(QUERY(E_all,""SELECT U WHERE B=""&amp;$A17&amp;"" AND Q=FALSE AND R=FALSE"")))"),18.75)</f>
        <v>18.75</v>
      </c>
      <c r="F17" s="98">
        <f ca="1">IFERROR(__xludf.DUMMYFUNCTION("IFERROR(STDEV(QUERY(E_all,""SELECT U WHERE B=""&amp;$A17&amp;"" AND Q=FALSE AND R=FALSE"")))"),4.34932945023329)</f>
        <v>4.3493294502332898</v>
      </c>
      <c r="G17" s="99">
        <f ca="1">IFERROR(__xludf.DUMMYFUNCTION("IFERROR(AVERAGE(QUERY(E_all,""SELECT U WHERE B=""&amp;$A17&amp;"" AND Q=FALSE AND R=FALSE AND U&gt;=""&amp;E_mean-2*E_sd&amp;"" AND U&lt;=""&amp;E_mean+2*E_sd)))"),18.75)</f>
        <v>18.75</v>
      </c>
      <c r="H17" s="98">
        <f ca="1">IFERROR(__xludf.DUMMYFUNCTION("IFERROR(STDEV(QUERY(E_all,""SELECT U WHERE B=""&amp;$A17&amp;"" AND Q=FALSE AND R=FALSE AND U&gt;=""&amp;E_mean-2*E_sd&amp;"" AND U&lt;=""&amp;E_mean+2*E_sd)))"),4.34932945023329)</f>
        <v>4.3493294502332898</v>
      </c>
      <c r="I17" s="100">
        <f ca="1">IFERROR(__xludf.DUMMYFUNCTION("IFERROR(IF(ISBLANK(G17),,RANK.AVG(B17,QUERY(B$2:G$36,""SELECT B WHERE G IS NOT NULL""),TRUE)))"),14)</f>
        <v>14</v>
      </c>
      <c r="J17" s="100">
        <v>6</v>
      </c>
      <c r="K17" s="100">
        <f t="shared" ca="1" si="0"/>
        <v>64</v>
      </c>
      <c r="L17" s="101"/>
      <c r="N17" s="113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</row>
    <row r="18" spans="1:29" ht="13">
      <c r="A18" s="96">
        <v>16</v>
      </c>
      <c r="B18" s="97">
        <f>VLOOKUP(A18,E!B:D,3,FALSE)</f>
        <v>3400</v>
      </c>
      <c r="C18" s="98">
        <f ca="1">IFERROR(__xludf.DUMMYFUNCTION("IFERROR(AVERAGE(QUERY(E_all,""SELECT U WHERE B=""&amp;$A18)))"),27.75)</f>
        <v>27.75</v>
      </c>
      <c r="D18" s="98">
        <f ca="1">IFERROR(__xludf.DUMMYFUNCTION("IFERROR(STDEV(QUERY(E_all,""SELECT U WHERE B=""&amp;$A18)))"),9.53502316025853)</f>
        <v>9.5350231602585307</v>
      </c>
      <c r="E18" s="98">
        <f ca="1">IFERROR(__xludf.DUMMYFUNCTION("IFERROR(AVERAGE(QUERY(E_all,""SELECT U WHERE B=""&amp;$A18&amp;"" AND Q=FALSE AND R=FALSE"")))"),27.75)</f>
        <v>27.75</v>
      </c>
      <c r="F18" s="98">
        <f ca="1">IFERROR(__xludf.DUMMYFUNCTION("IFERROR(STDEV(QUERY(E_all,""SELECT U WHERE B=""&amp;$A18&amp;"" AND Q=FALSE AND R=FALSE"")))"),9.53502316025853)</f>
        <v>9.5350231602585307</v>
      </c>
      <c r="G18" s="99">
        <f ca="1">IFERROR(__xludf.DUMMYFUNCTION("IFERROR(AVERAGE(QUERY(E_all,""SELECT U WHERE B=""&amp;$A18&amp;"" AND Q=FALSE AND R=FALSE AND U&gt;=""&amp;E_mean-2*E_sd&amp;"" AND U&lt;=""&amp;E_mean+2*E_sd)))"),27.75)</f>
        <v>27.75</v>
      </c>
      <c r="H18" s="98">
        <f ca="1">IFERROR(__xludf.DUMMYFUNCTION("IFERROR(STDEV(QUERY(E_all,""SELECT U WHERE B=""&amp;$A18&amp;"" AND Q=FALSE AND R=FALSE AND U&gt;=""&amp;E_mean-2*E_sd&amp;"" AND U&lt;=""&amp;E_mean+2*E_sd)))"),9.53502316025853)</f>
        <v>9.5350231602585307</v>
      </c>
      <c r="I18" s="100">
        <f ca="1">IFERROR(__xludf.DUMMYFUNCTION("IFERROR(IF(ISBLANK(G18),,RANK.AVG(B18,QUERY(B$2:G$36,""SELECT B WHERE G IS NOT NULL""),TRUE)))"),15)</f>
        <v>15</v>
      </c>
      <c r="J18" s="100">
        <v>23</v>
      </c>
      <c r="K18" s="100">
        <f t="shared" ca="1" si="0"/>
        <v>64</v>
      </c>
      <c r="L18" s="101"/>
      <c r="N18" s="113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</row>
    <row r="19" spans="1:29" ht="13">
      <c r="A19" s="96">
        <v>17</v>
      </c>
      <c r="B19" s="97">
        <f>VLOOKUP(A19,E!B:D,3,FALSE)</f>
        <v>3600</v>
      </c>
      <c r="C19" s="98">
        <f ca="1">IFERROR(__xludf.DUMMYFUNCTION("IFERROR(AVERAGE(QUERY(E_all,""SELECT U WHERE B=""&amp;$A19)))"),18.5)</f>
        <v>18.5</v>
      </c>
      <c r="D19" s="98">
        <f ca="1">IFERROR(__xludf.DUMMYFUNCTION("IFERROR(STDEV(QUERY(E_all,""SELECT U WHERE B=""&amp;$A19)))"),4.50924975282289)</f>
        <v>4.5092497528228899</v>
      </c>
      <c r="E19" s="98">
        <f ca="1">IFERROR(__xludf.DUMMYFUNCTION("IFERROR(AVERAGE(QUERY(E_all,""SELECT U WHERE B=""&amp;$A19&amp;"" AND Q=FALSE AND R=FALSE"")))"),18.5)</f>
        <v>18.5</v>
      </c>
      <c r="F19" s="98">
        <f ca="1">IFERROR(__xludf.DUMMYFUNCTION("IFERROR(STDEV(QUERY(E_all,""SELECT U WHERE B=""&amp;$A19&amp;"" AND Q=FALSE AND R=FALSE"")))"),4.50924975282289)</f>
        <v>4.5092497528228899</v>
      </c>
      <c r="G19" s="99">
        <f ca="1">IFERROR(__xludf.DUMMYFUNCTION("IFERROR(AVERAGE(QUERY(E_all,""SELECT U WHERE B=""&amp;$A19&amp;"" AND Q=FALSE AND R=FALSE AND U&gt;=""&amp;E_mean-2*E_sd&amp;"" AND U&lt;=""&amp;E_mean+2*E_sd)))"),18.5)</f>
        <v>18.5</v>
      </c>
      <c r="H19" s="98">
        <f ca="1">IFERROR(__xludf.DUMMYFUNCTION("IFERROR(STDEV(QUERY(E_all,""SELECT U WHERE B=""&amp;$A19&amp;"" AND Q=FALSE AND R=FALSE AND U&gt;=""&amp;E_mean-2*E_sd&amp;"" AND U&lt;=""&amp;E_mean+2*E_sd)))"),4.50924975282289)</f>
        <v>4.5092497528228899</v>
      </c>
      <c r="I19" s="100">
        <f ca="1">IFERROR(__xludf.DUMMYFUNCTION("IFERROR(IF(ISBLANK(G19),,RANK.AVG(B19,QUERY(B$2:G$36,""SELECT B WHERE G IS NOT NULL""),TRUE)))"),16)</f>
        <v>16</v>
      </c>
      <c r="J19" s="100">
        <v>5</v>
      </c>
      <c r="K19" s="100">
        <f t="shared" ca="1" si="0"/>
        <v>121</v>
      </c>
      <c r="L19" s="101"/>
      <c r="N19" s="113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</row>
    <row r="20" spans="1:29" ht="13">
      <c r="A20" s="96">
        <v>18</v>
      </c>
      <c r="B20" s="97">
        <f>VLOOKUP(A20,E!B:D,3,FALSE)</f>
        <v>3800</v>
      </c>
      <c r="C20" s="98">
        <f ca="1">IFERROR(__xludf.DUMMYFUNCTION("IFERROR(AVERAGE(QUERY(E_all,""SELECT U WHERE B=""&amp;$A20)))"),12.25)</f>
        <v>12.25</v>
      </c>
      <c r="D20" s="98">
        <f ca="1">IFERROR(__xludf.DUMMYFUNCTION("IFERROR(STDEV(QUERY(E_all,""SELECT U WHERE B=""&amp;$A20)))"),14.2916059279564)</f>
        <v>14.2916059279564</v>
      </c>
      <c r="E20" s="98">
        <f ca="1">IFERROR(__xludf.DUMMYFUNCTION("IFERROR(AVERAGE(QUERY(E_all,""SELECT U WHERE B=""&amp;$A20&amp;"" AND Q=FALSE AND R=FALSE"")))"),24.5)</f>
        <v>24.5</v>
      </c>
      <c r="F20" s="98">
        <f ca="1">IFERROR(__xludf.DUMMYFUNCTION("IFERROR(STDEV(QUERY(E_all,""SELECT U WHERE B=""&amp;$A20&amp;"" AND Q=FALSE AND R=FALSE"")))"),3.53553390593273)</f>
        <v>3.5355339059327302</v>
      </c>
      <c r="G20" s="99">
        <f ca="1">IFERROR(__xludf.DUMMYFUNCTION("IFERROR(AVERAGE(QUERY(E_all,""SELECT U WHERE B=""&amp;$A20&amp;"" AND Q=FALSE AND R=FALSE AND U&gt;=""&amp;E_mean-2*E_sd&amp;"" AND U&lt;=""&amp;E_mean+2*E_sd)))"),24.5)</f>
        <v>24.5</v>
      </c>
      <c r="H20" s="98">
        <f ca="1">IFERROR(__xludf.DUMMYFUNCTION("IFERROR(STDEV(QUERY(E_all,""SELECT U WHERE B=""&amp;$A20&amp;"" AND Q=FALSE AND R=FALSE AND U&gt;=""&amp;E_mean-2*E_sd&amp;"" AND U&lt;=""&amp;E_mean+2*E_sd)))"),3.53553390593273)</f>
        <v>3.5355339059327302</v>
      </c>
      <c r="I20" s="100">
        <f ca="1">IFERROR(__xludf.DUMMYFUNCTION("IFERROR(IF(ISBLANK(G20),,RANK.AVG(B20,QUERY(B$2:G$36,""SELECT B WHERE G IS NOT NULL""),TRUE)))"),17)</f>
        <v>17</v>
      </c>
      <c r="J20" s="100">
        <v>15</v>
      </c>
      <c r="K20" s="100">
        <f t="shared" ca="1" si="0"/>
        <v>4</v>
      </c>
      <c r="L20" s="101"/>
      <c r="M20" s="101"/>
      <c r="N20" s="112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</row>
    <row r="21" spans="1:29" ht="13">
      <c r="A21" s="96">
        <v>19</v>
      </c>
      <c r="B21" s="97">
        <f>VLOOKUP(A21,E!B:D,3,FALSE)</f>
        <v>4000</v>
      </c>
      <c r="C21" s="98">
        <f ca="1">IFERROR(__xludf.DUMMYFUNCTION("IFERROR(AVERAGE(QUERY(E_all,""SELECT U WHERE B=""&amp;$A21)))"),3)</f>
        <v>3</v>
      </c>
      <c r="D21" s="98">
        <f ca="1">IFERROR(__xludf.DUMMYFUNCTION("IFERROR(STDEV(QUERY(E_all,""SELECT U WHERE B=""&amp;$A21)))"),6)</f>
        <v>6</v>
      </c>
      <c r="E21" s="98" t="str">
        <f ca="1">IFERROR(__xludf.DUMMYFUNCTION("IFERROR(AVERAGE(QUERY(E_all,""SELECT U WHERE B=""&amp;$A21&amp;"" AND Q=FALSE AND R=FALSE"")))"),"")</f>
        <v/>
      </c>
      <c r="F21" s="98" t="str">
        <f ca="1">IFERROR(__xludf.DUMMYFUNCTION("IFERROR(STDEV(QUERY(E_all,""SELECT U WHERE B=""&amp;$A21&amp;"" AND Q=FALSE AND R=FALSE"")))"),"")</f>
        <v/>
      </c>
      <c r="G21" s="99" t="str">
        <f ca="1">IFERROR(__xludf.DUMMYFUNCTION("IFERROR(AVERAGE(QUERY(E_all,""SELECT U WHERE B=""&amp;$A21&amp;"" AND Q=FALSE AND R=FALSE AND U&gt;=""&amp;E_mean-2*E_sd&amp;"" AND U&lt;=""&amp;E_mean+2*E_sd)))"),"")</f>
        <v/>
      </c>
      <c r="H21" s="98" t="str">
        <f ca="1">IFERROR(__xludf.DUMMYFUNCTION("IFERROR(STDEV(QUERY(E_all,""SELECT U WHERE B=""&amp;$A21&amp;"" AND Q=FALSE AND R=FALSE AND U&gt;=""&amp;E_mean-2*E_sd&amp;"" AND U&lt;=""&amp;E_mean+2*E_sd)))"),"")</f>
        <v/>
      </c>
      <c r="I21" s="100" t="str">
        <f ca="1">IFERROR(__xludf.DUMMYFUNCTION("IFERROR(IF(ISBLANK(G21),,RANK.AVG(B21,QUERY(B$2:G$36,""SELECT B WHERE G IS NOT NULL""),TRUE)))"),"")</f>
        <v/>
      </c>
      <c r="J21" s="100" t="s">
        <v>556</v>
      </c>
      <c r="K21" s="100" t="e">
        <f t="shared" ca="1" si="0"/>
        <v>#VALUE!</v>
      </c>
      <c r="L21" s="101"/>
      <c r="M21" s="101"/>
      <c r="N21" s="112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</row>
    <row r="22" spans="1:29" ht="13">
      <c r="A22" s="96">
        <v>20</v>
      </c>
      <c r="B22" s="97">
        <f>VLOOKUP(A22,E!B:D,3,FALSE)</f>
        <v>4200</v>
      </c>
      <c r="C22" s="98">
        <f ca="1">IFERROR(__xludf.DUMMYFUNCTION("IFERROR(AVERAGE(QUERY(E_all,""SELECT U WHERE B=""&amp;$A22)))"),12.75)</f>
        <v>12.75</v>
      </c>
      <c r="D22" s="98">
        <f ca="1">IFERROR(__xludf.DUMMYFUNCTION("IFERROR(STDEV(QUERY(E_all,""SELECT U WHERE B=""&amp;$A22)))"),24.1850504788943)</f>
        <v>24.185050478894301</v>
      </c>
      <c r="E22" s="98">
        <f ca="1">IFERROR(__xludf.DUMMYFUNCTION("IFERROR(AVERAGE(QUERY(E_all,""SELECT U WHERE B=""&amp;$A22&amp;"" AND Q=FALSE AND R=FALSE"")))"),49)</f>
        <v>49</v>
      </c>
      <c r="F22" s="98" t="str">
        <f ca="1">IFERROR(__xludf.DUMMYFUNCTION("IFERROR(STDEV(QUERY(E_all,""SELECT U WHERE B=""&amp;$A22&amp;"" AND Q=FALSE AND R=FALSE"")))"),"")</f>
        <v/>
      </c>
      <c r="G22" s="99" t="str">
        <f ca="1">IFERROR(__xludf.DUMMYFUNCTION("IFERROR(AVERAGE(QUERY(E_all,""SELECT U WHERE B=""&amp;$A22&amp;"" AND Q=FALSE AND R=FALSE AND U&gt;=""&amp;E_mean-2*E_sd&amp;"" AND U&lt;=""&amp;E_mean+2*E_sd)))"),"")</f>
        <v/>
      </c>
      <c r="H22" s="98" t="str">
        <f ca="1">IFERROR(__xludf.DUMMYFUNCTION("IFERROR(STDEV(QUERY(E_all,""SELECT U WHERE B=""&amp;$A22&amp;"" AND Q=FALSE AND R=FALSE AND U&gt;=""&amp;E_mean-2*E_sd&amp;"" AND U&lt;=""&amp;E_mean+2*E_sd)))"),"")</f>
        <v/>
      </c>
      <c r="I22" s="100" t="str">
        <f ca="1">IFERROR(__xludf.DUMMYFUNCTION("IFERROR(IF(ISBLANK(G22),,RANK.AVG(B22,QUERY(B$2:G$36,""SELECT B WHERE G IS NOT NULL""),TRUE)))"),"")</f>
        <v/>
      </c>
      <c r="J22" s="100" t="s">
        <v>556</v>
      </c>
      <c r="K22" s="100" t="e">
        <f t="shared" ca="1" si="0"/>
        <v>#VALUE!</v>
      </c>
      <c r="L22" s="101"/>
      <c r="M22" s="101"/>
      <c r="N22" s="112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</row>
    <row r="23" spans="1:29" ht="13">
      <c r="A23" s="96">
        <v>21</v>
      </c>
      <c r="B23" s="97">
        <f>VLOOKUP(A23,E!B:D,3,FALSE)</f>
        <v>4400</v>
      </c>
      <c r="C23" s="98">
        <f ca="1">IFERROR(__xludf.DUMMYFUNCTION("IFERROR(AVERAGE(QUERY(E_all,""SELECT U WHERE B=""&amp;$A23)))"),29.75)</f>
        <v>29.75</v>
      </c>
      <c r="D23" s="98">
        <f ca="1">IFERROR(__xludf.DUMMYFUNCTION("IFERROR(STDEV(QUERY(E_all,""SELECT U WHERE B=""&amp;$A23)))"),7.41057802513857)</f>
        <v>7.4105780251385696</v>
      </c>
      <c r="E23" s="98">
        <f ca="1">IFERROR(__xludf.DUMMYFUNCTION("IFERROR(AVERAGE(QUERY(E_all,""SELECT U WHERE B=""&amp;$A23&amp;"" AND Q=FALSE AND R=FALSE"")))"),29.75)</f>
        <v>29.75</v>
      </c>
      <c r="F23" s="98">
        <f ca="1">IFERROR(__xludf.DUMMYFUNCTION("IFERROR(STDEV(QUERY(E_all,""SELECT U WHERE B=""&amp;$A23&amp;"" AND Q=FALSE AND R=FALSE"")))"),7.41057802513857)</f>
        <v>7.4105780251385696</v>
      </c>
      <c r="G23" s="99">
        <f ca="1">IFERROR(__xludf.DUMMYFUNCTION("IFERROR(AVERAGE(QUERY(E_all,""SELECT U WHERE B=""&amp;$A23&amp;"" AND Q=FALSE AND R=FALSE AND U&gt;=""&amp;E_mean-2*E_sd&amp;"" AND U&lt;=""&amp;E_mean+2*E_sd)))"),29.75)</f>
        <v>29.75</v>
      </c>
      <c r="H23" s="98">
        <f ca="1">IFERROR(__xludf.DUMMYFUNCTION("IFERROR(STDEV(QUERY(E_all,""SELECT U WHERE B=""&amp;$A23&amp;"" AND Q=FALSE AND R=FALSE AND U&gt;=""&amp;E_mean-2*E_sd&amp;"" AND U&lt;=""&amp;E_mean+2*E_sd)))"),7.41057802513857)</f>
        <v>7.4105780251385696</v>
      </c>
      <c r="I23" s="100">
        <f ca="1">IFERROR(__xludf.DUMMYFUNCTION("IFERROR(IF(ISBLANK(G23),,RANK.AVG(B23,QUERY(B$2:G$36,""SELECT B WHERE G IS NOT NULL""),TRUE)))"),18)</f>
        <v>18</v>
      </c>
      <c r="J23" s="100">
        <v>26</v>
      </c>
      <c r="K23" s="100">
        <f t="shared" ca="1" si="0"/>
        <v>64</v>
      </c>
      <c r="L23" s="101"/>
      <c r="M23" s="101"/>
      <c r="N23" s="112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</row>
    <row r="24" spans="1:29" ht="13">
      <c r="A24" s="96">
        <v>22</v>
      </c>
      <c r="B24" s="97">
        <f>VLOOKUP(A24,E!B:D,3,FALSE)</f>
        <v>4600</v>
      </c>
      <c r="C24" s="98">
        <f ca="1">IFERROR(__xludf.DUMMYFUNCTION("IFERROR(AVERAGE(QUERY(E_all,""SELECT U WHERE B=""&amp;$A24)))"),20.75)</f>
        <v>20.75</v>
      </c>
      <c r="D24" s="98">
        <f ca="1">IFERROR(__xludf.DUMMYFUNCTION("IFERROR(STDEV(QUERY(E_all,""SELECT U WHERE B=""&amp;$A24)))"),10.8742815854657)</f>
        <v>10.874281585465701</v>
      </c>
      <c r="E24" s="98">
        <f ca="1">IFERROR(__xludf.DUMMYFUNCTION("IFERROR(AVERAGE(QUERY(E_all,""SELECT U WHERE B=""&amp;$A24&amp;"" AND Q=FALSE AND R=FALSE"")))"),25.6666666666666)</f>
        <v>25.6666666666666</v>
      </c>
      <c r="F24" s="98">
        <f ca="1">IFERROR(__xludf.DUMMYFUNCTION("IFERROR(STDEV(QUERY(E_all,""SELECT U WHERE B=""&amp;$A24&amp;"" AND Q=FALSE AND R=FALSE"")))"),5.68624070307732)</f>
        <v>5.6862407030773197</v>
      </c>
      <c r="G24" s="99">
        <f ca="1">IFERROR(__xludf.DUMMYFUNCTION("IFERROR(AVERAGE(QUERY(E_all,""SELECT U WHERE B=""&amp;$A24&amp;"" AND Q=FALSE AND R=FALSE AND U&gt;=""&amp;E_mean-2*E_sd&amp;"" AND U&lt;=""&amp;E_mean+2*E_sd)))"),25.6666666666666)</f>
        <v>25.6666666666666</v>
      </c>
      <c r="H24" s="98">
        <f ca="1">IFERROR(__xludf.DUMMYFUNCTION("IFERROR(STDEV(QUERY(E_all,""SELECT U WHERE B=""&amp;$A24&amp;"" AND Q=FALSE AND R=FALSE AND U&gt;=""&amp;E_mean-2*E_sd&amp;"" AND U&lt;=""&amp;E_mean+2*E_sd)))"),5.68624070307732)</f>
        <v>5.6862407030773197</v>
      </c>
      <c r="I24" s="100">
        <f ca="1">IFERROR(__xludf.DUMMYFUNCTION("IFERROR(IF(ISBLANK(G24),,RANK.AVG(B24,QUERY(B$2:G$36,""SELECT B WHERE G IS NOT NULL""),TRUE)))"),19)</f>
        <v>19</v>
      </c>
      <c r="J24" s="100">
        <v>18</v>
      </c>
      <c r="K24" s="100">
        <f t="shared" ca="1" si="0"/>
        <v>1</v>
      </c>
      <c r="L24" s="101"/>
      <c r="M24" s="101"/>
      <c r="N24" s="112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</row>
    <row r="25" spans="1:29" ht="13">
      <c r="A25" s="96">
        <v>23</v>
      </c>
      <c r="B25" s="97">
        <f>VLOOKUP(A25,E!B:D,3,FALSE)</f>
        <v>4800</v>
      </c>
      <c r="C25" s="98">
        <f ca="1">IFERROR(__xludf.DUMMYFUNCTION("IFERROR(AVERAGE(QUERY(E_all,""SELECT U WHERE B=""&amp;$A25)))"),26.3333333333333)</f>
        <v>26.3333333333333</v>
      </c>
      <c r="D25" s="98">
        <f ca="1">IFERROR(__xludf.DUMMYFUNCTION("IFERROR(STDEV(QUERY(E_all,""SELECT U WHERE B=""&amp;$A25)))"),2.51661147842358)</f>
        <v>2.51661147842358</v>
      </c>
      <c r="E25" s="98">
        <f ca="1">IFERROR(__xludf.DUMMYFUNCTION("IFERROR(AVERAGE(QUERY(E_all,""SELECT U WHERE B=""&amp;$A25&amp;"" AND Q=FALSE AND R=FALSE"")))"),26.3333333333333)</f>
        <v>26.3333333333333</v>
      </c>
      <c r="F25" s="98">
        <f ca="1">IFERROR(__xludf.DUMMYFUNCTION("IFERROR(STDEV(QUERY(E_all,""SELECT U WHERE B=""&amp;$A25&amp;"" AND Q=FALSE AND R=FALSE"")))"),2.51661147842358)</f>
        <v>2.51661147842358</v>
      </c>
      <c r="G25" s="99">
        <f ca="1">IFERROR(__xludf.DUMMYFUNCTION("IFERROR(AVERAGE(QUERY(E_all,""SELECT U WHERE B=""&amp;$A25&amp;"" AND Q=FALSE AND R=FALSE AND U&gt;=""&amp;E_mean-2*E_sd&amp;"" AND U&lt;=""&amp;E_mean+2*E_sd)))"),26.3333333333333)</f>
        <v>26.3333333333333</v>
      </c>
      <c r="H25" s="98">
        <f ca="1">IFERROR(__xludf.DUMMYFUNCTION("IFERROR(STDEV(QUERY(E_all,""SELECT U WHERE B=""&amp;$A25&amp;"" AND Q=FALSE AND R=FALSE AND U&gt;=""&amp;E_mean-2*E_sd&amp;"" AND U&lt;=""&amp;E_mean+2*E_sd)))"),2.51661147842358)</f>
        <v>2.51661147842358</v>
      </c>
      <c r="I25" s="100">
        <f ca="1">IFERROR(__xludf.DUMMYFUNCTION("IFERROR(IF(ISBLANK(G25),,RANK.AVG(B25,QUERY(B$2:G$36,""SELECT B WHERE G IS NOT NULL""),TRUE)))"),20)</f>
        <v>20</v>
      </c>
      <c r="J25" s="100">
        <v>20</v>
      </c>
      <c r="K25" s="100">
        <f t="shared" ca="1" si="0"/>
        <v>0</v>
      </c>
      <c r="L25" s="101"/>
      <c r="M25" s="101"/>
      <c r="N25" s="112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</row>
    <row r="26" spans="1:29" ht="13">
      <c r="A26" s="96">
        <v>24</v>
      </c>
      <c r="B26" s="97">
        <f>VLOOKUP(A26,E!B:D,3,FALSE)</f>
        <v>5000</v>
      </c>
      <c r="C26" s="98">
        <f ca="1">IFERROR(__xludf.DUMMYFUNCTION("IFERROR(AVERAGE(QUERY(E_all,""SELECT U WHERE B=""&amp;$A26)))"),25.75)</f>
        <v>25.75</v>
      </c>
      <c r="D26" s="98">
        <f ca="1">IFERROR(__xludf.DUMMYFUNCTION("IFERROR(STDEV(QUERY(E_all,""SELECT U WHERE B=""&amp;$A26)))"),12.1757956618859)</f>
        <v>12.1757956618859</v>
      </c>
      <c r="E26" s="98">
        <f ca="1">IFERROR(__xludf.DUMMYFUNCTION("IFERROR(AVERAGE(QUERY(E_all,""SELECT U WHERE B=""&amp;$A26&amp;"" AND Q=FALSE AND R=FALSE"")))"),25.75)</f>
        <v>25.75</v>
      </c>
      <c r="F26" s="98">
        <f ca="1">IFERROR(__xludf.DUMMYFUNCTION("IFERROR(STDEV(QUERY(E_all,""SELECT U WHERE B=""&amp;$A26&amp;"" AND Q=FALSE AND R=FALSE"")))"),12.1757956618859)</f>
        <v>12.1757956618859</v>
      </c>
      <c r="G26" s="99">
        <f ca="1">IFERROR(__xludf.DUMMYFUNCTION("IFERROR(AVERAGE(QUERY(E_all,""SELECT U WHERE B=""&amp;$A26&amp;"" AND Q=FALSE AND R=FALSE AND U&gt;=""&amp;E_mean-2*E_sd&amp;"" AND U&lt;=""&amp;E_mean+2*E_sd)))"),25.75)</f>
        <v>25.75</v>
      </c>
      <c r="H26" s="98">
        <f ca="1">IFERROR(__xludf.DUMMYFUNCTION("IFERROR(STDEV(QUERY(E_all,""SELECT U WHERE B=""&amp;$A26&amp;"" AND Q=FALSE AND R=FALSE AND U&gt;=""&amp;E_mean-2*E_sd&amp;"" AND U&lt;=""&amp;E_mean+2*E_sd)))"),12.1757956618859)</f>
        <v>12.1757956618859</v>
      </c>
      <c r="I26" s="100">
        <f ca="1">IFERROR(__xludf.DUMMYFUNCTION("IFERROR(IF(ISBLANK(G26),,RANK.AVG(B26,QUERY(B$2:G$36,""SELECT B WHERE G IS NOT NULL""),TRUE)))"),21)</f>
        <v>21</v>
      </c>
      <c r="J26" s="100">
        <v>19</v>
      </c>
      <c r="K26" s="100">
        <f t="shared" ca="1" si="0"/>
        <v>4</v>
      </c>
      <c r="L26" s="101"/>
      <c r="M26" s="101"/>
      <c r="N26" s="112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</row>
    <row r="27" spans="1:29" ht="13">
      <c r="A27" s="96">
        <v>25</v>
      </c>
      <c r="B27" s="97">
        <f>VLOOKUP(A27,E!B:D,3,FALSE)</f>
        <v>5200</v>
      </c>
      <c r="C27" s="98">
        <f ca="1">IFERROR(__xludf.DUMMYFUNCTION("IFERROR(AVERAGE(QUERY(E_all,""SELECT U WHERE B=""&amp;$A27)))"),24.75)</f>
        <v>24.75</v>
      </c>
      <c r="D27" s="98">
        <f ca="1">IFERROR(__xludf.DUMMYFUNCTION("IFERROR(STDEV(QUERY(E_all,""SELECT U WHERE B=""&amp;$A27)))"),3.30403793359983)</f>
        <v>3.30403793359983</v>
      </c>
      <c r="E27" s="98">
        <f ca="1">IFERROR(__xludf.DUMMYFUNCTION("IFERROR(AVERAGE(QUERY(E_all,""SELECT U WHERE B=""&amp;$A27&amp;"" AND Q=FALSE AND R=FALSE"")))"),24.75)</f>
        <v>24.75</v>
      </c>
      <c r="F27" s="98">
        <f ca="1">IFERROR(__xludf.DUMMYFUNCTION("IFERROR(STDEV(QUERY(E_all,""SELECT U WHERE B=""&amp;$A27&amp;"" AND Q=FALSE AND R=FALSE"")))"),3.30403793359983)</f>
        <v>3.30403793359983</v>
      </c>
      <c r="G27" s="99">
        <f ca="1">IFERROR(__xludf.DUMMYFUNCTION("IFERROR(AVERAGE(QUERY(E_all,""SELECT U WHERE B=""&amp;$A27&amp;"" AND Q=FALSE AND R=FALSE AND U&gt;=""&amp;E_mean-2*E_sd&amp;"" AND U&lt;=""&amp;E_mean+2*E_sd)))"),24.75)</f>
        <v>24.75</v>
      </c>
      <c r="H27" s="98">
        <f ca="1">IFERROR(__xludf.DUMMYFUNCTION("IFERROR(STDEV(QUERY(E_all,""SELECT U WHERE B=""&amp;$A27&amp;"" AND Q=FALSE AND R=FALSE AND U&gt;=""&amp;E_mean-2*E_sd&amp;"" AND U&lt;=""&amp;E_mean+2*E_sd)))"),3.30403793359983)</f>
        <v>3.30403793359983</v>
      </c>
      <c r="I27" s="100">
        <f ca="1">IFERROR(__xludf.DUMMYFUNCTION("IFERROR(IF(ISBLANK(G27),,RANK.AVG(B27,QUERY(B$2:G$36,""SELECT B WHERE G IS NOT NULL""),TRUE)))"),22)</f>
        <v>22</v>
      </c>
      <c r="J27" s="100">
        <v>16</v>
      </c>
      <c r="K27" s="100">
        <f t="shared" ca="1" si="0"/>
        <v>36</v>
      </c>
      <c r="L27" s="101"/>
      <c r="M27" s="101"/>
      <c r="N27" s="112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</row>
    <row r="28" spans="1:29" ht="13">
      <c r="A28" s="96">
        <v>26</v>
      </c>
      <c r="B28" s="97">
        <f>VLOOKUP(A28,E!B:D,3,FALSE)</f>
        <v>5400</v>
      </c>
      <c r="C28" s="98">
        <f ca="1">IFERROR(__xludf.DUMMYFUNCTION("IFERROR(AVERAGE(QUERY(E_all,""SELECT U WHERE B=""&amp;$A28)))"),18.25)</f>
        <v>18.25</v>
      </c>
      <c r="D28" s="98">
        <f ca="1">IFERROR(__xludf.DUMMYFUNCTION("IFERROR(STDEV(QUERY(E_all,""SELECT U WHERE B=""&amp;$A28)))"),3.5939764421413)</f>
        <v>3.5939764421413001</v>
      </c>
      <c r="E28" s="98">
        <f ca="1">IFERROR(__xludf.DUMMYFUNCTION("IFERROR(AVERAGE(QUERY(E_all,""SELECT U WHERE B=""&amp;$A28&amp;"" AND Q=FALSE AND R=FALSE"")))"),18.25)</f>
        <v>18.25</v>
      </c>
      <c r="F28" s="98">
        <f ca="1">IFERROR(__xludf.DUMMYFUNCTION("IFERROR(STDEV(QUERY(E_all,""SELECT U WHERE B=""&amp;$A28&amp;"" AND Q=FALSE AND R=FALSE"")))"),3.5939764421413)</f>
        <v>3.5939764421413001</v>
      </c>
      <c r="G28" s="99">
        <f ca="1">IFERROR(__xludf.DUMMYFUNCTION("IFERROR(AVERAGE(QUERY(E_all,""SELECT U WHERE B=""&amp;$A28&amp;"" AND Q=FALSE AND R=FALSE AND U&gt;=""&amp;E_mean-2*E_sd&amp;"" AND U&lt;=""&amp;E_mean+2*E_sd)))"),18.25)</f>
        <v>18.25</v>
      </c>
      <c r="H28" s="98">
        <f ca="1">IFERROR(__xludf.DUMMYFUNCTION("IFERROR(STDEV(QUERY(E_all,""SELECT U WHERE B=""&amp;$A28&amp;"" AND Q=FALSE AND R=FALSE AND U&gt;=""&amp;E_mean-2*E_sd&amp;"" AND U&lt;=""&amp;E_mean+2*E_sd)))"),3.5939764421413)</f>
        <v>3.5939764421413001</v>
      </c>
      <c r="I28" s="100">
        <f ca="1">IFERROR(__xludf.DUMMYFUNCTION("IFERROR(IF(ISBLANK(G28),,RANK.AVG(B28,QUERY(B$2:G$36,""SELECT B WHERE G IS NOT NULL""),TRUE)))"),23)</f>
        <v>23</v>
      </c>
      <c r="J28" s="100">
        <v>4</v>
      </c>
      <c r="K28" s="100">
        <f t="shared" ca="1" si="0"/>
        <v>361</v>
      </c>
      <c r="L28" s="101"/>
      <c r="M28" s="101"/>
      <c r="N28" s="112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</row>
    <row r="29" spans="1:29" ht="13">
      <c r="A29" s="96">
        <v>27</v>
      </c>
      <c r="B29" s="97">
        <f>VLOOKUP(A29,E!B:D,3,FALSE)</f>
        <v>5600</v>
      </c>
      <c r="C29" s="98">
        <f ca="1">IFERROR(__xludf.DUMMYFUNCTION("IFERROR(AVERAGE(QUERY(E_all,""SELECT U WHERE B=""&amp;$A29)))"),27.25)</f>
        <v>27.25</v>
      </c>
      <c r="D29" s="98">
        <f ca="1">IFERROR(__xludf.DUMMYFUNCTION("IFERROR(STDEV(QUERY(E_all,""SELECT U WHERE B=""&amp;$A29)))"),1.5)</f>
        <v>1.5</v>
      </c>
      <c r="E29" s="98">
        <f ca="1">IFERROR(__xludf.DUMMYFUNCTION("IFERROR(AVERAGE(QUERY(E_all,""SELECT U WHERE B=""&amp;$A29&amp;"" AND Q=FALSE AND R=FALSE"")))"),27.25)</f>
        <v>27.25</v>
      </c>
      <c r="F29" s="98">
        <f ca="1">IFERROR(__xludf.DUMMYFUNCTION("IFERROR(STDEV(QUERY(E_all,""SELECT U WHERE B=""&amp;$A29&amp;"" AND Q=FALSE AND R=FALSE"")))"),1.5)</f>
        <v>1.5</v>
      </c>
      <c r="G29" s="99">
        <f ca="1">IFERROR(__xludf.DUMMYFUNCTION("IFERROR(AVERAGE(QUERY(E_all,""SELECT U WHERE B=""&amp;$A29&amp;"" AND Q=FALSE AND R=FALSE AND U&gt;=""&amp;E_mean-2*E_sd&amp;"" AND U&lt;=""&amp;E_mean+2*E_sd)))"),27.25)</f>
        <v>27.25</v>
      </c>
      <c r="H29" s="98">
        <f ca="1">IFERROR(__xludf.DUMMYFUNCTION("IFERROR(STDEV(QUERY(E_all,""SELECT U WHERE B=""&amp;$A29&amp;"" AND Q=FALSE AND R=FALSE AND U&gt;=""&amp;E_mean-2*E_sd&amp;"" AND U&lt;=""&amp;E_mean+2*E_sd)))"),1.5)</f>
        <v>1.5</v>
      </c>
      <c r="I29" s="100">
        <f ca="1">IFERROR(__xludf.DUMMYFUNCTION("IFERROR(IF(ISBLANK(G29),,RANK.AVG(B29,QUERY(B$2:G$36,""SELECT B WHERE G IS NOT NULL""),TRUE)))"),24)</f>
        <v>24</v>
      </c>
      <c r="J29" s="100">
        <v>22</v>
      </c>
      <c r="K29" s="100">
        <f t="shared" ca="1" si="0"/>
        <v>4</v>
      </c>
      <c r="L29" s="101"/>
      <c r="M29" s="101"/>
      <c r="N29" s="112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</row>
    <row r="30" spans="1:29" ht="13">
      <c r="A30" s="96">
        <v>28</v>
      </c>
      <c r="B30" s="97">
        <f>VLOOKUP(A30,E!B:D,3,FALSE)</f>
        <v>5800</v>
      </c>
      <c r="C30" s="98">
        <f ca="1">IFERROR(__xludf.DUMMYFUNCTION("IFERROR(AVERAGE(QUERY(E_all,""SELECT U WHERE B=""&amp;$A30)))"),19.5)</f>
        <v>19.5</v>
      </c>
      <c r="D30" s="98">
        <f ca="1">IFERROR(__xludf.DUMMYFUNCTION("IFERROR(STDEV(QUERY(E_all,""SELECT U WHERE B=""&amp;$A30)))"),3.3166247903554)</f>
        <v>3.3166247903553998</v>
      </c>
      <c r="E30" s="98">
        <f ca="1">IFERROR(__xludf.DUMMYFUNCTION("IFERROR(AVERAGE(QUERY(E_all,""SELECT U WHERE B=""&amp;$A30&amp;"" AND Q=FALSE AND R=FALSE"")))"),19.5)</f>
        <v>19.5</v>
      </c>
      <c r="F30" s="98">
        <f ca="1">IFERROR(__xludf.DUMMYFUNCTION("IFERROR(STDEV(QUERY(E_all,""SELECT U WHERE B=""&amp;$A30&amp;"" AND Q=FALSE AND R=FALSE"")))"),3.3166247903554)</f>
        <v>3.3166247903553998</v>
      </c>
      <c r="G30" s="99">
        <f ca="1">IFERROR(__xludf.DUMMYFUNCTION("IFERROR(AVERAGE(QUERY(E_all,""SELECT U WHERE B=""&amp;$A30&amp;"" AND Q=FALSE AND R=FALSE AND U&gt;=""&amp;E_mean-2*E_sd&amp;"" AND U&lt;=""&amp;E_mean+2*E_sd)))"),19.5)</f>
        <v>19.5</v>
      </c>
      <c r="H30" s="98">
        <f ca="1">IFERROR(__xludf.DUMMYFUNCTION("IFERROR(STDEV(QUERY(E_all,""SELECT U WHERE B=""&amp;$A30&amp;"" AND Q=FALSE AND R=FALSE AND U&gt;=""&amp;E_mean-2*E_sd&amp;"" AND U&lt;=""&amp;E_mean+2*E_sd)))"),3.3166247903554)</f>
        <v>3.3166247903553998</v>
      </c>
      <c r="I30" s="100">
        <f ca="1">IFERROR(__xludf.DUMMYFUNCTION("IFERROR(IF(ISBLANK(G30),,RANK.AVG(B30,QUERY(B$2:G$36,""SELECT B WHERE G IS NOT NULL""),TRUE)))"),25)</f>
        <v>25</v>
      </c>
      <c r="J30" s="100">
        <v>7</v>
      </c>
      <c r="K30" s="100">
        <f t="shared" ca="1" si="0"/>
        <v>324</v>
      </c>
      <c r="L30" s="101"/>
      <c r="M30" s="101"/>
      <c r="N30" s="112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</row>
    <row r="31" spans="1:29" ht="13">
      <c r="A31" s="96">
        <v>29</v>
      </c>
      <c r="B31" s="97">
        <f>VLOOKUP(A31,E!B:D,3,FALSE)</f>
        <v>6000</v>
      </c>
      <c r="C31" s="98">
        <f ca="1">IFERROR(__xludf.DUMMYFUNCTION("IFERROR(AVERAGE(QUERY(E_all,""SELECT U WHERE B=""&amp;$A31)))"),18)</f>
        <v>18</v>
      </c>
      <c r="D31" s="98">
        <f ca="1">IFERROR(__xludf.DUMMYFUNCTION("IFERROR(STDEV(QUERY(E_all,""SELECT U WHERE B=""&amp;$A31)))"),9.34523051258412)</f>
        <v>9.34523051258412</v>
      </c>
      <c r="E31" s="98">
        <f ca="1">IFERROR(__xludf.DUMMYFUNCTION("IFERROR(AVERAGE(QUERY(E_all,""SELECT U WHERE B=""&amp;$A31&amp;"" AND Q=FALSE AND R=FALSE"")))"),16.3333333333333)</f>
        <v>16.3333333333333</v>
      </c>
      <c r="F31" s="98">
        <f ca="1">IFERROR(__xludf.DUMMYFUNCTION("IFERROR(STDEV(QUERY(E_all,""SELECT U WHERE B=""&amp;$A31&amp;"" AND Q=FALSE AND R=FALSE"")))"),10.6926766215636)</f>
        <v>10.692676621563599</v>
      </c>
      <c r="G31" s="99">
        <f ca="1">IFERROR(__xludf.DUMMYFUNCTION("IFERROR(AVERAGE(QUERY(E_all,""SELECT U WHERE B=""&amp;$A31&amp;"" AND Q=FALSE AND R=FALSE AND U&gt;=""&amp;E_mean-2*E_sd&amp;"" AND U&lt;=""&amp;E_mean+2*E_sd)))"),22.5)</f>
        <v>22.5</v>
      </c>
      <c r="H31" s="98">
        <f ca="1">IFERROR(__xludf.DUMMYFUNCTION("IFERROR(STDEV(QUERY(E_all,""SELECT U WHERE B=""&amp;$A31&amp;"" AND Q=FALSE AND R=FALSE AND U&gt;=""&amp;E_mean-2*E_sd&amp;"" AND U&lt;=""&amp;E_mean+2*E_sd)))"),0.707106781186547)</f>
        <v>0.70710678118654702</v>
      </c>
      <c r="I31" s="100">
        <f ca="1">IFERROR(__xludf.DUMMYFUNCTION("IFERROR(IF(ISBLANK(G31),,RANK.AVG(B31,QUERY(B$2:G$36,""SELECT B WHERE G IS NOT NULL""),TRUE)))"),26)</f>
        <v>26</v>
      </c>
      <c r="J31" s="100">
        <v>13.5</v>
      </c>
      <c r="K31" s="100">
        <f t="shared" ca="1" si="0"/>
        <v>156.25</v>
      </c>
      <c r="L31" s="101"/>
      <c r="M31" s="101"/>
      <c r="N31" s="112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</row>
    <row r="32" spans="1:29" ht="13">
      <c r="A32" s="96">
        <v>30</v>
      </c>
      <c r="B32" s="97">
        <f>VLOOKUP(A32,E!B:D,3,FALSE)</f>
        <v>6200</v>
      </c>
      <c r="C32" s="98">
        <f ca="1">IFERROR(__xludf.DUMMYFUNCTION("IFERROR(AVERAGE(QUERY(E_all,""SELECT U WHERE B=""&amp;$A32)))"),13.5)</f>
        <v>13.5</v>
      </c>
      <c r="D32" s="98">
        <f ca="1">IFERROR(__xludf.DUMMYFUNCTION("IFERROR(STDEV(QUERY(E_all,""SELECT U WHERE B=""&amp;$A32)))"),15.5884572681198)</f>
        <v>15.5884572681198</v>
      </c>
      <c r="E32" s="98">
        <f ca="1">IFERROR(__xludf.DUMMYFUNCTION("IFERROR(AVERAGE(QUERY(E_all,""SELECT U WHERE B=""&amp;$A32&amp;"" AND Q=FALSE AND R=FALSE"")))"),27)</f>
        <v>27</v>
      </c>
      <c r="F32" s="98">
        <f ca="1">IFERROR(__xludf.DUMMYFUNCTION("IFERROR(STDEV(QUERY(E_all,""SELECT U WHERE B=""&amp;$A32&amp;"" AND Q=FALSE AND R=FALSE"")))"),0)</f>
        <v>0</v>
      </c>
      <c r="G32" s="99">
        <f ca="1">IFERROR(__xludf.DUMMYFUNCTION("IFERROR(AVERAGE(QUERY(E_all,""SELECT U WHERE B=""&amp;$A32&amp;"" AND Q=FALSE AND R=FALSE AND U&gt;=""&amp;E_mean-2*E_sd&amp;"" AND U&lt;=""&amp;E_mean+2*E_sd)))"),27)</f>
        <v>27</v>
      </c>
      <c r="H32" s="98">
        <f ca="1">IFERROR(__xludf.DUMMYFUNCTION("IFERROR(STDEV(QUERY(E_all,""SELECT U WHERE B=""&amp;$A32&amp;"" AND Q=FALSE AND R=FALSE AND U&gt;=""&amp;E_mean-2*E_sd&amp;"" AND U&lt;=""&amp;E_mean+2*E_sd)))"),0)</f>
        <v>0</v>
      </c>
      <c r="I32" s="100">
        <f ca="1">IFERROR(__xludf.DUMMYFUNCTION("IFERROR(IF(ISBLANK(G32),,RANK.AVG(B32,QUERY(B$2:G$36,""SELECT B WHERE G IS NOT NULL""),TRUE)))"),27)</f>
        <v>27</v>
      </c>
      <c r="J32" s="100">
        <v>21</v>
      </c>
      <c r="K32" s="100">
        <f t="shared" ca="1" si="0"/>
        <v>36</v>
      </c>
      <c r="L32" s="101"/>
      <c r="M32" s="101"/>
      <c r="N32" s="112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</row>
    <row r="33" spans="1:29" ht="13">
      <c r="A33" s="96">
        <v>31</v>
      </c>
      <c r="B33" s="97">
        <f>VLOOKUP(A33,E!B:D,3,FALSE)</f>
        <v>6400</v>
      </c>
      <c r="C33" s="98">
        <f ca="1">IFERROR(__xludf.DUMMYFUNCTION("IFERROR(AVERAGE(QUERY(E_all,""SELECT U WHERE B=""&amp;$A33)))"),28.5)</f>
        <v>28.5</v>
      </c>
      <c r="D33" s="98">
        <f ca="1">IFERROR(__xludf.DUMMYFUNCTION("IFERROR(STDEV(QUERY(E_all,""SELECT U WHERE B=""&amp;$A33)))"),4.43471156521669)</f>
        <v>4.4347115652166904</v>
      </c>
      <c r="E33" s="98">
        <f ca="1">IFERROR(__xludf.DUMMYFUNCTION("IFERROR(AVERAGE(QUERY(E_all,""SELECT U WHERE B=""&amp;$A33&amp;"" AND Q=FALSE AND R=FALSE"")))"),28.5)</f>
        <v>28.5</v>
      </c>
      <c r="F33" s="98">
        <f ca="1">IFERROR(__xludf.DUMMYFUNCTION("IFERROR(STDEV(QUERY(E_all,""SELECT U WHERE B=""&amp;$A33&amp;"" AND Q=FALSE AND R=FALSE"")))"),4.43471156521669)</f>
        <v>4.4347115652166904</v>
      </c>
      <c r="G33" s="99">
        <f ca="1">IFERROR(__xludf.DUMMYFUNCTION("IFERROR(AVERAGE(QUERY(E_all,""SELECT U WHERE B=""&amp;$A33&amp;"" AND Q=FALSE AND R=FALSE AND U&gt;=""&amp;E_mean-2*E_sd&amp;"" AND U&lt;=""&amp;E_mean+2*E_sd)))"),28.5)</f>
        <v>28.5</v>
      </c>
      <c r="H33" s="98">
        <f ca="1">IFERROR(__xludf.DUMMYFUNCTION("IFERROR(STDEV(QUERY(E_all,""SELECT U WHERE B=""&amp;$A33&amp;"" AND Q=FALSE AND R=FALSE AND U&gt;=""&amp;E_mean-2*E_sd&amp;"" AND U&lt;=""&amp;E_mean+2*E_sd)))"),4.43471156521669)</f>
        <v>4.4347115652166904</v>
      </c>
      <c r="I33" s="100">
        <f ca="1">IFERROR(__xludf.DUMMYFUNCTION("IFERROR(IF(ISBLANK(G33),,RANK.AVG(B33,QUERY(B$2:G$36,""SELECT B WHERE G IS NOT NULL""),TRUE)))"),28)</f>
        <v>28</v>
      </c>
      <c r="J33" s="100">
        <v>24</v>
      </c>
      <c r="K33" s="100">
        <f t="shared" ca="1" si="0"/>
        <v>16</v>
      </c>
      <c r="L33" s="101"/>
      <c r="M33" s="101"/>
      <c r="N33" s="112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</row>
    <row r="34" spans="1:29" ht="13">
      <c r="A34" s="96">
        <v>32</v>
      </c>
      <c r="B34" s="97">
        <f>VLOOKUP(A34,E!B:D,3,FALSE)</f>
        <v>6600</v>
      </c>
      <c r="C34" s="98">
        <f ca="1">IFERROR(__xludf.DUMMYFUNCTION("IFERROR(AVERAGE(QUERY(E_all,""SELECT U WHERE B=""&amp;$A34)))"),19.75)</f>
        <v>19.75</v>
      </c>
      <c r="D34" s="98">
        <f ca="1">IFERROR(__xludf.DUMMYFUNCTION("IFERROR(STDEV(QUERY(E_all,""SELECT U WHERE B=""&amp;$A34)))"),9.9121138007995)</f>
        <v>9.9121138007994993</v>
      </c>
      <c r="E34" s="98">
        <f ca="1">IFERROR(__xludf.DUMMYFUNCTION("IFERROR(AVERAGE(QUERY(E_all,""SELECT U WHERE B=""&amp;$A34&amp;"" AND Q=FALSE AND R=FALSE"")))"),19.75)</f>
        <v>19.75</v>
      </c>
      <c r="F34" s="98">
        <f ca="1">IFERROR(__xludf.DUMMYFUNCTION("IFERROR(STDEV(QUERY(E_all,""SELECT U WHERE B=""&amp;$A34&amp;"" AND Q=FALSE AND R=FALSE"")))"),9.9121138007995)</f>
        <v>9.9121138007994993</v>
      </c>
      <c r="G34" s="99">
        <f ca="1">IFERROR(__xludf.DUMMYFUNCTION("IFERROR(AVERAGE(QUERY(E_all,""SELECT U WHERE B=""&amp;$A34&amp;"" AND Q=FALSE AND R=FALSE AND U&gt;=""&amp;E_mean-2*E_sd&amp;"" AND U&lt;=""&amp;E_mean+2*E_sd)))"),19.75)</f>
        <v>19.75</v>
      </c>
      <c r="H34" s="98">
        <f ca="1">IFERROR(__xludf.DUMMYFUNCTION("IFERROR(STDEV(QUERY(E_all,""SELECT U WHERE B=""&amp;$A34&amp;"" AND Q=FALSE AND R=FALSE AND U&gt;=""&amp;E_mean-2*E_sd&amp;"" AND U&lt;=""&amp;E_mean+2*E_sd)))"),9.9121138007995)</f>
        <v>9.9121138007994993</v>
      </c>
      <c r="I34" s="100">
        <f ca="1">IFERROR(__xludf.DUMMYFUNCTION("IFERROR(IF(ISBLANK(G34),,RANK.AVG(B34,QUERY(B$2:G$36,""SELECT B WHERE G IS NOT NULL""),TRUE)))"),29)</f>
        <v>29</v>
      </c>
      <c r="J34" s="100">
        <v>8</v>
      </c>
      <c r="K34" s="100">
        <f t="shared" ca="1" si="0"/>
        <v>441</v>
      </c>
      <c r="L34" s="101"/>
      <c r="M34" s="101"/>
      <c r="N34" s="112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</row>
    <row r="35" spans="1:29" ht="13">
      <c r="A35" s="96">
        <v>33</v>
      </c>
      <c r="B35" s="97">
        <f>VLOOKUP(A35,E!B:D,3,FALSE)</f>
        <v>6800</v>
      </c>
      <c r="C35" s="98">
        <f ca="1">IFERROR(__xludf.DUMMYFUNCTION("IFERROR(AVERAGE(QUERY(E_all,""SELECT U WHERE B=""&amp;$A35)))"),16)</f>
        <v>16</v>
      </c>
      <c r="D35" s="98">
        <f ca="1">IFERROR(__xludf.DUMMYFUNCTION("IFERROR(STDEV(QUERY(E_all,""SELECT U WHERE B=""&amp;$A35)))"),7.39369100427294)</f>
        <v>7.3936910042729398</v>
      </c>
      <c r="E35" s="98">
        <f ca="1">IFERROR(__xludf.DUMMYFUNCTION("IFERROR(AVERAGE(QUERY(E_all,""SELECT U WHERE B=""&amp;$A35&amp;"" AND Q=FALSE AND R=FALSE"")))"),16)</f>
        <v>16</v>
      </c>
      <c r="F35" s="98">
        <f ca="1">IFERROR(__xludf.DUMMYFUNCTION("IFERROR(STDEV(QUERY(E_all,""SELECT U WHERE B=""&amp;$A35&amp;"" AND Q=FALSE AND R=FALSE"")))"),7.39369100427294)</f>
        <v>7.3936910042729398</v>
      </c>
      <c r="G35" s="99">
        <f ca="1">IFERROR(__xludf.DUMMYFUNCTION("IFERROR(AVERAGE(QUERY(E_all,""SELECT U WHERE B=""&amp;$A35&amp;"" AND Q=FALSE AND R=FALSE AND U&gt;=""&amp;E_mean-2*E_sd&amp;"" AND U&lt;=""&amp;E_mean+2*E_sd)))"),16)</f>
        <v>16</v>
      </c>
      <c r="H35" s="98">
        <f ca="1">IFERROR(__xludf.DUMMYFUNCTION("IFERROR(STDEV(QUERY(E_all,""SELECT U WHERE B=""&amp;$A35&amp;"" AND Q=FALSE AND R=FALSE AND U&gt;=""&amp;E_mean-2*E_sd&amp;"" AND U&lt;=""&amp;E_mean+2*E_sd)))"),7.39369100427294)</f>
        <v>7.3936910042729398</v>
      </c>
      <c r="I35" s="100">
        <f ca="1">IFERROR(__xludf.DUMMYFUNCTION("IFERROR(IF(ISBLANK(G35),,RANK.AVG(B35,QUERY(B$2:G$36,""SELECT B WHERE G IS NOT NULL""),TRUE)))"),30)</f>
        <v>30</v>
      </c>
      <c r="J35" s="100">
        <v>2.5</v>
      </c>
      <c r="K35" s="100">
        <f t="shared" ca="1" si="0"/>
        <v>756.25</v>
      </c>
      <c r="L35" s="101"/>
      <c r="M35" s="101"/>
      <c r="N35" s="112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</row>
    <row r="36" spans="1:29" ht="13">
      <c r="A36" s="96">
        <v>34</v>
      </c>
      <c r="B36" s="97">
        <f>VLOOKUP(A36,E!B:D,3,FALSE)</f>
        <v>7000</v>
      </c>
      <c r="C36" s="98">
        <f ca="1">IFERROR(__xludf.DUMMYFUNCTION("IFERROR(AVERAGE(QUERY(E_all,""SELECT U WHERE B=""&amp;$A36)))"),11)</f>
        <v>11</v>
      </c>
      <c r="D36" s="98">
        <f ca="1">IFERROR(__xludf.DUMMYFUNCTION("IFERROR(STDEV(QUERY(E_all,""SELECT U WHERE B=""&amp;$A36)))"),8.48528137423857)</f>
        <v>8.4852813742385695</v>
      </c>
      <c r="E36" s="98">
        <f ca="1">IFERROR(__xludf.DUMMYFUNCTION("IFERROR(AVERAGE(QUERY(E_all,""SELECT U WHERE B=""&amp;$A36&amp;"" AND Q=FALSE AND R=FALSE"")))"),16)</f>
        <v>16</v>
      </c>
      <c r="F36" s="98">
        <f ca="1">IFERROR(__xludf.DUMMYFUNCTION("IFERROR(STDEV(QUERY(E_all,""SELECT U WHERE B=""&amp;$A36&amp;"" AND Q=FALSE AND R=FALSE"")))"),9.89949493661166)</f>
        <v>9.89949493661166</v>
      </c>
      <c r="G36" s="99">
        <f ca="1">IFERROR(__xludf.DUMMYFUNCTION("IFERROR(AVERAGE(QUERY(E_all,""SELECT U WHERE B=""&amp;$A36&amp;"" AND Q=FALSE AND R=FALSE AND U&gt;=""&amp;E_mean-2*E_sd&amp;"" AND U&lt;=""&amp;E_mean+2*E_sd)))"),16)</f>
        <v>16</v>
      </c>
      <c r="H36" s="98">
        <f ca="1">IFERROR(__xludf.DUMMYFUNCTION("IFERROR(STDEV(QUERY(E_all,""SELECT U WHERE B=""&amp;$A36&amp;"" AND Q=FALSE AND R=FALSE AND U&gt;=""&amp;E_mean-2*E_sd&amp;"" AND U&lt;=""&amp;E_mean+2*E_sd)))"),9.89949493661166)</f>
        <v>9.89949493661166</v>
      </c>
      <c r="I36" s="100">
        <f ca="1">IFERROR(__xludf.DUMMYFUNCTION("IFERROR(IF(ISBLANK(G36),,RANK.AVG(B36,QUERY(B$2:G$36,""SELECT B WHERE G IS NOT NULL""),TRUE)))"),31)</f>
        <v>31</v>
      </c>
      <c r="J36" s="100">
        <v>2.5</v>
      </c>
      <c r="K36" s="100">
        <f t="shared" ca="1" si="0"/>
        <v>812.25</v>
      </c>
      <c r="L36" s="101"/>
      <c r="M36" s="101"/>
      <c r="N36" s="112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</row>
    <row r="37" spans="1:29" ht="13">
      <c r="A37" s="96"/>
      <c r="B37" s="97"/>
      <c r="C37" s="165"/>
      <c r="D37" s="98"/>
      <c r="E37" s="98"/>
      <c r="F37" s="98"/>
      <c r="G37" s="99"/>
      <c r="H37" s="98"/>
      <c r="I37" s="100"/>
      <c r="J37" s="100"/>
      <c r="K37" s="100"/>
      <c r="L37" s="101"/>
      <c r="M37" s="101"/>
      <c r="N37" s="112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</row>
    <row r="38" spans="1:29" ht="13">
      <c r="A38" s="96"/>
      <c r="B38" s="97"/>
      <c r="C38" s="98"/>
      <c r="D38" s="98"/>
      <c r="E38" s="98"/>
      <c r="F38" s="98"/>
      <c r="G38" s="99"/>
      <c r="H38" s="98"/>
      <c r="I38" s="100"/>
      <c r="J38" s="100"/>
      <c r="K38" s="100"/>
      <c r="L38" s="101"/>
      <c r="M38" s="101"/>
      <c r="N38" s="112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</row>
    <row r="39" spans="1:29" ht="13">
      <c r="A39" s="96"/>
      <c r="B39" s="97"/>
      <c r="C39" s="98"/>
      <c r="D39" s="98"/>
      <c r="E39" s="98"/>
      <c r="F39" s="98"/>
      <c r="G39" s="99"/>
      <c r="H39" s="98"/>
      <c r="I39" s="100"/>
      <c r="J39" s="100"/>
      <c r="K39" s="100"/>
      <c r="L39" s="101"/>
      <c r="M39" s="101"/>
      <c r="N39" s="112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</row>
    <row r="40" spans="1:29" ht="13">
      <c r="A40" s="96"/>
      <c r="B40" s="97"/>
      <c r="C40" s="98"/>
      <c r="D40" s="98"/>
      <c r="E40" s="98"/>
      <c r="F40" s="98"/>
      <c r="G40" s="99"/>
      <c r="H40" s="98"/>
      <c r="I40" s="100"/>
      <c r="J40" s="100"/>
      <c r="K40" s="100"/>
      <c r="L40" s="101"/>
      <c r="M40" s="101"/>
      <c r="N40" s="112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</row>
    <row r="41" spans="1:29" ht="13">
      <c r="A41" s="96"/>
      <c r="B41" s="97"/>
      <c r="C41" s="98"/>
      <c r="D41" s="98"/>
      <c r="E41" s="98"/>
      <c r="F41" s="98"/>
      <c r="G41" s="99"/>
      <c r="H41" s="98"/>
      <c r="I41" s="100"/>
      <c r="J41" s="100"/>
      <c r="K41" s="100"/>
      <c r="L41" s="101"/>
      <c r="M41" s="101"/>
      <c r="N41" s="112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</row>
    <row r="42" spans="1:29" ht="13">
      <c r="A42" s="96"/>
      <c r="B42" s="97"/>
      <c r="C42" s="98"/>
      <c r="D42" s="98"/>
      <c r="E42" s="98"/>
      <c r="F42" s="98"/>
      <c r="G42" s="99"/>
      <c r="H42" s="98"/>
      <c r="I42" s="100"/>
      <c r="J42" s="100"/>
      <c r="K42" s="100"/>
      <c r="L42" s="101"/>
      <c r="M42" s="101"/>
      <c r="N42" s="112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</row>
    <row r="43" spans="1:29" ht="13">
      <c r="A43" s="96"/>
      <c r="B43" s="97"/>
      <c r="C43" s="98"/>
      <c r="D43" s="98"/>
      <c r="E43" s="98"/>
      <c r="F43" s="98"/>
      <c r="G43" s="99"/>
      <c r="H43" s="98"/>
      <c r="I43" s="100"/>
      <c r="J43" s="100"/>
      <c r="K43" s="100"/>
      <c r="L43" s="101"/>
      <c r="M43" s="101"/>
      <c r="N43" s="112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</row>
    <row r="44" spans="1:29" ht="13">
      <c r="A44" s="96"/>
      <c r="B44" s="97"/>
      <c r="C44" s="98"/>
      <c r="D44" s="98"/>
      <c r="E44" s="98"/>
      <c r="F44" s="98"/>
      <c r="G44" s="99"/>
      <c r="H44" s="98"/>
      <c r="I44" s="100"/>
      <c r="J44" s="100"/>
      <c r="K44" s="100"/>
      <c r="L44" s="101"/>
      <c r="M44" s="101"/>
      <c r="N44" s="112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</row>
    <row r="45" spans="1:29" ht="13">
      <c r="A45" s="96"/>
      <c r="B45" s="97"/>
      <c r="C45" s="98"/>
      <c r="D45" s="98"/>
      <c r="E45" s="98"/>
      <c r="F45" s="98"/>
      <c r="G45" s="99"/>
      <c r="H45" s="98"/>
      <c r="I45" s="100"/>
      <c r="J45" s="100"/>
      <c r="K45" s="100"/>
      <c r="L45" s="101"/>
      <c r="M45" s="101"/>
      <c r="N45" s="112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</row>
    <row r="46" spans="1:29" ht="13">
      <c r="A46" s="96"/>
      <c r="B46" s="97"/>
      <c r="C46" s="115"/>
      <c r="D46" s="115"/>
      <c r="E46" s="115"/>
      <c r="F46" s="115"/>
      <c r="G46" s="99"/>
      <c r="H46" s="98"/>
      <c r="I46" s="100"/>
      <c r="J46" s="100"/>
      <c r="K46" s="100"/>
      <c r="L46" s="101"/>
      <c r="M46" s="101"/>
      <c r="N46" s="112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</row>
    <row r="47" spans="1:29" ht="13">
      <c r="A47" s="96"/>
      <c r="B47" s="97"/>
      <c r="C47" s="115"/>
      <c r="D47" s="115"/>
      <c r="E47" s="115"/>
      <c r="F47" s="115"/>
      <c r="G47" s="99"/>
      <c r="H47" s="98"/>
      <c r="I47" s="100"/>
      <c r="J47" s="100"/>
      <c r="K47" s="100"/>
      <c r="L47" s="101"/>
      <c r="M47" s="101"/>
      <c r="N47" s="112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</row>
    <row r="48" spans="1:29" ht="13">
      <c r="A48" s="96"/>
      <c r="B48" s="97"/>
      <c r="C48" s="115"/>
      <c r="D48" s="115"/>
      <c r="E48" s="115"/>
      <c r="F48" s="115"/>
      <c r="G48" s="99"/>
      <c r="H48" s="98"/>
      <c r="I48" s="100"/>
      <c r="J48" s="100"/>
      <c r="K48" s="100"/>
      <c r="L48" s="101"/>
      <c r="M48" s="101"/>
      <c r="N48" s="112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</row>
    <row r="49" spans="1:29" ht="13">
      <c r="A49" s="96"/>
      <c r="B49" s="97"/>
      <c r="C49" s="115"/>
      <c r="D49" s="115"/>
      <c r="E49" s="115"/>
      <c r="F49" s="115"/>
      <c r="G49" s="99"/>
      <c r="H49" s="98"/>
      <c r="I49" s="100"/>
      <c r="J49" s="100"/>
      <c r="K49" s="100"/>
      <c r="L49" s="101"/>
      <c r="M49" s="101"/>
      <c r="N49" s="112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</row>
    <row r="50" spans="1:29" ht="13">
      <c r="A50" s="115"/>
      <c r="B50" s="97"/>
      <c r="C50" s="115"/>
      <c r="D50" s="115"/>
      <c r="E50" s="115"/>
      <c r="F50" s="115"/>
      <c r="G50" s="99"/>
      <c r="H50" s="98"/>
      <c r="I50" s="100"/>
      <c r="J50" s="100"/>
      <c r="K50" s="100"/>
      <c r="L50" s="101"/>
      <c r="M50" s="101"/>
      <c r="N50" s="112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</row>
    <row r="51" spans="1:29" ht="13">
      <c r="A51" s="115"/>
      <c r="B51" s="97"/>
      <c r="C51" s="115"/>
      <c r="D51" s="115"/>
      <c r="E51" s="115"/>
      <c r="F51" s="115"/>
      <c r="G51" s="99"/>
      <c r="H51" s="98"/>
      <c r="I51" s="100"/>
      <c r="J51" s="100"/>
      <c r="K51" s="100"/>
      <c r="L51" s="101"/>
      <c r="M51" s="101"/>
      <c r="N51" s="112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</row>
    <row r="52" spans="1:29" ht="13">
      <c r="A52" s="115"/>
      <c r="B52" s="97"/>
      <c r="C52" s="115"/>
      <c r="D52" s="115"/>
      <c r="E52" s="115"/>
      <c r="F52" s="115"/>
      <c r="G52" s="99"/>
      <c r="H52" s="98"/>
      <c r="I52" s="100"/>
      <c r="J52" s="100"/>
      <c r="K52" s="100"/>
      <c r="L52" s="101"/>
      <c r="M52" s="101"/>
      <c r="N52" s="112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</row>
    <row r="53" spans="1:29" ht="13">
      <c r="A53" s="115"/>
      <c r="B53" s="97"/>
      <c r="C53" s="115"/>
      <c r="D53" s="115"/>
      <c r="E53" s="115"/>
      <c r="F53" s="115"/>
      <c r="G53" s="99"/>
      <c r="H53" s="98"/>
      <c r="I53" s="100"/>
      <c r="J53" s="100"/>
      <c r="K53" s="100"/>
      <c r="L53" s="101"/>
      <c r="M53" s="101"/>
      <c r="N53" s="112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</row>
    <row r="54" spans="1:29" ht="13">
      <c r="A54" s="115"/>
      <c r="B54" s="97"/>
      <c r="C54" s="115"/>
      <c r="D54" s="115"/>
      <c r="E54" s="115"/>
      <c r="F54" s="115"/>
      <c r="G54" s="99"/>
      <c r="H54" s="98"/>
      <c r="I54" s="100"/>
      <c r="J54" s="100"/>
      <c r="K54" s="100"/>
      <c r="L54" s="101"/>
      <c r="M54" s="101"/>
      <c r="N54" s="112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</row>
    <row r="55" spans="1:29" ht="13">
      <c r="A55" s="115"/>
      <c r="B55" s="97"/>
      <c r="C55" s="115"/>
      <c r="D55" s="115"/>
      <c r="E55" s="115"/>
      <c r="F55" s="115"/>
      <c r="G55" s="99"/>
      <c r="H55" s="98"/>
      <c r="I55" s="100"/>
      <c r="J55" s="100"/>
      <c r="K55" s="100"/>
      <c r="L55" s="101"/>
      <c r="M55" s="101"/>
      <c r="N55" s="112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</row>
    <row r="56" spans="1:29" ht="13">
      <c r="A56" s="115"/>
      <c r="B56" s="97"/>
      <c r="C56" s="115"/>
      <c r="D56" s="115"/>
      <c r="E56" s="115"/>
      <c r="F56" s="115"/>
      <c r="G56" s="99"/>
      <c r="H56" s="98"/>
      <c r="I56" s="100"/>
      <c r="J56" s="100"/>
      <c r="K56" s="100"/>
      <c r="L56" s="101"/>
      <c r="M56" s="101"/>
      <c r="N56" s="112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</row>
    <row r="57" spans="1:29" ht="13">
      <c r="A57" s="115"/>
      <c r="B57" s="97"/>
      <c r="C57" s="115"/>
      <c r="D57" s="115"/>
      <c r="E57" s="115"/>
      <c r="F57" s="115"/>
      <c r="G57" s="99"/>
      <c r="H57" s="98"/>
      <c r="I57" s="100"/>
      <c r="J57" s="100"/>
      <c r="K57" s="100"/>
      <c r="L57" s="101"/>
      <c r="M57" s="101"/>
      <c r="N57" s="112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</row>
    <row r="58" spans="1:29" ht="13">
      <c r="A58" s="115"/>
      <c r="B58" s="97"/>
      <c r="C58" s="115"/>
      <c r="D58" s="115"/>
      <c r="E58" s="115"/>
      <c r="F58" s="115"/>
      <c r="G58" s="99"/>
      <c r="H58" s="98"/>
      <c r="I58" s="100"/>
      <c r="J58" s="100"/>
      <c r="K58" s="100"/>
      <c r="L58" s="101"/>
      <c r="M58" s="101"/>
      <c r="N58" s="112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</row>
    <row r="59" spans="1:29" ht="13">
      <c r="A59" s="115"/>
      <c r="B59" s="97"/>
      <c r="C59" s="115"/>
      <c r="D59" s="115"/>
      <c r="E59" s="115"/>
      <c r="F59" s="115"/>
      <c r="G59" s="99"/>
      <c r="H59" s="98"/>
      <c r="I59" s="100"/>
      <c r="J59" s="100"/>
      <c r="K59" s="100"/>
      <c r="L59" s="101"/>
      <c r="M59" s="101"/>
      <c r="N59" s="112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</row>
    <row r="60" spans="1:29" ht="13">
      <c r="A60" s="115"/>
      <c r="B60" s="97"/>
      <c r="C60" s="115"/>
      <c r="D60" s="115"/>
      <c r="E60" s="115"/>
      <c r="F60" s="115"/>
      <c r="G60" s="99"/>
      <c r="H60" s="98"/>
      <c r="I60" s="100"/>
      <c r="J60" s="100"/>
      <c r="K60" s="100"/>
      <c r="L60" s="101"/>
      <c r="M60" s="101"/>
      <c r="N60" s="112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</row>
    <row r="61" spans="1:29" ht="13">
      <c r="A61" s="115"/>
      <c r="B61" s="97"/>
      <c r="C61" s="115"/>
      <c r="D61" s="115"/>
      <c r="E61" s="115"/>
      <c r="F61" s="115"/>
      <c r="G61" s="99"/>
      <c r="H61" s="98"/>
      <c r="I61" s="100"/>
      <c r="J61" s="100"/>
      <c r="K61" s="100"/>
      <c r="L61" s="101"/>
      <c r="M61" s="101"/>
      <c r="N61" s="112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</row>
    <row r="62" spans="1:29" ht="13">
      <c r="A62" s="115"/>
      <c r="B62" s="97"/>
      <c r="C62" s="115"/>
      <c r="D62" s="115"/>
      <c r="E62" s="115"/>
      <c r="F62" s="115"/>
      <c r="G62" s="99"/>
      <c r="H62" s="98"/>
      <c r="I62" s="100"/>
      <c r="J62" s="100"/>
      <c r="K62" s="100"/>
      <c r="L62" s="101"/>
      <c r="M62" s="101"/>
      <c r="N62" s="112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</row>
    <row r="63" spans="1:29" ht="13">
      <c r="A63" s="115"/>
      <c r="B63" s="97"/>
      <c r="C63" s="115"/>
      <c r="D63" s="115"/>
      <c r="E63" s="115"/>
      <c r="F63" s="115"/>
      <c r="G63" s="99"/>
      <c r="H63" s="98"/>
      <c r="I63" s="100"/>
      <c r="J63" s="100"/>
      <c r="K63" s="100"/>
      <c r="L63" s="101"/>
      <c r="M63" s="101"/>
      <c r="N63" s="112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</row>
    <row r="64" spans="1:29" ht="13">
      <c r="A64" s="115"/>
      <c r="B64" s="97"/>
      <c r="C64" s="115"/>
      <c r="D64" s="115"/>
      <c r="E64" s="115"/>
      <c r="F64" s="115"/>
      <c r="G64" s="99"/>
      <c r="H64" s="98"/>
      <c r="I64" s="100"/>
      <c r="J64" s="100"/>
      <c r="K64" s="100"/>
      <c r="L64" s="101"/>
      <c r="M64" s="101"/>
      <c r="N64" s="112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</row>
    <row r="65" spans="1:29" ht="13">
      <c r="A65" s="115"/>
      <c r="B65" s="97"/>
      <c r="C65" s="115"/>
      <c r="D65" s="115"/>
      <c r="E65" s="115"/>
      <c r="F65" s="115"/>
      <c r="G65" s="99"/>
      <c r="H65" s="98"/>
      <c r="I65" s="100"/>
      <c r="J65" s="100"/>
      <c r="K65" s="100"/>
      <c r="L65" s="101"/>
      <c r="M65" s="101"/>
      <c r="N65" s="112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</row>
    <row r="66" spans="1:29" ht="13">
      <c r="A66" s="115"/>
      <c r="B66" s="97"/>
      <c r="C66" s="115"/>
      <c r="D66" s="115"/>
      <c r="E66" s="115"/>
      <c r="F66" s="115"/>
      <c r="G66" s="99"/>
      <c r="H66" s="98"/>
      <c r="I66" s="100"/>
      <c r="J66" s="100"/>
      <c r="K66" s="100"/>
      <c r="L66" s="101"/>
      <c r="M66" s="101"/>
      <c r="N66" s="112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</row>
    <row r="67" spans="1:29" ht="13">
      <c r="A67" s="115"/>
      <c r="B67" s="97"/>
      <c r="C67" s="115"/>
      <c r="D67" s="115"/>
      <c r="E67" s="115"/>
      <c r="F67" s="115"/>
      <c r="G67" s="99"/>
      <c r="H67" s="98"/>
      <c r="I67" s="100"/>
      <c r="J67" s="100"/>
      <c r="K67" s="100"/>
      <c r="L67" s="101"/>
      <c r="M67" s="101"/>
      <c r="N67" s="112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</row>
    <row r="68" spans="1:29" ht="13">
      <c r="A68" s="115"/>
      <c r="B68" s="97"/>
      <c r="C68" s="115"/>
      <c r="D68" s="115"/>
      <c r="E68" s="115"/>
      <c r="F68" s="115"/>
      <c r="G68" s="99"/>
      <c r="H68" s="98"/>
      <c r="I68" s="100"/>
      <c r="J68" s="100"/>
      <c r="K68" s="100"/>
      <c r="L68" s="101"/>
      <c r="M68" s="101"/>
      <c r="N68" s="112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</row>
    <row r="69" spans="1:29" ht="13">
      <c r="A69" s="115"/>
      <c r="B69" s="97"/>
      <c r="C69" s="115"/>
      <c r="D69" s="115"/>
      <c r="E69" s="115"/>
      <c r="F69" s="115"/>
      <c r="G69" s="99"/>
      <c r="H69" s="98"/>
      <c r="I69" s="100"/>
      <c r="J69" s="100"/>
      <c r="K69" s="100"/>
      <c r="L69" s="101"/>
      <c r="M69" s="101"/>
      <c r="N69" s="112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</row>
    <row r="70" spans="1:29" ht="13">
      <c r="A70" s="115"/>
      <c r="B70" s="97"/>
      <c r="C70" s="115"/>
      <c r="D70" s="115"/>
      <c r="E70" s="115"/>
      <c r="F70" s="115"/>
      <c r="G70" s="99"/>
      <c r="H70" s="98"/>
      <c r="I70" s="100"/>
      <c r="J70" s="100"/>
      <c r="K70" s="100"/>
      <c r="L70" s="101"/>
      <c r="M70" s="101"/>
      <c r="N70" s="112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</row>
    <row r="71" spans="1:29" ht="13">
      <c r="A71" s="115"/>
      <c r="B71" s="97"/>
      <c r="C71" s="115"/>
      <c r="D71" s="115"/>
      <c r="E71" s="115"/>
      <c r="F71" s="115"/>
      <c r="G71" s="99"/>
      <c r="H71" s="98"/>
      <c r="I71" s="100"/>
      <c r="J71" s="100"/>
      <c r="K71" s="100"/>
      <c r="L71" s="101"/>
      <c r="M71" s="101"/>
      <c r="N71" s="112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</row>
    <row r="72" spans="1:29" ht="13">
      <c r="A72" s="115"/>
      <c r="B72" s="97"/>
      <c r="C72" s="115"/>
      <c r="D72" s="115"/>
      <c r="E72" s="115"/>
      <c r="F72" s="115"/>
      <c r="G72" s="99"/>
      <c r="H72" s="98"/>
      <c r="I72" s="100"/>
      <c r="J72" s="100"/>
      <c r="K72" s="100"/>
      <c r="L72" s="101"/>
      <c r="M72" s="101"/>
      <c r="N72" s="112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</row>
    <row r="73" spans="1:29" ht="13">
      <c r="A73" s="115"/>
      <c r="B73" s="97"/>
      <c r="C73" s="115"/>
      <c r="D73" s="115"/>
      <c r="E73" s="115"/>
      <c r="F73" s="115"/>
      <c r="G73" s="99"/>
      <c r="H73" s="98"/>
      <c r="I73" s="100"/>
      <c r="J73" s="100"/>
      <c r="K73" s="100"/>
      <c r="L73" s="101"/>
      <c r="M73" s="101"/>
      <c r="N73" s="112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</row>
    <row r="74" spans="1:29" ht="13">
      <c r="A74" s="115"/>
      <c r="B74" s="97"/>
      <c r="C74" s="115"/>
      <c r="D74" s="115"/>
      <c r="E74" s="115"/>
      <c r="F74" s="115"/>
      <c r="G74" s="99"/>
      <c r="H74" s="98"/>
      <c r="I74" s="100"/>
      <c r="J74" s="100"/>
      <c r="K74" s="100"/>
      <c r="L74" s="101"/>
      <c r="M74" s="101"/>
      <c r="N74" s="112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</row>
    <row r="75" spans="1:29" ht="13">
      <c r="A75" s="115"/>
      <c r="B75" s="97"/>
      <c r="C75" s="115"/>
      <c r="D75" s="115"/>
      <c r="E75" s="115"/>
      <c r="F75" s="115"/>
      <c r="G75" s="99"/>
      <c r="H75" s="98"/>
      <c r="I75" s="100"/>
      <c r="J75" s="100"/>
      <c r="K75" s="100"/>
      <c r="L75" s="101"/>
      <c r="M75" s="101"/>
      <c r="N75" s="112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</row>
    <row r="76" spans="1:29" ht="13">
      <c r="A76" s="115"/>
      <c r="B76" s="97"/>
      <c r="C76" s="115"/>
      <c r="D76" s="115"/>
      <c r="E76" s="115"/>
      <c r="F76" s="115"/>
      <c r="G76" s="99"/>
      <c r="H76" s="98"/>
      <c r="I76" s="100"/>
      <c r="J76" s="100"/>
      <c r="K76" s="100"/>
      <c r="L76" s="101"/>
      <c r="M76" s="101"/>
      <c r="N76" s="112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</row>
    <row r="77" spans="1:29" ht="13">
      <c r="A77" s="115"/>
      <c r="B77" s="97"/>
      <c r="C77" s="115"/>
      <c r="D77" s="115"/>
      <c r="E77" s="115"/>
      <c r="F77" s="115"/>
      <c r="G77" s="99"/>
      <c r="H77" s="98"/>
      <c r="I77" s="100"/>
      <c r="J77" s="100"/>
      <c r="K77" s="100"/>
      <c r="L77" s="101"/>
      <c r="M77" s="101"/>
      <c r="N77" s="112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</row>
    <row r="78" spans="1:29" ht="13">
      <c r="A78" s="115"/>
      <c r="B78" s="97"/>
      <c r="C78" s="115"/>
      <c r="D78" s="115"/>
      <c r="E78" s="115"/>
      <c r="F78" s="115"/>
      <c r="G78" s="99"/>
      <c r="H78" s="98"/>
      <c r="I78" s="100"/>
      <c r="J78" s="100"/>
      <c r="K78" s="100"/>
      <c r="L78" s="101"/>
      <c r="M78" s="101"/>
      <c r="N78" s="112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</row>
    <row r="79" spans="1:29" ht="13">
      <c r="A79" s="115"/>
      <c r="B79" s="97"/>
      <c r="C79" s="115"/>
      <c r="D79" s="115"/>
      <c r="E79" s="115"/>
      <c r="F79" s="115"/>
      <c r="G79" s="99"/>
      <c r="H79" s="98"/>
      <c r="I79" s="100"/>
      <c r="J79" s="100"/>
      <c r="K79" s="100"/>
      <c r="L79" s="101"/>
      <c r="M79" s="101"/>
      <c r="N79" s="112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</row>
    <row r="80" spans="1:29" ht="13">
      <c r="A80" s="115"/>
      <c r="B80" s="97"/>
      <c r="C80" s="115"/>
      <c r="D80" s="115"/>
      <c r="E80" s="115"/>
      <c r="F80" s="115"/>
      <c r="G80" s="99"/>
      <c r="H80" s="98"/>
      <c r="I80" s="100"/>
      <c r="J80" s="100"/>
      <c r="K80" s="100"/>
      <c r="L80" s="101"/>
      <c r="M80" s="101"/>
      <c r="N80" s="112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</row>
    <row r="81" spans="1:29" ht="13">
      <c r="A81" s="115"/>
      <c r="B81" s="97"/>
      <c r="C81" s="115"/>
      <c r="D81" s="115"/>
      <c r="E81" s="115"/>
      <c r="F81" s="115"/>
      <c r="G81" s="99"/>
      <c r="H81" s="98"/>
      <c r="I81" s="100"/>
      <c r="J81" s="100"/>
      <c r="K81" s="100"/>
      <c r="L81" s="101"/>
      <c r="M81" s="101"/>
      <c r="N81" s="112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</row>
    <row r="82" spans="1:29" ht="13">
      <c r="A82" s="115"/>
      <c r="B82" s="97"/>
      <c r="C82" s="115"/>
      <c r="D82" s="115"/>
      <c r="E82" s="115"/>
      <c r="F82" s="115"/>
      <c r="G82" s="99"/>
      <c r="H82" s="98"/>
      <c r="I82" s="100"/>
      <c r="J82" s="100"/>
      <c r="K82" s="100"/>
      <c r="L82" s="101"/>
      <c r="M82" s="101"/>
      <c r="N82" s="112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</row>
    <row r="83" spans="1:29" ht="13">
      <c r="A83" s="115"/>
      <c r="B83" s="97"/>
      <c r="C83" s="115"/>
      <c r="D83" s="115"/>
      <c r="E83" s="115"/>
      <c r="F83" s="115"/>
      <c r="G83" s="99"/>
      <c r="H83" s="98"/>
      <c r="I83" s="100"/>
      <c r="J83" s="100"/>
      <c r="K83" s="100"/>
      <c r="L83" s="101"/>
      <c r="M83" s="101"/>
      <c r="N83" s="112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</row>
    <row r="84" spans="1:29" ht="13">
      <c r="A84" s="115"/>
      <c r="B84" s="97"/>
      <c r="C84" s="115"/>
      <c r="D84" s="115"/>
      <c r="E84" s="115"/>
      <c r="F84" s="115"/>
      <c r="G84" s="99"/>
      <c r="H84" s="98"/>
      <c r="I84" s="100"/>
      <c r="J84" s="100"/>
      <c r="K84" s="100"/>
      <c r="L84" s="101"/>
      <c r="M84" s="101"/>
      <c r="N84" s="112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</row>
    <row r="85" spans="1:29" ht="13">
      <c r="A85" s="115"/>
      <c r="B85" s="97"/>
      <c r="C85" s="115"/>
      <c r="D85" s="115"/>
      <c r="E85" s="115"/>
      <c r="F85" s="115"/>
      <c r="G85" s="99"/>
      <c r="H85" s="98"/>
      <c r="I85" s="100"/>
      <c r="J85" s="100"/>
      <c r="K85" s="100"/>
      <c r="L85" s="101"/>
      <c r="M85" s="101"/>
      <c r="N85" s="112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</row>
    <row r="86" spans="1:29" ht="13">
      <c r="A86" s="115"/>
      <c r="B86" s="97"/>
      <c r="C86" s="115"/>
      <c r="D86" s="115"/>
      <c r="E86" s="115"/>
      <c r="F86" s="115"/>
      <c r="G86" s="99"/>
      <c r="H86" s="98"/>
      <c r="I86" s="100"/>
      <c r="J86" s="100"/>
      <c r="K86" s="100"/>
      <c r="L86" s="101"/>
      <c r="M86" s="101"/>
      <c r="N86" s="112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</row>
    <row r="87" spans="1:29" ht="13">
      <c r="A87" s="115"/>
      <c r="B87" s="97"/>
      <c r="C87" s="115"/>
      <c r="D87" s="115"/>
      <c r="E87" s="115"/>
      <c r="F87" s="115"/>
      <c r="G87" s="99"/>
      <c r="H87" s="98"/>
      <c r="I87" s="100"/>
      <c r="J87" s="100"/>
      <c r="K87" s="100"/>
      <c r="L87" s="101"/>
      <c r="M87" s="101"/>
      <c r="N87" s="112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</row>
    <row r="88" spans="1:29" ht="13">
      <c r="A88" s="115"/>
      <c r="B88" s="97"/>
      <c r="C88" s="115"/>
      <c r="D88" s="115"/>
      <c r="E88" s="115"/>
      <c r="F88" s="115"/>
      <c r="G88" s="99"/>
      <c r="H88" s="98"/>
      <c r="I88" s="100"/>
      <c r="J88" s="100"/>
      <c r="K88" s="100"/>
      <c r="L88" s="101"/>
      <c r="M88" s="101"/>
      <c r="N88" s="112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</row>
    <row r="89" spans="1:29" ht="13">
      <c r="A89" s="115"/>
      <c r="B89" s="97"/>
      <c r="C89" s="115"/>
      <c r="D89" s="115"/>
      <c r="E89" s="115"/>
      <c r="F89" s="115"/>
      <c r="G89" s="99"/>
      <c r="H89" s="98"/>
      <c r="I89" s="100"/>
      <c r="J89" s="100"/>
      <c r="K89" s="100"/>
      <c r="L89" s="101"/>
      <c r="M89" s="101"/>
      <c r="N89" s="112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</row>
    <row r="90" spans="1:29" ht="13">
      <c r="A90" s="115"/>
      <c r="B90" s="97"/>
      <c r="C90" s="115"/>
      <c r="D90" s="115"/>
      <c r="E90" s="115"/>
      <c r="F90" s="115"/>
      <c r="G90" s="99"/>
      <c r="H90" s="98"/>
      <c r="I90" s="100"/>
      <c r="J90" s="100"/>
      <c r="K90" s="100"/>
      <c r="L90" s="101"/>
      <c r="M90" s="101"/>
      <c r="N90" s="112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</row>
    <row r="91" spans="1:29" ht="13">
      <c r="A91" s="115"/>
      <c r="B91" s="97"/>
      <c r="C91" s="115"/>
      <c r="D91" s="115"/>
      <c r="E91" s="115"/>
      <c r="F91" s="115"/>
      <c r="G91" s="99"/>
      <c r="H91" s="98"/>
      <c r="I91" s="100"/>
      <c r="J91" s="100"/>
      <c r="K91" s="100"/>
      <c r="L91" s="101"/>
      <c r="M91" s="101"/>
      <c r="N91" s="112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</row>
    <row r="92" spans="1:29" ht="13">
      <c r="A92" s="115"/>
      <c r="B92" s="97"/>
      <c r="C92" s="115"/>
      <c r="D92" s="115"/>
      <c r="E92" s="115"/>
      <c r="F92" s="115"/>
      <c r="G92" s="99"/>
      <c r="H92" s="98"/>
      <c r="I92" s="100"/>
      <c r="J92" s="100"/>
      <c r="K92" s="100"/>
      <c r="L92" s="101"/>
      <c r="M92" s="101"/>
      <c r="N92" s="112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</row>
    <row r="93" spans="1:29" ht="13">
      <c r="A93" s="115"/>
      <c r="B93" s="97"/>
      <c r="C93" s="115"/>
      <c r="D93" s="115"/>
      <c r="E93" s="115"/>
      <c r="F93" s="115"/>
      <c r="G93" s="99"/>
      <c r="H93" s="98"/>
      <c r="I93" s="100"/>
      <c r="J93" s="100"/>
      <c r="K93" s="100"/>
      <c r="L93" s="101"/>
      <c r="M93" s="101"/>
      <c r="N93" s="112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</row>
    <row r="94" spans="1:29" ht="13">
      <c r="A94" s="115"/>
      <c r="B94" s="97"/>
      <c r="C94" s="115"/>
      <c r="D94" s="115"/>
      <c r="E94" s="115"/>
      <c r="F94" s="115"/>
      <c r="G94" s="99"/>
      <c r="H94" s="98"/>
      <c r="I94" s="100"/>
      <c r="J94" s="100"/>
      <c r="K94" s="100"/>
      <c r="L94" s="101"/>
      <c r="M94" s="101"/>
      <c r="N94" s="112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</row>
    <row r="95" spans="1:29" ht="13">
      <c r="A95" s="115"/>
      <c r="B95" s="97"/>
      <c r="C95" s="115"/>
      <c r="D95" s="115"/>
      <c r="E95" s="115"/>
      <c r="F95" s="115"/>
      <c r="G95" s="99"/>
      <c r="H95" s="98"/>
      <c r="I95" s="100"/>
      <c r="J95" s="100"/>
      <c r="K95" s="100"/>
      <c r="L95" s="101"/>
      <c r="M95" s="101"/>
      <c r="N95" s="112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</row>
    <row r="96" spans="1:29" ht="13">
      <c r="A96" s="115"/>
      <c r="B96" s="97"/>
      <c r="C96" s="115"/>
      <c r="D96" s="115"/>
      <c r="E96" s="115"/>
      <c r="F96" s="115"/>
      <c r="G96" s="99"/>
      <c r="H96" s="98"/>
      <c r="I96" s="100"/>
      <c r="J96" s="100"/>
      <c r="K96" s="100"/>
      <c r="L96" s="101"/>
      <c r="M96" s="101"/>
      <c r="N96" s="112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</row>
    <row r="97" spans="1:29" ht="13">
      <c r="A97" s="115"/>
      <c r="B97" s="97"/>
      <c r="C97" s="115"/>
      <c r="D97" s="115"/>
      <c r="E97" s="115"/>
      <c r="F97" s="115"/>
      <c r="G97" s="99"/>
      <c r="H97" s="98"/>
      <c r="I97" s="100"/>
      <c r="J97" s="100"/>
      <c r="K97" s="100"/>
      <c r="L97" s="101"/>
      <c r="M97" s="101"/>
      <c r="N97" s="112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</row>
    <row r="98" spans="1:29" ht="13">
      <c r="A98" s="115"/>
      <c r="B98" s="97"/>
      <c r="C98" s="115"/>
      <c r="D98" s="115"/>
      <c r="E98" s="115"/>
      <c r="F98" s="115"/>
      <c r="G98" s="99"/>
      <c r="H98" s="98"/>
      <c r="I98" s="100"/>
      <c r="J98" s="100"/>
      <c r="K98" s="100"/>
      <c r="L98" s="101"/>
      <c r="M98" s="101"/>
      <c r="N98" s="112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</row>
    <row r="99" spans="1:29" ht="13">
      <c r="A99" s="115"/>
      <c r="B99" s="97"/>
      <c r="C99" s="115"/>
      <c r="D99" s="115"/>
      <c r="E99" s="115"/>
      <c r="F99" s="115"/>
      <c r="G99" s="99"/>
      <c r="H99" s="98"/>
      <c r="I99" s="100"/>
      <c r="J99" s="100"/>
      <c r="K99" s="100"/>
      <c r="L99" s="101"/>
      <c r="M99" s="101"/>
      <c r="N99" s="112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</row>
    <row r="100" spans="1:29" ht="13">
      <c r="A100" s="115"/>
      <c r="B100" s="97"/>
      <c r="C100" s="115"/>
      <c r="D100" s="115"/>
      <c r="E100" s="115"/>
      <c r="F100" s="115"/>
      <c r="G100" s="99"/>
      <c r="H100" s="98"/>
      <c r="I100" s="100"/>
      <c r="J100" s="100"/>
      <c r="K100" s="100"/>
      <c r="L100" s="101"/>
      <c r="M100" s="101"/>
      <c r="N100" s="112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</row>
    <row r="101" spans="1:29" ht="13">
      <c r="A101" s="115"/>
      <c r="B101" s="97"/>
      <c r="C101" s="115"/>
      <c r="D101" s="115"/>
      <c r="E101" s="115"/>
      <c r="F101" s="115"/>
      <c r="G101" s="99"/>
      <c r="H101" s="98"/>
      <c r="I101" s="100"/>
      <c r="J101" s="100"/>
      <c r="K101" s="100"/>
      <c r="L101" s="101"/>
      <c r="M101" s="101"/>
      <c r="N101" s="112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</row>
    <row r="102" spans="1:29" ht="13">
      <c r="A102" s="115"/>
      <c r="B102" s="97"/>
      <c r="C102" s="115"/>
      <c r="D102" s="115"/>
      <c r="E102" s="115"/>
      <c r="F102" s="115"/>
      <c r="G102" s="99"/>
      <c r="H102" s="98"/>
      <c r="I102" s="100"/>
      <c r="J102" s="100"/>
      <c r="K102" s="100"/>
      <c r="L102" s="101"/>
      <c r="M102" s="101"/>
      <c r="N102" s="112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</row>
    <row r="103" spans="1:29" ht="13">
      <c r="A103" s="115"/>
      <c r="B103" s="97"/>
      <c r="C103" s="115"/>
      <c r="D103" s="115"/>
      <c r="E103" s="115"/>
      <c r="F103" s="115"/>
      <c r="G103" s="99"/>
      <c r="H103" s="98"/>
      <c r="I103" s="100"/>
      <c r="J103" s="100"/>
      <c r="K103" s="100"/>
      <c r="L103" s="101"/>
      <c r="M103" s="101"/>
      <c r="N103" s="112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</row>
    <row r="104" spans="1:29" ht="13">
      <c r="A104" s="115"/>
      <c r="B104" s="97"/>
      <c r="C104" s="115"/>
      <c r="D104" s="115"/>
      <c r="E104" s="115"/>
      <c r="F104" s="115"/>
      <c r="G104" s="99"/>
      <c r="H104" s="98"/>
      <c r="I104" s="100"/>
      <c r="J104" s="100"/>
      <c r="K104" s="100"/>
      <c r="L104" s="101"/>
      <c r="M104" s="101"/>
      <c r="N104" s="112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</row>
    <row r="105" spans="1:29" ht="13">
      <c r="A105" s="115"/>
      <c r="B105" s="97"/>
      <c r="C105" s="115"/>
      <c r="D105" s="115"/>
      <c r="E105" s="115"/>
      <c r="F105" s="115"/>
      <c r="G105" s="99"/>
      <c r="H105" s="98"/>
      <c r="I105" s="100"/>
      <c r="J105" s="100"/>
      <c r="K105" s="100"/>
      <c r="L105" s="101"/>
      <c r="M105" s="101"/>
      <c r="N105" s="112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</row>
    <row r="106" spans="1:29" ht="13">
      <c r="A106" s="115"/>
      <c r="B106" s="97"/>
      <c r="C106" s="115"/>
      <c r="D106" s="115"/>
      <c r="E106" s="115"/>
      <c r="F106" s="115"/>
      <c r="G106" s="99"/>
      <c r="H106" s="98"/>
      <c r="I106" s="100"/>
      <c r="J106" s="100"/>
      <c r="K106" s="100"/>
      <c r="L106" s="101"/>
      <c r="M106" s="101"/>
      <c r="N106" s="112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</row>
    <row r="107" spans="1:29" ht="13">
      <c r="A107" s="115"/>
      <c r="B107" s="97"/>
      <c r="C107" s="115"/>
      <c r="D107" s="115"/>
      <c r="E107" s="115"/>
      <c r="F107" s="115"/>
      <c r="G107" s="99"/>
      <c r="H107" s="98"/>
      <c r="I107" s="100"/>
      <c r="J107" s="100"/>
      <c r="K107" s="100"/>
      <c r="L107" s="101"/>
      <c r="M107" s="101"/>
      <c r="N107" s="112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</row>
    <row r="108" spans="1:29" ht="13">
      <c r="A108" s="115"/>
      <c r="B108" s="97"/>
      <c r="C108" s="115"/>
      <c r="D108" s="115"/>
      <c r="E108" s="115"/>
      <c r="F108" s="115"/>
      <c r="G108" s="99"/>
      <c r="H108" s="98"/>
      <c r="I108" s="100"/>
      <c r="J108" s="100"/>
      <c r="K108" s="100"/>
      <c r="L108" s="101"/>
      <c r="M108" s="101"/>
      <c r="N108" s="112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</row>
    <row r="109" spans="1:29" ht="13">
      <c r="A109" s="115"/>
      <c r="B109" s="97"/>
      <c r="C109" s="115"/>
      <c r="D109" s="115"/>
      <c r="E109" s="115"/>
      <c r="F109" s="115"/>
      <c r="G109" s="99"/>
      <c r="H109" s="98"/>
      <c r="I109" s="100"/>
      <c r="J109" s="100"/>
      <c r="K109" s="100"/>
      <c r="L109" s="101"/>
      <c r="M109" s="101"/>
      <c r="N109" s="112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</row>
    <row r="110" spans="1:29" ht="13">
      <c r="A110" s="115"/>
      <c r="B110" s="97"/>
      <c r="C110" s="115"/>
      <c r="D110" s="115"/>
      <c r="E110" s="115"/>
      <c r="F110" s="115"/>
      <c r="G110" s="99"/>
      <c r="H110" s="98"/>
      <c r="I110" s="100"/>
      <c r="J110" s="100"/>
      <c r="K110" s="100"/>
      <c r="L110" s="101"/>
      <c r="M110" s="101"/>
      <c r="N110" s="112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</row>
    <row r="111" spans="1:29" ht="13">
      <c r="A111" s="115"/>
      <c r="B111" s="97"/>
      <c r="C111" s="115"/>
      <c r="D111" s="115"/>
      <c r="E111" s="115"/>
      <c r="F111" s="115"/>
      <c r="G111" s="99"/>
      <c r="H111" s="98"/>
      <c r="I111" s="100"/>
      <c r="J111" s="100"/>
      <c r="K111" s="100"/>
      <c r="L111" s="101"/>
      <c r="M111" s="101"/>
      <c r="N111" s="112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</row>
    <row r="112" spans="1:29" ht="13">
      <c r="A112" s="115"/>
      <c r="B112" s="97"/>
      <c r="C112" s="115"/>
      <c r="D112" s="115"/>
      <c r="E112" s="115"/>
      <c r="F112" s="115"/>
      <c r="G112" s="99"/>
      <c r="H112" s="98"/>
      <c r="I112" s="100"/>
      <c r="J112" s="100"/>
      <c r="K112" s="100"/>
      <c r="L112" s="101"/>
      <c r="M112" s="101"/>
      <c r="N112" s="112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</row>
    <row r="113" spans="1:29" ht="13">
      <c r="A113" s="115"/>
      <c r="B113" s="97"/>
      <c r="C113" s="115"/>
      <c r="D113" s="115"/>
      <c r="E113" s="115"/>
      <c r="F113" s="115"/>
      <c r="G113" s="99"/>
      <c r="H113" s="98"/>
      <c r="I113" s="100"/>
      <c r="J113" s="100"/>
      <c r="K113" s="100"/>
      <c r="L113" s="101"/>
      <c r="M113" s="101"/>
      <c r="N113" s="112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</row>
    <row r="114" spans="1:29" ht="13">
      <c r="A114" s="115"/>
      <c r="B114" s="97"/>
      <c r="C114" s="115"/>
      <c r="D114" s="115"/>
      <c r="E114" s="115"/>
      <c r="F114" s="115"/>
      <c r="G114" s="99"/>
      <c r="H114" s="98"/>
      <c r="I114" s="100"/>
      <c r="J114" s="100"/>
      <c r="K114" s="100"/>
      <c r="L114" s="101"/>
      <c r="M114" s="101"/>
      <c r="N114" s="112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</row>
    <row r="115" spans="1:29" ht="13">
      <c r="A115" s="115"/>
      <c r="B115" s="97"/>
      <c r="C115" s="115"/>
      <c r="D115" s="115"/>
      <c r="E115" s="115"/>
      <c r="F115" s="115"/>
      <c r="G115" s="99"/>
      <c r="H115" s="98"/>
      <c r="I115" s="100"/>
      <c r="J115" s="100"/>
      <c r="K115" s="100"/>
      <c r="L115" s="101"/>
      <c r="M115" s="101"/>
      <c r="N115" s="112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</row>
    <row r="116" spans="1:29" ht="13">
      <c r="A116" s="115"/>
      <c r="B116" s="97"/>
      <c r="C116" s="115"/>
      <c r="D116" s="115"/>
      <c r="E116" s="115"/>
      <c r="F116" s="115"/>
      <c r="G116" s="99"/>
      <c r="H116" s="98"/>
      <c r="I116" s="100"/>
      <c r="J116" s="100"/>
      <c r="K116" s="100"/>
      <c r="L116" s="101"/>
      <c r="M116" s="101"/>
      <c r="N116" s="112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</row>
    <row r="117" spans="1:29" ht="13">
      <c r="A117" s="115"/>
      <c r="B117" s="97"/>
      <c r="C117" s="115"/>
      <c r="D117" s="115"/>
      <c r="E117" s="115"/>
      <c r="F117" s="115"/>
      <c r="G117" s="99"/>
      <c r="H117" s="98"/>
      <c r="I117" s="100"/>
      <c r="J117" s="100"/>
      <c r="K117" s="100"/>
      <c r="L117" s="101"/>
      <c r="M117" s="101"/>
      <c r="N117" s="112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</row>
    <row r="118" spans="1:29" ht="13">
      <c r="A118" s="115"/>
      <c r="B118" s="97"/>
      <c r="C118" s="115"/>
      <c r="D118" s="115"/>
      <c r="E118" s="115"/>
      <c r="F118" s="115"/>
      <c r="G118" s="99"/>
      <c r="H118" s="98"/>
      <c r="I118" s="100"/>
      <c r="J118" s="100"/>
      <c r="K118" s="100"/>
      <c r="L118" s="101"/>
      <c r="M118" s="101"/>
      <c r="N118" s="112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</row>
    <row r="119" spans="1:29" ht="13">
      <c r="A119" s="115"/>
      <c r="B119" s="97"/>
      <c r="C119" s="115"/>
      <c r="D119" s="115"/>
      <c r="E119" s="115"/>
      <c r="F119" s="115"/>
      <c r="G119" s="99"/>
      <c r="H119" s="98"/>
      <c r="I119" s="100"/>
      <c r="J119" s="100"/>
      <c r="K119" s="100"/>
      <c r="L119" s="101"/>
      <c r="M119" s="101"/>
      <c r="N119" s="112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</row>
    <row r="120" spans="1:29" ht="13">
      <c r="A120" s="115"/>
      <c r="B120" s="97"/>
      <c r="C120" s="115"/>
      <c r="D120" s="115"/>
      <c r="E120" s="115"/>
      <c r="F120" s="115"/>
      <c r="G120" s="99"/>
      <c r="H120" s="98"/>
      <c r="I120" s="100"/>
      <c r="J120" s="100"/>
      <c r="K120" s="100"/>
      <c r="L120" s="101"/>
      <c r="M120" s="101"/>
      <c r="N120" s="112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</row>
    <row r="121" spans="1:29" ht="13">
      <c r="A121" s="115"/>
      <c r="B121" s="97"/>
      <c r="C121" s="115"/>
      <c r="D121" s="115"/>
      <c r="E121" s="115"/>
      <c r="F121" s="115"/>
      <c r="G121" s="99"/>
      <c r="H121" s="98"/>
      <c r="I121" s="100"/>
      <c r="J121" s="100"/>
      <c r="K121" s="100"/>
      <c r="L121" s="101"/>
      <c r="M121" s="101"/>
      <c r="N121" s="112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</row>
    <row r="122" spans="1:29" ht="13">
      <c r="A122" s="115"/>
      <c r="B122" s="97"/>
      <c r="C122" s="115"/>
      <c r="D122" s="115"/>
      <c r="E122" s="115"/>
      <c r="F122" s="115"/>
      <c r="G122" s="99"/>
      <c r="H122" s="98"/>
      <c r="I122" s="100"/>
      <c r="J122" s="100"/>
      <c r="K122" s="100"/>
      <c r="L122" s="101"/>
      <c r="M122" s="101"/>
      <c r="N122" s="112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</row>
    <row r="123" spans="1:29" ht="13">
      <c r="A123" s="115"/>
      <c r="B123" s="97"/>
      <c r="C123" s="115"/>
      <c r="D123" s="115"/>
      <c r="E123" s="115"/>
      <c r="F123" s="115"/>
      <c r="G123" s="99"/>
      <c r="H123" s="98"/>
      <c r="I123" s="100"/>
      <c r="J123" s="100"/>
      <c r="K123" s="100"/>
      <c r="L123" s="101"/>
      <c r="M123" s="101"/>
      <c r="N123" s="112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</row>
    <row r="124" spans="1:29" ht="13">
      <c r="A124" s="115"/>
      <c r="B124" s="97"/>
      <c r="C124" s="115"/>
      <c r="D124" s="115"/>
      <c r="E124" s="115"/>
      <c r="F124" s="115"/>
      <c r="G124" s="99"/>
      <c r="H124" s="98"/>
      <c r="I124" s="100"/>
      <c r="J124" s="100"/>
      <c r="K124" s="100"/>
      <c r="L124" s="101"/>
      <c r="M124" s="101"/>
      <c r="N124" s="112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</row>
    <row r="125" spans="1:29" ht="13">
      <c r="A125" s="115"/>
      <c r="B125" s="97"/>
      <c r="C125" s="115"/>
      <c r="D125" s="115"/>
      <c r="E125" s="115"/>
      <c r="F125" s="115"/>
      <c r="G125" s="99"/>
      <c r="H125" s="98"/>
      <c r="I125" s="100"/>
      <c r="J125" s="100"/>
      <c r="K125" s="100"/>
      <c r="L125" s="101"/>
      <c r="M125" s="101"/>
      <c r="N125" s="112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</row>
    <row r="126" spans="1:29" ht="13">
      <c r="A126" s="115"/>
      <c r="B126" s="97"/>
      <c r="C126" s="115"/>
      <c r="D126" s="115"/>
      <c r="E126" s="115"/>
      <c r="F126" s="115"/>
      <c r="G126" s="99"/>
      <c r="H126" s="98"/>
      <c r="I126" s="100"/>
      <c r="J126" s="100"/>
      <c r="K126" s="100"/>
      <c r="L126" s="101"/>
      <c r="M126" s="101"/>
      <c r="N126" s="112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</row>
    <row r="127" spans="1:29" ht="13">
      <c r="A127" s="115"/>
      <c r="B127" s="97"/>
      <c r="C127" s="115"/>
      <c r="D127" s="115"/>
      <c r="E127" s="115"/>
      <c r="F127" s="115"/>
      <c r="G127" s="99"/>
      <c r="H127" s="98"/>
      <c r="I127" s="100"/>
      <c r="J127" s="100"/>
      <c r="K127" s="100"/>
      <c r="L127" s="101"/>
      <c r="M127" s="101"/>
      <c r="N127" s="112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</row>
    <row r="128" spans="1:29" ht="13">
      <c r="A128" s="115"/>
      <c r="B128" s="97"/>
      <c r="C128" s="115"/>
      <c r="D128" s="115"/>
      <c r="E128" s="115"/>
      <c r="F128" s="115"/>
      <c r="G128" s="99"/>
      <c r="H128" s="98"/>
      <c r="I128" s="100"/>
      <c r="J128" s="100"/>
      <c r="K128" s="100"/>
      <c r="L128" s="101"/>
      <c r="M128" s="101"/>
      <c r="N128" s="112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</row>
    <row r="129" spans="1:29" ht="13">
      <c r="A129" s="115"/>
      <c r="B129" s="97"/>
      <c r="C129" s="115"/>
      <c r="D129" s="115"/>
      <c r="E129" s="115"/>
      <c r="F129" s="115"/>
      <c r="G129" s="99"/>
      <c r="H129" s="98"/>
      <c r="I129" s="100"/>
      <c r="J129" s="100"/>
      <c r="K129" s="100"/>
      <c r="L129" s="101"/>
      <c r="M129" s="101"/>
      <c r="N129" s="112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</row>
    <row r="130" spans="1:29" ht="13">
      <c r="A130" s="115"/>
      <c r="B130" s="97"/>
      <c r="C130" s="115"/>
      <c r="D130" s="115"/>
      <c r="E130" s="115"/>
      <c r="F130" s="115"/>
      <c r="G130" s="99"/>
      <c r="H130" s="98"/>
      <c r="I130" s="100"/>
      <c r="J130" s="100"/>
      <c r="K130" s="100"/>
      <c r="L130" s="101"/>
      <c r="M130" s="101"/>
      <c r="N130" s="112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</row>
    <row r="131" spans="1:29" ht="13">
      <c r="A131" s="115"/>
      <c r="B131" s="97"/>
      <c r="C131" s="115"/>
      <c r="D131" s="115"/>
      <c r="E131" s="115"/>
      <c r="F131" s="115"/>
      <c r="G131" s="99"/>
      <c r="H131" s="98"/>
      <c r="I131" s="100"/>
      <c r="J131" s="100"/>
      <c r="K131" s="100"/>
      <c r="L131" s="101"/>
      <c r="M131" s="101"/>
      <c r="N131" s="112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</row>
    <row r="132" spans="1:29" ht="13">
      <c r="A132" s="115"/>
      <c r="B132" s="97"/>
      <c r="C132" s="115"/>
      <c r="D132" s="115"/>
      <c r="E132" s="115"/>
      <c r="F132" s="115"/>
      <c r="G132" s="99"/>
      <c r="H132" s="98"/>
      <c r="I132" s="100"/>
      <c r="J132" s="100"/>
      <c r="K132" s="100"/>
      <c r="L132" s="101"/>
      <c r="M132" s="101"/>
      <c r="N132" s="112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</row>
    <row r="133" spans="1:29" ht="13">
      <c r="A133" s="115"/>
      <c r="B133" s="97"/>
      <c r="C133" s="115"/>
      <c r="D133" s="115"/>
      <c r="E133" s="115"/>
      <c r="F133" s="115"/>
      <c r="G133" s="99"/>
      <c r="H133" s="98"/>
      <c r="I133" s="100"/>
      <c r="J133" s="100"/>
      <c r="K133" s="100"/>
      <c r="L133" s="101"/>
      <c r="M133" s="101"/>
      <c r="N133" s="112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</row>
    <row r="134" spans="1:29" ht="13">
      <c r="A134" s="115"/>
      <c r="B134" s="97"/>
      <c r="C134" s="115"/>
      <c r="D134" s="115"/>
      <c r="E134" s="115"/>
      <c r="F134" s="115"/>
      <c r="G134" s="99"/>
      <c r="H134" s="98"/>
      <c r="I134" s="100"/>
      <c r="J134" s="100"/>
      <c r="K134" s="100"/>
      <c r="L134" s="101"/>
      <c r="M134" s="101"/>
      <c r="N134" s="112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</row>
    <row r="135" spans="1:29" ht="13">
      <c r="A135" s="115"/>
      <c r="B135" s="97"/>
      <c r="C135" s="115"/>
      <c r="D135" s="115"/>
      <c r="E135" s="115"/>
      <c r="F135" s="115"/>
      <c r="G135" s="99"/>
      <c r="H135" s="98"/>
      <c r="I135" s="100"/>
      <c r="J135" s="100"/>
      <c r="K135" s="100"/>
      <c r="L135" s="101"/>
      <c r="M135" s="101"/>
      <c r="N135" s="112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</row>
    <row r="136" spans="1:29" ht="13">
      <c r="A136" s="115"/>
      <c r="B136" s="97"/>
      <c r="C136" s="115"/>
      <c r="D136" s="115"/>
      <c r="E136" s="115"/>
      <c r="F136" s="115"/>
      <c r="G136" s="99"/>
      <c r="H136" s="98"/>
      <c r="I136" s="100"/>
      <c r="J136" s="100"/>
      <c r="K136" s="100"/>
      <c r="L136" s="101"/>
      <c r="M136" s="101"/>
      <c r="N136" s="112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</row>
    <row r="137" spans="1:29" ht="13">
      <c r="A137" s="115"/>
      <c r="B137" s="97"/>
      <c r="C137" s="115"/>
      <c r="D137" s="115"/>
      <c r="E137" s="115"/>
      <c r="F137" s="115"/>
      <c r="G137" s="99"/>
      <c r="H137" s="98"/>
      <c r="I137" s="100"/>
      <c r="J137" s="100"/>
      <c r="K137" s="100"/>
      <c r="L137" s="101"/>
      <c r="M137" s="101"/>
      <c r="N137" s="112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</row>
    <row r="138" spans="1:29" ht="13">
      <c r="A138" s="115"/>
      <c r="B138" s="97"/>
      <c r="C138" s="115"/>
      <c r="D138" s="115"/>
      <c r="E138" s="115"/>
      <c r="F138" s="115"/>
      <c r="G138" s="99"/>
      <c r="H138" s="98"/>
      <c r="I138" s="100"/>
      <c r="J138" s="100"/>
      <c r="K138" s="100"/>
      <c r="L138" s="101"/>
      <c r="M138" s="101"/>
      <c r="N138" s="112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</row>
    <row r="139" spans="1:29" ht="13">
      <c r="A139" s="115"/>
      <c r="B139" s="97"/>
      <c r="C139" s="115"/>
      <c r="D139" s="115"/>
      <c r="E139" s="115"/>
      <c r="F139" s="115"/>
      <c r="G139" s="99"/>
      <c r="H139" s="98"/>
      <c r="I139" s="100"/>
      <c r="J139" s="100"/>
      <c r="K139" s="100"/>
      <c r="L139" s="101"/>
      <c r="M139" s="101"/>
      <c r="N139" s="112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</row>
    <row r="140" spans="1:29" ht="13">
      <c r="A140" s="115"/>
      <c r="B140" s="97"/>
      <c r="C140" s="115"/>
      <c r="D140" s="115"/>
      <c r="E140" s="115"/>
      <c r="F140" s="115"/>
      <c r="G140" s="99"/>
      <c r="H140" s="98"/>
      <c r="I140" s="100"/>
      <c r="J140" s="100"/>
      <c r="K140" s="100"/>
      <c r="L140" s="101"/>
      <c r="M140" s="101"/>
      <c r="N140" s="112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</row>
    <row r="141" spans="1:29" ht="13">
      <c r="A141" s="115"/>
      <c r="B141" s="97"/>
      <c r="C141" s="115"/>
      <c r="D141" s="115"/>
      <c r="E141" s="115"/>
      <c r="F141" s="115"/>
      <c r="G141" s="99"/>
      <c r="H141" s="98"/>
      <c r="I141" s="100"/>
      <c r="J141" s="100"/>
      <c r="K141" s="100"/>
      <c r="L141" s="101"/>
      <c r="M141" s="101"/>
      <c r="N141" s="112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</row>
    <row r="142" spans="1:29" ht="13">
      <c r="A142" s="115"/>
      <c r="B142" s="97"/>
      <c r="C142" s="115"/>
      <c r="D142" s="115"/>
      <c r="E142" s="115"/>
      <c r="F142" s="115"/>
      <c r="G142" s="99"/>
      <c r="H142" s="98"/>
      <c r="I142" s="100"/>
      <c r="J142" s="100"/>
      <c r="K142" s="100"/>
      <c r="L142" s="101"/>
      <c r="M142" s="101"/>
      <c r="N142" s="112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</row>
    <row r="143" spans="1:29" ht="13">
      <c r="A143" s="115"/>
      <c r="B143" s="97"/>
      <c r="C143" s="115"/>
      <c r="D143" s="115"/>
      <c r="E143" s="115"/>
      <c r="F143" s="115"/>
      <c r="G143" s="99"/>
      <c r="H143" s="98"/>
      <c r="I143" s="100"/>
      <c r="J143" s="100"/>
      <c r="K143" s="100"/>
      <c r="L143" s="101"/>
      <c r="M143" s="101"/>
      <c r="N143" s="112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</row>
    <row r="144" spans="1:29" ht="13">
      <c r="A144" s="115"/>
      <c r="B144" s="97"/>
      <c r="C144" s="115"/>
      <c r="D144" s="115"/>
      <c r="E144" s="115"/>
      <c r="F144" s="115"/>
      <c r="G144" s="99"/>
      <c r="H144" s="98"/>
      <c r="I144" s="100"/>
      <c r="J144" s="100"/>
      <c r="K144" s="100"/>
      <c r="L144" s="101"/>
      <c r="M144" s="101"/>
      <c r="N144" s="112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</row>
    <row r="145" spans="1:29" ht="13">
      <c r="A145" s="115"/>
      <c r="B145" s="97"/>
      <c r="C145" s="115"/>
      <c r="D145" s="115"/>
      <c r="E145" s="115"/>
      <c r="F145" s="115"/>
      <c r="G145" s="99"/>
      <c r="H145" s="98"/>
      <c r="I145" s="100"/>
      <c r="J145" s="100"/>
      <c r="K145" s="100"/>
      <c r="L145" s="101"/>
      <c r="M145" s="101"/>
      <c r="N145" s="112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</row>
    <row r="146" spans="1:29" ht="13">
      <c r="A146" s="115"/>
      <c r="B146" s="97"/>
      <c r="C146" s="115"/>
      <c r="D146" s="115"/>
      <c r="E146" s="115"/>
      <c r="F146" s="115"/>
      <c r="G146" s="99"/>
      <c r="H146" s="98"/>
      <c r="I146" s="100"/>
      <c r="J146" s="100"/>
      <c r="K146" s="100"/>
      <c r="L146" s="101"/>
      <c r="M146" s="101"/>
      <c r="N146" s="112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</row>
    <row r="147" spans="1:29" ht="13">
      <c r="A147" s="115"/>
      <c r="B147" s="97"/>
      <c r="C147" s="115"/>
      <c r="D147" s="115"/>
      <c r="E147" s="115"/>
      <c r="F147" s="115"/>
      <c r="G147" s="99"/>
      <c r="H147" s="98"/>
      <c r="I147" s="100"/>
      <c r="J147" s="100"/>
      <c r="K147" s="100"/>
      <c r="L147" s="101"/>
      <c r="M147" s="101"/>
      <c r="N147" s="112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</row>
    <row r="148" spans="1:29" ht="13">
      <c r="A148" s="115"/>
      <c r="B148" s="97"/>
      <c r="C148" s="115"/>
      <c r="D148" s="115"/>
      <c r="E148" s="115"/>
      <c r="F148" s="115"/>
      <c r="G148" s="99"/>
      <c r="H148" s="98"/>
      <c r="I148" s="100"/>
      <c r="J148" s="100"/>
      <c r="K148" s="100"/>
      <c r="L148" s="101"/>
      <c r="M148" s="101"/>
      <c r="N148" s="112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</row>
    <row r="149" spans="1:29" ht="13">
      <c r="A149" s="115"/>
      <c r="B149" s="97"/>
      <c r="C149" s="115"/>
      <c r="D149" s="115"/>
      <c r="E149" s="115"/>
      <c r="F149" s="115"/>
      <c r="G149" s="99"/>
      <c r="H149" s="98"/>
      <c r="I149" s="100"/>
      <c r="J149" s="100"/>
      <c r="K149" s="100"/>
      <c r="L149" s="101"/>
      <c r="M149" s="101"/>
      <c r="N149" s="112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</row>
    <row r="150" spans="1:29" ht="13">
      <c r="A150" s="115"/>
      <c r="B150" s="97"/>
      <c r="C150" s="115"/>
      <c r="D150" s="115"/>
      <c r="E150" s="115"/>
      <c r="F150" s="115"/>
      <c r="G150" s="99"/>
      <c r="H150" s="98"/>
      <c r="I150" s="100"/>
      <c r="J150" s="100"/>
      <c r="K150" s="100"/>
      <c r="L150" s="101"/>
      <c r="M150" s="101"/>
      <c r="N150" s="112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</row>
    <row r="151" spans="1:29" ht="13">
      <c r="A151" s="115"/>
      <c r="B151" s="97"/>
      <c r="C151" s="115"/>
      <c r="D151" s="115"/>
      <c r="E151" s="115"/>
      <c r="F151" s="115"/>
      <c r="G151" s="99"/>
      <c r="H151" s="98"/>
      <c r="I151" s="100"/>
      <c r="J151" s="100"/>
      <c r="K151" s="100"/>
      <c r="L151" s="101"/>
      <c r="M151" s="101"/>
      <c r="N151" s="112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</row>
    <row r="152" spans="1:29" ht="13">
      <c r="A152" s="115"/>
      <c r="B152" s="97"/>
      <c r="C152" s="115"/>
      <c r="D152" s="115"/>
      <c r="E152" s="115"/>
      <c r="F152" s="115"/>
      <c r="G152" s="99"/>
      <c r="H152" s="98"/>
      <c r="I152" s="100"/>
      <c r="J152" s="100"/>
      <c r="K152" s="100"/>
      <c r="L152" s="101"/>
      <c r="M152" s="101"/>
      <c r="N152" s="112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</row>
    <row r="153" spans="1:29" ht="13">
      <c r="A153" s="115"/>
      <c r="B153" s="97"/>
      <c r="C153" s="115"/>
      <c r="D153" s="115"/>
      <c r="E153" s="115"/>
      <c r="F153" s="115"/>
      <c r="G153" s="99"/>
      <c r="H153" s="98"/>
      <c r="I153" s="100"/>
      <c r="J153" s="100"/>
      <c r="K153" s="100"/>
      <c r="L153" s="101"/>
      <c r="M153" s="101"/>
      <c r="N153" s="112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</row>
    <row r="154" spans="1:29" ht="13">
      <c r="A154" s="115"/>
      <c r="B154" s="97"/>
      <c r="C154" s="115"/>
      <c r="D154" s="115"/>
      <c r="E154" s="115"/>
      <c r="F154" s="115"/>
      <c r="G154" s="99"/>
      <c r="H154" s="98"/>
      <c r="I154" s="100"/>
      <c r="J154" s="100"/>
      <c r="K154" s="100"/>
      <c r="L154" s="101"/>
      <c r="M154" s="101"/>
      <c r="N154" s="112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</row>
    <row r="155" spans="1:29" ht="13">
      <c r="A155" s="115"/>
      <c r="B155" s="97"/>
      <c r="C155" s="115"/>
      <c r="D155" s="115"/>
      <c r="E155" s="115"/>
      <c r="F155" s="115"/>
      <c r="G155" s="99"/>
      <c r="H155" s="98"/>
      <c r="I155" s="100"/>
      <c r="J155" s="100"/>
      <c r="K155" s="100"/>
      <c r="L155" s="101"/>
      <c r="M155" s="101"/>
      <c r="N155" s="112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</row>
    <row r="156" spans="1:29" ht="13">
      <c r="A156" s="115"/>
      <c r="B156" s="97"/>
      <c r="C156" s="115"/>
      <c r="D156" s="115"/>
      <c r="E156" s="115"/>
      <c r="F156" s="115"/>
      <c r="G156" s="99"/>
      <c r="H156" s="98"/>
      <c r="I156" s="100"/>
      <c r="J156" s="100"/>
      <c r="K156" s="100"/>
      <c r="L156" s="101"/>
      <c r="M156" s="101"/>
      <c r="N156" s="112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</row>
    <row r="157" spans="1:29" ht="13">
      <c r="A157" s="115"/>
      <c r="B157" s="97"/>
      <c r="C157" s="115"/>
      <c r="D157" s="115"/>
      <c r="E157" s="115"/>
      <c r="F157" s="115"/>
      <c r="G157" s="99"/>
      <c r="H157" s="98"/>
      <c r="I157" s="100"/>
      <c r="J157" s="100"/>
      <c r="K157" s="100"/>
      <c r="L157" s="101"/>
      <c r="M157" s="101"/>
      <c r="N157" s="112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</row>
    <row r="158" spans="1:29" ht="13">
      <c r="A158" s="115"/>
      <c r="B158" s="97"/>
      <c r="C158" s="115"/>
      <c r="D158" s="115"/>
      <c r="E158" s="115"/>
      <c r="F158" s="115"/>
      <c r="G158" s="99"/>
      <c r="H158" s="98"/>
      <c r="I158" s="100"/>
      <c r="J158" s="100"/>
      <c r="K158" s="100"/>
      <c r="L158" s="101"/>
      <c r="M158" s="101"/>
      <c r="N158" s="112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</row>
    <row r="159" spans="1:29" ht="13">
      <c r="A159" s="115"/>
      <c r="B159" s="97"/>
      <c r="C159" s="115"/>
      <c r="D159" s="115"/>
      <c r="E159" s="115"/>
      <c r="F159" s="115"/>
      <c r="G159" s="99"/>
      <c r="H159" s="98"/>
      <c r="I159" s="100"/>
      <c r="J159" s="100"/>
      <c r="K159" s="100"/>
      <c r="L159" s="101"/>
      <c r="M159" s="101"/>
      <c r="N159" s="112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</row>
    <row r="160" spans="1:29" ht="13">
      <c r="A160" s="115"/>
      <c r="B160" s="97"/>
      <c r="C160" s="115"/>
      <c r="D160" s="115"/>
      <c r="E160" s="115"/>
      <c r="F160" s="115"/>
      <c r="G160" s="99"/>
      <c r="H160" s="98"/>
      <c r="I160" s="100"/>
      <c r="J160" s="100"/>
      <c r="K160" s="100"/>
      <c r="L160" s="101"/>
      <c r="M160" s="101"/>
      <c r="N160" s="112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</row>
    <row r="161" spans="1:29" ht="13">
      <c r="A161" s="115"/>
      <c r="B161" s="97"/>
      <c r="C161" s="115"/>
      <c r="D161" s="115"/>
      <c r="E161" s="115"/>
      <c r="F161" s="115"/>
      <c r="G161" s="99"/>
      <c r="H161" s="98"/>
      <c r="I161" s="100"/>
      <c r="J161" s="100"/>
      <c r="K161" s="100"/>
      <c r="L161" s="101"/>
      <c r="M161" s="101"/>
      <c r="N161" s="112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</row>
    <row r="162" spans="1:29" ht="13">
      <c r="A162" s="115"/>
      <c r="B162" s="97"/>
      <c r="C162" s="115"/>
      <c r="D162" s="115"/>
      <c r="E162" s="115"/>
      <c r="F162" s="115"/>
      <c r="G162" s="99"/>
      <c r="H162" s="98"/>
      <c r="I162" s="100"/>
      <c r="J162" s="100"/>
      <c r="K162" s="100"/>
      <c r="L162" s="101"/>
      <c r="M162" s="101"/>
      <c r="N162" s="112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</row>
    <row r="163" spans="1:29" ht="13">
      <c r="A163" s="115"/>
      <c r="B163" s="97"/>
      <c r="C163" s="115"/>
      <c r="D163" s="115"/>
      <c r="E163" s="115"/>
      <c r="F163" s="115"/>
      <c r="G163" s="99"/>
      <c r="H163" s="98"/>
      <c r="I163" s="100"/>
      <c r="J163" s="100"/>
      <c r="K163" s="100"/>
      <c r="L163" s="101"/>
      <c r="M163" s="101"/>
      <c r="N163" s="112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</row>
    <row r="164" spans="1:29" ht="13">
      <c r="A164" s="115"/>
      <c r="B164" s="97"/>
      <c r="C164" s="115"/>
      <c r="D164" s="115"/>
      <c r="E164" s="115"/>
      <c r="F164" s="115"/>
      <c r="G164" s="99"/>
      <c r="H164" s="98"/>
      <c r="I164" s="100"/>
      <c r="J164" s="100"/>
      <c r="K164" s="100"/>
      <c r="L164" s="101"/>
      <c r="M164" s="101"/>
      <c r="N164" s="112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</row>
    <row r="165" spans="1:29" ht="13">
      <c r="A165" s="115"/>
      <c r="B165" s="97"/>
      <c r="C165" s="115"/>
      <c r="D165" s="115"/>
      <c r="E165" s="115"/>
      <c r="F165" s="115"/>
      <c r="G165" s="99"/>
      <c r="H165" s="98"/>
      <c r="I165" s="100"/>
      <c r="J165" s="100"/>
      <c r="K165" s="100"/>
      <c r="L165" s="101"/>
      <c r="M165" s="101"/>
      <c r="N165" s="112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</row>
    <row r="166" spans="1:29" ht="13">
      <c r="A166" s="115"/>
      <c r="B166" s="97"/>
      <c r="C166" s="115"/>
      <c r="D166" s="115"/>
      <c r="E166" s="115"/>
      <c r="F166" s="115"/>
      <c r="G166" s="99"/>
      <c r="H166" s="98"/>
      <c r="I166" s="100"/>
      <c r="J166" s="100"/>
      <c r="K166" s="100"/>
      <c r="L166" s="101"/>
      <c r="M166" s="101"/>
      <c r="N166" s="112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</row>
    <row r="167" spans="1:29" ht="13">
      <c r="A167" s="115"/>
      <c r="B167" s="97"/>
      <c r="C167" s="115"/>
      <c r="D167" s="115"/>
      <c r="E167" s="115"/>
      <c r="F167" s="115"/>
      <c r="G167" s="99"/>
      <c r="H167" s="98"/>
      <c r="I167" s="100"/>
      <c r="J167" s="100"/>
      <c r="K167" s="100"/>
      <c r="L167" s="101"/>
      <c r="M167" s="101"/>
      <c r="N167" s="112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</row>
    <row r="168" spans="1:29" ht="13">
      <c r="A168" s="115"/>
      <c r="B168" s="97"/>
      <c r="C168" s="115"/>
      <c r="D168" s="115"/>
      <c r="E168" s="115"/>
      <c r="F168" s="115"/>
      <c r="G168" s="99"/>
      <c r="H168" s="98"/>
      <c r="I168" s="100"/>
      <c r="J168" s="100"/>
      <c r="K168" s="100"/>
      <c r="L168" s="101"/>
      <c r="M168" s="101"/>
      <c r="N168" s="112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</row>
    <row r="169" spans="1:29" ht="13">
      <c r="A169" s="115"/>
      <c r="B169" s="97"/>
      <c r="C169" s="115"/>
      <c r="D169" s="115"/>
      <c r="E169" s="115"/>
      <c r="F169" s="115"/>
      <c r="G169" s="99"/>
      <c r="H169" s="98"/>
      <c r="I169" s="100"/>
      <c r="J169" s="100"/>
      <c r="K169" s="100"/>
      <c r="L169" s="101"/>
      <c r="M169" s="101"/>
      <c r="N169" s="112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</row>
    <row r="170" spans="1:29" ht="13">
      <c r="A170" s="115"/>
      <c r="B170" s="97"/>
      <c r="C170" s="115"/>
      <c r="D170" s="115"/>
      <c r="E170" s="115"/>
      <c r="F170" s="115"/>
      <c r="G170" s="99"/>
      <c r="H170" s="98"/>
      <c r="I170" s="100"/>
      <c r="J170" s="100"/>
      <c r="K170" s="100"/>
      <c r="L170" s="101"/>
      <c r="M170" s="101"/>
      <c r="N170" s="112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</row>
    <row r="171" spans="1:29" ht="13">
      <c r="A171" s="115"/>
      <c r="B171" s="97"/>
      <c r="C171" s="115"/>
      <c r="D171" s="115"/>
      <c r="E171" s="115"/>
      <c r="F171" s="115"/>
      <c r="G171" s="99"/>
      <c r="H171" s="98"/>
      <c r="I171" s="100"/>
      <c r="J171" s="100"/>
      <c r="K171" s="100"/>
      <c r="L171" s="101"/>
      <c r="M171" s="101"/>
      <c r="N171" s="112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</row>
    <row r="172" spans="1:29" ht="13">
      <c r="A172" s="115"/>
      <c r="B172" s="97"/>
      <c r="C172" s="115"/>
      <c r="D172" s="115"/>
      <c r="E172" s="115"/>
      <c r="F172" s="115"/>
      <c r="G172" s="99"/>
      <c r="H172" s="98"/>
      <c r="I172" s="100"/>
      <c r="J172" s="100"/>
      <c r="K172" s="100"/>
      <c r="L172" s="101"/>
      <c r="M172" s="101"/>
      <c r="N172" s="112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</row>
    <row r="173" spans="1:29" ht="13">
      <c r="A173" s="115"/>
      <c r="B173" s="97"/>
      <c r="C173" s="115"/>
      <c r="D173" s="115"/>
      <c r="E173" s="115"/>
      <c r="F173" s="115"/>
      <c r="G173" s="99"/>
      <c r="H173" s="98"/>
      <c r="I173" s="100"/>
      <c r="J173" s="100"/>
      <c r="K173" s="100"/>
      <c r="L173" s="101"/>
      <c r="M173" s="101"/>
      <c r="N173" s="112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</row>
    <row r="174" spans="1:29" ht="13">
      <c r="A174" s="115"/>
      <c r="B174" s="97"/>
      <c r="C174" s="115"/>
      <c r="D174" s="115"/>
      <c r="E174" s="115"/>
      <c r="F174" s="115"/>
      <c r="G174" s="99"/>
      <c r="H174" s="98"/>
      <c r="I174" s="100"/>
      <c r="J174" s="100"/>
      <c r="K174" s="100"/>
      <c r="L174" s="101"/>
      <c r="M174" s="101"/>
      <c r="N174" s="112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</row>
    <row r="175" spans="1:29" ht="13">
      <c r="A175" s="115"/>
      <c r="B175" s="97"/>
      <c r="C175" s="115"/>
      <c r="D175" s="115"/>
      <c r="E175" s="115"/>
      <c r="F175" s="115"/>
      <c r="G175" s="99"/>
      <c r="H175" s="98"/>
      <c r="I175" s="100"/>
      <c r="J175" s="100"/>
      <c r="K175" s="100"/>
      <c r="L175" s="101"/>
      <c r="M175" s="101"/>
      <c r="N175" s="112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</row>
    <row r="176" spans="1:29" ht="13">
      <c r="A176" s="115"/>
      <c r="B176" s="97"/>
      <c r="C176" s="115"/>
      <c r="D176" s="115"/>
      <c r="E176" s="115"/>
      <c r="F176" s="115"/>
      <c r="G176" s="99"/>
      <c r="H176" s="98"/>
      <c r="I176" s="100"/>
      <c r="J176" s="100"/>
      <c r="K176" s="100"/>
      <c r="L176" s="101"/>
      <c r="M176" s="101"/>
      <c r="N176" s="112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</row>
    <row r="177" spans="1:29" ht="13">
      <c r="A177" s="115"/>
      <c r="B177" s="97"/>
      <c r="C177" s="115"/>
      <c r="D177" s="115"/>
      <c r="E177" s="115"/>
      <c r="F177" s="115"/>
      <c r="G177" s="99"/>
      <c r="H177" s="98"/>
      <c r="I177" s="100"/>
      <c r="J177" s="100"/>
      <c r="K177" s="100"/>
      <c r="L177" s="101"/>
      <c r="M177" s="101"/>
      <c r="N177" s="112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</row>
    <row r="178" spans="1:29" ht="13">
      <c r="A178" s="115"/>
      <c r="B178" s="97"/>
      <c r="C178" s="115"/>
      <c r="D178" s="115"/>
      <c r="E178" s="115"/>
      <c r="F178" s="115"/>
      <c r="G178" s="99"/>
      <c r="H178" s="98"/>
      <c r="I178" s="100"/>
      <c r="J178" s="100"/>
      <c r="K178" s="100"/>
      <c r="L178" s="101"/>
      <c r="M178" s="101"/>
      <c r="N178" s="112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</row>
    <row r="179" spans="1:29" ht="13">
      <c r="A179" s="115"/>
      <c r="B179" s="97"/>
      <c r="C179" s="115"/>
      <c r="D179" s="115"/>
      <c r="E179" s="115"/>
      <c r="F179" s="115"/>
      <c r="G179" s="99"/>
      <c r="H179" s="98"/>
      <c r="I179" s="100"/>
      <c r="J179" s="100"/>
      <c r="K179" s="100"/>
      <c r="L179" s="101"/>
      <c r="M179" s="101"/>
      <c r="N179" s="112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</row>
    <row r="180" spans="1:29" ht="13">
      <c r="A180" s="115"/>
      <c r="B180" s="97"/>
      <c r="C180" s="115"/>
      <c r="D180" s="115"/>
      <c r="E180" s="115"/>
      <c r="F180" s="115"/>
      <c r="G180" s="99"/>
      <c r="H180" s="98"/>
      <c r="I180" s="100"/>
      <c r="J180" s="100"/>
      <c r="K180" s="100"/>
      <c r="L180" s="101"/>
      <c r="M180" s="101"/>
      <c r="N180" s="112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</row>
    <row r="181" spans="1:29" ht="13">
      <c r="A181" s="115"/>
      <c r="B181" s="97"/>
      <c r="C181" s="115"/>
      <c r="D181" s="115"/>
      <c r="E181" s="115"/>
      <c r="F181" s="115"/>
      <c r="G181" s="99"/>
      <c r="H181" s="98"/>
      <c r="I181" s="100"/>
      <c r="J181" s="100"/>
      <c r="K181" s="100"/>
      <c r="L181" s="101"/>
      <c r="M181" s="101"/>
      <c r="N181" s="112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</row>
    <row r="182" spans="1:29" ht="13">
      <c r="A182" s="115"/>
      <c r="B182" s="97"/>
      <c r="C182" s="115"/>
      <c r="D182" s="115"/>
      <c r="E182" s="115"/>
      <c r="F182" s="115"/>
      <c r="G182" s="99"/>
      <c r="H182" s="98"/>
      <c r="I182" s="100"/>
      <c r="J182" s="100"/>
      <c r="K182" s="100"/>
      <c r="L182" s="101"/>
      <c r="M182" s="101"/>
      <c r="N182" s="112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</row>
    <row r="183" spans="1:29" ht="13">
      <c r="A183" s="115"/>
      <c r="B183" s="97"/>
      <c r="C183" s="115"/>
      <c r="D183" s="115"/>
      <c r="E183" s="115"/>
      <c r="F183" s="115"/>
      <c r="G183" s="99"/>
      <c r="H183" s="98"/>
      <c r="I183" s="100"/>
      <c r="J183" s="100"/>
      <c r="K183" s="100"/>
      <c r="L183" s="101"/>
      <c r="M183" s="101"/>
      <c r="N183" s="112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</row>
    <row r="184" spans="1:29" ht="13">
      <c r="A184" s="115"/>
      <c r="B184" s="97"/>
      <c r="C184" s="115"/>
      <c r="D184" s="115"/>
      <c r="E184" s="115"/>
      <c r="F184" s="115"/>
      <c r="G184" s="99"/>
      <c r="H184" s="98"/>
      <c r="I184" s="100"/>
      <c r="J184" s="100"/>
      <c r="K184" s="100"/>
      <c r="L184" s="101"/>
      <c r="M184" s="101"/>
      <c r="N184" s="112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</row>
    <row r="185" spans="1:29" ht="13">
      <c r="A185" s="115"/>
      <c r="B185" s="97"/>
      <c r="C185" s="115"/>
      <c r="D185" s="115"/>
      <c r="E185" s="115"/>
      <c r="F185" s="115"/>
      <c r="G185" s="99"/>
      <c r="H185" s="98"/>
      <c r="I185" s="100"/>
      <c r="J185" s="100"/>
      <c r="K185" s="100"/>
      <c r="L185" s="101"/>
      <c r="M185" s="101"/>
      <c r="N185" s="112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</row>
    <row r="186" spans="1:29" ht="13">
      <c r="A186" s="115"/>
      <c r="B186" s="97"/>
      <c r="C186" s="115"/>
      <c r="D186" s="115"/>
      <c r="E186" s="115"/>
      <c r="F186" s="115"/>
      <c r="G186" s="99"/>
      <c r="H186" s="98"/>
      <c r="I186" s="100"/>
      <c r="J186" s="100"/>
      <c r="K186" s="100"/>
      <c r="L186" s="101"/>
      <c r="M186" s="101"/>
      <c r="N186" s="112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</row>
    <row r="187" spans="1:29" ht="13">
      <c r="A187" s="115"/>
      <c r="B187" s="97"/>
      <c r="C187" s="115"/>
      <c r="D187" s="115"/>
      <c r="E187" s="115"/>
      <c r="F187" s="115"/>
      <c r="G187" s="99"/>
      <c r="H187" s="98"/>
      <c r="I187" s="100"/>
      <c r="J187" s="100"/>
      <c r="K187" s="100"/>
      <c r="L187" s="101"/>
      <c r="M187" s="101"/>
      <c r="N187" s="112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</row>
    <row r="188" spans="1:29" ht="13">
      <c r="A188" s="115"/>
      <c r="B188" s="97"/>
      <c r="C188" s="115"/>
      <c r="D188" s="115"/>
      <c r="E188" s="115"/>
      <c r="F188" s="115"/>
      <c r="G188" s="99"/>
      <c r="H188" s="98"/>
      <c r="I188" s="100"/>
      <c r="J188" s="100"/>
      <c r="K188" s="100"/>
      <c r="L188" s="101"/>
      <c r="M188" s="101"/>
      <c r="N188" s="112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</row>
    <row r="189" spans="1:29" ht="13">
      <c r="A189" s="115"/>
      <c r="B189" s="97"/>
      <c r="C189" s="115"/>
      <c r="D189" s="115"/>
      <c r="E189" s="115"/>
      <c r="F189" s="115"/>
      <c r="G189" s="99"/>
      <c r="H189" s="98"/>
      <c r="I189" s="100"/>
      <c r="J189" s="100"/>
      <c r="K189" s="100"/>
      <c r="L189" s="101"/>
      <c r="M189" s="101"/>
      <c r="N189" s="112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</row>
    <row r="190" spans="1:29" ht="13">
      <c r="A190" s="115"/>
      <c r="B190" s="97"/>
      <c r="C190" s="115"/>
      <c r="D190" s="115"/>
      <c r="E190" s="115"/>
      <c r="F190" s="115"/>
      <c r="G190" s="99"/>
      <c r="H190" s="98"/>
      <c r="I190" s="100"/>
      <c r="J190" s="100"/>
      <c r="K190" s="100"/>
      <c r="L190" s="101"/>
      <c r="M190" s="101"/>
      <c r="N190" s="112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</row>
    <row r="191" spans="1:29" ht="13">
      <c r="A191" s="115"/>
      <c r="B191" s="97"/>
      <c r="C191" s="115"/>
      <c r="D191" s="115"/>
      <c r="E191" s="115"/>
      <c r="F191" s="115"/>
      <c r="G191" s="99"/>
      <c r="H191" s="98"/>
      <c r="I191" s="100"/>
      <c r="J191" s="100"/>
      <c r="K191" s="100"/>
      <c r="L191" s="101"/>
      <c r="M191" s="101"/>
      <c r="N191" s="112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</row>
    <row r="192" spans="1:29" ht="13">
      <c r="A192" s="115"/>
      <c r="B192" s="97"/>
      <c r="C192" s="115"/>
      <c r="D192" s="115"/>
      <c r="E192" s="115"/>
      <c r="F192" s="115"/>
      <c r="G192" s="99"/>
      <c r="H192" s="98"/>
      <c r="I192" s="100"/>
      <c r="J192" s="100"/>
      <c r="K192" s="100"/>
      <c r="L192" s="101"/>
      <c r="M192" s="101"/>
      <c r="N192" s="112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</row>
    <row r="193" spans="1:29" ht="13">
      <c r="A193" s="115"/>
      <c r="B193" s="97"/>
      <c r="C193" s="115"/>
      <c r="D193" s="115"/>
      <c r="E193" s="115"/>
      <c r="F193" s="115"/>
      <c r="G193" s="99"/>
      <c r="H193" s="98"/>
      <c r="I193" s="100"/>
      <c r="J193" s="100"/>
      <c r="K193" s="100"/>
      <c r="L193" s="101"/>
      <c r="M193" s="101"/>
      <c r="N193" s="112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</row>
    <row r="194" spans="1:29" ht="13">
      <c r="A194" s="115"/>
      <c r="B194" s="97"/>
      <c r="C194" s="115"/>
      <c r="D194" s="115"/>
      <c r="E194" s="115"/>
      <c r="F194" s="115"/>
      <c r="G194" s="99"/>
      <c r="H194" s="98"/>
      <c r="I194" s="100"/>
      <c r="J194" s="100"/>
      <c r="K194" s="100"/>
      <c r="L194" s="101"/>
      <c r="M194" s="101"/>
      <c r="N194" s="112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</row>
    <row r="195" spans="1:29" ht="13">
      <c r="A195" s="115"/>
      <c r="B195" s="97"/>
      <c r="C195" s="115"/>
      <c r="D195" s="115"/>
      <c r="E195" s="115"/>
      <c r="F195" s="115"/>
      <c r="G195" s="99"/>
      <c r="H195" s="98"/>
      <c r="I195" s="100"/>
      <c r="J195" s="100"/>
      <c r="K195" s="100"/>
      <c r="L195" s="101"/>
      <c r="M195" s="101"/>
      <c r="N195" s="112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</row>
    <row r="196" spans="1:29" ht="13">
      <c r="A196" s="115"/>
      <c r="B196" s="97"/>
      <c r="C196" s="115"/>
      <c r="D196" s="115"/>
      <c r="E196" s="115"/>
      <c r="F196" s="115"/>
      <c r="G196" s="99"/>
      <c r="H196" s="98"/>
      <c r="I196" s="100"/>
      <c r="J196" s="100"/>
      <c r="K196" s="100"/>
      <c r="L196" s="101"/>
      <c r="M196" s="101"/>
      <c r="N196" s="112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</row>
    <row r="197" spans="1:29" ht="13">
      <c r="A197" s="115"/>
      <c r="B197" s="97"/>
      <c r="C197" s="115"/>
      <c r="D197" s="115"/>
      <c r="E197" s="115"/>
      <c r="F197" s="115"/>
      <c r="G197" s="99"/>
      <c r="H197" s="98"/>
      <c r="I197" s="100"/>
      <c r="J197" s="100"/>
      <c r="K197" s="100"/>
      <c r="L197" s="101"/>
      <c r="M197" s="101"/>
      <c r="N197" s="112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</row>
    <row r="198" spans="1:29" ht="13">
      <c r="A198" s="115"/>
      <c r="B198" s="97"/>
      <c r="C198" s="115"/>
      <c r="D198" s="115"/>
      <c r="E198" s="115"/>
      <c r="F198" s="115"/>
      <c r="G198" s="99"/>
      <c r="H198" s="98"/>
      <c r="I198" s="100"/>
      <c r="J198" s="100"/>
      <c r="K198" s="100"/>
      <c r="L198" s="101"/>
      <c r="M198" s="101"/>
      <c r="N198" s="112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</row>
    <row r="199" spans="1:29" ht="13">
      <c r="A199" s="115"/>
      <c r="B199" s="97"/>
      <c r="C199" s="115"/>
      <c r="D199" s="115"/>
      <c r="E199" s="115"/>
      <c r="F199" s="115"/>
      <c r="G199" s="99"/>
      <c r="H199" s="98"/>
      <c r="I199" s="100"/>
      <c r="J199" s="100"/>
      <c r="K199" s="100"/>
      <c r="L199" s="101"/>
      <c r="M199" s="101"/>
      <c r="N199" s="112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</row>
    <row r="200" spans="1:29" ht="13">
      <c r="A200" s="115"/>
      <c r="B200" s="97"/>
      <c r="C200" s="115"/>
      <c r="D200" s="115"/>
      <c r="E200" s="115"/>
      <c r="F200" s="115"/>
      <c r="G200" s="99"/>
      <c r="H200" s="98"/>
      <c r="I200" s="100"/>
      <c r="J200" s="100"/>
      <c r="K200" s="100"/>
      <c r="L200" s="101"/>
      <c r="M200" s="101"/>
      <c r="N200" s="112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</row>
    <row r="201" spans="1:29" ht="13">
      <c r="A201" s="115"/>
      <c r="B201" s="97"/>
      <c r="C201" s="115"/>
      <c r="D201" s="115"/>
      <c r="E201" s="115"/>
      <c r="F201" s="115"/>
      <c r="G201" s="99"/>
      <c r="H201" s="98"/>
      <c r="I201" s="100"/>
      <c r="J201" s="100"/>
      <c r="K201" s="100"/>
      <c r="L201" s="101"/>
      <c r="M201" s="101"/>
      <c r="N201" s="112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</row>
    <row r="202" spans="1:29" ht="13">
      <c r="A202" s="115"/>
      <c r="B202" s="97"/>
      <c r="C202" s="115"/>
      <c r="D202" s="115"/>
      <c r="E202" s="115"/>
      <c r="F202" s="115"/>
      <c r="G202" s="99"/>
      <c r="H202" s="98"/>
      <c r="I202" s="100"/>
      <c r="J202" s="100"/>
      <c r="K202" s="100"/>
      <c r="L202" s="101"/>
      <c r="M202" s="101"/>
      <c r="N202" s="112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</row>
    <row r="203" spans="1:29" ht="13">
      <c r="A203" s="115"/>
      <c r="B203" s="97"/>
      <c r="C203" s="115"/>
      <c r="D203" s="115"/>
      <c r="E203" s="115"/>
      <c r="F203" s="115"/>
      <c r="G203" s="99"/>
      <c r="H203" s="98"/>
      <c r="I203" s="100"/>
      <c r="J203" s="100"/>
      <c r="K203" s="100"/>
      <c r="L203" s="101"/>
      <c r="M203" s="101"/>
      <c r="N203" s="112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</row>
    <row r="204" spans="1:29" ht="13">
      <c r="A204" s="115"/>
      <c r="B204" s="97"/>
      <c r="C204" s="115"/>
      <c r="D204" s="115"/>
      <c r="E204" s="115"/>
      <c r="F204" s="115"/>
      <c r="G204" s="99"/>
      <c r="H204" s="98"/>
      <c r="I204" s="100"/>
      <c r="J204" s="100"/>
      <c r="K204" s="100"/>
      <c r="L204" s="101"/>
      <c r="M204" s="101"/>
      <c r="N204" s="112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</row>
    <row r="205" spans="1:29" ht="13">
      <c r="A205" s="115"/>
      <c r="B205" s="97"/>
      <c r="C205" s="115"/>
      <c r="D205" s="115"/>
      <c r="E205" s="115"/>
      <c r="F205" s="115"/>
      <c r="G205" s="99"/>
      <c r="H205" s="98"/>
      <c r="I205" s="100"/>
      <c r="J205" s="100"/>
      <c r="K205" s="100"/>
      <c r="L205" s="101"/>
      <c r="M205" s="101"/>
      <c r="N205" s="112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</row>
    <row r="206" spans="1:29" ht="13">
      <c r="A206" s="115"/>
      <c r="B206" s="97"/>
      <c r="C206" s="115"/>
      <c r="D206" s="115"/>
      <c r="E206" s="115"/>
      <c r="F206" s="115"/>
      <c r="G206" s="99"/>
      <c r="H206" s="98"/>
      <c r="I206" s="100"/>
      <c r="J206" s="100"/>
      <c r="K206" s="100"/>
      <c r="L206" s="101"/>
      <c r="M206" s="101"/>
      <c r="N206" s="112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</row>
    <row r="207" spans="1:29" ht="13">
      <c r="A207" s="115"/>
      <c r="B207" s="97"/>
      <c r="C207" s="115"/>
      <c r="D207" s="115"/>
      <c r="E207" s="115"/>
      <c r="F207" s="115"/>
      <c r="G207" s="99"/>
      <c r="H207" s="98"/>
      <c r="I207" s="100"/>
      <c r="J207" s="100"/>
      <c r="K207" s="100"/>
      <c r="L207" s="101"/>
      <c r="M207" s="101"/>
      <c r="N207" s="112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</row>
    <row r="208" spans="1:29" ht="13">
      <c r="A208" s="115"/>
      <c r="B208" s="97"/>
      <c r="C208" s="115"/>
      <c r="D208" s="115"/>
      <c r="E208" s="115"/>
      <c r="F208" s="115"/>
      <c r="G208" s="99"/>
      <c r="H208" s="98"/>
      <c r="I208" s="100"/>
      <c r="J208" s="100"/>
      <c r="K208" s="100"/>
      <c r="L208" s="101"/>
      <c r="M208" s="101"/>
      <c r="N208" s="112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</row>
    <row r="209" spans="1:29" ht="13">
      <c r="A209" s="115"/>
      <c r="B209" s="97"/>
      <c r="C209" s="115"/>
      <c r="D209" s="115"/>
      <c r="E209" s="115"/>
      <c r="F209" s="115"/>
      <c r="G209" s="99"/>
      <c r="H209" s="98"/>
      <c r="I209" s="100"/>
      <c r="J209" s="100"/>
      <c r="K209" s="100"/>
      <c r="L209" s="101"/>
      <c r="M209" s="101"/>
      <c r="N209" s="112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</row>
    <row r="210" spans="1:29" ht="13">
      <c r="A210" s="115"/>
      <c r="B210" s="97"/>
      <c r="C210" s="115"/>
      <c r="D210" s="115"/>
      <c r="E210" s="115"/>
      <c r="F210" s="115"/>
      <c r="G210" s="99"/>
      <c r="H210" s="98"/>
      <c r="I210" s="100"/>
      <c r="J210" s="100"/>
      <c r="K210" s="100"/>
      <c r="L210" s="101"/>
      <c r="M210" s="101"/>
      <c r="N210" s="112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</row>
    <row r="211" spans="1:29" ht="13">
      <c r="A211" s="115"/>
      <c r="B211" s="97"/>
      <c r="C211" s="115"/>
      <c r="D211" s="115"/>
      <c r="E211" s="115"/>
      <c r="F211" s="115"/>
      <c r="G211" s="99"/>
      <c r="H211" s="98"/>
      <c r="I211" s="100"/>
      <c r="J211" s="100"/>
      <c r="K211" s="100"/>
      <c r="L211" s="101"/>
      <c r="M211" s="101"/>
      <c r="N211" s="112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</row>
    <row r="212" spans="1:29" ht="13">
      <c r="A212" s="115"/>
      <c r="B212" s="97"/>
      <c r="C212" s="115"/>
      <c r="D212" s="115"/>
      <c r="E212" s="115"/>
      <c r="F212" s="115"/>
      <c r="G212" s="99"/>
      <c r="H212" s="98"/>
      <c r="I212" s="100"/>
      <c r="J212" s="100"/>
      <c r="K212" s="100"/>
      <c r="L212" s="101"/>
      <c r="M212" s="101"/>
      <c r="N212" s="112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</row>
    <row r="213" spans="1:29" ht="13">
      <c r="A213" s="115"/>
      <c r="B213" s="97"/>
      <c r="C213" s="115"/>
      <c r="D213" s="115"/>
      <c r="E213" s="115"/>
      <c r="F213" s="115"/>
      <c r="G213" s="99"/>
      <c r="H213" s="98"/>
      <c r="I213" s="100"/>
      <c r="J213" s="100"/>
      <c r="K213" s="100"/>
      <c r="L213" s="101"/>
      <c r="M213" s="101"/>
      <c r="N213" s="112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</row>
    <row r="214" spans="1:29" ht="13">
      <c r="A214" s="115"/>
      <c r="B214" s="97"/>
      <c r="C214" s="115"/>
      <c r="D214" s="115"/>
      <c r="E214" s="115"/>
      <c r="F214" s="115"/>
      <c r="G214" s="99"/>
      <c r="H214" s="98"/>
      <c r="I214" s="100"/>
      <c r="J214" s="100"/>
      <c r="K214" s="100"/>
      <c r="L214" s="101"/>
      <c r="M214" s="101"/>
      <c r="N214" s="112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</row>
    <row r="215" spans="1:29" ht="13">
      <c r="A215" s="115"/>
      <c r="B215" s="97"/>
      <c r="C215" s="115"/>
      <c r="D215" s="115"/>
      <c r="E215" s="115"/>
      <c r="F215" s="115"/>
      <c r="G215" s="99"/>
      <c r="H215" s="98"/>
      <c r="I215" s="100"/>
      <c r="J215" s="100"/>
      <c r="K215" s="100"/>
      <c r="L215" s="101"/>
      <c r="M215" s="101"/>
      <c r="N215" s="112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</row>
    <row r="216" spans="1:29" ht="13">
      <c r="A216" s="115"/>
      <c r="B216" s="97"/>
      <c r="C216" s="115"/>
      <c r="D216" s="115"/>
      <c r="E216" s="115"/>
      <c r="F216" s="115"/>
      <c r="G216" s="99"/>
      <c r="H216" s="98"/>
      <c r="I216" s="100"/>
      <c r="J216" s="100"/>
      <c r="K216" s="100"/>
      <c r="L216" s="101"/>
      <c r="M216" s="101"/>
      <c r="N216" s="112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</row>
    <row r="217" spans="1:29" ht="13">
      <c r="A217" s="115"/>
      <c r="B217" s="97"/>
      <c r="C217" s="115"/>
      <c r="D217" s="115"/>
      <c r="E217" s="115"/>
      <c r="F217" s="115"/>
      <c r="G217" s="99"/>
      <c r="H217" s="98"/>
      <c r="I217" s="100"/>
      <c r="J217" s="100"/>
      <c r="K217" s="100"/>
      <c r="L217" s="101"/>
      <c r="M217" s="101"/>
      <c r="N217" s="112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</row>
    <row r="218" spans="1:29" ht="13">
      <c r="A218" s="115"/>
      <c r="B218" s="97"/>
      <c r="C218" s="115"/>
      <c r="D218" s="115"/>
      <c r="E218" s="115"/>
      <c r="F218" s="115"/>
      <c r="G218" s="99"/>
      <c r="H218" s="98"/>
      <c r="I218" s="100"/>
      <c r="J218" s="100"/>
      <c r="K218" s="100"/>
      <c r="L218" s="101"/>
      <c r="M218" s="101"/>
      <c r="N218" s="112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</row>
    <row r="219" spans="1:29" ht="13">
      <c r="A219" s="115"/>
      <c r="B219" s="97"/>
      <c r="C219" s="115"/>
      <c r="D219" s="115"/>
      <c r="E219" s="115"/>
      <c r="F219" s="115"/>
      <c r="G219" s="99"/>
      <c r="H219" s="98"/>
      <c r="I219" s="100"/>
      <c r="J219" s="100"/>
      <c r="K219" s="100"/>
      <c r="L219" s="101"/>
      <c r="M219" s="101"/>
      <c r="N219" s="112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</row>
    <row r="220" spans="1:29" ht="13">
      <c r="A220" s="115"/>
      <c r="B220" s="97"/>
      <c r="C220" s="115"/>
      <c r="D220" s="115"/>
      <c r="E220" s="115"/>
      <c r="F220" s="115"/>
      <c r="G220" s="99"/>
      <c r="H220" s="98"/>
      <c r="I220" s="100"/>
      <c r="J220" s="100"/>
      <c r="K220" s="100"/>
      <c r="L220" s="101"/>
      <c r="M220" s="101"/>
      <c r="N220" s="112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</row>
    <row r="221" spans="1:29" ht="13">
      <c r="A221" s="115"/>
      <c r="B221" s="97"/>
      <c r="C221" s="115"/>
      <c r="D221" s="115"/>
      <c r="E221" s="115"/>
      <c r="F221" s="115"/>
      <c r="G221" s="99"/>
      <c r="H221" s="98"/>
      <c r="I221" s="100"/>
      <c r="J221" s="100"/>
      <c r="K221" s="100"/>
      <c r="L221" s="101"/>
      <c r="M221" s="101"/>
      <c r="N221" s="112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</row>
    <row r="222" spans="1:29" ht="13">
      <c r="A222" s="115"/>
      <c r="B222" s="97"/>
      <c r="C222" s="115"/>
      <c r="D222" s="115"/>
      <c r="E222" s="115"/>
      <c r="F222" s="115"/>
      <c r="G222" s="99"/>
      <c r="H222" s="98"/>
      <c r="I222" s="100"/>
      <c r="J222" s="100"/>
      <c r="K222" s="100"/>
      <c r="L222" s="101"/>
      <c r="M222" s="101"/>
      <c r="N222" s="112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</row>
    <row r="223" spans="1:29" ht="13">
      <c r="A223" s="115"/>
      <c r="B223" s="97"/>
      <c r="C223" s="115"/>
      <c r="D223" s="115"/>
      <c r="E223" s="115"/>
      <c r="F223" s="115"/>
      <c r="G223" s="99"/>
      <c r="H223" s="98"/>
      <c r="I223" s="100"/>
      <c r="J223" s="100"/>
      <c r="K223" s="100"/>
      <c r="L223" s="101"/>
      <c r="M223" s="101"/>
      <c r="N223" s="112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</row>
    <row r="224" spans="1:29" ht="13">
      <c r="A224" s="115"/>
      <c r="B224" s="97"/>
      <c r="C224" s="115"/>
      <c r="D224" s="115"/>
      <c r="E224" s="115"/>
      <c r="F224" s="115"/>
      <c r="G224" s="99"/>
      <c r="H224" s="98"/>
      <c r="I224" s="100"/>
      <c r="J224" s="100"/>
      <c r="K224" s="100"/>
      <c r="L224" s="101"/>
      <c r="M224" s="101"/>
      <c r="N224" s="112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</row>
    <row r="225" spans="1:29" ht="13">
      <c r="A225" s="115"/>
      <c r="B225" s="97"/>
      <c r="C225" s="115"/>
      <c r="D225" s="115"/>
      <c r="E225" s="115"/>
      <c r="F225" s="115"/>
      <c r="G225" s="99"/>
      <c r="H225" s="98"/>
      <c r="I225" s="100"/>
      <c r="J225" s="100"/>
      <c r="K225" s="100"/>
      <c r="L225" s="101"/>
      <c r="M225" s="101"/>
      <c r="N225" s="112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</row>
    <row r="226" spans="1:29" ht="13">
      <c r="A226" s="115"/>
      <c r="B226" s="97"/>
      <c r="C226" s="115"/>
      <c r="D226" s="115"/>
      <c r="E226" s="115"/>
      <c r="F226" s="115"/>
      <c r="G226" s="99"/>
      <c r="H226" s="98"/>
      <c r="I226" s="100"/>
      <c r="J226" s="100"/>
      <c r="K226" s="100"/>
      <c r="L226" s="101"/>
      <c r="M226" s="101"/>
      <c r="N226" s="112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</row>
    <row r="227" spans="1:29" ht="13">
      <c r="A227" s="115"/>
      <c r="B227" s="97"/>
      <c r="C227" s="115"/>
      <c r="D227" s="115"/>
      <c r="E227" s="115"/>
      <c r="F227" s="115"/>
      <c r="G227" s="99"/>
      <c r="H227" s="98"/>
      <c r="I227" s="100"/>
      <c r="J227" s="100"/>
      <c r="K227" s="100"/>
      <c r="L227" s="101"/>
      <c r="M227" s="101"/>
      <c r="N227" s="112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</row>
    <row r="228" spans="1:29" ht="13">
      <c r="A228" s="115"/>
      <c r="B228" s="97"/>
      <c r="C228" s="115"/>
      <c r="D228" s="115"/>
      <c r="E228" s="115"/>
      <c r="F228" s="115"/>
      <c r="G228" s="99"/>
      <c r="H228" s="98"/>
      <c r="I228" s="100"/>
      <c r="J228" s="100"/>
      <c r="K228" s="100"/>
      <c r="L228" s="101"/>
      <c r="M228" s="101"/>
      <c r="N228" s="112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</row>
    <row r="229" spans="1:29" ht="13">
      <c r="A229" s="115"/>
      <c r="B229" s="97"/>
      <c r="C229" s="115"/>
      <c r="D229" s="115"/>
      <c r="E229" s="115"/>
      <c r="F229" s="115"/>
      <c r="G229" s="99"/>
      <c r="H229" s="98"/>
      <c r="I229" s="100"/>
      <c r="J229" s="100"/>
      <c r="K229" s="100"/>
      <c r="L229" s="101"/>
      <c r="M229" s="101"/>
      <c r="N229" s="112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</row>
    <row r="230" spans="1:29" ht="13">
      <c r="A230" s="115"/>
      <c r="B230" s="97"/>
      <c r="C230" s="115"/>
      <c r="D230" s="115"/>
      <c r="E230" s="115"/>
      <c r="F230" s="115"/>
      <c r="G230" s="99"/>
      <c r="H230" s="98"/>
      <c r="I230" s="100"/>
      <c r="J230" s="100"/>
      <c r="K230" s="100"/>
      <c r="L230" s="101"/>
      <c r="M230" s="101"/>
      <c r="N230" s="112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</row>
    <row r="231" spans="1:29" ht="13">
      <c r="A231" s="115"/>
      <c r="B231" s="97"/>
      <c r="C231" s="115"/>
      <c r="D231" s="115"/>
      <c r="E231" s="115"/>
      <c r="F231" s="115"/>
      <c r="G231" s="99"/>
      <c r="H231" s="98"/>
      <c r="I231" s="100"/>
      <c r="J231" s="100"/>
      <c r="K231" s="100"/>
      <c r="L231" s="101"/>
      <c r="M231" s="101"/>
      <c r="N231" s="112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</row>
    <row r="232" spans="1:29" ht="13">
      <c r="A232" s="115"/>
      <c r="B232" s="97"/>
      <c r="C232" s="115"/>
      <c r="D232" s="115"/>
      <c r="E232" s="115"/>
      <c r="F232" s="115"/>
      <c r="G232" s="99"/>
      <c r="H232" s="98"/>
      <c r="I232" s="100"/>
      <c r="J232" s="100"/>
      <c r="K232" s="100"/>
      <c r="L232" s="101"/>
      <c r="M232" s="101"/>
      <c r="N232" s="112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</row>
    <row r="233" spans="1:29" ht="13">
      <c r="A233" s="115"/>
      <c r="B233" s="97"/>
      <c r="C233" s="115"/>
      <c r="D233" s="115"/>
      <c r="E233" s="115"/>
      <c r="F233" s="115"/>
      <c r="G233" s="99"/>
      <c r="H233" s="98"/>
      <c r="I233" s="100"/>
      <c r="J233" s="100"/>
      <c r="K233" s="100"/>
      <c r="L233" s="101"/>
      <c r="M233" s="101"/>
      <c r="N233" s="112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</row>
    <row r="234" spans="1:29" ht="13">
      <c r="A234" s="115"/>
      <c r="B234" s="97"/>
      <c r="C234" s="115"/>
      <c r="D234" s="115"/>
      <c r="E234" s="115"/>
      <c r="F234" s="115"/>
      <c r="G234" s="99"/>
      <c r="H234" s="98"/>
      <c r="I234" s="100"/>
      <c r="J234" s="100"/>
      <c r="K234" s="100"/>
      <c r="L234" s="101"/>
      <c r="M234" s="101"/>
      <c r="N234" s="112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</row>
    <row r="235" spans="1:29" ht="13">
      <c r="A235" s="115"/>
      <c r="B235" s="97"/>
      <c r="C235" s="115"/>
      <c r="D235" s="115"/>
      <c r="E235" s="115"/>
      <c r="F235" s="115"/>
      <c r="G235" s="99"/>
      <c r="H235" s="98"/>
      <c r="I235" s="100"/>
      <c r="J235" s="100"/>
      <c r="K235" s="100"/>
      <c r="L235" s="101"/>
      <c r="M235" s="101"/>
      <c r="N235" s="112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</row>
    <row r="236" spans="1:29" ht="13">
      <c r="A236" s="115"/>
      <c r="B236" s="97"/>
      <c r="C236" s="115"/>
      <c r="D236" s="115"/>
      <c r="E236" s="115"/>
      <c r="F236" s="115"/>
      <c r="G236" s="99"/>
      <c r="H236" s="98"/>
      <c r="I236" s="100"/>
      <c r="J236" s="100"/>
      <c r="K236" s="100"/>
      <c r="L236" s="101"/>
      <c r="M236" s="101"/>
      <c r="N236" s="112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</row>
    <row r="237" spans="1:29" ht="13">
      <c r="A237" s="115"/>
      <c r="B237" s="97"/>
      <c r="C237" s="115"/>
      <c r="D237" s="115"/>
      <c r="E237" s="115"/>
      <c r="F237" s="115"/>
      <c r="G237" s="99"/>
      <c r="H237" s="98"/>
      <c r="I237" s="100"/>
      <c r="J237" s="100"/>
      <c r="K237" s="100"/>
      <c r="L237" s="101"/>
      <c r="M237" s="101"/>
      <c r="N237" s="112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</row>
    <row r="238" spans="1:29" ht="13">
      <c r="A238" s="115"/>
      <c r="B238" s="97"/>
      <c r="C238" s="115"/>
      <c r="D238" s="115"/>
      <c r="E238" s="115"/>
      <c r="F238" s="115"/>
      <c r="G238" s="99"/>
      <c r="H238" s="98"/>
      <c r="I238" s="100"/>
      <c r="J238" s="100"/>
      <c r="K238" s="100"/>
      <c r="L238" s="101"/>
      <c r="M238" s="101"/>
      <c r="N238" s="112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</row>
    <row r="239" spans="1:29" ht="13">
      <c r="A239" s="115"/>
      <c r="B239" s="97"/>
      <c r="C239" s="115"/>
      <c r="D239" s="115"/>
      <c r="E239" s="115"/>
      <c r="F239" s="115"/>
      <c r="G239" s="99"/>
      <c r="H239" s="98"/>
      <c r="I239" s="100"/>
      <c r="J239" s="100"/>
      <c r="K239" s="100"/>
      <c r="L239" s="101"/>
      <c r="M239" s="101"/>
      <c r="N239" s="112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</row>
    <row r="240" spans="1:29" ht="13">
      <c r="A240" s="115"/>
      <c r="B240" s="97"/>
      <c r="C240" s="115"/>
      <c r="D240" s="115"/>
      <c r="E240" s="115"/>
      <c r="F240" s="115"/>
      <c r="G240" s="99"/>
      <c r="H240" s="98"/>
      <c r="I240" s="100"/>
      <c r="J240" s="100"/>
      <c r="K240" s="100"/>
      <c r="L240" s="101"/>
      <c r="M240" s="101"/>
      <c r="N240" s="112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</row>
    <row r="241" spans="1:29" ht="13">
      <c r="A241" s="115"/>
      <c r="B241" s="97"/>
      <c r="C241" s="115"/>
      <c r="D241" s="115"/>
      <c r="E241" s="115"/>
      <c r="F241" s="115"/>
      <c r="G241" s="99"/>
      <c r="H241" s="98"/>
      <c r="I241" s="100"/>
      <c r="J241" s="100"/>
      <c r="K241" s="100"/>
      <c r="L241" s="101"/>
      <c r="M241" s="101"/>
      <c r="N241" s="112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</row>
    <row r="242" spans="1:29" ht="13">
      <c r="A242" s="115"/>
      <c r="B242" s="97"/>
      <c r="C242" s="115"/>
      <c r="D242" s="115"/>
      <c r="E242" s="115"/>
      <c r="F242" s="115"/>
      <c r="G242" s="99"/>
      <c r="H242" s="98"/>
      <c r="I242" s="100"/>
      <c r="J242" s="100"/>
      <c r="K242" s="100"/>
      <c r="L242" s="101"/>
      <c r="M242" s="101"/>
      <c r="N242" s="112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</row>
    <row r="243" spans="1:29" ht="13">
      <c r="A243" s="115"/>
      <c r="B243" s="97"/>
      <c r="C243" s="115"/>
      <c r="D243" s="115"/>
      <c r="E243" s="115"/>
      <c r="F243" s="115"/>
      <c r="G243" s="99"/>
      <c r="H243" s="98"/>
      <c r="I243" s="100"/>
      <c r="J243" s="100"/>
      <c r="K243" s="100"/>
      <c r="L243" s="101"/>
      <c r="M243" s="101"/>
      <c r="N243" s="112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</row>
    <row r="244" spans="1:29" ht="13">
      <c r="A244" s="115"/>
      <c r="B244" s="97"/>
      <c r="C244" s="115"/>
      <c r="D244" s="115"/>
      <c r="E244" s="115"/>
      <c r="F244" s="115"/>
      <c r="G244" s="99"/>
      <c r="H244" s="98"/>
      <c r="I244" s="100"/>
      <c r="J244" s="100"/>
      <c r="K244" s="100"/>
      <c r="L244" s="101"/>
      <c r="M244" s="101"/>
      <c r="N244" s="112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</row>
    <row r="245" spans="1:29" ht="13">
      <c r="A245" s="115"/>
      <c r="B245" s="97"/>
      <c r="C245" s="115"/>
      <c r="D245" s="115"/>
      <c r="E245" s="115"/>
      <c r="F245" s="115"/>
      <c r="G245" s="99"/>
      <c r="H245" s="98"/>
      <c r="I245" s="100"/>
      <c r="J245" s="100"/>
      <c r="K245" s="100"/>
      <c r="L245" s="101"/>
      <c r="M245" s="101"/>
      <c r="N245" s="112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</row>
    <row r="246" spans="1:29" ht="13">
      <c r="A246" s="115"/>
      <c r="B246" s="97"/>
      <c r="C246" s="115"/>
      <c r="D246" s="115"/>
      <c r="E246" s="115"/>
      <c r="F246" s="115"/>
      <c r="G246" s="99"/>
      <c r="H246" s="98"/>
      <c r="I246" s="100"/>
      <c r="J246" s="100"/>
      <c r="K246" s="100"/>
      <c r="L246" s="101"/>
      <c r="M246" s="101"/>
      <c r="N246" s="112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</row>
    <row r="247" spans="1:29" ht="13">
      <c r="A247" s="115"/>
      <c r="B247" s="97"/>
      <c r="C247" s="115"/>
      <c r="D247" s="115"/>
      <c r="E247" s="115"/>
      <c r="F247" s="115"/>
      <c r="G247" s="99"/>
      <c r="H247" s="98"/>
      <c r="I247" s="100"/>
      <c r="J247" s="100"/>
      <c r="K247" s="100"/>
      <c r="L247" s="101"/>
      <c r="M247" s="101"/>
      <c r="N247" s="112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</row>
    <row r="248" spans="1:29" ht="13">
      <c r="A248" s="115"/>
      <c r="B248" s="97"/>
      <c r="C248" s="115"/>
      <c r="D248" s="115"/>
      <c r="E248" s="115"/>
      <c r="F248" s="115"/>
      <c r="G248" s="99"/>
      <c r="H248" s="98"/>
      <c r="I248" s="100"/>
      <c r="J248" s="100"/>
      <c r="K248" s="100"/>
      <c r="L248" s="101"/>
      <c r="M248" s="101"/>
      <c r="N248" s="112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</row>
    <row r="249" spans="1:29" ht="13">
      <c r="A249" s="115"/>
      <c r="B249" s="97"/>
      <c r="C249" s="115"/>
      <c r="D249" s="115"/>
      <c r="E249" s="115"/>
      <c r="F249" s="115"/>
      <c r="G249" s="99"/>
      <c r="H249" s="98"/>
      <c r="I249" s="100"/>
      <c r="J249" s="100"/>
      <c r="K249" s="100"/>
      <c r="L249" s="101"/>
      <c r="M249" s="101"/>
      <c r="N249" s="112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</row>
    <row r="250" spans="1:29" ht="13">
      <c r="A250" s="115"/>
      <c r="B250" s="97"/>
      <c r="C250" s="115"/>
      <c r="D250" s="115"/>
      <c r="E250" s="115"/>
      <c r="F250" s="115"/>
      <c r="G250" s="99"/>
      <c r="H250" s="98"/>
      <c r="I250" s="100"/>
      <c r="J250" s="100"/>
      <c r="K250" s="100"/>
      <c r="L250" s="101"/>
      <c r="M250" s="101"/>
      <c r="N250" s="112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</row>
    <row r="251" spans="1:29" ht="13">
      <c r="A251" s="115"/>
      <c r="B251" s="97"/>
      <c r="C251" s="115"/>
      <c r="D251" s="115"/>
      <c r="E251" s="115"/>
      <c r="F251" s="115"/>
      <c r="G251" s="99"/>
      <c r="H251" s="98"/>
      <c r="I251" s="100"/>
      <c r="J251" s="100"/>
      <c r="K251" s="100"/>
      <c r="L251" s="101"/>
      <c r="M251" s="101"/>
      <c r="N251" s="112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</row>
    <row r="252" spans="1:29" ht="13">
      <c r="A252" s="115"/>
      <c r="B252" s="97"/>
      <c r="C252" s="115"/>
      <c r="D252" s="115"/>
      <c r="E252" s="115"/>
      <c r="F252" s="115"/>
      <c r="G252" s="99"/>
      <c r="H252" s="98"/>
      <c r="I252" s="100"/>
      <c r="J252" s="100"/>
      <c r="K252" s="100"/>
      <c r="L252" s="101"/>
      <c r="M252" s="101"/>
      <c r="N252" s="112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</row>
    <row r="253" spans="1:29" ht="13">
      <c r="A253" s="115"/>
      <c r="B253" s="97"/>
      <c r="C253" s="115"/>
      <c r="D253" s="115"/>
      <c r="E253" s="115"/>
      <c r="F253" s="115"/>
      <c r="G253" s="99"/>
      <c r="H253" s="98"/>
      <c r="I253" s="100"/>
      <c r="J253" s="100"/>
      <c r="K253" s="100"/>
      <c r="L253" s="101"/>
      <c r="M253" s="101"/>
      <c r="N253" s="112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</row>
    <row r="254" spans="1:29" ht="13">
      <c r="A254" s="115"/>
      <c r="B254" s="97"/>
      <c r="C254" s="115"/>
      <c r="D254" s="115"/>
      <c r="E254" s="115"/>
      <c r="F254" s="115"/>
      <c r="G254" s="99"/>
      <c r="H254" s="98"/>
      <c r="I254" s="100"/>
      <c r="J254" s="100"/>
      <c r="K254" s="100"/>
      <c r="L254" s="101"/>
      <c r="M254" s="101"/>
      <c r="N254" s="112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</row>
    <row r="255" spans="1:29" ht="13">
      <c r="A255" s="115"/>
      <c r="B255" s="97"/>
      <c r="C255" s="115"/>
      <c r="D255" s="115"/>
      <c r="E255" s="115"/>
      <c r="F255" s="115"/>
      <c r="G255" s="99"/>
      <c r="H255" s="98"/>
      <c r="I255" s="100"/>
      <c r="J255" s="100"/>
      <c r="K255" s="100"/>
      <c r="L255" s="101"/>
      <c r="M255" s="101"/>
      <c r="N255" s="112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</row>
    <row r="256" spans="1:29" ht="13">
      <c r="A256" s="115"/>
      <c r="B256" s="97"/>
      <c r="C256" s="115"/>
      <c r="D256" s="115"/>
      <c r="E256" s="115"/>
      <c r="F256" s="115"/>
      <c r="G256" s="99"/>
      <c r="H256" s="98"/>
      <c r="I256" s="100"/>
      <c r="J256" s="100"/>
      <c r="K256" s="100"/>
      <c r="L256" s="101"/>
      <c r="M256" s="101"/>
      <c r="N256" s="112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</row>
    <row r="257" spans="1:29" ht="13">
      <c r="A257" s="115"/>
      <c r="B257" s="97"/>
      <c r="C257" s="115"/>
      <c r="D257" s="115"/>
      <c r="E257" s="115"/>
      <c r="F257" s="115"/>
      <c r="G257" s="99"/>
      <c r="H257" s="98"/>
      <c r="I257" s="100"/>
      <c r="J257" s="100"/>
      <c r="K257" s="100"/>
      <c r="L257" s="101"/>
      <c r="M257" s="101"/>
      <c r="N257" s="112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</row>
    <row r="258" spans="1:29" ht="13">
      <c r="A258" s="115"/>
      <c r="B258" s="97"/>
      <c r="C258" s="115"/>
      <c r="D258" s="115"/>
      <c r="E258" s="115"/>
      <c r="F258" s="115"/>
      <c r="G258" s="99"/>
      <c r="H258" s="98"/>
      <c r="I258" s="100"/>
      <c r="J258" s="100"/>
      <c r="K258" s="100"/>
      <c r="L258" s="101"/>
      <c r="M258" s="101"/>
      <c r="N258" s="112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</row>
    <row r="259" spans="1:29" ht="13">
      <c r="A259" s="115"/>
      <c r="B259" s="97"/>
      <c r="C259" s="115"/>
      <c r="D259" s="115"/>
      <c r="E259" s="115"/>
      <c r="F259" s="115"/>
      <c r="G259" s="99"/>
      <c r="H259" s="98"/>
      <c r="I259" s="100"/>
      <c r="J259" s="100"/>
      <c r="K259" s="100"/>
      <c r="L259" s="101"/>
      <c r="M259" s="101"/>
      <c r="N259" s="112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</row>
    <row r="260" spans="1:29" ht="13">
      <c r="A260" s="115"/>
      <c r="B260" s="97"/>
      <c r="C260" s="115"/>
      <c r="D260" s="115"/>
      <c r="E260" s="115"/>
      <c r="F260" s="115"/>
      <c r="G260" s="99"/>
      <c r="H260" s="98"/>
      <c r="I260" s="100"/>
      <c r="J260" s="100"/>
      <c r="K260" s="100"/>
      <c r="L260" s="101"/>
      <c r="M260" s="101"/>
      <c r="N260" s="112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</row>
    <row r="261" spans="1:29" ht="13">
      <c r="A261" s="115"/>
      <c r="B261" s="97"/>
      <c r="C261" s="115"/>
      <c r="D261" s="115"/>
      <c r="E261" s="115"/>
      <c r="F261" s="115"/>
      <c r="G261" s="99"/>
      <c r="H261" s="98"/>
      <c r="I261" s="100"/>
      <c r="J261" s="100"/>
      <c r="K261" s="100"/>
      <c r="L261" s="101"/>
      <c r="M261" s="101"/>
      <c r="N261" s="112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</row>
    <row r="262" spans="1:29" ht="13">
      <c r="A262" s="115"/>
      <c r="B262" s="97"/>
      <c r="C262" s="115"/>
      <c r="D262" s="115"/>
      <c r="E262" s="115"/>
      <c r="F262" s="115"/>
      <c r="G262" s="99"/>
      <c r="H262" s="98"/>
      <c r="I262" s="100"/>
      <c r="J262" s="100"/>
      <c r="K262" s="100"/>
      <c r="L262" s="101"/>
      <c r="M262" s="101"/>
      <c r="N262" s="112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</row>
    <row r="263" spans="1:29" ht="13">
      <c r="A263" s="115"/>
      <c r="B263" s="97"/>
      <c r="C263" s="115"/>
      <c r="D263" s="115"/>
      <c r="E263" s="115"/>
      <c r="F263" s="115"/>
      <c r="G263" s="99"/>
      <c r="H263" s="98"/>
      <c r="I263" s="100"/>
      <c r="J263" s="100"/>
      <c r="K263" s="100"/>
      <c r="L263" s="101"/>
      <c r="M263" s="101"/>
      <c r="N263" s="112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</row>
    <row r="264" spans="1:29" ht="13">
      <c r="A264" s="115"/>
      <c r="B264" s="97"/>
      <c r="C264" s="115"/>
      <c r="D264" s="115"/>
      <c r="E264" s="115"/>
      <c r="F264" s="115"/>
      <c r="G264" s="99"/>
      <c r="H264" s="98"/>
      <c r="I264" s="100"/>
      <c r="J264" s="100"/>
      <c r="K264" s="100"/>
      <c r="L264" s="101"/>
      <c r="M264" s="101"/>
      <c r="N264" s="112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</row>
    <row r="265" spans="1:29" ht="13">
      <c r="A265" s="115"/>
      <c r="B265" s="97"/>
      <c r="C265" s="115"/>
      <c r="D265" s="115"/>
      <c r="E265" s="115"/>
      <c r="F265" s="115"/>
      <c r="G265" s="99"/>
      <c r="H265" s="98"/>
      <c r="I265" s="100"/>
      <c r="J265" s="100"/>
      <c r="K265" s="100"/>
      <c r="L265" s="101"/>
      <c r="M265" s="101"/>
      <c r="N265" s="112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</row>
    <row r="266" spans="1:29" ht="13">
      <c r="A266" s="115"/>
      <c r="B266" s="97"/>
      <c r="C266" s="115"/>
      <c r="D266" s="115"/>
      <c r="E266" s="115"/>
      <c r="F266" s="115"/>
      <c r="G266" s="99"/>
      <c r="H266" s="98"/>
      <c r="I266" s="100"/>
      <c r="J266" s="100"/>
      <c r="K266" s="100"/>
      <c r="L266" s="101"/>
      <c r="M266" s="101"/>
      <c r="N266" s="112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</row>
    <row r="267" spans="1:29" ht="13">
      <c r="A267" s="115"/>
      <c r="B267" s="97"/>
      <c r="C267" s="115"/>
      <c r="D267" s="115"/>
      <c r="E267" s="115"/>
      <c r="F267" s="115"/>
      <c r="G267" s="99"/>
      <c r="H267" s="98"/>
      <c r="I267" s="100"/>
      <c r="J267" s="100"/>
      <c r="K267" s="100"/>
      <c r="L267" s="101"/>
      <c r="M267" s="101"/>
      <c r="N267" s="112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</row>
    <row r="268" spans="1:29" ht="13">
      <c r="A268" s="115"/>
      <c r="B268" s="97"/>
      <c r="C268" s="115"/>
      <c r="D268" s="115"/>
      <c r="E268" s="115"/>
      <c r="F268" s="115"/>
      <c r="G268" s="99"/>
      <c r="H268" s="98"/>
      <c r="I268" s="100"/>
      <c r="J268" s="100"/>
      <c r="K268" s="100"/>
      <c r="L268" s="101"/>
      <c r="M268" s="101"/>
      <c r="N268" s="112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</row>
    <row r="269" spans="1:29" ht="13">
      <c r="A269" s="115"/>
      <c r="B269" s="97"/>
      <c r="C269" s="115"/>
      <c r="D269" s="115"/>
      <c r="E269" s="115"/>
      <c r="F269" s="115"/>
      <c r="G269" s="99"/>
      <c r="H269" s="98"/>
      <c r="I269" s="100"/>
      <c r="J269" s="100"/>
      <c r="K269" s="100"/>
      <c r="L269" s="101"/>
      <c r="M269" s="101"/>
      <c r="N269" s="112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</row>
    <row r="270" spans="1:29" ht="13">
      <c r="A270" s="115"/>
      <c r="B270" s="97"/>
      <c r="C270" s="115"/>
      <c r="D270" s="115"/>
      <c r="E270" s="115"/>
      <c r="F270" s="115"/>
      <c r="G270" s="99"/>
      <c r="H270" s="98"/>
      <c r="I270" s="100"/>
      <c r="J270" s="100"/>
      <c r="K270" s="100"/>
      <c r="L270" s="101"/>
      <c r="M270" s="101"/>
      <c r="N270" s="112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</row>
    <row r="271" spans="1:29" ht="13">
      <c r="A271" s="115"/>
      <c r="B271" s="97"/>
      <c r="C271" s="115"/>
      <c r="D271" s="115"/>
      <c r="E271" s="115"/>
      <c r="F271" s="115"/>
      <c r="G271" s="99"/>
      <c r="H271" s="98"/>
      <c r="I271" s="100"/>
      <c r="J271" s="100"/>
      <c r="K271" s="100"/>
      <c r="L271" s="101"/>
      <c r="M271" s="101"/>
      <c r="N271" s="112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</row>
    <row r="272" spans="1:29" ht="13">
      <c r="A272" s="115"/>
      <c r="B272" s="97"/>
      <c r="C272" s="115"/>
      <c r="D272" s="115"/>
      <c r="E272" s="115"/>
      <c r="F272" s="115"/>
      <c r="G272" s="99"/>
      <c r="H272" s="98"/>
      <c r="I272" s="100"/>
      <c r="J272" s="100"/>
      <c r="K272" s="100"/>
      <c r="L272" s="101"/>
      <c r="M272" s="101"/>
      <c r="N272" s="112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</row>
    <row r="273" spans="1:29" ht="13">
      <c r="A273" s="115"/>
      <c r="B273" s="97"/>
      <c r="C273" s="115"/>
      <c r="D273" s="115"/>
      <c r="E273" s="115"/>
      <c r="F273" s="115"/>
      <c r="G273" s="99"/>
      <c r="H273" s="98"/>
      <c r="I273" s="100"/>
      <c r="J273" s="100"/>
      <c r="K273" s="100"/>
      <c r="L273" s="101"/>
      <c r="M273" s="101"/>
      <c r="N273" s="112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</row>
    <row r="274" spans="1:29" ht="13">
      <c r="A274" s="115"/>
      <c r="B274" s="97"/>
      <c r="C274" s="115"/>
      <c r="D274" s="115"/>
      <c r="E274" s="115"/>
      <c r="F274" s="115"/>
      <c r="G274" s="99"/>
      <c r="H274" s="98"/>
      <c r="I274" s="100"/>
      <c r="J274" s="100"/>
      <c r="K274" s="100"/>
      <c r="L274" s="101"/>
      <c r="M274" s="101"/>
      <c r="N274" s="112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</row>
    <row r="275" spans="1:29" ht="13">
      <c r="A275" s="115"/>
      <c r="B275" s="97"/>
      <c r="C275" s="115"/>
      <c r="D275" s="115"/>
      <c r="E275" s="115"/>
      <c r="F275" s="115"/>
      <c r="G275" s="99"/>
      <c r="H275" s="98"/>
      <c r="I275" s="100"/>
      <c r="J275" s="100"/>
      <c r="K275" s="100"/>
      <c r="L275" s="101"/>
      <c r="M275" s="101"/>
      <c r="N275" s="112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</row>
    <row r="276" spans="1:29" ht="13">
      <c r="A276" s="115"/>
      <c r="B276" s="97"/>
      <c r="C276" s="115"/>
      <c r="D276" s="115"/>
      <c r="E276" s="115"/>
      <c r="F276" s="115"/>
      <c r="G276" s="99"/>
      <c r="H276" s="98"/>
      <c r="I276" s="100"/>
      <c r="J276" s="100"/>
      <c r="K276" s="100"/>
      <c r="L276" s="101"/>
      <c r="M276" s="101"/>
      <c r="N276" s="112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</row>
    <row r="277" spans="1:29" ht="13">
      <c r="A277" s="115"/>
      <c r="B277" s="97"/>
      <c r="C277" s="115"/>
      <c r="D277" s="115"/>
      <c r="E277" s="115"/>
      <c r="F277" s="115"/>
      <c r="G277" s="99"/>
      <c r="H277" s="98"/>
      <c r="I277" s="100"/>
      <c r="J277" s="100"/>
      <c r="K277" s="100"/>
      <c r="L277" s="101"/>
      <c r="M277" s="101"/>
      <c r="N277" s="112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</row>
    <row r="278" spans="1:29" ht="13">
      <c r="A278" s="115"/>
      <c r="B278" s="97"/>
      <c r="C278" s="115"/>
      <c r="D278" s="115"/>
      <c r="E278" s="115"/>
      <c r="F278" s="115"/>
      <c r="G278" s="99"/>
      <c r="H278" s="98"/>
      <c r="I278" s="100"/>
      <c r="J278" s="100"/>
      <c r="K278" s="100"/>
      <c r="L278" s="101"/>
      <c r="M278" s="101"/>
      <c r="N278" s="112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</row>
    <row r="279" spans="1:29" ht="13">
      <c r="A279" s="115"/>
      <c r="B279" s="97"/>
      <c r="C279" s="115"/>
      <c r="D279" s="115"/>
      <c r="E279" s="115"/>
      <c r="F279" s="115"/>
      <c r="G279" s="99"/>
      <c r="H279" s="98"/>
      <c r="I279" s="100"/>
      <c r="J279" s="100"/>
      <c r="K279" s="100"/>
      <c r="L279" s="101"/>
      <c r="M279" s="101"/>
      <c r="N279" s="112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</row>
    <row r="280" spans="1:29" ht="13">
      <c r="A280" s="115"/>
      <c r="B280" s="97"/>
      <c r="C280" s="115"/>
      <c r="D280" s="115"/>
      <c r="E280" s="115"/>
      <c r="F280" s="115"/>
      <c r="G280" s="99"/>
      <c r="H280" s="98"/>
      <c r="I280" s="100"/>
      <c r="J280" s="100"/>
      <c r="K280" s="100"/>
      <c r="L280" s="101"/>
      <c r="M280" s="101"/>
      <c r="N280" s="112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</row>
    <row r="281" spans="1:29" ht="13">
      <c r="A281" s="115"/>
      <c r="B281" s="97"/>
      <c r="C281" s="115"/>
      <c r="D281" s="115"/>
      <c r="E281" s="115"/>
      <c r="F281" s="115"/>
      <c r="G281" s="99"/>
      <c r="H281" s="98"/>
      <c r="I281" s="100"/>
      <c r="J281" s="100"/>
      <c r="K281" s="100"/>
      <c r="L281" s="101"/>
      <c r="M281" s="101"/>
      <c r="N281" s="112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</row>
    <row r="282" spans="1:29" ht="13">
      <c r="A282" s="115"/>
      <c r="B282" s="97"/>
      <c r="C282" s="115"/>
      <c r="D282" s="115"/>
      <c r="E282" s="115"/>
      <c r="F282" s="115"/>
      <c r="G282" s="99"/>
      <c r="H282" s="98"/>
      <c r="I282" s="100"/>
      <c r="J282" s="100"/>
      <c r="K282" s="100"/>
      <c r="L282" s="101"/>
      <c r="M282" s="101"/>
      <c r="N282" s="112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</row>
    <row r="283" spans="1:29" ht="13">
      <c r="A283" s="115"/>
      <c r="B283" s="97"/>
      <c r="C283" s="115"/>
      <c r="D283" s="115"/>
      <c r="E283" s="115"/>
      <c r="F283" s="115"/>
      <c r="G283" s="99"/>
      <c r="H283" s="98"/>
      <c r="I283" s="100"/>
      <c r="J283" s="100"/>
      <c r="K283" s="100"/>
      <c r="L283" s="101"/>
      <c r="M283" s="101"/>
      <c r="N283" s="112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</row>
    <row r="284" spans="1:29" ht="13">
      <c r="A284" s="115"/>
      <c r="B284" s="97"/>
      <c r="C284" s="115"/>
      <c r="D284" s="115"/>
      <c r="E284" s="115"/>
      <c r="F284" s="115"/>
      <c r="G284" s="99"/>
      <c r="H284" s="98"/>
      <c r="I284" s="100"/>
      <c r="J284" s="100"/>
      <c r="K284" s="100"/>
      <c r="L284" s="101"/>
      <c r="M284" s="101"/>
      <c r="N284" s="112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</row>
    <row r="285" spans="1:29" ht="13">
      <c r="A285" s="115"/>
      <c r="B285" s="97"/>
      <c r="C285" s="115"/>
      <c r="D285" s="115"/>
      <c r="E285" s="115"/>
      <c r="F285" s="115"/>
      <c r="G285" s="99"/>
      <c r="H285" s="98"/>
      <c r="I285" s="100"/>
      <c r="J285" s="100"/>
      <c r="K285" s="100"/>
      <c r="L285" s="101"/>
      <c r="M285" s="101"/>
      <c r="N285" s="112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</row>
    <row r="286" spans="1:29" ht="13">
      <c r="A286" s="115"/>
      <c r="B286" s="97"/>
      <c r="C286" s="115"/>
      <c r="D286" s="115"/>
      <c r="E286" s="115"/>
      <c r="F286" s="115"/>
      <c r="G286" s="99"/>
      <c r="H286" s="98"/>
      <c r="I286" s="100"/>
      <c r="J286" s="100"/>
      <c r="K286" s="100"/>
      <c r="L286" s="101"/>
      <c r="M286" s="101"/>
      <c r="N286" s="112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</row>
    <row r="287" spans="1:29" ht="13">
      <c r="A287" s="115"/>
      <c r="B287" s="97"/>
      <c r="C287" s="115"/>
      <c r="D287" s="115"/>
      <c r="E287" s="115"/>
      <c r="F287" s="115"/>
      <c r="G287" s="99"/>
      <c r="H287" s="98"/>
      <c r="I287" s="100"/>
      <c r="J287" s="100"/>
      <c r="K287" s="100"/>
      <c r="L287" s="101"/>
      <c r="M287" s="101"/>
      <c r="N287" s="112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</row>
    <row r="288" spans="1:29" ht="13">
      <c r="A288" s="115"/>
      <c r="B288" s="97"/>
      <c r="C288" s="115"/>
      <c r="D288" s="115"/>
      <c r="E288" s="115"/>
      <c r="F288" s="115"/>
      <c r="G288" s="99"/>
      <c r="H288" s="98"/>
      <c r="I288" s="100"/>
      <c r="J288" s="100"/>
      <c r="K288" s="100"/>
      <c r="L288" s="101"/>
      <c r="M288" s="101"/>
      <c r="N288" s="112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</row>
    <row r="289" spans="1:29" ht="13">
      <c r="A289" s="115"/>
      <c r="B289" s="97"/>
      <c r="C289" s="115"/>
      <c r="D289" s="115"/>
      <c r="E289" s="115"/>
      <c r="F289" s="115"/>
      <c r="G289" s="99"/>
      <c r="H289" s="98"/>
      <c r="I289" s="100"/>
      <c r="J289" s="100"/>
      <c r="K289" s="100"/>
      <c r="L289" s="101"/>
      <c r="M289" s="101"/>
      <c r="N289" s="112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</row>
    <row r="290" spans="1:29" ht="13">
      <c r="A290" s="115"/>
      <c r="B290" s="97"/>
      <c r="C290" s="115"/>
      <c r="D290" s="115"/>
      <c r="E290" s="115"/>
      <c r="F290" s="115"/>
      <c r="G290" s="99"/>
      <c r="H290" s="98"/>
      <c r="I290" s="100"/>
      <c r="J290" s="100"/>
      <c r="K290" s="100"/>
      <c r="L290" s="101"/>
      <c r="M290" s="101"/>
      <c r="N290" s="112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</row>
    <row r="291" spans="1:29" ht="13">
      <c r="A291" s="115"/>
      <c r="B291" s="97"/>
      <c r="C291" s="115"/>
      <c r="D291" s="115"/>
      <c r="E291" s="115"/>
      <c r="F291" s="115"/>
      <c r="G291" s="99"/>
      <c r="H291" s="98"/>
      <c r="I291" s="100"/>
      <c r="J291" s="100"/>
      <c r="K291" s="100"/>
      <c r="L291" s="101"/>
      <c r="M291" s="101"/>
      <c r="N291" s="112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</row>
    <row r="292" spans="1:29" ht="13">
      <c r="A292" s="115"/>
      <c r="B292" s="97"/>
      <c r="C292" s="115"/>
      <c r="D292" s="115"/>
      <c r="E292" s="115"/>
      <c r="F292" s="115"/>
      <c r="G292" s="99"/>
      <c r="H292" s="98"/>
      <c r="I292" s="100"/>
      <c r="J292" s="100"/>
      <c r="K292" s="100"/>
      <c r="L292" s="101"/>
      <c r="M292" s="101"/>
      <c r="N292" s="112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</row>
    <row r="293" spans="1:29" ht="13">
      <c r="A293" s="115"/>
      <c r="B293" s="97"/>
      <c r="C293" s="115"/>
      <c r="D293" s="115"/>
      <c r="E293" s="115"/>
      <c r="F293" s="115"/>
      <c r="G293" s="99"/>
      <c r="H293" s="98"/>
      <c r="I293" s="100"/>
      <c r="J293" s="100"/>
      <c r="K293" s="100"/>
      <c r="L293" s="101"/>
      <c r="M293" s="101"/>
      <c r="N293" s="112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</row>
    <row r="294" spans="1:29" ht="13">
      <c r="A294" s="115"/>
      <c r="B294" s="97"/>
      <c r="C294" s="115"/>
      <c r="D294" s="115"/>
      <c r="E294" s="115"/>
      <c r="F294" s="115"/>
      <c r="G294" s="99"/>
      <c r="H294" s="98"/>
      <c r="I294" s="100"/>
      <c r="J294" s="100"/>
      <c r="K294" s="100"/>
      <c r="L294" s="101"/>
      <c r="M294" s="101"/>
      <c r="N294" s="112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</row>
    <row r="295" spans="1:29" ht="13">
      <c r="A295" s="115"/>
      <c r="B295" s="97"/>
      <c r="C295" s="115"/>
      <c r="D295" s="115"/>
      <c r="E295" s="115"/>
      <c r="F295" s="115"/>
      <c r="G295" s="99"/>
      <c r="H295" s="98"/>
      <c r="I295" s="100"/>
      <c r="J295" s="100"/>
      <c r="K295" s="100"/>
      <c r="L295" s="101"/>
      <c r="M295" s="101"/>
      <c r="N295" s="112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</row>
    <row r="296" spans="1:29" ht="13">
      <c r="A296" s="115"/>
      <c r="B296" s="97"/>
      <c r="C296" s="115"/>
      <c r="D296" s="115"/>
      <c r="E296" s="115"/>
      <c r="F296" s="115"/>
      <c r="G296" s="99"/>
      <c r="H296" s="98"/>
      <c r="I296" s="100"/>
      <c r="J296" s="100"/>
      <c r="K296" s="100"/>
      <c r="L296" s="101"/>
      <c r="M296" s="101"/>
      <c r="N296" s="112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</row>
    <row r="297" spans="1:29" ht="13">
      <c r="A297" s="115"/>
      <c r="B297" s="97"/>
      <c r="C297" s="115"/>
      <c r="D297" s="115"/>
      <c r="E297" s="115"/>
      <c r="F297" s="115"/>
      <c r="G297" s="99"/>
      <c r="H297" s="98"/>
      <c r="I297" s="100"/>
      <c r="J297" s="100"/>
      <c r="K297" s="100"/>
      <c r="L297" s="101"/>
      <c r="M297" s="101"/>
      <c r="N297" s="112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</row>
    <row r="298" spans="1:29" ht="13">
      <c r="A298" s="115"/>
      <c r="B298" s="97"/>
      <c r="C298" s="115"/>
      <c r="D298" s="115"/>
      <c r="E298" s="115"/>
      <c r="F298" s="115"/>
      <c r="G298" s="99"/>
      <c r="H298" s="98"/>
      <c r="I298" s="100"/>
      <c r="J298" s="100"/>
      <c r="K298" s="100"/>
      <c r="L298" s="101"/>
      <c r="M298" s="101"/>
      <c r="N298" s="112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</row>
    <row r="299" spans="1:29" ht="13">
      <c r="A299" s="115"/>
      <c r="B299" s="97"/>
      <c r="C299" s="115"/>
      <c r="D299" s="115"/>
      <c r="E299" s="115"/>
      <c r="F299" s="115"/>
      <c r="G299" s="99"/>
      <c r="H299" s="98"/>
      <c r="I299" s="100"/>
      <c r="J299" s="100"/>
      <c r="K299" s="100"/>
      <c r="L299" s="101"/>
      <c r="M299" s="101"/>
      <c r="N299" s="112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</row>
    <row r="300" spans="1:29" ht="13">
      <c r="A300" s="115"/>
      <c r="B300" s="97"/>
      <c r="C300" s="115"/>
      <c r="D300" s="115"/>
      <c r="E300" s="115"/>
      <c r="F300" s="115"/>
      <c r="G300" s="99"/>
      <c r="H300" s="98"/>
      <c r="I300" s="100"/>
      <c r="J300" s="100"/>
      <c r="K300" s="100"/>
      <c r="L300" s="101"/>
      <c r="M300" s="101"/>
      <c r="N300" s="112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</row>
    <row r="301" spans="1:29" ht="13">
      <c r="A301" s="115"/>
      <c r="B301" s="97"/>
      <c r="C301" s="115"/>
      <c r="D301" s="115"/>
      <c r="E301" s="115"/>
      <c r="F301" s="115"/>
      <c r="G301" s="99"/>
      <c r="H301" s="98"/>
      <c r="I301" s="100"/>
      <c r="J301" s="100"/>
      <c r="K301" s="100"/>
      <c r="L301" s="101"/>
      <c r="M301" s="101"/>
      <c r="N301" s="112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</row>
    <row r="302" spans="1:29" ht="13">
      <c r="A302" s="115"/>
      <c r="B302" s="97"/>
      <c r="C302" s="115"/>
      <c r="D302" s="115"/>
      <c r="E302" s="115"/>
      <c r="F302" s="115"/>
      <c r="G302" s="99"/>
      <c r="H302" s="98"/>
      <c r="I302" s="100"/>
      <c r="J302" s="100"/>
      <c r="K302" s="100"/>
      <c r="L302" s="101"/>
      <c r="M302" s="101"/>
      <c r="N302" s="112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</row>
    <row r="303" spans="1:29" ht="13">
      <c r="A303" s="115"/>
      <c r="B303" s="97"/>
      <c r="C303" s="115"/>
      <c r="D303" s="115"/>
      <c r="E303" s="115"/>
      <c r="F303" s="115"/>
      <c r="G303" s="99"/>
      <c r="H303" s="98"/>
      <c r="I303" s="100"/>
      <c r="J303" s="100"/>
      <c r="K303" s="100"/>
      <c r="L303" s="101"/>
      <c r="M303" s="101"/>
      <c r="N303" s="112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</row>
    <row r="304" spans="1:29" ht="13">
      <c r="A304" s="115"/>
      <c r="B304" s="97"/>
      <c r="C304" s="115"/>
      <c r="D304" s="115"/>
      <c r="E304" s="115"/>
      <c r="F304" s="115"/>
      <c r="G304" s="99"/>
      <c r="H304" s="98"/>
      <c r="I304" s="100"/>
      <c r="J304" s="100"/>
      <c r="K304" s="100"/>
      <c r="L304" s="101"/>
      <c r="M304" s="101"/>
      <c r="N304" s="112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</row>
    <row r="305" spans="1:29" ht="13">
      <c r="A305" s="115"/>
      <c r="B305" s="97"/>
      <c r="C305" s="115"/>
      <c r="D305" s="115"/>
      <c r="E305" s="115"/>
      <c r="F305" s="115"/>
      <c r="G305" s="99"/>
      <c r="H305" s="98"/>
      <c r="I305" s="100"/>
      <c r="J305" s="100"/>
      <c r="K305" s="100"/>
      <c r="L305" s="101"/>
      <c r="M305" s="101"/>
      <c r="N305" s="112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</row>
    <row r="306" spans="1:29" ht="13">
      <c r="A306" s="115"/>
      <c r="B306" s="97"/>
      <c r="C306" s="115"/>
      <c r="D306" s="115"/>
      <c r="E306" s="115"/>
      <c r="F306" s="115"/>
      <c r="G306" s="99"/>
      <c r="H306" s="98"/>
      <c r="I306" s="100"/>
      <c r="J306" s="100"/>
      <c r="K306" s="100"/>
      <c r="L306" s="101"/>
      <c r="M306" s="101"/>
      <c r="N306" s="112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</row>
    <row r="307" spans="1:29" ht="13">
      <c r="A307" s="115"/>
      <c r="B307" s="97"/>
      <c r="C307" s="115"/>
      <c r="D307" s="115"/>
      <c r="E307" s="115"/>
      <c r="F307" s="115"/>
      <c r="G307" s="99"/>
      <c r="H307" s="98"/>
      <c r="I307" s="100"/>
      <c r="J307" s="100"/>
      <c r="K307" s="100"/>
      <c r="L307" s="101"/>
      <c r="M307" s="101"/>
      <c r="N307" s="112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</row>
    <row r="308" spans="1:29" ht="13">
      <c r="A308" s="115"/>
      <c r="B308" s="97"/>
      <c r="C308" s="115"/>
      <c r="D308" s="115"/>
      <c r="E308" s="115"/>
      <c r="F308" s="115"/>
      <c r="G308" s="99"/>
      <c r="H308" s="98"/>
      <c r="I308" s="100"/>
      <c r="J308" s="100"/>
      <c r="K308" s="100"/>
      <c r="L308" s="101"/>
      <c r="M308" s="101"/>
      <c r="N308" s="112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</row>
    <row r="309" spans="1:29" ht="13">
      <c r="A309" s="115"/>
      <c r="B309" s="97"/>
      <c r="C309" s="115"/>
      <c r="D309" s="115"/>
      <c r="E309" s="115"/>
      <c r="F309" s="115"/>
      <c r="G309" s="99"/>
      <c r="H309" s="98"/>
      <c r="I309" s="100"/>
      <c r="J309" s="100"/>
      <c r="K309" s="100"/>
      <c r="L309" s="101"/>
      <c r="M309" s="101"/>
      <c r="N309" s="112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</row>
    <row r="310" spans="1:29" ht="13">
      <c r="A310" s="115"/>
      <c r="B310" s="97"/>
      <c r="C310" s="115"/>
      <c r="D310" s="115"/>
      <c r="E310" s="115"/>
      <c r="F310" s="115"/>
      <c r="G310" s="99"/>
      <c r="H310" s="98"/>
      <c r="I310" s="100"/>
      <c r="J310" s="100"/>
      <c r="K310" s="100"/>
      <c r="L310" s="101"/>
      <c r="M310" s="101"/>
      <c r="N310" s="112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</row>
    <row r="311" spans="1:29" ht="13">
      <c r="A311" s="115"/>
      <c r="B311" s="97"/>
      <c r="C311" s="115"/>
      <c r="D311" s="115"/>
      <c r="E311" s="115"/>
      <c r="F311" s="115"/>
      <c r="G311" s="99"/>
      <c r="H311" s="98"/>
      <c r="I311" s="100"/>
      <c r="J311" s="100"/>
      <c r="K311" s="100"/>
      <c r="L311" s="101"/>
      <c r="M311" s="101"/>
      <c r="N311" s="112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</row>
    <row r="312" spans="1:29" ht="13">
      <c r="A312" s="115"/>
      <c r="B312" s="97"/>
      <c r="C312" s="115"/>
      <c r="D312" s="115"/>
      <c r="E312" s="115"/>
      <c r="F312" s="115"/>
      <c r="G312" s="99"/>
      <c r="H312" s="98"/>
      <c r="I312" s="100"/>
      <c r="J312" s="100"/>
      <c r="K312" s="100"/>
      <c r="L312" s="101"/>
      <c r="M312" s="101"/>
      <c r="N312" s="112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</row>
    <row r="313" spans="1:29" ht="13">
      <c r="A313" s="115"/>
      <c r="B313" s="97"/>
      <c r="C313" s="115"/>
      <c r="D313" s="115"/>
      <c r="E313" s="115"/>
      <c r="F313" s="115"/>
      <c r="G313" s="99"/>
      <c r="H313" s="98"/>
      <c r="I313" s="100"/>
      <c r="J313" s="100"/>
      <c r="K313" s="100"/>
      <c r="L313" s="101"/>
      <c r="M313" s="101"/>
      <c r="N313" s="112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</row>
    <row r="314" spans="1:29" ht="13">
      <c r="A314" s="115"/>
      <c r="B314" s="97"/>
      <c r="C314" s="115"/>
      <c r="D314" s="115"/>
      <c r="E314" s="115"/>
      <c r="F314" s="115"/>
      <c r="G314" s="99"/>
      <c r="H314" s="98"/>
      <c r="I314" s="100"/>
      <c r="J314" s="100"/>
      <c r="K314" s="100"/>
      <c r="L314" s="101"/>
      <c r="M314" s="101"/>
      <c r="N314" s="112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</row>
    <row r="315" spans="1:29" ht="13">
      <c r="A315" s="115"/>
      <c r="B315" s="97"/>
      <c r="C315" s="115"/>
      <c r="D315" s="115"/>
      <c r="E315" s="115"/>
      <c r="F315" s="115"/>
      <c r="G315" s="99"/>
      <c r="H315" s="98"/>
      <c r="I315" s="100"/>
      <c r="J315" s="100"/>
      <c r="K315" s="100"/>
      <c r="L315" s="101"/>
      <c r="M315" s="101"/>
      <c r="N315" s="112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</row>
    <row r="316" spans="1:29" ht="13">
      <c r="A316" s="115"/>
      <c r="B316" s="97"/>
      <c r="C316" s="115"/>
      <c r="D316" s="115"/>
      <c r="E316" s="115"/>
      <c r="F316" s="115"/>
      <c r="G316" s="99"/>
      <c r="H316" s="98"/>
      <c r="I316" s="100"/>
      <c r="J316" s="100"/>
      <c r="K316" s="100"/>
      <c r="L316" s="101"/>
      <c r="M316" s="101"/>
      <c r="N316" s="112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</row>
    <row r="317" spans="1:29" ht="13">
      <c r="A317" s="115"/>
      <c r="B317" s="97"/>
      <c r="C317" s="115"/>
      <c r="D317" s="115"/>
      <c r="E317" s="115"/>
      <c r="F317" s="115"/>
      <c r="G317" s="99"/>
      <c r="H317" s="98"/>
      <c r="I317" s="100"/>
      <c r="J317" s="100"/>
      <c r="K317" s="100"/>
      <c r="L317" s="101"/>
      <c r="M317" s="101"/>
      <c r="N317" s="112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</row>
    <row r="318" spans="1:29" ht="13">
      <c r="A318" s="115"/>
      <c r="B318" s="97"/>
      <c r="C318" s="115"/>
      <c r="D318" s="115"/>
      <c r="E318" s="115"/>
      <c r="F318" s="115"/>
      <c r="G318" s="99"/>
      <c r="H318" s="98"/>
      <c r="I318" s="100"/>
      <c r="J318" s="100"/>
      <c r="K318" s="100"/>
      <c r="L318" s="101"/>
      <c r="M318" s="101"/>
      <c r="N318" s="112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</row>
    <row r="319" spans="1:29" ht="13">
      <c r="A319" s="115"/>
      <c r="B319" s="97"/>
      <c r="C319" s="115"/>
      <c r="D319" s="115"/>
      <c r="E319" s="115"/>
      <c r="F319" s="115"/>
      <c r="G319" s="99"/>
      <c r="H319" s="98"/>
      <c r="I319" s="100"/>
      <c r="J319" s="100"/>
      <c r="K319" s="100"/>
      <c r="L319" s="101"/>
      <c r="M319" s="101"/>
      <c r="N319" s="112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</row>
    <row r="320" spans="1:29" ht="13">
      <c r="A320" s="115"/>
      <c r="B320" s="97"/>
      <c r="C320" s="115"/>
      <c r="D320" s="115"/>
      <c r="E320" s="115"/>
      <c r="F320" s="115"/>
      <c r="G320" s="99"/>
      <c r="H320" s="98"/>
      <c r="I320" s="100"/>
      <c r="J320" s="100"/>
      <c r="K320" s="100"/>
      <c r="L320" s="101"/>
      <c r="M320" s="101"/>
      <c r="N320" s="112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</row>
    <row r="321" spans="1:29" ht="13">
      <c r="A321" s="115"/>
      <c r="B321" s="97"/>
      <c r="C321" s="115"/>
      <c r="D321" s="115"/>
      <c r="E321" s="115"/>
      <c r="F321" s="115"/>
      <c r="G321" s="99"/>
      <c r="H321" s="98"/>
      <c r="I321" s="100"/>
      <c r="J321" s="100"/>
      <c r="K321" s="100"/>
      <c r="L321" s="101"/>
      <c r="M321" s="101"/>
      <c r="N321" s="112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</row>
    <row r="322" spans="1:29" ht="13">
      <c r="A322" s="115"/>
      <c r="B322" s="97"/>
      <c r="C322" s="115"/>
      <c r="D322" s="115"/>
      <c r="E322" s="115"/>
      <c r="F322" s="115"/>
      <c r="G322" s="99"/>
      <c r="H322" s="98"/>
      <c r="I322" s="100"/>
      <c r="J322" s="100"/>
      <c r="K322" s="100"/>
      <c r="L322" s="101"/>
      <c r="M322" s="101"/>
      <c r="N322" s="112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</row>
    <row r="323" spans="1:29" ht="13">
      <c r="A323" s="115"/>
      <c r="B323" s="97"/>
      <c r="C323" s="115"/>
      <c r="D323" s="115"/>
      <c r="E323" s="115"/>
      <c r="F323" s="115"/>
      <c r="G323" s="99"/>
      <c r="H323" s="98"/>
      <c r="I323" s="100"/>
      <c r="J323" s="100"/>
      <c r="K323" s="100"/>
      <c r="L323" s="101"/>
      <c r="M323" s="101"/>
      <c r="N323" s="112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</row>
    <row r="324" spans="1:29" ht="13">
      <c r="A324" s="115"/>
      <c r="B324" s="97"/>
      <c r="C324" s="115"/>
      <c r="D324" s="115"/>
      <c r="E324" s="115"/>
      <c r="F324" s="115"/>
      <c r="G324" s="99"/>
      <c r="H324" s="98"/>
      <c r="I324" s="100"/>
      <c r="J324" s="100"/>
      <c r="K324" s="100"/>
      <c r="L324" s="101"/>
      <c r="M324" s="101"/>
      <c r="N324" s="112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</row>
    <row r="325" spans="1:29" ht="13">
      <c r="A325" s="115"/>
      <c r="B325" s="97"/>
      <c r="C325" s="115"/>
      <c r="D325" s="115"/>
      <c r="E325" s="115"/>
      <c r="F325" s="115"/>
      <c r="G325" s="99"/>
      <c r="H325" s="98"/>
      <c r="I325" s="100"/>
      <c r="J325" s="100"/>
      <c r="K325" s="100"/>
      <c r="L325" s="101"/>
      <c r="M325" s="101"/>
      <c r="N325" s="112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</row>
    <row r="326" spans="1:29" ht="13">
      <c r="A326" s="115"/>
      <c r="B326" s="97"/>
      <c r="C326" s="115"/>
      <c r="D326" s="115"/>
      <c r="E326" s="115"/>
      <c r="F326" s="115"/>
      <c r="G326" s="99"/>
      <c r="H326" s="98"/>
      <c r="I326" s="100"/>
      <c r="J326" s="100"/>
      <c r="K326" s="100"/>
      <c r="L326" s="101"/>
      <c r="M326" s="101"/>
      <c r="N326" s="112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</row>
    <row r="327" spans="1:29" ht="13">
      <c r="A327" s="115"/>
      <c r="B327" s="97"/>
      <c r="C327" s="115"/>
      <c r="D327" s="115"/>
      <c r="E327" s="115"/>
      <c r="F327" s="115"/>
      <c r="G327" s="99"/>
      <c r="H327" s="98"/>
      <c r="I327" s="100"/>
      <c r="J327" s="100"/>
      <c r="K327" s="100"/>
      <c r="L327" s="101"/>
      <c r="M327" s="101"/>
      <c r="N327" s="112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</row>
    <row r="328" spans="1:29" ht="13">
      <c r="A328" s="115"/>
      <c r="B328" s="97"/>
      <c r="C328" s="115"/>
      <c r="D328" s="115"/>
      <c r="E328" s="115"/>
      <c r="F328" s="115"/>
      <c r="G328" s="99"/>
      <c r="H328" s="98"/>
      <c r="I328" s="100"/>
      <c r="J328" s="100"/>
      <c r="K328" s="100"/>
      <c r="L328" s="101"/>
      <c r="M328" s="101"/>
      <c r="N328" s="112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</row>
    <row r="329" spans="1:29" ht="13">
      <c r="A329" s="115"/>
      <c r="B329" s="97"/>
      <c r="C329" s="115"/>
      <c r="D329" s="115"/>
      <c r="E329" s="115"/>
      <c r="F329" s="115"/>
      <c r="G329" s="99"/>
      <c r="H329" s="98"/>
      <c r="I329" s="100"/>
      <c r="J329" s="100"/>
      <c r="K329" s="100"/>
      <c r="L329" s="101"/>
      <c r="M329" s="101"/>
      <c r="N329" s="112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</row>
    <row r="330" spans="1:29" ht="13">
      <c r="A330" s="115"/>
      <c r="B330" s="97"/>
      <c r="C330" s="115"/>
      <c r="D330" s="115"/>
      <c r="E330" s="115"/>
      <c r="F330" s="115"/>
      <c r="G330" s="99"/>
      <c r="H330" s="98"/>
      <c r="I330" s="100"/>
      <c r="J330" s="100"/>
      <c r="K330" s="100"/>
      <c r="L330" s="101"/>
      <c r="M330" s="101"/>
      <c r="N330" s="112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</row>
    <row r="331" spans="1:29" ht="13">
      <c r="A331" s="115"/>
      <c r="B331" s="97"/>
      <c r="C331" s="115"/>
      <c r="D331" s="115"/>
      <c r="E331" s="115"/>
      <c r="F331" s="115"/>
      <c r="G331" s="99"/>
      <c r="H331" s="98"/>
      <c r="I331" s="100"/>
      <c r="J331" s="100"/>
      <c r="K331" s="100"/>
      <c r="L331" s="101"/>
      <c r="M331" s="101"/>
      <c r="N331" s="112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</row>
    <row r="332" spans="1:29" ht="13">
      <c r="A332" s="115"/>
      <c r="B332" s="97"/>
      <c r="C332" s="115"/>
      <c r="D332" s="115"/>
      <c r="E332" s="115"/>
      <c r="F332" s="115"/>
      <c r="G332" s="99"/>
      <c r="H332" s="98"/>
      <c r="I332" s="100"/>
      <c r="J332" s="100"/>
      <c r="K332" s="100"/>
      <c r="L332" s="101"/>
      <c r="M332" s="101"/>
      <c r="N332" s="112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</row>
    <row r="333" spans="1:29" ht="13">
      <c r="A333" s="115"/>
      <c r="B333" s="97"/>
      <c r="C333" s="115"/>
      <c r="D333" s="115"/>
      <c r="E333" s="115"/>
      <c r="F333" s="115"/>
      <c r="G333" s="99"/>
      <c r="H333" s="98"/>
      <c r="I333" s="100"/>
      <c r="J333" s="100"/>
      <c r="K333" s="100"/>
      <c r="L333" s="101"/>
      <c r="M333" s="101"/>
      <c r="N333" s="112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</row>
    <row r="334" spans="1:29" ht="13">
      <c r="A334" s="115"/>
      <c r="B334" s="97"/>
      <c r="C334" s="115"/>
      <c r="D334" s="115"/>
      <c r="E334" s="115"/>
      <c r="F334" s="115"/>
      <c r="G334" s="99"/>
      <c r="H334" s="98"/>
      <c r="I334" s="100"/>
      <c r="J334" s="100"/>
      <c r="K334" s="100"/>
      <c r="L334" s="101"/>
      <c r="M334" s="101"/>
      <c r="N334" s="112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</row>
    <row r="335" spans="1:29" ht="13">
      <c r="A335" s="115"/>
      <c r="B335" s="97"/>
      <c r="C335" s="115"/>
      <c r="D335" s="115"/>
      <c r="E335" s="115"/>
      <c r="F335" s="115"/>
      <c r="G335" s="99"/>
      <c r="H335" s="98"/>
      <c r="I335" s="100"/>
      <c r="J335" s="100"/>
      <c r="K335" s="100"/>
      <c r="L335" s="101"/>
      <c r="M335" s="101"/>
      <c r="N335" s="112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</row>
    <row r="336" spans="1:29" ht="13">
      <c r="A336" s="115"/>
      <c r="B336" s="97"/>
      <c r="C336" s="115"/>
      <c r="D336" s="115"/>
      <c r="E336" s="115"/>
      <c r="F336" s="115"/>
      <c r="G336" s="99"/>
      <c r="H336" s="98"/>
      <c r="I336" s="100"/>
      <c r="J336" s="100"/>
      <c r="K336" s="100"/>
      <c r="L336" s="101"/>
      <c r="M336" s="101"/>
      <c r="N336" s="112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</row>
    <row r="337" spans="1:29" ht="13">
      <c r="A337" s="115"/>
      <c r="B337" s="97"/>
      <c r="C337" s="115"/>
      <c r="D337" s="115"/>
      <c r="E337" s="115"/>
      <c r="F337" s="115"/>
      <c r="G337" s="99"/>
      <c r="H337" s="98"/>
      <c r="I337" s="100"/>
      <c r="J337" s="100"/>
      <c r="K337" s="100"/>
      <c r="L337" s="101"/>
      <c r="M337" s="101"/>
      <c r="N337" s="112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</row>
    <row r="338" spans="1:29" ht="13">
      <c r="A338" s="115"/>
      <c r="B338" s="97"/>
      <c r="C338" s="115"/>
      <c r="D338" s="115"/>
      <c r="E338" s="115"/>
      <c r="F338" s="115"/>
      <c r="G338" s="99"/>
      <c r="H338" s="98"/>
      <c r="I338" s="100"/>
      <c r="J338" s="100"/>
      <c r="K338" s="100"/>
      <c r="L338" s="101"/>
      <c r="M338" s="101"/>
      <c r="N338" s="112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</row>
    <row r="339" spans="1:29" ht="13">
      <c r="A339" s="115"/>
      <c r="B339" s="97"/>
      <c r="C339" s="115"/>
      <c r="D339" s="115"/>
      <c r="E339" s="115"/>
      <c r="F339" s="115"/>
      <c r="G339" s="99"/>
      <c r="H339" s="98"/>
      <c r="I339" s="100"/>
      <c r="J339" s="100"/>
      <c r="K339" s="100"/>
      <c r="L339" s="101"/>
      <c r="M339" s="101"/>
      <c r="N339" s="112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</row>
    <row r="340" spans="1:29" ht="13">
      <c r="A340" s="115"/>
      <c r="B340" s="97"/>
      <c r="C340" s="115"/>
      <c r="D340" s="115"/>
      <c r="E340" s="115"/>
      <c r="F340" s="115"/>
      <c r="G340" s="99"/>
      <c r="H340" s="98"/>
      <c r="I340" s="100"/>
      <c r="J340" s="100"/>
      <c r="K340" s="100"/>
      <c r="L340" s="101"/>
      <c r="M340" s="101"/>
      <c r="N340" s="112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</row>
    <row r="341" spans="1:29" ht="13">
      <c r="A341" s="115"/>
      <c r="B341" s="97"/>
      <c r="C341" s="115"/>
      <c r="D341" s="115"/>
      <c r="E341" s="115"/>
      <c r="F341" s="115"/>
      <c r="G341" s="99"/>
      <c r="H341" s="98"/>
      <c r="I341" s="100"/>
      <c r="J341" s="100"/>
      <c r="K341" s="100"/>
      <c r="L341" s="101"/>
      <c r="M341" s="101"/>
      <c r="N341" s="112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</row>
    <row r="342" spans="1:29" ht="13">
      <c r="A342" s="115"/>
      <c r="B342" s="97"/>
      <c r="C342" s="115"/>
      <c r="D342" s="115"/>
      <c r="E342" s="115"/>
      <c r="F342" s="115"/>
      <c r="G342" s="99"/>
      <c r="H342" s="98"/>
      <c r="I342" s="100"/>
      <c r="J342" s="100"/>
      <c r="K342" s="100"/>
      <c r="L342" s="101"/>
      <c r="M342" s="101"/>
      <c r="N342" s="112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</row>
    <row r="343" spans="1:29" ht="13">
      <c r="A343" s="115"/>
      <c r="B343" s="97"/>
      <c r="C343" s="115"/>
      <c r="D343" s="115"/>
      <c r="E343" s="115"/>
      <c r="F343" s="115"/>
      <c r="G343" s="99"/>
      <c r="H343" s="98"/>
      <c r="I343" s="100"/>
      <c r="J343" s="100"/>
      <c r="K343" s="100"/>
      <c r="L343" s="101"/>
      <c r="M343" s="101"/>
      <c r="N343" s="112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</row>
    <row r="344" spans="1:29" ht="13">
      <c r="A344" s="115"/>
      <c r="B344" s="97"/>
      <c r="C344" s="115"/>
      <c r="D344" s="115"/>
      <c r="E344" s="115"/>
      <c r="F344" s="115"/>
      <c r="G344" s="99"/>
      <c r="H344" s="98"/>
      <c r="I344" s="100"/>
      <c r="J344" s="100"/>
      <c r="K344" s="100"/>
      <c r="L344" s="101"/>
      <c r="M344" s="101"/>
      <c r="N344" s="112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</row>
    <row r="345" spans="1:29" ht="13">
      <c r="A345" s="115"/>
      <c r="B345" s="97"/>
      <c r="C345" s="115"/>
      <c r="D345" s="115"/>
      <c r="E345" s="115"/>
      <c r="F345" s="115"/>
      <c r="G345" s="99"/>
      <c r="H345" s="98"/>
      <c r="I345" s="100"/>
      <c r="J345" s="100"/>
      <c r="K345" s="100"/>
      <c r="L345" s="101"/>
      <c r="M345" s="101"/>
      <c r="N345" s="112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</row>
    <row r="346" spans="1:29" ht="13">
      <c r="A346" s="115"/>
      <c r="B346" s="97"/>
      <c r="C346" s="115"/>
      <c r="D346" s="115"/>
      <c r="E346" s="115"/>
      <c r="F346" s="115"/>
      <c r="G346" s="99"/>
      <c r="H346" s="98"/>
      <c r="I346" s="100"/>
      <c r="J346" s="100"/>
      <c r="K346" s="100"/>
      <c r="L346" s="101"/>
      <c r="M346" s="101"/>
      <c r="N346" s="112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</row>
    <row r="347" spans="1:29" ht="13">
      <c r="A347" s="115"/>
      <c r="B347" s="97"/>
      <c r="C347" s="115"/>
      <c r="D347" s="115"/>
      <c r="E347" s="115"/>
      <c r="F347" s="115"/>
      <c r="G347" s="99"/>
      <c r="H347" s="98"/>
      <c r="I347" s="100"/>
      <c r="J347" s="100"/>
      <c r="K347" s="100"/>
      <c r="L347" s="101"/>
      <c r="M347" s="101"/>
      <c r="N347" s="112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</row>
    <row r="348" spans="1:29" ht="13">
      <c r="A348" s="115"/>
      <c r="B348" s="97"/>
      <c r="C348" s="115"/>
      <c r="D348" s="115"/>
      <c r="E348" s="115"/>
      <c r="F348" s="115"/>
      <c r="G348" s="99"/>
      <c r="H348" s="98"/>
      <c r="I348" s="100"/>
      <c r="J348" s="100"/>
      <c r="K348" s="100"/>
      <c r="L348" s="101"/>
      <c r="M348" s="101"/>
      <c r="N348" s="112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</row>
    <row r="349" spans="1:29" ht="13">
      <c r="A349" s="115"/>
      <c r="B349" s="97"/>
      <c r="C349" s="115"/>
      <c r="D349" s="115"/>
      <c r="E349" s="115"/>
      <c r="F349" s="115"/>
      <c r="G349" s="99"/>
      <c r="H349" s="98"/>
      <c r="I349" s="100"/>
      <c r="J349" s="100"/>
      <c r="K349" s="100"/>
      <c r="L349" s="101"/>
      <c r="M349" s="101"/>
      <c r="N349" s="112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</row>
    <row r="350" spans="1:29" ht="13">
      <c r="A350" s="115"/>
      <c r="B350" s="97"/>
      <c r="C350" s="115"/>
      <c r="D350" s="115"/>
      <c r="E350" s="115"/>
      <c r="F350" s="115"/>
      <c r="G350" s="99"/>
      <c r="H350" s="98"/>
      <c r="I350" s="100"/>
      <c r="J350" s="100"/>
      <c r="K350" s="100"/>
      <c r="L350" s="101"/>
      <c r="M350" s="101"/>
      <c r="N350" s="112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</row>
    <row r="351" spans="1:29" ht="13">
      <c r="A351" s="115"/>
      <c r="B351" s="97"/>
      <c r="C351" s="115"/>
      <c r="D351" s="115"/>
      <c r="E351" s="115"/>
      <c r="F351" s="115"/>
      <c r="G351" s="99"/>
      <c r="H351" s="98"/>
      <c r="I351" s="100"/>
      <c r="J351" s="100"/>
      <c r="K351" s="100"/>
      <c r="L351" s="101"/>
      <c r="M351" s="101"/>
      <c r="N351" s="112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</row>
    <row r="352" spans="1:29" ht="13">
      <c r="A352" s="115"/>
      <c r="B352" s="97"/>
      <c r="C352" s="115"/>
      <c r="D352" s="115"/>
      <c r="E352" s="115"/>
      <c r="F352" s="115"/>
      <c r="G352" s="99"/>
      <c r="H352" s="98"/>
      <c r="I352" s="100"/>
      <c r="J352" s="100"/>
      <c r="K352" s="100"/>
      <c r="L352" s="101"/>
      <c r="M352" s="101"/>
      <c r="N352" s="112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</row>
    <row r="353" spans="1:29" ht="13">
      <c r="A353" s="115"/>
      <c r="B353" s="97"/>
      <c r="C353" s="115"/>
      <c r="D353" s="115"/>
      <c r="E353" s="115"/>
      <c r="F353" s="115"/>
      <c r="G353" s="99"/>
      <c r="H353" s="98"/>
      <c r="I353" s="100"/>
      <c r="J353" s="100"/>
      <c r="K353" s="100"/>
      <c r="L353" s="101"/>
      <c r="M353" s="101"/>
      <c r="N353" s="112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</row>
    <row r="354" spans="1:29" ht="13">
      <c r="A354" s="115"/>
      <c r="B354" s="97"/>
      <c r="C354" s="115"/>
      <c r="D354" s="115"/>
      <c r="E354" s="115"/>
      <c r="F354" s="115"/>
      <c r="G354" s="99"/>
      <c r="H354" s="98"/>
      <c r="I354" s="100"/>
      <c r="J354" s="100"/>
      <c r="K354" s="100"/>
      <c r="L354" s="101"/>
      <c r="M354" s="101"/>
      <c r="N354" s="112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</row>
    <row r="355" spans="1:29" ht="13">
      <c r="A355" s="115"/>
      <c r="B355" s="97"/>
      <c r="C355" s="115"/>
      <c r="D355" s="115"/>
      <c r="E355" s="115"/>
      <c r="F355" s="115"/>
      <c r="G355" s="99"/>
      <c r="H355" s="98"/>
      <c r="I355" s="100"/>
      <c r="J355" s="100"/>
      <c r="K355" s="100"/>
      <c r="L355" s="101"/>
      <c r="M355" s="101"/>
      <c r="N355" s="112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</row>
    <row r="356" spans="1:29" ht="13">
      <c r="A356" s="115"/>
      <c r="B356" s="97"/>
      <c r="C356" s="115"/>
      <c r="D356" s="115"/>
      <c r="E356" s="115"/>
      <c r="F356" s="115"/>
      <c r="G356" s="99"/>
      <c r="H356" s="98"/>
      <c r="I356" s="100"/>
      <c r="J356" s="100"/>
      <c r="K356" s="100"/>
      <c r="L356" s="101"/>
      <c r="M356" s="101"/>
      <c r="N356" s="112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</row>
    <row r="357" spans="1:29" ht="13">
      <c r="A357" s="115"/>
      <c r="B357" s="97"/>
      <c r="C357" s="115"/>
      <c r="D357" s="115"/>
      <c r="E357" s="115"/>
      <c r="F357" s="115"/>
      <c r="G357" s="99"/>
      <c r="H357" s="98"/>
      <c r="I357" s="100"/>
      <c r="J357" s="100"/>
      <c r="K357" s="100"/>
      <c r="L357" s="101"/>
      <c r="M357" s="101"/>
      <c r="N357" s="112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</row>
    <row r="358" spans="1:29" ht="13">
      <c r="A358" s="115"/>
      <c r="B358" s="97"/>
      <c r="C358" s="115"/>
      <c r="D358" s="115"/>
      <c r="E358" s="115"/>
      <c r="F358" s="115"/>
      <c r="G358" s="99"/>
      <c r="H358" s="98"/>
      <c r="I358" s="100"/>
      <c r="J358" s="100"/>
      <c r="K358" s="100"/>
      <c r="L358" s="101"/>
      <c r="M358" s="101"/>
      <c r="N358" s="112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</row>
    <row r="359" spans="1:29" ht="13">
      <c r="A359" s="115"/>
      <c r="B359" s="97"/>
      <c r="C359" s="115"/>
      <c r="D359" s="115"/>
      <c r="E359" s="115"/>
      <c r="F359" s="115"/>
      <c r="G359" s="99"/>
      <c r="H359" s="98"/>
      <c r="I359" s="100"/>
      <c r="J359" s="100"/>
      <c r="K359" s="100"/>
      <c r="L359" s="101"/>
      <c r="M359" s="101"/>
      <c r="N359" s="112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</row>
    <row r="360" spans="1:29" ht="13">
      <c r="A360" s="115"/>
      <c r="B360" s="97"/>
      <c r="C360" s="115"/>
      <c r="D360" s="115"/>
      <c r="E360" s="115"/>
      <c r="F360" s="115"/>
      <c r="G360" s="99"/>
      <c r="H360" s="98"/>
      <c r="I360" s="100"/>
      <c r="J360" s="100"/>
      <c r="K360" s="100"/>
      <c r="L360" s="101"/>
      <c r="M360" s="101"/>
      <c r="N360" s="112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</row>
    <row r="361" spans="1:29" ht="13">
      <c r="A361" s="115"/>
      <c r="B361" s="97"/>
      <c r="C361" s="115"/>
      <c r="D361" s="115"/>
      <c r="E361" s="115"/>
      <c r="F361" s="115"/>
      <c r="G361" s="99"/>
      <c r="H361" s="98"/>
      <c r="I361" s="100"/>
      <c r="J361" s="100"/>
      <c r="K361" s="100"/>
      <c r="L361" s="101"/>
      <c r="M361" s="101"/>
      <c r="N361" s="112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</row>
    <row r="362" spans="1:29" ht="13">
      <c r="A362" s="115"/>
      <c r="B362" s="97"/>
      <c r="C362" s="115"/>
      <c r="D362" s="115"/>
      <c r="E362" s="115"/>
      <c r="F362" s="115"/>
      <c r="G362" s="99"/>
      <c r="H362" s="98"/>
      <c r="I362" s="100"/>
      <c r="J362" s="100"/>
      <c r="K362" s="100"/>
      <c r="L362" s="101"/>
      <c r="M362" s="101"/>
      <c r="N362" s="112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</row>
    <row r="363" spans="1:29" ht="13">
      <c r="A363" s="115"/>
      <c r="B363" s="97"/>
      <c r="C363" s="115"/>
      <c r="D363" s="115"/>
      <c r="E363" s="115"/>
      <c r="F363" s="115"/>
      <c r="G363" s="99"/>
      <c r="H363" s="98"/>
      <c r="I363" s="100"/>
      <c r="J363" s="100"/>
      <c r="K363" s="100"/>
      <c r="L363" s="101"/>
      <c r="M363" s="101"/>
      <c r="N363" s="112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</row>
    <row r="364" spans="1:29" ht="13">
      <c r="A364" s="115"/>
      <c r="B364" s="97"/>
      <c r="C364" s="115"/>
      <c r="D364" s="115"/>
      <c r="E364" s="115"/>
      <c r="F364" s="115"/>
      <c r="G364" s="99"/>
      <c r="H364" s="98"/>
      <c r="I364" s="100"/>
      <c r="J364" s="100"/>
      <c r="K364" s="100"/>
      <c r="L364" s="101"/>
      <c r="M364" s="101"/>
      <c r="N364" s="112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</row>
    <row r="365" spans="1:29" ht="13">
      <c r="A365" s="115"/>
      <c r="B365" s="97"/>
      <c r="C365" s="115"/>
      <c r="D365" s="115"/>
      <c r="E365" s="115"/>
      <c r="F365" s="115"/>
      <c r="G365" s="99"/>
      <c r="H365" s="98"/>
      <c r="I365" s="100"/>
      <c r="J365" s="100"/>
      <c r="K365" s="100"/>
      <c r="L365" s="101"/>
      <c r="M365" s="101"/>
      <c r="N365" s="112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</row>
    <row r="366" spans="1:29" ht="13">
      <c r="A366" s="115"/>
      <c r="B366" s="97"/>
      <c r="C366" s="115"/>
      <c r="D366" s="115"/>
      <c r="E366" s="115"/>
      <c r="F366" s="115"/>
      <c r="G366" s="99"/>
      <c r="H366" s="98"/>
      <c r="I366" s="100"/>
      <c r="J366" s="100"/>
      <c r="K366" s="100"/>
      <c r="L366" s="101"/>
      <c r="M366" s="101"/>
      <c r="N366" s="112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</row>
    <row r="367" spans="1:29" ht="13">
      <c r="A367" s="115"/>
      <c r="B367" s="97"/>
      <c r="C367" s="115"/>
      <c r="D367" s="115"/>
      <c r="E367" s="115"/>
      <c r="F367" s="115"/>
      <c r="G367" s="99"/>
      <c r="H367" s="98"/>
      <c r="I367" s="100"/>
      <c r="J367" s="100"/>
      <c r="K367" s="100"/>
      <c r="L367" s="101"/>
      <c r="M367" s="101"/>
      <c r="N367" s="112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</row>
    <row r="368" spans="1:29" ht="13">
      <c r="A368" s="115"/>
      <c r="B368" s="97"/>
      <c r="C368" s="115"/>
      <c r="D368" s="115"/>
      <c r="E368" s="115"/>
      <c r="F368" s="115"/>
      <c r="G368" s="99"/>
      <c r="H368" s="98"/>
      <c r="I368" s="100"/>
      <c r="J368" s="100"/>
      <c r="K368" s="100"/>
      <c r="L368" s="101"/>
      <c r="M368" s="101"/>
      <c r="N368" s="112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</row>
    <row r="369" spans="1:29" ht="13">
      <c r="A369" s="115"/>
      <c r="B369" s="97"/>
      <c r="C369" s="115"/>
      <c r="D369" s="115"/>
      <c r="E369" s="115"/>
      <c r="F369" s="115"/>
      <c r="G369" s="99"/>
      <c r="H369" s="98"/>
      <c r="I369" s="100"/>
      <c r="J369" s="100"/>
      <c r="K369" s="100"/>
      <c r="L369" s="101"/>
      <c r="M369" s="101"/>
      <c r="N369" s="112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</row>
    <row r="370" spans="1:29" ht="13">
      <c r="A370" s="115"/>
      <c r="B370" s="97"/>
      <c r="C370" s="115"/>
      <c r="D370" s="115"/>
      <c r="E370" s="115"/>
      <c r="F370" s="115"/>
      <c r="G370" s="99"/>
      <c r="H370" s="98"/>
      <c r="I370" s="100"/>
      <c r="J370" s="100"/>
      <c r="K370" s="100"/>
      <c r="L370" s="101"/>
      <c r="M370" s="101"/>
      <c r="N370" s="112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</row>
    <row r="371" spans="1:29" ht="13">
      <c r="A371" s="115"/>
      <c r="B371" s="97"/>
      <c r="C371" s="115"/>
      <c r="D371" s="115"/>
      <c r="E371" s="115"/>
      <c r="F371" s="115"/>
      <c r="G371" s="99"/>
      <c r="H371" s="98"/>
      <c r="I371" s="100"/>
      <c r="J371" s="100"/>
      <c r="K371" s="100"/>
      <c r="L371" s="101"/>
      <c r="M371" s="101"/>
      <c r="N371" s="112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</row>
    <row r="372" spans="1:29" ht="13">
      <c r="A372" s="115"/>
      <c r="B372" s="97"/>
      <c r="C372" s="115"/>
      <c r="D372" s="115"/>
      <c r="E372" s="115"/>
      <c r="F372" s="115"/>
      <c r="G372" s="99"/>
      <c r="H372" s="98"/>
      <c r="I372" s="100"/>
      <c r="J372" s="100"/>
      <c r="K372" s="100"/>
      <c r="L372" s="101"/>
      <c r="M372" s="101"/>
      <c r="N372" s="112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</row>
    <row r="373" spans="1:29" ht="13">
      <c r="A373" s="115"/>
      <c r="B373" s="97"/>
      <c r="C373" s="115"/>
      <c r="D373" s="115"/>
      <c r="E373" s="115"/>
      <c r="F373" s="115"/>
      <c r="G373" s="99"/>
      <c r="H373" s="98"/>
      <c r="I373" s="100"/>
      <c r="J373" s="100"/>
      <c r="K373" s="100"/>
      <c r="L373" s="101"/>
      <c r="M373" s="101"/>
      <c r="N373" s="112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</row>
    <row r="374" spans="1:29" ht="13">
      <c r="A374" s="115"/>
      <c r="B374" s="97"/>
      <c r="C374" s="115"/>
      <c r="D374" s="115"/>
      <c r="E374" s="115"/>
      <c r="F374" s="115"/>
      <c r="G374" s="99"/>
      <c r="H374" s="98"/>
      <c r="I374" s="100"/>
      <c r="J374" s="100"/>
      <c r="K374" s="100"/>
      <c r="L374" s="101"/>
      <c r="M374" s="101"/>
      <c r="N374" s="112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</row>
    <row r="375" spans="1:29" ht="13">
      <c r="A375" s="115"/>
      <c r="B375" s="97"/>
      <c r="C375" s="115"/>
      <c r="D375" s="115"/>
      <c r="E375" s="115"/>
      <c r="F375" s="115"/>
      <c r="G375" s="99"/>
      <c r="H375" s="98"/>
      <c r="I375" s="100"/>
      <c r="J375" s="100"/>
      <c r="K375" s="100"/>
      <c r="L375" s="101"/>
      <c r="M375" s="101"/>
      <c r="N375" s="112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</row>
    <row r="376" spans="1:29" ht="13">
      <c r="A376" s="115"/>
      <c r="B376" s="97"/>
      <c r="C376" s="115"/>
      <c r="D376" s="115"/>
      <c r="E376" s="115"/>
      <c r="F376" s="115"/>
      <c r="G376" s="99"/>
      <c r="H376" s="98"/>
      <c r="I376" s="100"/>
      <c r="J376" s="100"/>
      <c r="K376" s="100"/>
      <c r="L376" s="101"/>
      <c r="M376" s="101"/>
      <c r="N376" s="112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</row>
    <row r="377" spans="1:29" ht="13">
      <c r="A377" s="115"/>
      <c r="B377" s="97"/>
      <c r="C377" s="115"/>
      <c r="D377" s="115"/>
      <c r="E377" s="115"/>
      <c r="F377" s="115"/>
      <c r="G377" s="99"/>
      <c r="H377" s="98"/>
      <c r="I377" s="100"/>
      <c r="J377" s="100"/>
      <c r="K377" s="100"/>
      <c r="L377" s="101"/>
      <c r="M377" s="101"/>
      <c r="N377" s="112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</row>
    <row r="378" spans="1:29" ht="13">
      <c r="A378" s="115"/>
      <c r="B378" s="97"/>
      <c r="C378" s="115"/>
      <c r="D378" s="115"/>
      <c r="E378" s="115"/>
      <c r="F378" s="115"/>
      <c r="G378" s="99"/>
      <c r="H378" s="98"/>
      <c r="I378" s="100"/>
      <c r="J378" s="100"/>
      <c r="K378" s="100"/>
      <c r="L378" s="101"/>
      <c r="M378" s="101"/>
      <c r="N378" s="112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</row>
    <row r="379" spans="1:29" ht="13">
      <c r="A379" s="115"/>
      <c r="B379" s="97"/>
      <c r="C379" s="115"/>
      <c r="D379" s="115"/>
      <c r="E379" s="115"/>
      <c r="F379" s="115"/>
      <c r="G379" s="99"/>
      <c r="H379" s="98"/>
      <c r="I379" s="100"/>
      <c r="J379" s="100"/>
      <c r="K379" s="100"/>
      <c r="L379" s="101"/>
      <c r="M379" s="101"/>
      <c r="N379" s="112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</row>
    <row r="380" spans="1:29" ht="13">
      <c r="A380" s="115"/>
      <c r="B380" s="97"/>
      <c r="C380" s="115"/>
      <c r="D380" s="115"/>
      <c r="E380" s="115"/>
      <c r="F380" s="115"/>
      <c r="G380" s="99"/>
      <c r="H380" s="98"/>
      <c r="I380" s="100"/>
      <c r="J380" s="100"/>
      <c r="K380" s="100"/>
      <c r="L380" s="101"/>
      <c r="M380" s="101"/>
      <c r="N380" s="112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</row>
    <row r="381" spans="1:29" ht="13">
      <c r="A381" s="115"/>
      <c r="B381" s="97"/>
      <c r="C381" s="115"/>
      <c r="D381" s="115"/>
      <c r="E381" s="115"/>
      <c r="F381" s="115"/>
      <c r="G381" s="99"/>
      <c r="H381" s="98"/>
      <c r="I381" s="100"/>
      <c r="J381" s="100"/>
      <c r="K381" s="100"/>
      <c r="L381" s="101"/>
      <c r="M381" s="101"/>
      <c r="N381" s="112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</row>
    <row r="382" spans="1:29" ht="13">
      <c r="A382" s="115"/>
      <c r="B382" s="97"/>
      <c r="C382" s="115"/>
      <c r="D382" s="115"/>
      <c r="E382" s="115"/>
      <c r="F382" s="115"/>
      <c r="G382" s="99"/>
      <c r="H382" s="98"/>
      <c r="I382" s="100"/>
      <c r="J382" s="100"/>
      <c r="K382" s="100"/>
      <c r="L382" s="101"/>
      <c r="M382" s="101"/>
      <c r="N382" s="112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</row>
    <row r="383" spans="1:29" ht="13">
      <c r="A383" s="115"/>
      <c r="B383" s="97"/>
      <c r="C383" s="115"/>
      <c r="D383" s="115"/>
      <c r="E383" s="115"/>
      <c r="F383" s="115"/>
      <c r="G383" s="99"/>
      <c r="H383" s="98"/>
      <c r="I383" s="100"/>
      <c r="J383" s="100"/>
      <c r="K383" s="100"/>
      <c r="L383" s="101"/>
      <c r="M383" s="101"/>
      <c r="N383" s="112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</row>
    <row r="384" spans="1:29" ht="13">
      <c r="A384" s="115"/>
      <c r="B384" s="97"/>
      <c r="C384" s="115"/>
      <c r="D384" s="115"/>
      <c r="E384" s="115"/>
      <c r="F384" s="115"/>
      <c r="G384" s="99"/>
      <c r="H384" s="98"/>
      <c r="I384" s="100"/>
      <c r="J384" s="100"/>
      <c r="K384" s="100"/>
      <c r="L384" s="101"/>
      <c r="M384" s="101"/>
      <c r="N384" s="112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</row>
    <row r="385" spans="1:29" ht="13">
      <c r="A385" s="115"/>
      <c r="B385" s="97"/>
      <c r="C385" s="115"/>
      <c r="D385" s="115"/>
      <c r="E385" s="115"/>
      <c r="F385" s="115"/>
      <c r="G385" s="99"/>
      <c r="H385" s="98"/>
      <c r="I385" s="100"/>
      <c r="J385" s="100"/>
      <c r="K385" s="100"/>
      <c r="L385" s="101"/>
      <c r="M385" s="101"/>
      <c r="N385" s="112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</row>
    <row r="386" spans="1:29" ht="13">
      <c r="A386" s="115"/>
      <c r="B386" s="97"/>
      <c r="C386" s="115"/>
      <c r="D386" s="115"/>
      <c r="E386" s="115"/>
      <c r="F386" s="115"/>
      <c r="G386" s="99"/>
      <c r="H386" s="98"/>
      <c r="I386" s="100"/>
      <c r="J386" s="100"/>
      <c r="K386" s="100"/>
      <c r="L386" s="101"/>
      <c r="M386" s="101"/>
      <c r="N386" s="112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</row>
    <row r="387" spans="1:29" ht="13">
      <c r="A387" s="115"/>
      <c r="B387" s="97"/>
      <c r="C387" s="115"/>
      <c r="D387" s="115"/>
      <c r="E387" s="115"/>
      <c r="F387" s="115"/>
      <c r="G387" s="99"/>
      <c r="H387" s="98"/>
      <c r="I387" s="100"/>
      <c r="J387" s="100"/>
      <c r="K387" s="100"/>
      <c r="L387" s="101"/>
      <c r="M387" s="101"/>
      <c r="N387" s="112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</row>
    <row r="388" spans="1:29" ht="13">
      <c r="A388" s="115"/>
      <c r="B388" s="97"/>
      <c r="C388" s="115"/>
      <c r="D388" s="115"/>
      <c r="E388" s="115"/>
      <c r="F388" s="115"/>
      <c r="G388" s="99"/>
      <c r="H388" s="98"/>
      <c r="I388" s="100"/>
      <c r="J388" s="100"/>
      <c r="K388" s="100"/>
      <c r="L388" s="101"/>
      <c r="M388" s="101"/>
      <c r="N388" s="112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</row>
    <row r="389" spans="1:29" ht="13">
      <c r="A389" s="115"/>
      <c r="B389" s="97"/>
      <c r="C389" s="115"/>
      <c r="D389" s="115"/>
      <c r="E389" s="115"/>
      <c r="F389" s="115"/>
      <c r="G389" s="99"/>
      <c r="H389" s="98"/>
      <c r="I389" s="100"/>
      <c r="J389" s="100"/>
      <c r="K389" s="100"/>
      <c r="L389" s="101"/>
      <c r="M389" s="101"/>
      <c r="N389" s="112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</row>
    <row r="390" spans="1:29" ht="13">
      <c r="A390" s="115"/>
      <c r="B390" s="97"/>
      <c r="C390" s="115"/>
      <c r="D390" s="115"/>
      <c r="E390" s="115"/>
      <c r="F390" s="115"/>
      <c r="G390" s="99"/>
      <c r="H390" s="98"/>
      <c r="I390" s="100"/>
      <c r="J390" s="100"/>
      <c r="K390" s="100"/>
      <c r="L390" s="101"/>
      <c r="M390" s="101"/>
      <c r="N390" s="112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</row>
    <row r="391" spans="1:29" ht="13">
      <c r="A391" s="115"/>
      <c r="B391" s="97"/>
      <c r="C391" s="115"/>
      <c r="D391" s="115"/>
      <c r="E391" s="115"/>
      <c r="F391" s="115"/>
      <c r="G391" s="99"/>
      <c r="H391" s="98"/>
      <c r="I391" s="100"/>
      <c r="J391" s="100"/>
      <c r="K391" s="100"/>
      <c r="L391" s="101"/>
      <c r="M391" s="101"/>
      <c r="N391" s="112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</row>
    <row r="392" spans="1:29" ht="13">
      <c r="A392" s="115"/>
      <c r="B392" s="97"/>
      <c r="C392" s="115"/>
      <c r="D392" s="115"/>
      <c r="E392" s="115"/>
      <c r="F392" s="115"/>
      <c r="G392" s="99"/>
      <c r="H392" s="98"/>
      <c r="I392" s="100"/>
      <c r="J392" s="100"/>
      <c r="K392" s="100"/>
      <c r="L392" s="101"/>
      <c r="M392" s="101"/>
      <c r="N392" s="112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</row>
    <row r="393" spans="1:29" ht="13">
      <c r="A393" s="115"/>
      <c r="B393" s="97"/>
      <c r="C393" s="115"/>
      <c r="D393" s="115"/>
      <c r="E393" s="115"/>
      <c r="F393" s="115"/>
      <c r="G393" s="99"/>
      <c r="H393" s="98"/>
      <c r="I393" s="100"/>
      <c r="J393" s="100"/>
      <c r="K393" s="100"/>
      <c r="L393" s="101"/>
      <c r="M393" s="101"/>
      <c r="N393" s="112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</row>
    <row r="394" spans="1:29" ht="13">
      <c r="A394" s="115"/>
      <c r="B394" s="97"/>
      <c r="C394" s="115"/>
      <c r="D394" s="115"/>
      <c r="E394" s="115"/>
      <c r="F394" s="115"/>
      <c r="G394" s="99"/>
      <c r="H394" s="98"/>
      <c r="I394" s="100"/>
      <c r="J394" s="100"/>
      <c r="K394" s="100"/>
      <c r="L394" s="101"/>
      <c r="M394" s="101"/>
      <c r="N394" s="112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</row>
    <row r="395" spans="1:29" ht="13">
      <c r="A395" s="115"/>
      <c r="B395" s="97"/>
      <c r="C395" s="115"/>
      <c r="D395" s="115"/>
      <c r="E395" s="115"/>
      <c r="F395" s="115"/>
      <c r="G395" s="99"/>
      <c r="H395" s="98"/>
      <c r="I395" s="100"/>
      <c r="J395" s="100"/>
      <c r="K395" s="100"/>
      <c r="L395" s="101"/>
      <c r="M395" s="101"/>
      <c r="N395" s="112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</row>
    <row r="396" spans="1:29" ht="13">
      <c r="A396" s="115"/>
      <c r="B396" s="97"/>
      <c r="C396" s="115"/>
      <c r="D396" s="115"/>
      <c r="E396" s="115"/>
      <c r="F396" s="115"/>
      <c r="G396" s="99"/>
      <c r="H396" s="98"/>
      <c r="I396" s="100"/>
      <c r="J396" s="100"/>
      <c r="K396" s="100"/>
      <c r="L396" s="101"/>
      <c r="M396" s="101"/>
      <c r="N396" s="112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</row>
    <row r="397" spans="1:29" ht="13">
      <c r="A397" s="115"/>
      <c r="B397" s="97"/>
      <c r="C397" s="115"/>
      <c r="D397" s="115"/>
      <c r="E397" s="115"/>
      <c r="F397" s="115"/>
      <c r="G397" s="99"/>
      <c r="H397" s="98"/>
      <c r="I397" s="100"/>
      <c r="J397" s="100"/>
      <c r="K397" s="100"/>
      <c r="L397" s="101"/>
      <c r="M397" s="101"/>
      <c r="N397" s="112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</row>
    <row r="398" spans="1:29" ht="13">
      <c r="A398" s="115"/>
      <c r="B398" s="97"/>
      <c r="C398" s="115"/>
      <c r="D398" s="115"/>
      <c r="E398" s="115"/>
      <c r="F398" s="115"/>
      <c r="G398" s="99"/>
      <c r="H398" s="98"/>
      <c r="I398" s="100"/>
      <c r="J398" s="100"/>
      <c r="K398" s="100"/>
      <c r="L398" s="101"/>
      <c r="M398" s="101"/>
      <c r="N398" s="112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</row>
    <row r="399" spans="1:29" ht="13">
      <c r="A399" s="115"/>
      <c r="B399" s="97"/>
      <c r="C399" s="115"/>
      <c r="D399" s="115"/>
      <c r="E399" s="115"/>
      <c r="F399" s="115"/>
      <c r="G399" s="99"/>
      <c r="H399" s="98"/>
      <c r="I399" s="100"/>
      <c r="J399" s="100"/>
      <c r="K399" s="100"/>
      <c r="L399" s="101"/>
      <c r="M399" s="101"/>
      <c r="N399" s="112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</row>
    <row r="400" spans="1:29" ht="13">
      <c r="A400" s="115"/>
      <c r="B400" s="97"/>
      <c r="C400" s="115"/>
      <c r="D400" s="115"/>
      <c r="E400" s="115"/>
      <c r="F400" s="115"/>
      <c r="G400" s="99"/>
      <c r="H400" s="98"/>
      <c r="I400" s="100"/>
      <c r="J400" s="100"/>
      <c r="K400" s="100"/>
      <c r="L400" s="101"/>
      <c r="M400" s="101"/>
      <c r="N400" s="112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</row>
    <row r="401" spans="1:29" ht="13">
      <c r="A401" s="115"/>
      <c r="B401" s="97"/>
      <c r="C401" s="115"/>
      <c r="D401" s="115"/>
      <c r="E401" s="115"/>
      <c r="F401" s="115"/>
      <c r="G401" s="99"/>
      <c r="H401" s="98"/>
      <c r="I401" s="100"/>
      <c r="J401" s="100"/>
      <c r="K401" s="100"/>
      <c r="L401" s="101"/>
      <c r="M401" s="101"/>
      <c r="N401" s="112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</row>
    <row r="402" spans="1:29" ht="13">
      <c r="A402" s="115"/>
      <c r="B402" s="97"/>
      <c r="C402" s="115"/>
      <c r="D402" s="115"/>
      <c r="E402" s="115"/>
      <c r="F402" s="115"/>
      <c r="G402" s="99"/>
      <c r="H402" s="98"/>
      <c r="I402" s="100"/>
      <c r="J402" s="100"/>
      <c r="K402" s="100"/>
      <c r="L402" s="101"/>
      <c r="M402" s="101"/>
      <c r="N402" s="112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</row>
    <row r="403" spans="1:29" ht="13">
      <c r="A403" s="115"/>
      <c r="B403" s="97"/>
      <c r="C403" s="115"/>
      <c r="D403" s="115"/>
      <c r="E403" s="115"/>
      <c r="F403" s="115"/>
      <c r="G403" s="99"/>
      <c r="H403" s="98"/>
      <c r="I403" s="100"/>
      <c r="J403" s="100"/>
      <c r="K403" s="100"/>
      <c r="L403" s="101"/>
      <c r="M403" s="101"/>
      <c r="N403" s="112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</row>
    <row r="404" spans="1:29" ht="13">
      <c r="A404" s="115"/>
      <c r="B404" s="97"/>
      <c r="C404" s="115"/>
      <c r="D404" s="115"/>
      <c r="E404" s="115"/>
      <c r="F404" s="115"/>
      <c r="G404" s="99"/>
      <c r="H404" s="98"/>
      <c r="I404" s="100"/>
      <c r="J404" s="100"/>
      <c r="K404" s="100"/>
      <c r="L404" s="101"/>
      <c r="M404" s="101"/>
      <c r="N404" s="112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</row>
    <row r="405" spans="1:29" ht="13">
      <c r="A405" s="115"/>
      <c r="B405" s="97"/>
      <c r="C405" s="115"/>
      <c r="D405" s="115"/>
      <c r="E405" s="115"/>
      <c r="F405" s="115"/>
      <c r="G405" s="99"/>
      <c r="H405" s="98"/>
      <c r="I405" s="100"/>
      <c r="J405" s="100"/>
      <c r="K405" s="100"/>
      <c r="L405" s="101"/>
      <c r="M405" s="101"/>
      <c r="N405" s="112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</row>
    <row r="406" spans="1:29" ht="13">
      <c r="A406" s="115"/>
      <c r="B406" s="97"/>
      <c r="C406" s="115"/>
      <c r="D406" s="115"/>
      <c r="E406" s="115"/>
      <c r="F406" s="115"/>
      <c r="G406" s="99"/>
      <c r="H406" s="98"/>
      <c r="I406" s="100"/>
      <c r="J406" s="100"/>
      <c r="K406" s="100"/>
      <c r="L406" s="101"/>
      <c r="M406" s="101"/>
      <c r="N406" s="112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</row>
    <row r="407" spans="1:29" ht="13">
      <c r="A407" s="115"/>
      <c r="B407" s="97"/>
      <c r="C407" s="115"/>
      <c r="D407" s="115"/>
      <c r="E407" s="115"/>
      <c r="F407" s="115"/>
      <c r="G407" s="99"/>
      <c r="H407" s="98"/>
      <c r="I407" s="100"/>
      <c r="J407" s="100"/>
      <c r="K407" s="100"/>
      <c r="L407" s="101"/>
      <c r="M407" s="101"/>
      <c r="N407" s="112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</row>
    <row r="408" spans="1:29" ht="13">
      <c r="A408" s="115"/>
      <c r="B408" s="97"/>
      <c r="C408" s="115"/>
      <c r="D408" s="115"/>
      <c r="E408" s="115"/>
      <c r="F408" s="115"/>
      <c r="G408" s="99"/>
      <c r="H408" s="98"/>
      <c r="I408" s="100"/>
      <c r="J408" s="100"/>
      <c r="K408" s="100"/>
      <c r="L408" s="101"/>
      <c r="M408" s="101"/>
      <c r="N408" s="112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</row>
    <row r="409" spans="1:29" ht="13">
      <c r="A409" s="115"/>
      <c r="B409" s="97"/>
      <c r="C409" s="115"/>
      <c r="D409" s="115"/>
      <c r="E409" s="115"/>
      <c r="F409" s="115"/>
      <c r="G409" s="99"/>
      <c r="H409" s="98"/>
      <c r="I409" s="100"/>
      <c r="J409" s="100"/>
      <c r="K409" s="100"/>
      <c r="L409" s="101"/>
      <c r="M409" s="101"/>
      <c r="N409" s="112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</row>
    <row r="410" spans="1:29" ht="13">
      <c r="A410" s="115"/>
      <c r="B410" s="97"/>
      <c r="C410" s="115"/>
      <c r="D410" s="115"/>
      <c r="E410" s="115"/>
      <c r="F410" s="115"/>
      <c r="G410" s="99"/>
      <c r="H410" s="98"/>
      <c r="I410" s="100"/>
      <c r="J410" s="100"/>
      <c r="K410" s="100"/>
      <c r="L410" s="101"/>
      <c r="M410" s="101"/>
      <c r="N410" s="112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</row>
    <row r="411" spans="1:29" ht="13">
      <c r="A411" s="115"/>
      <c r="B411" s="97"/>
      <c r="C411" s="115"/>
      <c r="D411" s="115"/>
      <c r="E411" s="115"/>
      <c r="F411" s="115"/>
      <c r="G411" s="99"/>
      <c r="H411" s="98"/>
      <c r="I411" s="100"/>
      <c r="J411" s="100"/>
      <c r="K411" s="100"/>
      <c r="L411" s="101"/>
      <c r="M411" s="101"/>
      <c r="N411" s="112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</row>
    <row r="412" spans="1:29" ht="13">
      <c r="A412" s="115"/>
      <c r="B412" s="97"/>
      <c r="C412" s="115"/>
      <c r="D412" s="115"/>
      <c r="E412" s="115"/>
      <c r="F412" s="115"/>
      <c r="G412" s="99"/>
      <c r="H412" s="98"/>
      <c r="I412" s="100"/>
      <c r="J412" s="100"/>
      <c r="K412" s="100"/>
      <c r="L412" s="101"/>
      <c r="M412" s="101"/>
      <c r="N412" s="112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</row>
    <row r="413" spans="1:29" ht="13">
      <c r="A413" s="115"/>
      <c r="B413" s="97"/>
      <c r="C413" s="115"/>
      <c r="D413" s="115"/>
      <c r="E413" s="115"/>
      <c r="F413" s="115"/>
      <c r="G413" s="99"/>
      <c r="H413" s="98"/>
      <c r="I413" s="100"/>
      <c r="J413" s="100"/>
      <c r="K413" s="100"/>
      <c r="L413" s="101"/>
      <c r="M413" s="101"/>
      <c r="N413" s="112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</row>
    <row r="414" spans="1:29" ht="13">
      <c r="A414" s="115"/>
      <c r="B414" s="97"/>
      <c r="C414" s="115"/>
      <c r="D414" s="115"/>
      <c r="E414" s="115"/>
      <c r="F414" s="115"/>
      <c r="G414" s="99"/>
      <c r="H414" s="98"/>
      <c r="I414" s="100"/>
      <c r="J414" s="100"/>
      <c r="K414" s="100"/>
      <c r="L414" s="101"/>
      <c r="M414" s="101"/>
      <c r="N414" s="112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</row>
    <row r="415" spans="1:29" ht="13">
      <c r="A415" s="115"/>
      <c r="B415" s="97"/>
      <c r="C415" s="115"/>
      <c r="D415" s="115"/>
      <c r="E415" s="115"/>
      <c r="F415" s="115"/>
      <c r="G415" s="99"/>
      <c r="H415" s="98"/>
      <c r="I415" s="100"/>
      <c r="J415" s="100"/>
      <c r="K415" s="100"/>
      <c r="L415" s="101"/>
      <c r="M415" s="101"/>
      <c r="N415" s="112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</row>
    <row r="416" spans="1:29" ht="13">
      <c r="A416" s="115"/>
      <c r="B416" s="97"/>
      <c r="C416" s="115"/>
      <c r="D416" s="115"/>
      <c r="E416" s="115"/>
      <c r="F416" s="115"/>
      <c r="G416" s="99"/>
      <c r="H416" s="98"/>
      <c r="I416" s="100"/>
      <c r="J416" s="100"/>
      <c r="K416" s="100"/>
      <c r="L416" s="101"/>
      <c r="M416" s="101"/>
      <c r="N416" s="112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</row>
    <row r="417" spans="1:29" ht="13">
      <c r="A417" s="115"/>
      <c r="B417" s="97"/>
      <c r="C417" s="115"/>
      <c r="D417" s="115"/>
      <c r="E417" s="115"/>
      <c r="F417" s="115"/>
      <c r="G417" s="99"/>
      <c r="H417" s="98"/>
      <c r="I417" s="100"/>
      <c r="J417" s="100"/>
      <c r="K417" s="100"/>
      <c r="L417" s="101"/>
      <c r="M417" s="101"/>
      <c r="N417" s="112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</row>
    <row r="418" spans="1:29" ht="13">
      <c r="A418" s="115"/>
      <c r="B418" s="97"/>
      <c r="C418" s="115"/>
      <c r="D418" s="115"/>
      <c r="E418" s="115"/>
      <c r="F418" s="115"/>
      <c r="G418" s="99"/>
      <c r="H418" s="98"/>
      <c r="I418" s="100"/>
      <c r="J418" s="100"/>
      <c r="K418" s="100"/>
      <c r="L418" s="101"/>
      <c r="M418" s="101"/>
      <c r="N418" s="112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</row>
    <row r="419" spans="1:29" ht="13">
      <c r="A419" s="115"/>
      <c r="B419" s="97"/>
      <c r="C419" s="115"/>
      <c r="D419" s="115"/>
      <c r="E419" s="115"/>
      <c r="F419" s="115"/>
      <c r="G419" s="99"/>
      <c r="H419" s="98"/>
      <c r="I419" s="100"/>
      <c r="J419" s="100"/>
      <c r="K419" s="100"/>
      <c r="L419" s="101"/>
      <c r="M419" s="101"/>
      <c r="N419" s="112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</row>
    <row r="420" spans="1:29" ht="13">
      <c r="A420" s="115"/>
      <c r="B420" s="97"/>
      <c r="C420" s="115"/>
      <c r="D420" s="115"/>
      <c r="E420" s="115"/>
      <c r="F420" s="115"/>
      <c r="G420" s="99"/>
      <c r="H420" s="98"/>
      <c r="I420" s="100"/>
      <c r="J420" s="100"/>
      <c r="K420" s="100"/>
      <c r="L420" s="101"/>
      <c r="M420" s="101"/>
      <c r="N420" s="112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</row>
    <row r="421" spans="1:29" ht="13">
      <c r="A421" s="115"/>
      <c r="B421" s="97"/>
      <c r="C421" s="115"/>
      <c r="D421" s="115"/>
      <c r="E421" s="115"/>
      <c r="F421" s="115"/>
      <c r="G421" s="99"/>
      <c r="H421" s="98"/>
      <c r="I421" s="100"/>
      <c r="J421" s="100"/>
      <c r="K421" s="100"/>
      <c r="L421" s="101"/>
      <c r="M421" s="101"/>
      <c r="N421" s="112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</row>
    <row r="422" spans="1:29" ht="13">
      <c r="A422" s="115"/>
      <c r="B422" s="97"/>
      <c r="C422" s="115"/>
      <c r="D422" s="115"/>
      <c r="E422" s="115"/>
      <c r="F422" s="115"/>
      <c r="G422" s="99"/>
      <c r="H422" s="98"/>
      <c r="I422" s="100"/>
      <c r="J422" s="100"/>
      <c r="K422" s="100"/>
      <c r="L422" s="101"/>
      <c r="M422" s="101"/>
      <c r="N422" s="112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</row>
    <row r="423" spans="1:29" ht="13">
      <c r="A423" s="115"/>
      <c r="B423" s="97"/>
      <c r="C423" s="115"/>
      <c r="D423" s="115"/>
      <c r="E423" s="115"/>
      <c r="F423" s="115"/>
      <c r="G423" s="99"/>
      <c r="H423" s="98"/>
      <c r="I423" s="100"/>
      <c r="J423" s="100"/>
      <c r="K423" s="100"/>
      <c r="L423" s="101"/>
      <c r="M423" s="101"/>
      <c r="N423" s="112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</row>
    <row r="424" spans="1:29" ht="13">
      <c r="A424" s="115"/>
      <c r="B424" s="97"/>
      <c r="C424" s="115"/>
      <c r="D424" s="115"/>
      <c r="E424" s="115"/>
      <c r="F424" s="115"/>
      <c r="G424" s="99"/>
      <c r="H424" s="98"/>
      <c r="I424" s="100"/>
      <c r="J424" s="100"/>
      <c r="K424" s="100"/>
      <c r="L424" s="101"/>
      <c r="M424" s="101"/>
      <c r="N424" s="112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</row>
    <row r="425" spans="1:29" ht="13">
      <c r="A425" s="115"/>
      <c r="B425" s="97"/>
      <c r="C425" s="115"/>
      <c r="D425" s="115"/>
      <c r="E425" s="115"/>
      <c r="F425" s="115"/>
      <c r="G425" s="99"/>
      <c r="H425" s="98"/>
      <c r="I425" s="100"/>
      <c r="J425" s="100"/>
      <c r="K425" s="100"/>
      <c r="L425" s="101"/>
      <c r="M425" s="101"/>
      <c r="N425" s="112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</row>
    <row r="426" spans="1:29" ht="13">
      <c r="A426" s="115"/>
      <c r="B426" s="97"/>
      <c r="C426" s="115"/>
      <c r="D426" s="115"/>
      <c r="E426" s="115"/>
      <c r="F426" s="115"/>
      <c r="G426" s="99"/>
      <c r="H426" s="98"/>
      <c r="I426" s="100"/>
      <c r="J426" s="100"/>
      <c r="K426" s="100"/>
      <c r="L426" s="101"/>
      <c r="M426" s="101"/>
      <c r="N426" s="112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</row>
    <row r="427" spans="1:29" ht="13">
      <c r="A427" s="115"/>
      <c r="B427" s="97"/>
      <c r="C427" s="115"/>
      <c r="D427" s="115"/>
      <c r="E427" s="115"/>
      <c r="F427" s="115"/>
      <c r="G427" s="99"/>
      <c r="H427" s="98"/>
      <c r="I427" s="100"/>
      <c r="J427" s="100"/>
      <c r="K427" s="100"/>
      <c r="L427" s="101"/>
      <c r="M427" s="101"/>
      <c r="N427" s="112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</row>
    <row r="428" spans="1:29" ht="13">
      <c r="A428" s="115"/>
      <c r="B428" s="97"/>
      <c r="C428" s="115"/>
      <c r="D428" s="115"/>
      <c r="E428" s="115"/>
      <c r="F428" s="115"/>
      <c r="G428" s="99"/>
      <c r="H428" s="98"/>
      <c r="I428" s="100"/>
      <c r="J428" s="100"/>
      <c r="K428" s="100"/>
      <c r="L428" s="101"/>
      <c r="M428" s="101"/>
      <c r="N428" s="112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</row>
    <row r="429" spans="1:29" ht="13">
      <c r="A429" s="115"/>
      <c r="B429" s="97"/>
      <c r="C429" s="115"/>
      <c r="D429" s="115"/>
      <c r="E429" s="115"/>
      <c r="F429" s="115"/>
      <c r="G429" s="99"/>
      <c r="H429" s="98"/>
      <c r="I429" s="100"/>
      <c r="J429" s="100"/>
      <c r="K429" s="100"/>
      <c r="L429" s="101"/>
      <c r="M429" s="101"/>
      <c r="N429" s="112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</row>
    <row r="430" spans="1:29" ht="13">
      <c r="A430" s="115"/>
      <c r="B430" s="97"/>
      <c r="C430" s="115"/>
      <c r="D430" s="115"/>
      <c r="E430" s="115"/>
      <c r="F430" s="115"/>
      <c r="G430" s="99"/>
      <c r="H430" s="98"/>
      <c r="I430" s="100"/>
      <c r="J430" s="100"/>
      <c r="K430" s="100"/>
      <c r="L430" s="101"/>
      <c r="M430" s="101"/>
      <c r="N430" s="112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</row>
    <row r="431" spans="1:29" ht="13">
      <c r="A431" s="115"/>
      <c r="B431" s="97"/>
      <c r="C431" s="115"/>
      <c r="D431" s="115"/>
      <c r="E431" s="115"/>
      <c r="F431" s="115"/>
      <c r="G431" s="99"/>
      <c r="H431" s="98"/>
      <c r="I431" s="100"/>
      <c r="J431" s="100"/>
      <c r="K431" s="100"/>
      <c r="L431" s="101"/>
      <c r="M431" s="101"/>
      <c r="N431" s="112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</row>
    <row r="432" spans="1:29" ht="13">
      <c r="A432" s="115"/>
      <c r="B432" s="97"/>
      <c r="C432" s="115"/>
      <c r="D432" s="115"/>
      <c r="E432" s="115"/>
      <c r="F432" s="115"/>
      <c r="G432" s="99"/>
      <c r="H432" s="98"/>
      <c r="I432" s="100"/>
      <c r="J432" s="100"/>
      <c r="K432" s="100"/>
      <c r="L432" s="101"/>
      <c r="M432" s="101"/>
      <c r="N432" s="112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</row>
    <row r="433" spans="1:29" ht="13">
      <c r="A433" s="115"/>
      <c r="B433" s="97"/>
      <c r="C433" s="115"/>
      <c r="D433" s="115"/>
      <c r="E433" s="115"/>
      <c r="F433" s="115"/>
      <c r="G433" s="99"/>
      <c r="H433" s="98"/>
      <c r="I433" s="100"/>
      <c r="J433" s="100"/>
      <c r="K433" s="100"/>
      <c r="L433" s="101"/>
      <c r="M433" s="101"/>
      <c r="N433" s="112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</row>
    <row r="434" spans="1:29" ht="13">
      <c r="A434" s="115"/>
      <c r="B434" s="97"/>
      <c r="C434" s="115"/>
      <c r="D434" s="115"/>
      <c r="E434" s="115"/>
      <c r="F434" s="115"/>
      <c r="G434" s="99"/>
      <c r="H434" s="98"/>
      <c r="I434" s="100"/>
      <c r="J434" s="100"/>
      <c r="K434" s="100"/>
      <c r="L434" s="101"/>
      <c r="M434" s="101"/>
      <c r="N434" s="112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</row>
    <row r="435" spans="1:29" ht="13">
      <c r="A435" s="115"/>
      <c r="B435" s="97"/>
      <c r="C435" s="115"/>
      <c r="D435" s="115"/>
      <c r="E435" s="115"/>
      <c r="F435" s="115"/>
      <c r="G435" s="99"/>
      <c r="H435" s="98"/>
      <c r="I435" s="100"/>
      <c r="J435" s="100"/>
      <c r="K435" s="100"/>
      <c r="L435" s="101"/>
      <c r="M435" s="101"/>
      <c r="N435" s="112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</row>
    <row r="436" spans="1:29" ht="13">
      <c r="A436" s="115"/>
      <c r="B436" s="97"/>
      <c r="C436" s="115"/>
      <c r="D436" s="115"/>
      <c r="E436" s="115"/>
      <c r="F436" s="115"/>
      <c r="G436" s="99"/>
      <c r="H436" s="98"/>
      <c r="I436" s="100"/>
      <c r="J436" s="100"/>
      <c r="K436" s="100"/>
      <c r="L436" s="101"/>
      <c r="M436" s="101"/>
      <c r="N436" s="112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</row>
    <row r="437" spans="1:29" ht="13">
      <c r="A437" s="115"/>
      <c r="B437" s="97"/>
      <c r="C437" s="115"/>
      <c r="D437" s="115"/>
      <c r="E437" s="115"/>
      <c r="F437" s="115"/>
      <c r="G437" s="99"/>
      <c r="H437" s="98"/>
      <c r="I437" s="100"/>
      <c r="J437" s="100"/>
      <c r="K437" s="100"/>
      <c r="L437" s="101"/>
      <c r="M437" s="101"/>
      <c r="N437" s="112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</row>
    <row r="438" spans="1:29" ht="13">
      <c r="A438" s="115"/>
      <c r="B438" s="97"/>
      <c r="C438" s="115"/>
      <c r="D438" s="115"/>
      <c r="E438" s="115"/>
      <c r="F438" s="115"/>
      <c r="G438" s="99"/>
      <c r="H438" s="98"/>
      <c r="I438" s="100"/>
      <c r="J438" s="100"/>
      <c r="K438" s="100"/>
      <c r="L438" s="101"/>
      <c r="M438" s="101"/>
      <c r="N438" s="112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</row>
    <row r="439" spans="1:29" ht="13">
      <c r="A439" s="115"/>
      <c r="B439" s="97"/>
      <c r="C439" s="115"/>
      <c r="D439" s="115"/>
      <c r="E439" s="115"/>
      <c r="F439" s="115"/>
      <c r="G439" s="99"/>
      <c r="H439" s="98"/>
      <c r="I439" s="100"/>
      <c r="J439" s="100"/>
      <c r="K439" s="100"/>
      <c r="L439" s="101"/>
      <c r="M439" s="101"/>
      <c r="N439" s="112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</row>
    <row r="440" spans="1:29" ht="13">
      <c r="A440" s="115"/>
      <c r="B440" s="97"/>
      <c r="C440" s="115"/>
      <c r="D440" s="115"/>
      <c r="E440" s="115"/>
      <c r="F440" s="115"/>
      <c r="G440" s="99"/>
      <c r="H440" s="98"/>
      <c r="I440" s="100"/>
      <c r="J440" s="100"/>
      <c r="K440" s="100"/>
      <c r="L440" s="101"/>
      <c r="M440" s="101"/>
      <c r="N440" s="112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</row>
    <row r="441" spans="1:29" ht="13">
      <c r="A441" s="115"/>
      <c r="B441" s="97"/>
      <c r="C441" s="115"/>
      <c r="D441" s="115"/>
      <c r="E441" s="115"/>
      <c r="F441" s="115"/>
      <c r="G441" s="99"/>
      <c r="H441" s="98"/>
      <c r="I441" s="100"/>
      <c r="J441" s="100"/>
      <c r="K441" s="100"/>
      <c r="L441" s="101"/>
      <c r="M441" s="101"/>
      <c r="N441" s="112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</row>
    <row r="442" spans="1:29" ht="13">
      <c r="A442" s="115"/>
      <c r="B442" s="97"/>
      <c r="C442" s="115"/>
      <c r="D442" s="115"/>
      <c r="E442" s="115"/>
      <c r="F442" s="115"/>
      <c r="G442" s="99"/>
      <c r="H442" s="98"/>
      <c r="I442" s="100"/>
      <c r="J442" s="100"/>
      <c r="K442" s="100"/>
      <c r="L442" s="101"/>
      <c r="M442" s="101"/>
      <c r="N442" s="112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</row>
    <row r="443" spans="1:29" ht="13">
      <c r="A443" s="115"/>
      <c r="B443" s="97"/>
      <c r="C443" s="115"/>
      <c r="D443" s="115"/>
      <c r="E443" s="115"/>
      <c r="F443" s="115"/>
      <c r="G443" s="99"/>
      <c r="H443" s="98"/>
      <c r="I443" s="100"/>
      <c r="J443" s="100"/>
      <c r="K443" s="100"/>
      <c r="L443" s="101"/>
      <c r="M443" s="101"/>
      <c r="N443" s="112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</row>
    <row r="444" spans="1:29" ht="13">
      <c r="A444" s="115"/>
      <c r="B444" s="97"/>
      <c r="C444" s="115"/>
      <c r="D444" s="115"/>
      <c r="E444" s="115"/>
      <c r="F444" s="115"/>
      <c r="G444" s="99"/>
      <c r="H444" s="98"/>
      <c r="I444" s="100"/>
      <c r="J444" s="100"/>
      <c r="K444" s="100"/>
      <c r="L444" s="101"/>
      <c r="M444" s="101"/>
      <c r="N444" s="112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</row>
    <row r="445" spans="1:29" ht="13">
      <c r="A445" s="115"/>
      <c r="B445" s="97"/>
      <c r="C445" s="115"/>
      <c r="D445" s="115"/>
      <c r="E445" s="115"/>
      <c r="F445" s="115"/>
      <c r="G445" s="99"/>
      <c r="H445" s="98"/>
      <c r="I445" s="100"/>
      <c r="J445" s="100"/>
      <c r="K445" s="100"/>
      <c r="L445" s="101"/>
      <c r="M445" s="101"/>
      <c r="N445" s="112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</row>
    <row r="446" spans="1:29" ht="13">
      <c r="A446" s="115"/>
      <c r="B446" s="97"/>
      <c r="C446" s="115"/>
      <c r="D446" s="115"/>
      <c r="E446" s="115"/>
      <c r="F446" s="115"/>
      <c r="G446" s="99"/>
      <c r="H446" s="98"/>
      <c r="I446" s="100"/>
      <c r="J446" s="100"/>
      <c r="K446" s="100"/>
      <c r="L446" s="101"/>
      <c r="M446" s="101"/>
      <c r="N446" s="112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</row>
    <row r="447" spans="1:29" ht="13">
      <c r="A447" s="115"/>
      <c r="B447" s="97"/>
      <c r="C447" s="115"/>
      <c r="D447" s="115"/>
      <c r="E447" s="115"/>
      <c r="F447" s="115"/>
      <c r="G447" s="99"/>
      <c r="H447" s="98"/>
      <c r="I447" s="100"/>
      <c r="J447" s="100"/>
      <c r="K447" s="100"/>
      <c r="L447" s="101"/>
      <c r="M447" s="101"/>
      <c r="N447" s="112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</row>
    <row r="448" spans="1:29" ht="13">
      <c r="A448" s="115"/>
      <c r="B448" s="97"/>
      <c r="C448" s="115"/>
      <c r="D448" s="115"/>
      <c r="E448" s="115"/>
      <c r="F448" s="115"/>
      <c r="G448" s="99"/>
      <c r="H448" s="98"/>
      <c r="I448" s="100"/>
      <c r="J448" s="100"/>
      <c r="K448" s="100"/>
      <c r="L448" s="101"/>
      <c r="M448" s="101"/>
      <c r="N448" s="112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</row>
    <row r="449" spans="1:29" ht="13">
      <c r="A449" s="115"/>
      <c r="B449" s="97"/>
      <c r="C449" s="115"/>
      <c r="D449" s="115"/>
      <c r="E449" s="115"/>
      <c r="F449" s="115"/>
      <c r="G449" s="99"/>
      <c r="H449" s="98"/>
      <c r="I449" s="100"/>
      <c r="J449" s="100"/>
      <c r="K449" s="100"/>
      <c r="L449" s="101"/>
      <c r="M449" s="101"/>
      <c r="N449" s="112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</row>
    <row r="450" spans="1:29" ht="13">
      <c r="A450" s="115"/>
      <c r="B450" s="97"/>
      <c r="C450" s="115"/>
      <c r="D450" s="115"/>
      <c r="E450" s="115"/>
      <c r="F450" s="115"/>
      <c r="G450" s="99"/>
      <c r="H450" s="98"/>
      <c r="I450" s="100"/>
      <c r="J450" s="100"/>
      <c r="K450" s="100"/>
      <c r="L450" s="101"/>
      <c r="M450" s="101"/>
      <c r="N450" s="112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</row>
    <row r="451" spans="1:29" ht="13">
      <c r="A451" s="115"/>
      <c r="B451" s="97"/>
      <c r="C451" s="115"/>
      <c r="D451" s="115"/>
      <c r="E451" s="115"/>
      <c r="F451" s="115"/>
      <c r="G451" s="99"/>
      <c r="H451" s="98"/>
      <c r="I451" s="100"/>
      <c r="J451" s="100"/>
      <c r="K451" s="100"/>
      <c r="L451" s="101"/>
      <c r="M451" s="101"/>
      <c r="N451" s="112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</row>
    <row r="452" spans="1:29" ht="13">
      <c r="A452" s="115"/>
      <c r="B452" s="97"/>
      <c r="C452" s="115"/>
      <c r="D452" s="115"/>
      <c r="E452" s="115"/>
      <c r="F452" s="115"/>
      <c r="G452" s="99"/>
      <c r="H452" s="98"/>
      <c r="I452" s="100"/>
      <c r="J452" s="100"/>
      <c r="K452" s="100"/>
      <c r="L452" s="101"/>
      <c r="M452" s="101"/>
      <c r="N452" s="112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</row>
    <row r="453" spans="1:29" ht="13">
      <c r="A453" s="115"/>
      <c r="B453" s="97"/>
      <c r="C453" s="115"/>
      <c r="D453" s="115"/>
      <c r="E453" s="115"/>
      <c r="F453" s="115"/>
      <c r="G453" s="99"/>
      <c r="H453" s="98"/>
      <c r="I453" s="100"/>
      <c r="J453" s="100"/>
      <c r="K453" s="100"/>
      <c r="L453" s="101"/>
      <c r="M453" s="101"/>
      <c r="N453" s="112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</row>
    <row r="454" spans="1:29" ht="13">
      <c r="A454" s="115"/>
      <c r="B454" s="97"/>
      <c r="C454" s="115"/>
      <c r="D454" s="115"/>
      <c r="E454" s="115"/>
      <c r="F454" s="115"/>
      <c r="G454" s="99"/>
      <c r="H454" s="98"/>
      <c r="I454" s="100"/>
      <c r="J454" s="100"/>
      <c r="K454" s="100"/>
      <c r="L454" s="101"/>
      <c r="M454" s="101"/>
      <c r="N454" s="112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</row>
    <row r="455" spans="1:29" ht="13">
      <c r="A455" s="115"/>
      <c r="B455" s="97"/>
      <c r="C455" s="115"/>
      <c r="D455" s="115"/>
      <c r="E455" s="115"/>
      <c r="F455" s="115"/>
      <c r="G455" s="99"/>
      <c r="H455" s="98"/>
      <c r="I455" s="100"/>
      <c r="J455" s="100"/>
      <c r="K455" s="100"/>
      <c r="L455" s="101"/>
      <c r="M455" s="101"/>
      <c r="N455" s="112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</row>
    <row r="456" spans="1:29" ht="13">
      <c r="A456" s="115"/>
      <c r="B456" s="97"/>
      <c r="C456" s="115"/>
      <c r="D456" s="115"/>
      <c r="E456" s="115"/>
      <c r="F456" s="115"/>
      <c r="G456" s="99"/>
      <c r="H456" s="98"/>
      <c r="I456" s="100"/>
      <c r="J456" s="100"/>
      <c r="K456" s="100"/>
      <c r="L456" s="101"/>
      <c r="M456" s="101"/>
      <c r="N456" s="112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</row>
    <row r="457" spans="1:29" ht="13">
      <c r="A457" s="115"/>
      <c r="B457" s="97"/>
      <c r="C457" s="115"/>
      <c r="D457" s="115"/>
      <c r="E457" s="115"/>
      <c r="F457" s="115"/>
      <c r="G457" s="99"/>
      <c r="H457" s="98"/>
      <c r="I457" s="100"/>
      <c r="J457" s="100"/>
      <c r="K457" s="100"/>
      <c r="L457" s="101"/>
      <c r="M457" s="101"/>
      <c r="N457" s="112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</row>
    <row r="458" spans="1:29" ht="13">
      <c r="A458" s="115"/>
      <c r="B458" s="97"/>
      <c r="C458" s="115"/>
      <c r="D458" s="115"/>
      <c r="E458" s="115"/>
      <c r="F458" s="115"/>
      <c r="G458" s="99"/>
      <c r="H458" s="98"/>
      <c r="I458" s="100"/>
      <c r="J458" s="100"/>
      <c r="K458" s="100"/>
      <c r="L458" s="101"/>
      <c r="M458" s="101"/>
      <c r="N458" s="112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</row>
    <row r="459" spans="1:29" ht="13">
      <c r="A459" s="115"/>
      <c r="B459" s="97"/>
      <c r="C459" s="115"/>
      <c r="D459" s="115"/>
      <c r="E459" s="115"/>
      <c r="F459" s="115"/>
      <c r="G459" s="99"/>
      <c r="H459" s="98"/>
      <c r="I459" s="100"/>
      <c r="J459" s="100"/>
      <c r="K459" s="100"/>
      <c r="L459" s="101"/>
      <c r="M459" s="101"/>
      <c r="N459" s="112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</row>
    <row r="460" spans="1:29" ht="13">
      <c r="A460" s="115"/>
      <c r="B460" s="97"/>
      <c r="C460" s="115"/>
      <c r="D460" s="115"/>
      <c r="E460" s="115"/>
      <c r="F460" s="115"/>
      <c r="G460" s="99"/>
      <c r="H460" s="98"/>
      <c r="I460" s="100"/>
      <c r="J460" s="100"/>
      <c r="K460" s="100"/>
      <c r="L460" s="101"/>
      <c r="M460" s="101"/>
      <c r="N460" s="112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</row>
    <row r="461" spans="1:29" ht="13">
      <c r="A461" s="115"/>
      <c r="B461" s="97"/>
      <c r="C461" s="115"/>
      <c r="D461" s="115"/>
      <c r="E461" s="115"/>
      <c r="F461" s="115"/>
      <c r="G461" s="99"/>
      <c r="H461" s="98"/>
      <c r="I461" s="100"/>
      <c r="J461" s="100"/>
      <c r="K461" s="100"/>
      <c r="L461" s="101"/>
      <c r="M461" s="101"/>
      <c r="N461" s="112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</row>
    <row r="462" spans="1:29" ht="13">
      <c r="A462" s="115"/>
      <c r="B462" s="97"/>
      <c r="C462" s="115"/>
      <c r="D462" s="115"/>
      <c r="E462" s="115"/>
      <c r="F462" s="115"/>
      <c r="G462" s="99"/>
      <c r="H462" s="98"/>
      <c r="I462" s="100"/>
      <c r="J462" s="100"/>
      <c r="K462" s="100"/>
      <c r="L462" s="101"/>
      <c r="M462" s="101"/>
      <c r="N462" s="112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</row>
    <row r="463" spans="1:29" ht="13">
      <c r="A463" s="115"/>
      <c r="B463" s="97"/>
      <c r="C463" s="115"/>
      <c r="D463" s="115"/>
      <c r="E463" s="115"/>
      <c r="F463" s="115"/>
      <c r="G463" s="99"/>
      <c r="H463" s="98"/>
      <c r="I463" s="100"/>
      <c r="J463" s="100"/>
      <c r="K463" s="100"/>
      <c r="L463" s="101"/>
      <c r="M463" s="101"/>
      <c r="N463" s="112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</row>
    <row r="464" spans="1:29" ht="13">
      <c r="A464" s="115"/>
      <c r="B464" s="97"/>
      <c r="C464" s="115"/>
      <c r="D464" s="115"/>
      <c r="E464" s="115"/>
      <c r="F464" s="115"/>
      <c r="G464" s="99"/>
      <c r="H464" s="98"/>
      <c r="I464" s="100"/>
      <c r="J464" s="100"/>
      <c r="K464" s="100"/>
      <c r="L464" s="101"/>
      <c r="M464" s="101"/>
      <c r="N464" s="112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</row>
    <row r="465" spans="1:29" ht="13">
      <c r="A465" s="115"/>
      <c r="B465" s="97"/>
      <c r="C465" s="115"/>
      <c r="D465" s="115"/>
      <c r="E465" s="115"/>
      <c r="F465" s="115"/>
      <c r="G465" s="99"/>
      <c r="H465" s="98"/>
      <c r="I465" s="100"/>
      <c r="J465" s="100"/>
      <c r="K465" s="100"/>
      <c r="L465" s="101"/>
      <c r="M465" s="101"/>
      <c r="N465" s="112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</row>
    <row r="466" spans="1:29" ht="13">
      <c r="A466" s="115"/>
      <c r="B466" s="97"/>
      <c r="C466" s="115"/>
      <c r="D466" s="115"/>
      <c r="E466" s="115"/>
      <c r="F466" s="115"/>
      <c r="G466" s="99"/>
      <c r="H466" s="98"/>
      <c r="I466" s="100"/>
      <c r="J466" s="100"/>
      <c r="K466" s="100"/>
      <c r="L466" s="101"/>
      <c r="M466" s="101"/>
      <c r="N466" s="112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</row>
    <row r="467" spans="1:29" ht="13">
      <c r="A467" s="115"/>
      <c r="B467" s="97"/>
      <c r="C467" s="115"/>
      <c r="D467" s="115"/>
      <c r="E467" s="115"/>
      <c r="F467" s="115"/>
      <c r="G467" s="99"/>
      <c r="H467" s="98"/>
      <c r="I467" s="100"/>
      <c r="J467" s="100"/>
      <c r="K467" s="100"/>
      <c r="L467" s="101"/>
      <c r="M467" s="101"/>
      <c r="N467" s="112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</row>
    <row r="468" spans="1:29" ht="13">
      <c r="A468" s="115"/>
      <c r="B468" s="97"/>
      <c r="C468" s="115"/>
      <c r="D468" s="115"/>
      <c r="E468" s="115"/>
      <c r="F468" s="115"/>
      <c r="G468" s="99"/>
      <c r="H468" s="98"/>
      <c r="I468" s="100"/>
      <c r="J468" s="100"/>
      <c r="K468" s="100"/>
      <c r="L468" s="101"/>
      <c r="M468" s="101"/>
      <c r="N468" s="112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</row>
    <row r="469" spans="1:29" ht="13">
      <c r="A469" s="115"/>
      <c r="B469" s="97"/>
      <c r="C469" s="115"/>
      <c r="D469" s="115"/>
      <c r="E469" s="115"/>
      <c r="F469" s="115"/>
      <c r="G469" s="99"/>
      <c r="H469" s="98"/>
      <c r="I469" s="100"/>
      <c r="J469" s="100"/>
      <c r="K469" s="100"/>
      <c r="L469" s="101"/>
      <c r="M469" s="101"/>
      <c r="N469" s="112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</row>
    <row r="470" spans="1:29" ht="13">
      <c r="A470" s="115"/>
      <c r="B470" s="97"/>
      <c r="C470" s="115"/>
      <c r="D470" s="115"/>
      <c r="E470" s="115"/>
      <c r="F470" s="115"/>
      <c r="G470" s="99"/>
      <c r="H470" s="98"/>
      <c r="I470" s="100"/>
      <c r="J470" s="100"/>
      <c r="K470" s="100"/>
      <c r="L470" s="101"/>
      <c r="M470" s="101"/>
      <c r="N470" s="112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</row>
    <row r="471" spans="1:29" ht="13">
      <c r="A471" s="115"/>
      <c r="B471" s="97"/>
      <c r="C471" s="115"/>
      <c r="D471" s="115"/>
      <c r="E471" s="115"/>
      <c r="F471" s="115"/>
      <c r="G471" s="99"/>
      <c r="H471" s="98"/>
      <c r="I471" s="100"/>
      <c r="J471" s="100"/>
      <c r="K471" s="100"/>
      <c r="L471" s="101"/>
      <c r="M471" s="101"/>
      <c r="N471" s="112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</row>
    <row r="472" spans="1:29" ht="13">
      <c r="A472" s="115"/>
      <c r="B472" s="97"/>
      <c r="C472" s="115"/>
      <c r="D472" s="115"/>
      <c r="E472" s="115"/>
      <c r="F472" s="115"/>
      <c r="G472" s="99"/>
      <c r="H472" s="98"/>
      <c r="I472" s="100"/>
      <c r="J472" s="100"/>
      <c r="K472" s="100"/>
      <c r="L472" s="101"/>
      <c r="M472" s="101"/>
      <c r="N472" s="112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</row>
    <row r="473" spans="1:29" ht="13">
      <c r="A473" s="115"/>
      <c r="B473" s="97"/>
      <c r="C473" s="115"/>
      <c r="D473" s="115"/>
      <c r="E473" s="115"/>
      <c r="F473" s="115"/>
      <c r="G473" s="99"/>
      <c r="H473" s="98"/>
      <c r="I473" s="100"/>
      <c r="J473" s="100"/>
      <c r="K473" s="100"/>
      <c r="L473" s="101"/>
      <c r="M473" s="101"/>
      <c r="N473" s="112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</row>
    <row r="474" spans="1:29" ht="13">
      <c r="A474" s="115"/>
      <c r="B474" s="97"/>
      <c r="C474" s="115"/>
      <c r="D474" s="115"/>
      <c r="E474" s="115"/>
      <c r="F474" s="115"/>
      <c r="G474" s="99"/>
      <c r="H474" s="98"/>
      <c r="I474" s="100"/>
      <c r="J474" s="100"/>
      <c r="K474" s="100"/>
      <c r="L474" s="101"/>
      <c r="M474" s="101"/>
      <c r="N474" s="112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</row>
    <row r="475" spans="1:29" ht="13">
      <c r="A475" s="115"/>
      <c r="B475" s="97"/>
      <c r="C475" s="115"/>
      <c r="D475" s="115"/>
      <c r="E475" s="115"/>
      <c r="F475" s="115"/>
      <c r="G475" s="99"/>
      <c r="H475" s="98"/>
      <c r="I475" s="100"/>
      <c r="J475" s="100"/>
      <c r="K475" s="100"/>
      <c r="L475" s="101"/>
      <c r="M475" s="101"/>
      <c r="N475" s="112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</row>
    <row r="476" spans="1:29" ht="13">
      <c r="A476" s="115"/>
      <c r="B476" s="97"/>
      <c r="C476" s="115"/>
      <c r="D476" s="115"/>
      <c r="E476" s="115"/>
      <c r="F476" s="115"/>
      <c r="G476" s="99"/>
      <c r="H476" s="98"/>
      <c r="I476" s="100"/>
      <c r="J476" s="100"/>
      <c r="K476" s="100"/>
      <c r="L476" s="101"/>
      <c r="M476" s="101"/>
      <c r="N476" s="112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</row>
    <row r="477" spans="1:29" ht="13">
      <c r="A477" s="115"/>
      <c r="B477" s="97"/>
      <c r="C477" s="115"/>
      <c r="D477" s="115"/>
      <c r="E477" s="115"/>
      <c r="F477" s="115"/>
      <c r="G477" s="99"/>
      <c r="H477" s="98"/>
      <c r="I477" s="100"/>
      <c r="J477" s="100"/>
      <c r="K477" s="100"/>
      <c r="L477" s="101"/>
      <c r="M477" s="101"/>
      <c r="N477" s="112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</row>
    <row r="478" spans="1:29" ht="13">
      <c r="A478" s="115"/>
      <c r="B478" s="97"/>
      <c r="C478" s="115"/>
      <c r="D478" s="115"/>
      <c r="E478" s="115"/>
      <c r="F478" s="115"/>
      <c r="G478" s="99"/>
      <c r="H478" s="98"/>
      <c r="I478" s="100"/>
      <c r="J478" s="100"/>
      <c r="K478" s="100"/>
      <c r="L478" s="101"/>
      <c r="M478" s="101"/>
      <c r="N478" s="112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</row>
    <row r="479" spans="1:29" ht="13">
      <c r="A479" s="115"/>
      <c r="B479" s="97"/>
      <c r="C479" s="115"/>
      <c r="D479" s="115"/>
      <c r="E479" s="115"/>
      <c r="F479" s="115"/>
      <c r="G479" s="99"/>
      <c r="H479" s="98"/>
      <c r="I479" s="100"/>
      <c r="J479" s="100"/>
      <c r="K479" s="100"/>
      <c r="L479" s="101"/>
      <c r="M479" s="101"/>
      <c r="N479" s="112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</row>
    <row r="480" spans="1:29" ht="13">
      <c r="A480" s="115"/>
      <c r="B480" s="97"/>
      <c r="C480" s="115"/>
      <c r="D480" s="115"/>
      <c r="E480" s="115"/>
      <c r="F480" s="115"/>
      <c r="G480" s="99"/>
      <c r="H480" s="98"/>
      <c r="I480" s="100"/>
      <c r="J480" s="100"/>
      <c r="K480" s="100"/>
      <c r="L480" s="101"/>
      <c r="M480" s="101"/>
      <c r="N480" s="112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</row>
    <row r="481" spans="1:29" ht="13">
      <c r="A481" s="115"/>
      <c r="B481" s="97"/>
      <c r="C481" s="115"/>
      <c r="D481" s="115"/>
      <c r="E481" s="115"/>
      <c r="F481" s="115"/>
      <c r="G481" s="99"/>
      <c r="H481" s="98"/>
      <c r="I481" s="100"/>
      <c r="J481" s="100"/>
      <c r="K481" s="100"/>
      <c r="L481" s="101"/>
      <c r="M481" s="101"/>
      <c r="N481" s="112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</row>
    <row r="482" spans="1:29" ht="13">
      <c r="A482" s="115"/>
      <c r="B482" s="97"/>
      <c r="C482" s="115"/>
      <c r="D482" s="115"/>
      <c r="E482" s="115"/>
      <c r="F482" s="115"/>
      <c r="G482" s="99"/>
      <c r="H482" s="98"/>
      <c r="I482" s="100"/>
      <c r="J482" s="100"/>
      <c r="K482" s="100"/>
      <c r="L482" s="101"/>
      <c r="M482" s="101"/>
      <c r="N482" s="112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</row>
    <row r="483" spans="1:29" ht="13">
      <c r="A483" s="115"/>
      <c r="B483" s="97"/>
      <c r="C483" s="115"/>
      <c r="D483" s="115"/>
      <c r="E483" s="115"/>
      <c r="F483" s="115"/>
      <c r="G483" s="99"/>
      <c r="H483" s="98"/>
      <c r="I483" s="100"/>
      <c r="J483" s="100"/>
      <c r="K483" s="100"/>
      <c r="L483" s="101"/>
      <c r="M483" s="101"/>
      <c r="N483" s="112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</row>
    <row r="484" spans="1:29" ht="13">
      <c r="A484" s="115"/>
      <c r="B484" s="97"/>
      <c r="C484" s="115"/>
      <c r="D484" s="115"/>
      <c r="E484" s="115"/>
      <c r="F484" s="115"/>
      <c r="G484" s="99"/>
      <c r="H484" s="98"/>
      <c r="I484" s="100"/>
      <c r="J484" s="100"/>
      <c r="K484" s="100"/>
      <c r="L484" s="101"/>
      <c r="M484" s="101"/>
      <c r="N484" s="112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</row>
    <row r="485" spans="1:29" ht="13">
      <c r="A485" s="115"/>
      <c r="B485" s="97"/>
      <c r="C485" s="115"/>
      <c r="D485" s="115"/>
      <c r="E485" s="115"/>
      <c r="F485" s="115"/>
      <c r="G485" s="99"/>
      <c r="H485" s="98"/>
      <c r="I485" s="100"/>
      <c r="J485" s="100"/>
      <c r="K485" s="100"/>
      <c r="L485" s="101"/>
      <c r="M485" s="101"/>
      <c r="N485" s="112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</row>
    <row r="486" spans="1:29" ht="13">
      <c r="A486" s="115"/>
      <c r="B486" s="97"/>
      <c r="C486" s="115"/>
      <c r="D486" s="115"/>
      <c r="E486" s="115"/>
      <c r="F486" s="115"/>
      <c r="G486" s="99"/>
      <c r="H486" s="98"/>
      <c r="I486" s="100"/>
      <c r="J486" s="100"/>
      <c r="K486" s="100"/>
      <c r="L486" s="101"/>
      <c r="M486" s="101"/>
      <c r="N486" s="112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</row>
    <row r="487" spans="1:29" ht="13">
      <c r="A487" s="115"/>
      <c r="B487" s="97"/>
      <c r="C487" s="115"/>
      <c r="D487" s="115"/>
      <c r="E487" s="115"/>
      <c r="F487" s="115"/>
      <c r="G487" s="99"/>
      <c r="H487" s="98"/>
      <c r="I487" s="100"/>
      <c r="J487" s="100"/>
      <c r="K487" s="100"/>
      <c r="L487" s="101"/>
      <c r="M487" s="101"/>
      <c r="N487" s="112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</row>
    <row r="488" spans="1:29" ht="13">
      <c r="A488" s="115"/>
      <c r="B488" s="97"/>
      <c r="C488" s="115"/>
      <c r="D488" s="115"/>
      <c r="E488" s="115"/>
      <c r="F488" s="115"/>
      <c r="G488" s="99"/>
      <c r="H488" s="98"/>
      <c r="I488" s="100"/>
      <c r="J488" s="100"/>
      <c r="K488" s="100"/>
      <c r="L488" s="101"/>
      <c r="M488" s="101"/>
      <c r="N488" s="112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</row>
    <row r="489" spans="1:29" ht="13">
      <c r="A489" s="115"/>
      <c r="B489" s="97"/>
      <c r="C489" s="115"/>
      <c r="D489" s="115"/>
      <c r="E489" s="115"/>
      <c r="F489" s="115"/>
      <c r="G489" s="99"/>
      <c r="H489" s="98"/>
      <c r="I489" s="100"/>
      <c r="J489" s="100"/>
      <c r="K489" s="100"/>
      <c r="L489" s="101"/>
      <c r="M489" s="101"/>
      <c r="N489" s="112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</row>
    <row r="490" spans="1:29" ht="13">
      <c r="A490" s="115"/>
      <c r="B490" s="97"/>
      <c r="C490" s="115"/>
      <c r="D490" s="115"/>
      <c r="E490" s="115"/>
      <c r="F490" s="115"/>
      <c r="G490" s="99"/>
      <c r="H490" s="98"/>
      <c r="I490" s="100"/>
      <c r="J490" s="100"/>
      <c r="K490" s="100"/>
      <c r="L490" s="101"/>
      <c r="M490" s="101"/>
      <c r="N490" s="112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</row>
    <row r="491" spans="1:29" ht="13">
      <c r="A491" s="115"/>
      <c r="B491" s="97"/>
      <c r="C491" s="115"/>
      <c r="D491" s="115"/>
      <c r="E491" s="115"/>
      <c r="F491" s="115"/>
      <c r="G491" s="99"/>
      <c r="H491" s="98"/>
      <c r="I491" s="100"/>
      <c r="J491" s="100"/>
      <c r="K491" s="100"/>
      <c r="L491" s="101"/>
      <c r="M491" s="101"/>
      <c r="N491" s="112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</row>
    <row r="492" spans="1:29" ht="13">
      <c r="A492" s="115"/>
      <c r="B492" s="97"/>
      <c r="C492" s="115"/>
      <c r="D492" s="115"/>
      <c r="E492" s="115"/>
      <c r="F492" s="115"/>
      <c r="G492" s="99"/>
      <c r="H492" s="98"/>
      <c r="I492" s="100"/>
      <c r="J492" s="100"/>
      <c r="K492" s="100"/>
      <c r="L492" s="101"/>
      <c r="M492" s="101"/>
      <c r="N492" s="112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</row>
    <row r="493" spans="1:29" ht="13">
      <c r="A493" s="115"/>
      <c r="B493" s="97"/>
      <c r="C493" s="115"/>
      <c r="D493" s="115"/>
      <c r="E493" s="115"/>
      <c r="F493" s="115"/>
      <c r="G493" s="99"/>
      <c r="H493" s="98"/>
      <c r="I493" s="100"/>
      <c r="J493" s="100"/>
      <c r="K493" s="100"/>
      <c r="L493" s="101"/>
      <c r="M493" s="101"/>
      <c r="N493" s="112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</row>
    <row r="494" spans="1:29" ht="13">
      <c r="A494" s="115"/>
      <c r="B494" s="97"/>
      <c r="C494" s="115"/>
      <c r="D494" s="115"/>
      <c r="E494" s="115"/>
      <c r="F494" s="115"/>
      <c r="G494" s="99"/>
      <c r="H494" s="98"/>
      <c r="I494" s="100"/>
      <c r="J494" s="100"/>
      <c r="K494" s="100"/>
      <c r="L494" s="101"/>
      <c r="M494" s="101"/>
      <c r="N494" s="112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</row>
    <row r="495" spans="1:29" ht="13">
      <c r="A495" s="115"/>
      <c r="B495" s="97"/>
      <c r="C495" s="115"/>
      <c r="D495" s="115"/>
      <c r="E495" s="115"/>
      <c r="F495" s="115"/>
      <c r="G495" s="99"/>
      <c r="H495" s="98"/>
      <c r="I495" s="100"/>
      <c r="J495" s="100"/>
      <c r="K495" s="100"/>
      <c r="L495" s="101"/>
      <c r="M495" s="101"/>
      <c r="N495" s="112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</row>
    <row r="496" spans="1:29" ht="13">
      <c r="A496" s="115"/>
      <c r="B496" s="97"/>
      <c r="C496" s="115"/>
      <c r="D496" s="115"/>
      <c r="E496" s="115"/>
      <c r="F496" s="115"/>
      <c r="G496" s="99"/>
      <c r="H496" s="98"/>
      <c r="I496" s="100"/>
      <c r="J496" s="100"/>
      <c r="K496" s="100"/>
      <c r="L496" s="101"/>
      <c r="M496" s="101"/>
      <c r="N496" s="112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</row>
    <row r="497" spans="1:29" ht="13">
      <c r="A497" s="115"/>
      <c r="B497" s="97"/>
      <c r="C497" s="115"/>
      <c r="D497" s="115"/>
      <c r="E497" s="115"/>
      <c r="F497" s="115"/>
      <c r="G497" s="99"/>
      <c r="H497" s="98"/>
      <c r="I497" s="100"/>
      <c r="J497" s="100"/>
      <c r="K497" s="100"/>
      <c r="L497" s="101"/>
      <c r="M497" s="101"/>
      <c r="N497" s="112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</row>
    <row r="498" spans="1:29" ht="13">
      <c r="A498" s="115"/>
      <c r="B498" s="97"/>
      <c r="C498" s="115"/>
      <c r="D498" s="115"/>
      <c r="E498" s="115"/>
      <c r="F498" s="115"/>
      <c r="G498" s="99"/>
      <c r="H498" s="98"/>
      <c r="I498" s="100"/>
      <c r="J498" s="100"/>
      <c r="K498" s="100"/>
      <c r="L498" s="101"/>
      <c r="M498" s="101"/>
      <c r="N498" s="112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</row>
    <row r="499" spans="1:29" ht="13">
      <c r="A499" s="115"/>
      <c r="B499" s="97"/>
      <c r="C499" s="115"/>
      <c r="D499" s="115"/>
      <c r="E499" s="115"/>
      <c r="F499" s="115"/>
      <c r="G499" s="99"/>
      <c r="H499" s="98"/>
      <c r="I499" s="100"/>
      <c r="J499" s="100"/>
      <c r="K499" s="100"/>
      <c r="L499" s="101"/>
      <c r="M499" s="101"/>
      <c r="N499" s="112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</row>
    <row r="500" spans="1:29" ht="13">
      <c r="A500" s="115"/>
      <c r="B500" s="97"/>
      <c r="C500" s="115"/>
      <c r="D500" s="115"/>
      <c r="E500" s="115"/>
      <c r="F500" s="115"/>
      <c r="G500" s="99"/>
      <c r="H500" s="98"/>
      <c r="I500" s="100"/>
      <c r="J500" s="100"/>
      <c r="K500" s="100"/>
      <c r="L500" s="101"/>
      <c r="M500" s="101"/>
      <c r="N500" s="112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</row>
    <row r="501" spans="1:29" ht="13">
      <c r="A501" s="115"/>
      <c r="B501" s="97"/>
      <c r="C501" s="115"/>
      <c r="D501" s="115"/>
      <c r="E501" s="115"/>
      <c r="F501" s="115"/>
      <c r="G501" s="99"/>
      <c r="H501" s="98"/>
      <c r="I501" s="100"/>
      <c r="J501" s="100"/>
      <c r="K501" s="100"/>
      <c r="L501" s="101"/>
      <c r="M501" s="101"/>
      <c r="N501" s="112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</row>
    <row r="502" spans="1:29" ht="13">
      <c r="A502" s="115"/>
      <c r="B502" s="97"/>
      <c r="C502" s="115"/>
      <c r="D502" s="115"/>
      <c r="E502" s="115"/>
      <c r="F502" s="115"/>
      <c r="G502" s="99"/>
      <c r="H502" s="98"/>
      <c r="I502" s="100"/>
      <c r="J502" s="100"/>
      <c r="K502" s="100"/>
      <c r="L502" s="101"/>
      <c r="M502" s="101"/>
      <c r="N502" s="112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</row>
    <row r="503" spans="1:29" ht="13">
      <c r="A503" s="115"/>
      <c r="B503" s="97"/>
      <c r="C503" s="115"/>
      <c r="D503" s="115"/>
      <c r="E503" s="115"/>
      <c r="F503" s="115"/>
      <c r="G503" s="99"/>
      <c r="H503" s="98"/>
      <c r="I503" s="100"/>
      <c r="J503" s="100"/>
      <c r="K503" s="100"/>
      <c r="L503" s="101"/>
      <c r="M503" s="101"/>
      <c r="N503" s="112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</row>
    <row r="504" spans="1:29" ht="13">
      <c r="A504" s="115"/>
      <c r="B504" s="97"/>
      <c r="C504" s="115"/>
      <c r="D504" s="115"/>
      <c r="E504" s="115"/>
      <c r="F504" s="115"/>
      <c r="G504" s="99"/>
      <c r="H504" s="98"/>
      <c r="I504" s="100"/>
      <c r="J504" s="100"/>
      <c r="K504" s="100"/>
      <c r="L504" s="101"/>
      <c r="M504" s="101"/>
      <c r="N504" s="112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</row>
    <row r="505" spans="1:29" ht="13">
      <c r="A505" s="115"/>
      <c r="B505" s="97"/>
      <c r="C505" s="115"/>
      <c r="D505" s="115"/>
      <c r="E505" s="115"/>
      <c r="F505" s="115"/>
      <c r="G505" s="99"/>
      <c r="H505" s="98"/>
      <c r="I505" s="100"/>
      <c r="J505" s="100"/>
      <c r="K505" s="100"/>
      <c r="L505" s="101"/>
      <c r="M505" s="101"/>
      <c r="N505" s="112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</row>
    <row r="506" spans="1:29" ht="13">
      <c r="A506" s="115"/>
      <c r="B506" s="97"/>
      <c r="C506" s="115"/>
      <c r="D506" s="115"/>
      <c r="E506" s="115"/>
      <c r="F506" s="115"/>
      <c r="G506" s="99"/>
      <c r="H506" s="98"/>
      <c r="I506" s="100"/>
      <c r="J506" s="100"/>
      <c r="K506" s="100"/>
      <c r="L506" s="101"/>
      <c r="M506" s="101"/>
      <c r="N506" s="112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</row>
    <row r="507" spans="1:29" ht="13">
      <c r="A507" s="115"/>
      <c r="B507" s="97"/>
      <c r="C507" s="115"/>
      <c r="D507" s="115"/>
      <c r="E507" s="115"/>
      <c r="F507" s="115"/>
      <c r="G507" s="99"/>
      <c r="H507" s="98"/>
      <c r="I507" s="100"/>
      <c r="J507" s="100"/>
      <c r="K507" s="100"/>
      <c r="L507" s="101"/>
      <c r="M507" s="101"/>
      <c r="N507" s="112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</row>
    <row r="508" spans="1:29" ht="13">
      <c r="A508" s="115"/>
      <c r="B508" s="97"/>
      <c r="C508" s="115"/>
      <c r="D508" s="115"/>
      <c r="E508" s="115"/>
      <c r="F508" s="115"/>
      <c r="G508" s="99"/>
      <c r="H508" s="98"/>
      <c r="I508" s="100"/>
      <c r="J508" s="100"/>
      <c r="K508" s="100"/>
      <c r="L508" s="101"/>
      <c r="M508" s="101"/>
      <c r="N508" s="112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</row>
    <row r="509" spans="1:29" ht="13">
      <c r="A509" s="115"/>
      <c r="B509" s="97"/>
      <c r="C509" s="115"/>
      <c r="D509" s="115"/>
      <c r="E509" s="115"/>
      <c r="F509" s="115"/>
      <c r="G509" s="99"/>
      <c r="H509" s="98"/>
      <c r="I509" s="100"/>
      <c r="J509" s="100"/>
      <c r="K509" s="100"/>
      <c r="L509" s="101"/>
      <c r="M509" s="101"/>
      <c r="N509" s="112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</row>
    <row r="510" spans="1:29" ht="13">
      <c r="A510" s="115"/>
      <c r="B510" s="97"/>
      <c r="C510" s="115"/>
      <c r="D510" s="115"/>
      <c r="E510" s="115"/>
      <c r="F510" s="115"/>
      <c r="G510" s="99"/>
      <c r="H510" s="98"/>
      <c r="I510" s="100"/>
      <c r="J510" s="100"/>
      <c r="K510" s="100"/>
      <c r="L510" s="101"/>
      <c r="M510" s="101"/>
      <c r="N510" s="112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</row>
    <row r="511" spans="1:29" ht="13">
      <c r="A511" s="115"/>
      <c r="B511" s="97"/>
      <c r="C511" s="115"/>
      <c r="D511" s="115"/>
      <c r="E511" s="115"/>
      <c r="F511" s="115"/>
      <c r="G511" s="99"/>
      <c r="H511" s="98"/>
      <c r="I511" s="100"/>
      <c r="J511" s="100"/>
      <c r="K511" s="100"/>
      <c r="L511" s="101"/>
      <c r="M511" s="101"/>
      <c r="N511" s="112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</row>
    <row r="512" spans="1:29" ht="13">
      <c r="A512" s="115"/>
      <c r="B512" s="97"/>
      <c r="C512" s="115"/>
      <c r="D512" s="115"/>
      <c r="E512" s="115"/>
      <c r="F512" s="115"/>
      <c r="G512" s="99"/>
      <c r="H512" s="98"/>
      <c r="I512" s="100"/>
      <c r="J512" s="100"/>
      <c r="K512" s="100"/>
      <c r="L512" s="101"/>
      <c r="M512" s="101"/>
      <c r="N512" s="112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</row>
    <row r="513" spans="1:29" ht="13">
      <c r="A513" s="115"/>
      <c r="B513" s="97"/>
      <c r="C513" s="115"/>
      <c r="D513" s="115"/>
      <c r="E513" s="115"/>
      <c r="F513" s="115"/>
      <c r="G513" s="99"/>
      <c r="H513" s="98"/>
      <c r="I513" s="100"/>
      <c r="J513" s="100"/>
      <c r="K513" s="100"/>
      <c r="L513" s="101"/>
      <c r="M513" s="101"/>
      <c r="N513" s="112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</row>
    <row r="514" spans="1:29" ht="13">
      <c r="A514" s="115"/>
      <c r="B514" s="97"/>
      <c r="C514" s="115"/>
      <c r="D514" s="115"/>
      <c r="E514" s="115"/>
      <c r="F514" s="115"/>
      <c r="G514" s="99"/>
      <c r="H514" s="98"/>
      <c r="I514" s="100"/>
      <c r="J514" s="100"/>
      <c r="K514" s="100"/>
      <c r="L514" s="101"/>
      <c r="M514" s="101"/>
      <c r="N514" s="112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</row>
    <row r="515" spans="1:29" ht="13">
      <c r="A515" s="115"/>
      <c r="B515" s="97"/>
      <c r="C515" s="115"/>
      <c r="D515" s="115"/>
      <c r="E515" s="115"/>
      <c r="F515" s="115"/>
      <c r="G515" s="99"/>
      <c r="H515" s="98"/>
      <c r="I515" s="100"/>
      <c r="J515" s="100"/>
      <c r="K515" s="100"/>
      <c r="L515" s="101"/>
      <c r="M515" s="101"/>
      <c r="N515" s="112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</row>
    <row r="516" spans="1:29" ht="13">
      <c r="A516" s="115"/>
      <c r="B516" s="97"/>
      <c r="C516" s="115"/>
      <c r="D516" s="115"/>
      <c r="E516" s="115"/>
      <c r="F516" s="115"/>
      <c r="G516" s="99"/>
      <c r="H516" s="98"/>
      <c r="I516" s="100"/>
      <c r="J516" s="100"/>
      <c r="K516" s="100"/>
      <c r="L516" s="101"/>
      <c r="M516" s="101"/>
      <c r="N516" s="112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</row>
    <row r="517" spans="1:29" ht="13">
      <c r="A517" s="115"/>
      <c r="B517" s="97"/>
      <c r="C517" s="115"/>
      <c r="D517" s="115"/>
      <c r="E517" s="115"/>
      <c r="F517" s="115"/>
      <c r="G517" s="99"/>
      <c r="H517" s="98"/>
      <c r="I517" s="100"/>
      <c r="J517" s="100"/>
      <c r="K517" s="100"/>
      <c r="L517" s="101"/>
      <c r="M517" s="101"/>
      <c r="N517" s="112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</row>
    <row r="518" spans="1:29" ht="13">
      <c r="A518" s="115"/>
      <c r="B518" s="97"/>
      <c r="C518" s="115"/>
      <c r="D518" s="115"/>
      <c r="E518" s="115"/>
      <c r="F518" s="115"/>
      <c r="G518" s="99"/>
      <c r="H518" s="98"/>
      <c r="I518" s="100"/>
      <c r="J518" s="100"/>
      <c r="K518" s="100"/>
      <c r="L518" s="101"/>
      <c r="M518" s="101"/>
      <c r="N518" s="112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</row>
    <row r="519" spans="1:29" ht="13">
      <c r="A519" s="115"/>
      <c r="B519" s="97"/>
      <c r="C519" s="115"/>
      <c r="D519" s="115"/>
      <c r="E519" s="115"/>
      <c r="F519" s="115"/>
      <c r="G519" s="99"/>
      <c r="H519" s="98"/>
      <c r="I519" s="100"/>
      <c r="J519" s="100"/>
      <c r="K519" s="100"/>
      <c r="L519" s="101"/>
      <c r="M519" s="101"/>
      <c r="N519" s="112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</row>
    <row r="520" spans="1:29" ht="13">
      <c r="A520" s="115"/>
      <c r="B520" s="97"/>
      <c r="C520" s="115"/>
      <c r="D520" s="115"/>
      <c r="E520" s="115"/>
      <c r="F520" s="115"/>
      <c r="G520" s="99"/>
      <c r="H520" s="98"/>
      <c r="I520" s="100"/>
      <c r="J520" s="100"/>
      <c r="K520" s="100"/>
      <c r="L520" s="101"/>
      <c r="M520" s="101"/>
      <c r="N520" s="112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</row>
    <row r="521" spans="1:29" ht="13">
      <c r="A521" s="115"/>
      <c r="B521" s="97"/>
      <c r="C521" s="115"/>
      <c r="D521" s="115"/>
      <c r="E521" s="115"/>
      <c r="F521" s="115"/>
      <c r="G521" s="99"/>
      <c r="H521" s="98"/>
      <c r="I521" s="100"/>
      <c r="J521" s="100"/>
      <c r="K521" s="100"/>
      <c r="L521" s="101"/>
      <c r="M521" s="101"/>
      <c r="N521" s="112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</row>
    <row r="522" spans="1:29" ht="13">
      <c r="A522" s="115"/>
      <c r="B522" s="97"/>
      <c r="C522" s="115"/>
      <c r="D522" s="115"/>
      <c r="E522" s="115"/>
      <c r="F522" s="115"/>
      <c r="G522" s="99"/>
      <c r="H522" s="98"/>
      <c r="I522" s="100"/>
      <c r="J522" s="100"/>
      <c r="K522" s="100"/>
      <c r="L522" s="101"/>
      <c r="M522" s="101"/>
      <c r="N522" s="112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</row>
    <row r="523" spans="1:29" ht="13">
      <c r="A523" s="115"/>
      <c r="B523" s="97"/>
      <c r="C523" s="115"/>
      <c r="D523" s="115"/>
      <c r="E523" s="115"/>
      <c r="F523" s="115"/>
      <c r="G523" s="99"/>
      <c r="H523" s="98"/>
      <c r="I523" s="100"/>
      <c r="J523" s="100"/>
      <c r="K523" s="100"/>
      <c r="L523" s="101"/>
      <c r="M523" s="101"/>
      <c r="N523" s="112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</row>
    <row r="524" spans="1:29" ht="13">
      <c r="A524" s="115"/>
      <c r="B524" s="97"/>
      <c r="C524" s="115"/>
      <c r="D524" s="115"/>
      <c r="E524" s="115"/>
      <c r="F524" s="115"/>
      <c r="G524" s="99"/>
      <c r="H524" s="98"/>
      <c r="I524" s="100"/>
      <c r="J524" s="100"/>
      <c r="K524" s="100"/>
      <c r="L524" s="101"/>
      <c r="M524" s="101"/>
      <c r="N524" s="112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</row>
    <row r="525" spans="1:29" ht="13">
      <c r="A525" s="115"/>
      <c r="B525" s="97"/>
      <c r="C525" s="115"/>
      <c r="D525" s="115"/>
      <c r="E525" s="115"/>
      <c r="F525" s="115"/>
      <c r="G525" s="99"/>
      <c r="H525" s="98"/>
      <c r="I525" s="100"/>
      <c r="J525" s="100"/>
      <c r="K525" s="100"/>
      <c r="L525" s="101"/>
      <c r="M525" s="101"/>
      <c r="N525" s="112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</row>
    <row r="526" spans="1:29" ht="13">
      <c r="A526" s="115"/>
      <c r="B526" s="97"/>
      <c r="C526" s="115"/>
      <c r="D526" s="115"/>
      <c r="E526" s="115"/>
      <c r="F526" s="115"/>
      <c r="G526" s="99"/>
      <c r="H526" s="98"/>
      <c r="I526" s="100"/>
      <c r="J526" s="100"/>
      <c r="K526" s="100"/>
      <c r="L526" s="101"/>
      <c r="M526" s="101"/>
      <c r="N526" s="112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</row>
    <row r="527" spans="1:29" ht="13">
      <c r="A527" s="115"/>
      <c r="B527" s="97"/>
      <c r="C527" s="115"/>
      <c r="D527" s="115"/>
      <c r="E527" s="115"/>
      <c r="F527" s="115"/>
      <c r="G527" s="99"/>
      <c r="H527" s="98"/>
      <c r="I527" s="100"/>
      <c r="J527" s="100"/>
      <c r="K527" s="100"/>
      <c r="L527" s="101"/>
      <c r="M527" s="101"/>
      <c r="N527" s="112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</row>
    <row r="528" spans="1:29" ht="13">
      <c r="A528" s="115"/>
      <c r="B528" s="97"/>
      <c r="C528" s="115"/>
      <c r="D528" s="115"/>
      <c r="E528" s="115"/>
      <c r="F528" s="115"/>
      <c r="G528" s="99"/>
      <c r="H528" s="98"/>
      <c r="I528" s="100"/>
      <c r="J528" s="100"/>
      <c r="K528" s="100"/>
      <c r="L528" s="101"/>
      <c r="M528" s="101"/>
      <c r="N528" s="112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</row>
    <row r="529" spans="1:29" ht="13">
      <c r="A529" s="115"/>
      <c r="B529" s="97"/>
      <c r="C529" s="115"/>
      <c r="D529" s="115"/>
      <c r="E529" s="115"/>
      <c r="F529" s="115"/>
      <c r="G529" s="99"/>
      <c r="H529" s="98"/>
      <c r="I529" s="100"/>
      <c r="J529" s="100"/>
      <c r="K529" s="100"/>
      <c r="L529" s="101"/>
      <c r="M529" s="101"/>
      <c r="N529" s="112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</row>
    <row r="530" spans="1:29" ht="13">
      <c r="A530" s="115"/>
      <c r="B530" s="97"/>
      <c r="C530" s="115"/>
      <c r="D530" s="115"/>
      <c r="E530" s="115"/>
      <c r="F530" s="115"/>
      <c r="G530" s="99"/>
      <c r="H530" s="98"/>
      <c r="I530" s="100"/>
      <c r="J530" s="100"/>
      <c r="K530" s="100"/>
      <c r="L530" s="101"/>
      <c r="M530" s="101"/>
      <c r="N530" s="112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</row>
    <row r="531" spans="1:29" ht="13">
      <c r="A531" s="115"/>
      <c r="B531" s="97"/>
      <c r="C531" s="115"/>
      <c r="D531" s="115"/>
      <c r="E531" s="115"/>
      <c r="F531" s="115"/>
      <c r="G531" s="99"/>
      <c r="H531" s="98"/>
      <c r="I531" s="100"/>
      <c r="J531" s="100"/>
      <c r="K531" s="100"/>
      <c r="L531" s="101"/>
      <c r="M531" s="101"/>
      <c r="N531" s="112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</row>
    <row r="532" spans="1:29" ht="13">
      <c r="A532" s="115"/>
      <c r="B532" s="97"/>
      <c r="C532" s="115"/>
      <c r="D532" s="115"/>
      <c r="E532" s="115"/>
      <c r="F532" s="115"/>
      <c r="G532" s="99"/>
      <c r="H532" s="98"/>
      <c r="I532" s="100"/>
      <c r="J532" s="100"/>
      <c r="K532" s="100"/>
      <c r="L532" s="101"/>
      <c r="M532" s="101"/>
      <c r="N532" s="112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</row>
    <row r="533" spans="1:29" ht="13">
      <c r="A533" s="115"/>
      <c r="B533" s="97"/>
      <c r="C533" s="115"/>
      <c r="D533" s="115"/>
      <c r="E533" s="115"/>
      <c r="F533" s="115"/>
      <c r="G533" s="99"/>
      <c r="H533" s="98"/>
      <c r="I533" s="100"/>
      <c r="J533" s="100"/>
      <c r="K533" s="100"/>
      <c r="L533" s="101"/>
      <c r="M533" s="101"/>
      <c r="N533" s="112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</row>
    <row r="534" spans="1:29" ht="13">
      <c r="A534" s="115"/>
      <c r="B534" s="97"/>
      <c r="C534" s="115"/>
      <c r="D534" s="115"/>
      <c r="E534" s="115"/>
      <c r="F534" s="115"/>
      <c r="G534" s="99"/>
      <c r="H534" s="98"/>
      <c r="I534" s="100"/>
      <c r="J534" s="100"/>
      <c r="K534" s="100"/>
      <c r="L534" s="101"/>
      <c r="M534" s="101"/>
      <c r="N534" s="112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</row>
    <row r="535" spans="1:29" ht="13">
      <c r="A535" s="115"/>
      <c r="B535" s="97"/>
      <c r="C535" s="115"/>
      <c r="D535" s="115"/>
      <c r="E535" s="115"/>
      <c r="F535" s="115"/>
      <c r="G535" s="99"/>
      <c r="H535" s="98"/>
      <c r="I535" s="100"/>
      <c r="J535" s="100"/>
      <c r="K535" s="100"/>
      <c r="L535" s="101"/>
      <c r="M535" s="101"/>
      <c r="N535" s="112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</row>
    <row r="536" spans="1:29" ht="13">
      <c r="A536" s="115"/>
      <c r="B536" s="97"/>
      <c r="C536" s="115"/>
      <c r="D536" s="115"/>
      <c r="E536" s="115"/>
      <c r="F536" s="115"/>
      <c r="G536" s="99"/>
      <c r="H536" s="98"/>
      <c r="I536" s="100"/>
      <c r="J536" s="100"/>
      <c r="K536" s="100"/>
      <c r="L536" s="101"/>
      <c r="M536" s="101"/>
      <c r="N536" s="112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</row>
    <row r="537" spans="1:29" ht="13">
      <c r="A537" s="115"/>
      <c r="B537" s="97"/>
      <c r="C537" s="115"/>
      <c r="D537" s="115"/>
      <c r="E537" s="115"/>
      <c r="F537" s="115"/>
      <c r="G537" s="99"/>
      <c r="H537" s="98"/>
      <c r="I537" s="100"/>
      <c r="J537" s="100"/>
      <c r="K537" s="100"/>
      <c r="L537" s="101"/>
      <c r="M537" s="101"/>
      <c r="N537" s="112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</row>
    <row r="538" spans="1:29" ht="13">
      <c r="A538" s="115"/>
      <c r="B538" s="97"/>
      <c r="C538" s="115"/>
      <c r="D538" s="115"/>
      <c r="E538" s="115"/>
      <c r="F538" s="115"/>
      <c r="G538" s="99"/>
      <c r="H538" s="98"/>
      <c r="I538" s="100"/>
      <c r="J538" s="100"/>
      <c r="K538" s="100"/>
      <c r="L538" s="101"/>
      <c r="M538" s="101"/>
      <c r="N538" s="112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</row>
    <row r="539" spans="1:29" ht="13">
      <c r="A539" s="115"/>
      <c r="B539" s="97"/>
      <c r="C539" s="115"/>
      <c r="D539" s="115"/>
      <c r="E539" s="115"/>
      <c r="F539" s="115"/>
      <c r="G539" s="99"/>
      <c r="H539" s="98"/>
      <c r="I539" s="100"/>
      <c r="J539" s="100"/>
      <c r="K539" s="100"/>
      <c r="L539" s="101"/>
      <c r="M539" s="101"/>
      <c r="N539" s="112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</row>
    <row r="540" spans="1:29" ht="13">
      <c r="A540" s="115"/>
      <c r="B540" s="97"/>
      <c r="C540" s="115"/>
      <c r="D540" s="115"/>
      <c r="E540" s="115"/>
      <c r="F540" s="115"/>
      <c r="G540" s="99"/>
      <c r="H540" s="98"/>
      <c r="I540" s="100"/>
      <c r="J540" s="100"/>
      <c r="K540" s="100"/>
      <c r="L540" s="101"/>
      <c r="M540" s="101"/>
      <c r="N540" s="112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</row>
    <row r="541" spans="1:29" ht="13">
      <c r="A541" s="115"/>
      <c r="B541" s="97"/>
      <c r="C541" s="115"/>
      <c r="D541" s="115"/>
      <c r="E541" s="115"/>
      <c r="F541" s="115"/>
      <c r="G541" s="99"/>
      <c r="H541" s="98"/>
      <c r="I541" s="100"/>
      <c r="J541" s="100"/>
      <c r="K541" s="100"/>
      <c r="L541" s="101"/>
      <c r="M541" s="101"/>
      <c r="N541" s="112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</row>
    <row r="542" spans="1:29" ht="13">
      <c r="A542" s="115"/>
      <c r="B542" s="97"/>
      <c r="C542" s="115"/>
      <c r="D542" s="115"/>
      <c r="E542" s="115"/>
      <c r="F542" s="115"/>
      <c r="G542" s="99"/>
      <c r="H542" s="98"/>
      <c r="I542" s="100"/>
      <c r="J542" s="100"/>
      <c r="K542" s="100"/>
      <c r="L542" s="101"/>
      <c r="M542" s="101"/>
      <c r="N542" s="112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</row>
    <row r="543" spans="1:29" ht="13">
      <c r="A543" s="115"/>
      <c r="B543" s="97"/>
      <c r="C543" s="115"/>
      <c r="D543" s="115"/>
      <c r="E543" s="115"/>
      <c r="F543" s="115"/>
      <c r="G543" s="99"/>
      <c r="H543" s="98"/>
      <c r="I543" s="100"/>
      <c r="J543" s="100"/>
      <c r="K543" s="100"/>
      <c r="L543" s="101"/>
      <c r="M543" s="101"/>
      <c r="N543" s="112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</row>
    <row r="544" spans="1:29" ht="13">
      <c r="A544" s="115"/>
      <c r="B544" s="97"/>
      <c r="C544" s="115"/>
      <c r="D544" s="115"/>
      <c r="E544" s="115"/>
      <c r="F544" s="115"/>
      <c r="G544" s="99"/>
      <c r="H544" s="98"/>
      <c r="I544" s="100"/>
      <c r="J544" s="100"/>
      <c r="K544" s="100"/>
      <c r="L544" s="101"/>
      <c r="M544" s="101"/>
      <c r="N544" s="112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</row>
    <row r="545" spans="1:29" ht="13">
      <c r="A545" s="115"/>
      <c r="B545" s="97"/>
      <c r="C545" s="115"/>
      <c r="D545" s="115"/>
      <c r="E545" s="115"/>
      <c r="F545" s="115"/>
      <c r="G545" s="99"/>
      <c r="H545" s="98"/>
      <c r="I545" s="100"/>
      <c r="J545" s="100"/>
      <c r="K545" s="100"/>
      <c r="L545" s="101"/>
      <c r="M545" s="101"/>
      <c r="N545" s="112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</row>
    <row r="546" spans="1:29" ht="13">
      <c r="A546" s="115"/>
      <c r="B546" s="97"/>
      <c r="C546" s="115"/>
      <c r="D546" s="115"/>
      <c r="E546" s="115"/>
      <c r="F546" s="115"/>
      <c r="G546" s="99"/>
      <c r="H546" s="98"/>
      <c r="I546" s="100"/>
      <c r="J546" s="100"/>
      <c r="K546" s="100"/>
      <c r="L546" s="101"/>
      <c r="M546" s="101"/>
      <c r="N546" s="112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</row>
    <row r="547" spans="1:29" ht="13">
      <c r="A547" s="115"/>
      <c r="B547" s="97"/>
      <c r="C547" s="115"/>
      <c r="D547" s="115"/>
      <c r="E547" s="115"/>
      <c r="F547" s="115"/>
      <c r="G547" s="99"/>
      <c r="H547" s="98"/>
      <c r="I547" s="100"/>
      <c r="J547" s="100"/>
      <c r="K547" s="100"/>
      <c r="L547" s="101"/>
      <c r="M547" s="101"/>
      <c r="N547" s="112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</row>
    <row r="548" spans="1:29" ht="13">
      <c r="A548" s="115"/>
      <c r="B548" s="97"/>
      <c r="C548" s="115"/>
      <c r="D548" s="115"/>
      <c r="E548" s="115"/>
      <c r="F548" s="115"/>
      <c r="G548" s="99"/>
      <c r="H548" s="98"/>
      <c r="I548" s="100"/>
      <c r="J548" s="100"/>
      <c r="K548" s="100"/>
      <c r="L548" s="101"/>
      <c r="M548" s="101"/>
      <c r="N548" s="112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</row>
    <row r="549" spans="1:29" ht="13">
      <c r="A549" s="115"/>
      <c r="B549" s="97"/>
      <c r="C549" s="115"/>
      <c r="D549" s="115"/>
      <c r="E549" s="115"/>
      <c r="F549" s="115"/>
      <c r="G549" s="99"/>
      <c r="H549" s="98"/>
      <c r="I549" s="100"/>
      <c r="J549" s="100"/>
      <c r="K549" s="100"/>
      <c r="L549" s="101"/>
      <c r="M549" s="101"/>
      <c r="N549" s="112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</row>
    <row r="550" spans="1:29" ht="13">
      <c r="A550" s="115"/>
      <c r="B550" s="97"/>
      <c r="C550" s="115"/>
      <c r="D550" s="115"/>
      <c r="E550" s="115"/>
      <c r="F550" s="115"/>
      <c r="G550" s="99"/>
      <c r="H550" s="98"/>
      <c r="I550" s="100"/>
      <c r="J550" s="100"/>
      <c r="K550" s="100"/>
      <c r="L550" s="101"/>
      <c r="M550" s="101"/>
      <c r="N550" s="112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</row>
    <row r="551" spans="1:29" ht="13">
      <c r="A551" s="115"/>
      <c r="B551" s="97"/>
      <c r="C551" s="115"/>
      <c r="D551" s="115"/>
      <c r="E551" s="115"/>
      <c r="F551" s="115"/>
      <c r="G551" s="99"/>
      <c r="H551" s="98"/>
      <c r="I551" s="100"/>
      <c r="J551" s="100"/>
      <c r="K551" s="100"/>
      <c r="L551" s="101"/>
      <c r="M551" s="101"/>
      <c r="N551" s="112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</row>
    <row r="552" spans="1:29" ht="13">
      <c r="A552" s="115"/>
      <c r="B552" s="97"/>
      <c r="C552" s="115"/>
      <c r="D552" s="115"/>
      <c r="E552" s="115"/>
      <c r="F552" s="115"/>
      <c r="G552" s="99"/>
      <c r="H552" s="98"/>
      <c r="I552" s="100"/>
      <c r="J552" s="100"/>
      <c r="K552" s="100"/>
      <c r="L552" s="101"/>
      <c r="M552" s="101"/>
      <c r="N552" s="112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</row>
    <row r="553" spans="1:29" ht="13">
      <c r="A553" s="115"/>
      <c r="B553" s="97"/>
      <c r="C553" s="115"/>
      <c r="D553" s="115"/>
      <c r="E553" s="115"/>
      <c r="F553" s="115"/>
      <c r="G553" s="99"/>
      <c r="H553" s="98"/>
      <c r="I553" s="100"/>
      <c r="J553" s="100"/>
      <c r="K553" s="100"/>
      <c r="L553" s="101"/>
      <c r="M553" s="101"/>
      <c r="N553" s="112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</row>
    <row r="554" spans="1:29" ht="13">
      <c r="A554" s="115"/>
      <c r="B554" s="97"/>
      <c r="C554" s="115"/>
      <c r="D554" s="115"/>
      <c r="E554" s="115"/>
      <c r="F554" s="115"/>
      <c r="G554" s="99"/>
      <c r="H554" s="98"/>
      <c r="I554" s="100"/>
      <c r="J554" s="100"/>
      <c r="K554" s="100"/>
      <c r="L554" s="101"/>
      <c r="M554" s="101"/>
      <c r="N554" s="112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</row>
    <row r="555" spans="1:29" ht="13">
      <c r="A555" s="115"/>
      <c r="B555" s="97"/>
      <c r="C555" s="115"/>
      <c r="D555" s="115"/>
      <c r="E555" s="115"/>
      <c r="F555" s="115"/>
      <c r="G555" s="99"/>
      <c r="H555" s="98"/>
      <c r="I555" s="100"/>
      <c r="J555" s="100"/>
      <c r="K555" s="100"/>
      <c r="L555" s="101"/>
      <c r="M555" s="101"/>
      <c r="N555" s="112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</row>
    <row r="556" spans="1:29" ht="13">
      <c r="A556" s="115"/>
      <c r="B556" s="97"/>
      <c r="C556" s="115"/>
      <c r="D556" s="115"/>
      <c r="E556" s="115"/>
      <c r="F556" s="115"/>
      <c r="G556" s="99"/>
      <c r="H556" s="98"/>
      <c r="I556" s="100"/>
      <c r="J556" s="100"/>
      <c r="K556" s="100"/>
      <c r="L556" s="101"/>
      <c r="M556" s="101"/>
      <c r="N556" s="112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</row>
    <row r="557" spans="1:29" ht="13">
      <c r="A557" s="115"/>
      <c r="B557" s="97"/>
      <c r="C557" s="115"/>
      <c r="D557" s="115"/>
      <c r="E557" s="115"/>
      <c r="F557" s="115"/>
      <c r="G557" s="99"/>
      <c r="H557" s="98"/>
      <c r="I557" s="100"/>
      <c r="J557" s="100"/>
      <c r="K557" s="100"/>
      <c r="L557" s="101"/>
      <c r="M557" s="101"/>
      <c r="N557" s="112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</row>
    <row r="558" spans="1:29" ht="13">
      <c r="A558" s="115"/>
      <c r="B558" s="97"/>
      <c r="C558" s="115"/>
      <c r="D558" s="115"/>
      <c r="E558" s="115"/>
      <c r="F558" s="115"/>
      <c r="G558" s="99"/>
      <c r="H558" s="98"/>
      <c r="I558" s="100"/>
      <c r="J558" s="100"/>
      <c r="K558" s="100"/>
      <c r="L558" s="101"/>
      <c r="M558" s="101"/>
      <c r="N558" s="112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</row>
    <row r="559" spans="1:29" ht="13">
      <c r="A559" s="115"/>
      <c r="B559" s="97"/>
      <c r="C559" s="115"/>
      <c r="D559" s="115"/>
      <c r="E559" s="115"/>
      <c r="F559" s="115"/>
      <c r="G559" s="99"/>
      <c r="H559" s="98"/>
      <c r="I559" s="100"/>
      <c r="J559" s="100"/>
      <c r="K559" s="100"/>
      <c r="L559" s="101"/>
      <c r="M559" s="101"/>
      <c r="N559" s="112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</row>
    <row r="560" spans="1:29" ht="13">
      <c r="A560" s="115"/>
      <c r="B560" s="97"/>
      <c r="C560" s="115"/>
      <c r="D560" s="115"/>
      <c r="E560" s="115"/>
      <c r="F560" s="115"/>
      <c r="G560" s="99"/>
      <c r="H560" s="98"/>
      <c r="I560" s="100"/>
      <c r="J560" s="100"/>
      <c r="K560" s="100"/>
      <c r="L560" s="101"/>
      <c r="M560" s="101"/>
      <c r="N560" s="112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</row>
    <row r="561" spans="1:29" ht="13">
      <c r="A561" s="115"/>
      <c r="B561" s="97"/>
      <c r="C561" s="115"/>
      <c r="D561" s="115"/>
      <c r="E561" s="115"/>
      <c r="F561" s="115"/>
      <c r="G561" s="99"/>
      <c r="H561" s="98"/>
      <c r="I561" s="100"/>
      <c r="J561" s="100"/>
      <c r="K561" s="100"/>
      <c r="L561" s="101"/>
      <c r="M561" s="101"/>
      <c r="N561" s="112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</row>
    <row r="562" spans="1:29" ht="13">
      <c r="A562" s="115"/>
      <c r="B562" s="97"/>
      <c r="C562" s="115"/>
      <c r="D562" s="115"/>
      <c r="E562" s="115"/>
      <c r="F562" s="115"/>
      <c r="G562" s="99"/>
      <c r="H562" s="98"/>
      <c r="I562" s="100"/>
      <c r="J562" s="100"/>
      <c r="K562" s="100"/>
      <c r="L562" s="101"/>
      <c r="M562" s="101"/>
      <c r="N562" s="112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</row>
    <row r="563" spans="1:29" ht="13">
      <c r="A563" s="115"/>
      <c r="B563" s="97"/>
      <c r="C563" s="115"/>
      <c r="D563" s="115"/>
      <c r="E563" s="115"/>
      <c r="F563" s="115"/>
      <c r="G563" s="99"/>
      <c r="H563" s="98"/>
      <c r="I563" s="100"/>
      <c r="J563" s="100"/>
      <c r="K563" s="100"/>
      <c r="L563" s="101"/>
      <c r="M563" s="101"/>
      <c r="N563" s="112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</row>
    <row r="564" spans="1:29" ht="13">
      <c r="A564" s="115"/>
      <c r="B564" s="97"/>
      <c r="C564" s="115"/>
      <c r="D564" s="115"/>
      <c r="E564" s="115"/>
      <c r="F564" s="115"/>
      <c r="G564" s="99"/>
      <c r="H564" s="98"/>
      <c r="I564" s="100"/>
      <c r="J564" s="100"/>
      <c r="K564" s="100"/>
      <c r="L564" s="101"/>
      <c r="M564" s="101"/>
      <c r="N564" s="112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</row>
    <row r="565" spans="1:29" ht="13">
      <c r="A565" s="115"/>
      <c r="B565" s="97"/>
      <c r="C565" s="115"/>
      <c r="D565" s="115"/>
      <c r="E565" s="115"/>
      <c r="F565" s="115"/>
      <c r="G565" s="99"/>
      <c r="H565" s="98"/>
      <c r="I565" s="100"/>
      <c r="J565" s="100"/>
      <c r="K565" s="100"/>
      <c r="L565" s="101"/>
      <c r="M565" s="101"/>
      <c r="N565" s="112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</row>
    <row r="566" spans="1:29" ht="13">
      <c r="A566" s="115"/>
      <c r="B566" s="97"/>
      <c r="C566" s="115"/>
      <c r="D566" s="115"/>
      <c r="E566" s="115"/>
      <c r="F566" s="115"/>
      <c r="G566" s="99"/>
      <c r="H566" s="98"/>
      <c r="I566" s="100"/>
      <c r="J566" s="100"/>
      <c r="K566" s="100"/>
      <c r="L566" s="101"/>
      <c r="M566" s="101"/>
      <c r="N566" s="112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</row>
    <row r="567" spans="1:29" ht="13">
      <c r="A567" s="115"/>
      <c r="B567" s="97"/>
      <c r="C567" s="115"/>
      <c r="D567" s="115"/>
      <c r="E567" s="115"/>
      <c r="F567" s="115"/>
      <c r="G567" s="99"/>
      <c r="H567" s="98"/>
      <c r="I567" s="100"/>
      <c r="J567" s="100"/>
      <c r="K567" s="100"/>
      <c r="L567" s="101"/>
      <c r="M567" s="101"/>
      <c r="N567" s="112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</row>
    <row r="568" spans="1:29" ht="13">
      <c r="A568" s="115"/>
      <c r="B568" s="97"/>
      <c r="C568" s="115"/>
      <c r="D568" s="115"/>
      <c r="E568" s="115"/>
      <c r="F568" s="115"/>
      <c r="G568" s="99"/>
      <c r="H568" s="98"/>
      <c r="I568" s="100"/>
      <c r="J568" s="100"/>
      <c r="K568" s="100"/>
      <c r="L568" s="101"/>
      <c r="M568" s="101"/>
      <c r="N568" s="112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</row>
    <row r="569" spans="1:29" ht="13">
      <c r="A569" s="115"/>
      <c r="B569" s="97"/>
      <c r="C569" s="115"/>
      <c r="D569" s="115"/>
      <c r="E569" s="115"/>
      <c r="F569" s="115"/>
      <c r="G569" s="99"/>
      <c r="H569" s="98"/>
      <c r="I569" s="100"/>
      <c r="J569" s="100"/>
      <c r="K569" s="100"/>
      <c r="L569" s="101"/>
      <c r="M569" s="101"/>
      <c r="N569" s="112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</row>
    <row r="570" spans="1:29" ht="13">
      <c r="A570" s="115"/>
      <c r="B570" s="97"/>
      <c r="C570" s="115"/>
      <c r="D570" s="115"/>
      <c r="E570" s="115"/>
      <c r="F570" s="115"/>
      <c r="G570" s="99"/>
      <c r="H570" s="98"/>
      <c r="I570" s="100"/>
      <c r="J570" s="100"/>
      <c r="K570" s="100"/>
      <c r="L570" s="101"/>
      <c r="M570" s="101"/>
      <c r="N570" s="112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</row>
    <row r="571" spans="1:29" ht="13">
      <c r="A571" s="115"/>
      <c r="B571" s="97"/>
      <c r="C571" s="115"/>
      <c r="D571" s="115"/>
      <c r="E571" s="115"/>
      <c r="F571" s="115"/>
      <c r="G571" s="99"/>
      <c r="H571" s="98"/>
      <c r="I571" s="100"/>
      <c r="J571" s="100"/>
      <c r="K571" s="100"/>
      <c r="L571" s="101"/>
      <c r="M571" s="101"/>
      <c r="N571" s="112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</row>
    <row r="572" spans="1:29" ht="13">
      <c r="A572" s="115"/>
      <c r="B572" s="97"/>
      <c r="C572" s="115"/>
      <c r="D572" s="115"/>
      <c r="E572" s="115"/>
      <c r="F572" s="115"/>
      <c r="G572" s="99"/>
      <c r="H572" s="98"/>
      <c r="I572" s="100"/>
      <c r="J572" s="100"/>
      <c r="K572" s="100"/>
      <c r="L572" s="101"/>
      <c r="M572" s="101"/>
      <c r="N572" s="112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</row>
    <row r="573" spans="1:29" ht="13">
      <c r="A573" s="115"/>
      <c r="B573" s="97"/>
      <c r="C573" s="115"/>
      <c r="D573" s="115"/>
      <c r="E573" s="115"/>
      <c r="F573" s="115"/>
      <c r="G573" s="99"/>
      <c r="H573" s="98"/>
      <c r="I573" s="100"/>
      <c r="J573" s="100"/>
      <c r="K573" s="100"/>
      <c r="L573" s="101"/>
      <c r="M573" s="101"/>
      <c r="N573" s="112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</row>
    <row r="574" spans="1:29" ht="13">
      <c r="A574" s="115"/>
      <c r="B574" s="97"/>
      <c r="C574" s="115"/>
      <c r="D574" s="115"/>
      <c r="E574" s="115"/>
      <c r="F574" s="115"/>
      <c r="G574" s="99"/>
      <c r="H574" s="98"/>
      <c r="I574" s="100"/>
      <c r="J574" s="100"/>
      <c r="K574" s="100"/>
      <c r="L574" s="101"/>
      <c r="M574" s="101"/>
      <c r="N574" s="112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</row>
    <row r="575" spans="1:29" ht="13">
      <c r="A575" s="115"/>
      <c r="B575" s="97"/>
      <c r="C575" s="115"/>
      <c r="D575" s="115"/>
      <c r="E575" s="115"/>
      <c r="F575" s="115"/>
      <c r="G575" s="99"/>
      <c r="H575" s="98"/>
      <c r="I575" s="100"/>
      <c r="J575" s="100"/>
      <c r="K575" s="100"/>
      <c r="L575" s="101"/>
      <c r="M575" s="101"/>
      <c r="N575" s="112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</row>
    <row r="576" spans="1:29" ht="13">
      <c r="A576" s="115"/>
      <c r="B576" s="97"/>
      <c r="C576" s="115"/>
      <c r="D576" s="115"/>
      <c r="E576" s="115"/>
      <c r="F576" s="115"/>
      <c r="G576" s="99"/>
      <c r="H576" s="98"/>
      <c r="I576" s="100"/>
      <c r="J576" s="100"/>
      <c r="K576" s="100"/>
      <c r="L576" s="101"/>
      <c r="M576" s="101"/>
      <c r="N576" s="112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</row>
    <row r="577" spans="1:29" ht="13">
      <c r="A577" s="115"/>
      <c r="B577" s="97"/>
      <c r="C577" s="115"/>
      <c r="D577" s="115"/>
      <c r="E577" s="115"/>
      <c r="F577" s="115"/>
      <c r="G577" s="99"/>
      <c r="H577" s="98"/>
      <c r="I577" s="100"/>
      <c r="J577" s="100"/>
      <c r="K577" s="100"/>
      <c r="L577" s="101"/>
      <c r="M577" s="101"/>
      <c r="N577" s="112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</row>
    <row r="578" spans="1:29" ht="13">
      <c r="A578" s="115"/>
      <c r="B578" s="97"/>
      <c r="C578" s="115"/>
      <c r="D578" s="115"/>
      <c r="E578" s="115"/>
      <c r="F578" s="115"/>
      <c r="G578" s="99"/>
      <c r="H578" s="98"/>
      <c r="I578" s="100"/>
      <c r="J578" s="100"/>
      <c r="K578" s="100"/>
      <c r="L578" s="101"/>
      <c r="M578" s="101"/>
      <c r="N578" s="112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</row>
    <row r="579" spans="1:29" ht="13">
      <c r="A579" s="115"/>
      <c r="B579" s="97"/>
      <c r="C579" s="115"/>
      <c r="D579" s="115"/>
      <c r="E579" s="115"/>
      <c r="F579" s="115"/>
      <c r="G579" s="99"/>
      <c r="H579" s="98"/>
      <c r="I579" s="100"/>
      <c r="J579" s="100"/>
      <c r="K579" s="100"/>
      <c r="L579" s="101"/>
      <c r="M579" s="101"/>
      <c r="N579" s="112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</row>
    <row r="580" spans="1:29" ht="13">
      <c r="A580" s="115"/>
      <c r="B580" s="97"/>
      <c r="C580" s="115"/>
      <c r="D580" s="115"/>
      <c r="E580" s="115"/>
      <c r="F580" s="115"/>
      <c r="G580" s="99"/>
      <c r="H580" s="98"/>
      <c r="I580" s="100"/>
      <c r="J580" s="100"/>
      <c r="K580" s="100"/>
      <c r="L580" s="101"/>
      <c r="M580" s="101"/>
      <c r="N580" s="112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</row>
    <row r="581" spans="1:29" ht="13">
      <c r="A581" s="115"/>
      <c r="B581" s="97"/>
      <c r="C581" s="115"/>
      <c r="D581" s="115"/>
      <c r="E581" s="115"/>
      <c r="F581" s="115"/>
      <c r="G581" s="99"/>
      <c r="H581" s="98"/>
      <c r="I581" s="100"/>
      <c r="J581" s="100"/>
      <c r="K581" s="100"/>
      <c r="L581" s="101"/>
      <c r="M581" s="101"/>
      <c r="N581" s="112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</row>
    <row r="582" spans="1:29" ht="13">
      <c r="A582" s="115"/>
      <c r="B582" s="97"/>
      <c r="C582" s="115"/>
      <c r="D582" s="115"/>
      <c r="E582" s="115"/>
      <c r="F582" s="115"/>
      <c r="G582" s="99"/>
      <c r="H582" s="98"/>
      <c r="I582" s="100"/>
      <c r="J582" s="100"/>
      <c r="K582" s="100"/>
      <c r="L582" s="101"/>
      <c r="M582" s="101"/>
      <c r="N582" s="112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</row>
    <row r="583" spans="1:29" ht="13">
      <c r="A583" s="115"/>
      <c r="B583" s="97"/>
      <c r="C583" s="115"/>
      <c r="D583" s="115"/>
      <c r="E583" s="115"/>
      <c r="F583" s="115"/>
      <c r="G583" s="99"/>
      <c r="H583" s="98"/>
      <c r="I583" s="100"/>
      <c r="J583" s="100"/>
      <c r="K583" s="100"/>
      <c r="L583" s="101"/>
      <c r="M583" s="101"/>
      <c r="N583" s="112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</row>
    <row r="584" spans="1:29" ht="13">
      <c r="A584" s="115"/>
      <c r="B584" s="97"/>
      <c r="C584" s="115"/>
      <c r="D584" s="115"/>
      <c r="E584" s="115"/>
      <c r="F584" s="115"/>
      <c r="G584" s="99"/>
      <c r="H584" s="98"/>
      <c r="I584" s="100"/>
      <c r="J584" s="100"/>
      <c r="K584" s="100"/>
      <c r="L584" s="101"/>
      <c r="M584" s="101"/>
      <c r="N584" s="112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</row>
    <row r="585" spans="1:29" ht="13">
      <c r="A585" s="115"/>
      <c r="B585" s="97"/>
      <c r="C585" s="115"/>
      <c r="D585" s="115"/>
      <c r="E585" s="115"/>
      <c r="F585" s="115"/>
      <c r="G585" s="99"/>
      <c r="H585" s="98"/>
      <c r="I585" s="100"/>
      <c r="J585" s="100"/>
      <c r="K585" s="100"/>
      <c r="L585" s="101"/>
      <c r="M585" s="101"/>
      <c r="N585" s="112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</row>
    <row r="586" spans="1:29" ht="13">
      <c r="A586" s="115"/>
      <c r="B586" s="97"/>
      <c r="C586" s="115"/>
      <c r="D586" s="115"/>
      <c r="E586" s="115"/>
      <c r="F586" s="115"/>
      <c r="G586" s="99"/>
      <c r="H586" s="98"/>
      <c r="I586" s="100"/>
      <c r="J586" s="100"/>
      <c r="K586" s="100"/>
      <c r="L586" s="101"/>
      <c r="M586" s="101"/>
      <c r="N586" s="112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</row>
    <row r="587" spans="1:29" ht="13">
      <c r="A587" s="115"/>
      <c r="B587" s="97"/>
      <c r="C587" s="115"/>
      <c r="D587" s="115"/>
      <c r="E587" s="115"/>
      <c r="F587" s="115"/>
      <c r="G587" s="99"/>
      <c r="H587" s="98"/>
      <c r="I587" s="100"/>
      <c r="J587" s="100"/>
      <c r="K587" s="100"/>
      <c r="L587" s="101"/>
      <c r="M587" s="101"/>
      <c r="N587" s="112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</row>
    <row r="588" spans="1:29" ht="13">
      <c r="A588" s="115"/>
      <c r="B588" s="97"/>
      <c r="C588" s="115"/>
      <c r="D588" s="115"/>
      <c r="E588" s="115"/>
      <c r="F588" s="115"/>
      <c r="G588" s="99"/>
      <c r="H588" s="98"/>
      <c r="I588" s="100"/>
      <c r="J588" s="100"/>
      <c r="K588" s="100"/>
      <c r="L588" s="101"/>
      <c r="M588" s="101"/>
      <c r="N588" s="112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</row>
    <row r="589" spans="1:29" ht="13">
      <c r="A589" s="115"/>
      <c r="B589" s="97"/>
      <c r="C589" s="115"/>
      <c r="D589" s="115"/>
      <c r="E589" s="115"/>
      <c r="F589" s="115"/>
      <c r="G589" s="99"/>
      <c r="H589" s="98"/>
      <c r="I589" s="100"/>
      <c r="J589" s="100"/>
      <c r="K589" s="100"/>
      <c r="L589" s="101"/>
      <c r="M589" s="101"/>
      <c r="N589" s="112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</row>
    <row r="590" spans="1:29" ht="13">
      <c r="A590" s="115"/>
      <c r="B590" s="97"/>
      <c r="C590" s="115"/>
      <c r="D590" s="115"/>
      <c r="E590" s="115"/>
      <c r="F590" s="115"/>
      <c r="G590" s="99"/>
      <c r="H590" s="98"/>
      <c r="I590" s="100"/>
      <c r="J590" s="100"/>
      <c r="K590" s="100"/>
      <c r="L590" s="101"/>
      <c r="M590" s="101"/>
      <c r="N590" s="112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</row>
    <row r="591" spans="1:29" ht="13">
      <c r="A591" s="115"/>
      <c r="B591" s="97"/>
      <c r="C591" s="115"/>
      <c r="D591" s="115"/>
      <c r="E591" s="115"/>
      <c r="F591" s="115"/>
      <c r="G591" s="99"/>
      <c r="H591" s="98"/>
      <c r="I591" s="100"/>
      <c r="J591" s="100"/>
      <c r="K591" s="100"/>
      <c r="L591" s="101"/>
      <c r="M591" s="101"/>
      <c r="N591" s="112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</row>
    <row r="592" spans="1:29" ht="13">
      <c r="A592" s="115"/>
      <c r="B592" s="97"/>
      <c r="C592" s="115"/>
      <c r="D592" s="115"/>
      <c r="E592" s="115"/>
      <c r="F592" s="115"/>
      <c r="G592" s="99"/>
      <c r="H592" s="98"/>
      <c r="I592" s="100"/>
      <c r="J592" s="100"/>
      <c r="K592" s="100"/>
      <c r="L592" s="101"/>
      <c r="M592" s="101"/>
      <c r="N592" s="112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</row>
    <row r="593" spans="1:29" ht="13">
      <c r="A593" s="115"/>
      <c r="B593" s="97"/>
      <c r="C593" s="115"/>
      <c r="D593" s="115"/>
      <c r="E593" s="115"/>
      <c r="F593" s="115"/>
      <c r="G593" s="99"/>
      <c r="H593" s="98"/>
      <c r="I593" s="100"/>
      <c r="J593" s="100"/>
      <c r="K593" s="100"/>
      <c r="L593" s="101"/>
      <c r="M593" s="101"/>
      <c r="N593" s="112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</row>
    <row r="594" spans="1:29" ht="13">
      <c r="A594" s="115"/>
      <c r="B594" s="97"/>
      <c r="C594" s="115"/>
      <c r="D594" s="115"/>
      <c r="E594" s="115"/>
      <c r="F594" s="115"/>
      <c r="G594" s="99"/>
      <c r="H594" s="98"/>
      <c r="I594" s="100"/>
      <c r="J594" s="100"/>
      <c r="K594" s="100"/>
      <c r="L594" s="101"/>
      <c r="M594" s="101"/>
      <c r="N594" s="112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</row>
    <row r="595" spans="1:29" ht="13">
      <c r="A595" s="115"/>
      <c r="B595" s="97"/>
      <c r="C595" s="115"/>
      <c r="D595" s="115"/>
      <c r="E595" s="115"/>
      <c r="F595" s="115"/>
      <c r="G595" s="99"/>
      <c r="H595" s="98"/>
      <c r="I595" s="100"/>
      <c r="J595" s="100"/>
      <c r="K595" s="100"/>
      <c r="L595" s="101"/>
      <c r="M595" s="101"/>
      <c r="N595" s="112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</row>
    <row r="596" spans="1:29" ht="13">
      <c r="A596" s="115"/>
      <c r="B596" s="97"/>
      <c r="C596" s="115"/>
      <c r="D596" s="115"/>
      <c r="E596" s="115"/>
      <c r="F596" s="115"/>
      <c r="G596" s="99"/>
      <c r="H596" s="98"/>
      <c r="I596" s="100"/>
      <c r="J596" s="100"/>
      <c r="K596" s="100"/>
      <c r="L596" s="101"/>
      <c r="M596" s="101"/>
      <c r="N596" s="112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</row>
    <row r="597" spans="1:29" ht="13">
      <c r="A597" s="115"/>
      <c r="B597" s="97"/>
      <c r="C597" s="115"/>
      <c r="D597" s="115"/>
      <c r="E597" s="115"/>
      <c r="F597" s="115"/>
      <c r="G597" s="99"/>
      <c r="H597" s="98"/>
      <c r="I597" s="100"/>
      <c r="J597" s="100"/>
      <c r="K597" s="100"/>
      <c r="L597" s="101"/>
      <c r="M597" s="101"/>
      <c r="N597" s="112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</row>
    <row r="598" spans="1:29" ht="13">
      <c r="A598" s="115"/>
      <c r="B598" s="97"/>
      <c r="C598" s="115"/>
      <c r="D598" s="115"/>
      <c r="E598" s="115"/>
      <c r="F598" s="115"/>
      <c r="G598" s="99"/>
      <c r="H598" s="98"/>
      <c r="I598" s="100"/>
      <c r="J598" s="100"/>
      <c r="K598" s="100"/>
      <c r="L598" s="101"/>
      <c r="M598" s="101"/>
      <c r="N598" s="112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</row>
    <row r="599" spans="1:29" ht="13">
      <c r="A599" s="115"/>
      <c r="B599" s="97"/>
      <c r="C599" s="115"/>
      <c r="D599" s="115"/>
      <c r="E599" s="115"/>
      <c r="F599" s="115"/>
      <c r="G599" s="99"/>
      <c r="H599" s="98"/>
      <c r="I599" s="100"/>
      <c r="J599" s="100"/>
      <c r="K599" s="100"/>
      <c r="L599" s="101"/>
      <c r="M599" s="101"/>
      <c r="N599" s="112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</row>
    <row r="600" spans="1:29" ht="13">
      <c r="A600" s="115"/>
      <c r="B600" s="97"/>
      <c r="C600" s="115"/>
      <c r="D600" s="115"/>
      <c r="E600" s="115"/>
      <c r="F600" s="115"/>
      <c r="G600" s="99"/>
      <c r="H600" s="98"/>
      <c r="I600" s="100"/>
      <c r="J600" s="100"/>
      <c r="K600" s="100"/>
      <c r="L600" s="101"/>
      <c r="M600" s="101"/>
      <c r="N600" s="112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</row>
    <row r="601" spans="1:29" ht="13">
      <c r="A601" s="115"/>
      <c r="B601" s="97"/>
      <c r="C601" s="115"/>
      <c r="D601" s="115"/>
      <c r="E601" s="115"/>
      <c r="F601" s="115"/>
      <c r="G601" s="99"/>
      <c r="H601" s="98"/>
      <c r="I601" s="100"/>
      <c r="J601" s="100"/>
      <c r="K601" s="100"/>
      <c r="L601" s="101"/>
      <c r="M601" s="101"/>
      <c r="N601" s="112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</row>
    <row r="602" spans="1:29" ht="13">
      <c r="A602" s="115"/>
      <c r="B602" s="97"/>
      <c r="C602" s="115"/>
      <c r="D602" s="115"/>
      <c r="E602" s="115"/>
      <c r="F602" s="115"/>
      <c r="G602" s="99"/>
      <c r="H602" s="98"/>
      <c r="I602" s="100"/>
      <c r="J602" s="100"/>
      <c r="K602" s="100"/>
      <c r="L602" s="101"/>
      <c r="M602" s="101"/>
      <c r="N602" s="112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</row>
    <row r="603" spans="1:29" ht="13">
      <c r="A603" s="115"/>
      <c r="B603" s="97"/>
      <c r="C603" s="115"/>
      <c r="D603" s="115"/>
      <c r="E603" s="115"/>
      <c r="F603" s="115"/>
      <c r="G603" s="99"/>
      <c r="H603" s="98"/>
      <c r="I603" s="100"/>
      <c r="J603" s="100"/>
      <c r="K603" s="100"/>
      <c r="L603" s="101"/>
      <c r="M603" s="101"/>
      <c r="N603" s="112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</row>
    <row r="604" spans="1:29" ht="13">
      <c r="A604" s="115"/>
      <c r="B604" s="97"/>
      <c r="C604" s="115"/>
      <c r="D604" s="115"/>
      <c r="E604" s="115"/>
      <c r="F604" s="115"/>
      <c r="G604" s="99"/>
      <c r="H604" s="98"/>
      <c r="I604" s="100"/>
      <c r="J604" s="100"/>
      <c r="K604" s="100"/>
      <c r="L604" s="101"/>
      <c r="M604" s="101"/>
      <c r="N604" s="112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</row>
    <row r="605" spans="1:29" ht="13">
      <c r="A605" s="115"/>
      <c r="B605" s="97"/>
      <c r="C605" s="115"/>
      <c r="D605" s="115"/>
      <c r="E605" s="115"/>
      <c r="F605" s="115"/>
      <c r="G605" s="99"/>
      <c r="H605" s="98"/>
      <c r="I605" s="100"/>
      <c r="J605" s="100"/>
      <c r="K605" s="100"/>
      <c r="L605" s="101"/>
      <c r="M605" s="101"/>
      <c r="N605" s="112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</row>
    <row r="606" spans="1:29" ht="13">
      <c r="A606" s="115"/>
      <c r="B606" s="97"/>
      <c r="C606" s="115"/>
      <c r="D606" s="115"/>
      <c r="E606" s="115"/>
      <c r="F606" s="115"/>
      <c r="G606" s="99"/>
      <c r="H606" s="98"/>
      <c r="I606" s="100"/>
      <c r="J606" s="100"/>
      <c r="K606" s="100"/>
      <c r="L606" s="101"/>
      <c r="M606" s="101"/>
      <c r="N606" s="112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</row>
    <row r="607" spans="1:29" ht="13">
      <c r="A607" s="115"/>
      <c r="B607" s="97"/>
      <c r="C607" s="115"/>
      <c r="D607" s="115"/>
      <c r="E607" s="115"/>
      <c r="F607" s="115"/>
      <c r="G607" s="99"/>
      <c r="H607" s="98"/>
      <c r="I607" s="100"/>
      <c r="J607" s="100"/>
      <c r="K607" s="100"/>
      <c r="L607" s="101"/>
      <c r="M607" s="101"/>
      <c r="N607" s="112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</row>
    <row r="608" spans="1:29" ht="13">
      <c r="A608" s="115"/>
      <c r="B608" s="97"/>
      <c r="C608" s="115"/>
      <c r="D608" s="115"/>
      <c r="E608" s="115"/>
      <c r="F608" s="115"/>
      <c r="G608" s="99"/>
      <c r="H608" s="98"/>
      <c r="I608" s="100"/>
      <c r="J608" s="100"/>
      <c r="K608" s="100"/>
      <c r="L608" s="101"/>
      <c r="M608" s="101"/>
      <c r="N608" s="112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</row>
    <row r="609" spans="1:29" ht="13">
      <c r="A609" s="115"/>
      <c r="B609" s="97"/>
      <c r="C609" s="115"/>
      <c r="D609" s="115"/>
      <c r="E609" s="115"/>
      <c r="F609" s="115"/>
      <c r="G609" s="99"/>
      <c r="H609" s="98"/>
      <c r="I609" s="100"/>
      <c r="J609" s="100"/>
      <c r="K609" s="100"/>
      <c r="L609" s="101"/>
      <c r="M609" s="101"/>
      <c r="N609" s="112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</row>
    <row r="610" spans="1:29" ht="13">
      <c r="A610" s="115"/>
      <c r="B610" s="97"/>
      <c r="C610" s="115"/>
      <c r="D610" s="115"/>
      <c r="E610" s="115"/>
      <c r="F610" s="115"/>
      <c r="G610" s="99"/>
      <c r="H610" s="98"/>
      <c r="I610" s="100"/>
      <c r="J610" s="100"/>
      <c r="K610" s="100"/>
      <c r="L610" s="101"/>
      <c r="M610" s="101"/>
      <c r="N610" s="112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</row>
    <row r="611" spans="1:29" ht="13">
      <c r="A611" s="115"/>
      <c r="B611" s="97"/>
      <c r="C611" s="115"/>
      <c r="D611" s="115"/>
      <c r="E611" s="115"/>
      <c r="F611" s="115"/>
      <c r="G611" s="99"/>
      <c r="H611" s="98"/>
      <c r="I611" s="100"/>
      <c r="J611" s="100"/>
      <c r="K611" s="100"/>
      <c r="L611" s="101"/>
      <c r="M611" s="101"/>
      <c r="N611" s="112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</row>
    <row r="612" spans="1:29" ht="13">
      <c r="A612" s="115"/>
      <c r="B612" s="97"/>
      <c r="C612" s="115"/>
      <c r="D612" s="115"/>
      <c r="E612" s="115"/>
      <c r="F612" s="115"/>
      <c r="G612" s="99"/>
      <c r="H612" s="98"/>
      <c r="I612" s="100"/>
      <c r="J612" s="100"/>
      <c r="K612" s="100"/>
      <c r="L612" s="101"/>
      <c r="M612" s="101"/>
      <c r="N612" s="112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</row>
    <row r="613" spans="1:29" ht="13">
      <c r="A613" s="115"/>
      <c r="B613" s="97"/>
      <c r="C613" s="115"/>
      <c r="D613" s="115"/>
      <c r="E613" s="115"/>
      <c r="F613" s="115"/>
      <c r="G613" s="99"/>
      <c r="H613" s="98"/>
      <c r="I613" s="100"/>
      <c r="J613" s="100"/>
      <c r="K613" s="100"/>
      <c r="L613" s="101"/>
      <c r="M613" s="101"/>
      <c r="N613" s="112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</row>
    <row r="614" spans="1:29" ht="13">
      <c r="A614" s="115"/>
      <c r="B614" s="97"/>
      <c r="C614" s="115"/>
      <c r="D614" s="115"/>
      <c r="E614" s="115"/>
      <c r="F614" s="115"/>
      <c r="G614" s="99"/>
      <c r="H614" s="98"/>
      <c r="I614" s="100"/>
      <c r="J614" s="100"/>
      <c r="K614" s="100"/>
      <c r="L614" s="101"/>
      <c r="M614" s="101"/>
      <c r="N614" s="112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</row>
    <row r="615" spans="1:29" ht="13">
      <c r="A615" s="115"/>
      <c r="B615" s="97"/>
      <c r="C615" s="115"/>
      <c r="D615" s="115"/>
      <c r="E615" s="115"/>
      <c r="F615" s="115"/>
      <c r="G615" s="99"/>
      <c r="H615" s="98"/>
      <c r="I615" s="100"/>
      <c r="J615" s="100"/>
      <c r="K615" s="100"/>
      <c r="L615" s="101"/>
      <c r="M615" s="101"/>
      <c r="N615" s="112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</row>
    <row r="616" spans="1:29" ht="13">
      <c r="A616" s="115"/>
      <c r="B616" s="97"/>
      <c r="C616" s="115"/>
      <c r="D616" s="115"/>
      <c r="E616" s="115"/>
      <c r="F616" s="115"/>
      <c r="G616" s="99"/>
      <c r="H616" s="98"/>
      <c r="I616" s="100"/>
      <c r="J616" s="100"/>
      <c r="K616" s="100"/>
      <c r="L616" s="101"/>
      <c r="M616" s="101"/>
      <c r="N616" s="112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</row>
    <row r="617" spans="1:29" ht="13">
      <c r="A617" s="115"/>
      <c r="B617" s="97"/>
      <c r="C617" s="115"/>
      <c r="D617" s="115"/>
      <c r="E617" s="115"/>
      <c r="F617" s="115"/>
      <c r="G617" s="99"/>
      <c r="H617" s="98"/>
      <c r="I617" s="100"/>
      <c r="J617" s="100"/>
      <c r="K617" s="100"/>
      <c r="L617" s="101"/>
      <c r="M617" s="101"/>
      <c r="N617" s="112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</row>
    <row r="618" spans="1:29" ht="13">
      <c r="A618" s="115"/>
      <c r="B618" s="97"/>
      <c r="C618" s="115"/>
      <c r="D618" s="115"/>
      <c r="E618" s="115"/>
      <c r="F618" s="115"/>
      <c r="G618" s="99"/>
      <c r="H618" s="98"/>
      <c r="I618" s="100"/>
      <c r="J618" s="100"/>
      <c r="K618" s="100"/>
      <c r="L618" s="101"/>
      <c r="M618" s="101"/>
      <c r="N618" s="112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</row>
    <row r="619" spans="1:29" ht="13">
      <c r="A619" s="115"/>
      <c r="B619" s="97"/>
      <c r="C619" s="115"/>
      <c r="D619" s="115"/>
      <c r="E619" s="115"/>
      <c r="F619" s="115"/>
      <c r="G619" s="99"/>
      <c r="H619" s="98"/>
      <c r="I619" s="100"/>
      <c r="J619" s="100"/>
      <c r="K619" s="100"/>
      <c r="L619" s="101"/>
      <c r="M619" s="101"/>
      <c r="N619" s="112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</row>
    <row r="620" spans="1:29" ht="13">
      <c r="A620" s="115"/>
      <c r="B620" s="97"/>
      <c r="C620" s="115"/>
      <c r="D620" s="115"/>
      <c r="E620" s="115"/>
      <c r="F620" s="115"/>
      <c r="G620" s="99"/>
      <c r="H620" s="98"/>
      <c r="I620" s="100"/>
      <c r="J620" s="100"/>
      <c r="K620" s="100"/>
      <c r="L620" s="101"/>
      <c r="M620" s="101"/>
      <c r="N620" s="112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</row>
    <row r="621" spans="1:29" ht="13">
      <c r="A621" s="115"/>
      <c r="B621" s="97"/>
      <c r="C621" s="115"/>
      <c r="D621" s="115"/>
      <c r="E621" s="115"/>
      <c r="F621" s="115"/>
      <c r="G621" s="99"/>
      <c r="H621" s="98"/>
      <c r="I621" s="100"/>
      <c r="J621" s="100"/>
      <c r="K621" s="100"/>
      <c r="L621" s="101"/>
      <c r="M621" s="101"/>
      <c r="N621" s="112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</row>
    <row r="622" spans="1:29" ht="13">
      <c r="A622" s="115"/>
      <c r="B622" s="97"/>
      <c r="C622" s="115"/>
      <c r="D622" s="115"/>
      <c r="E622" s="115"/>
      <c r="F622" s="115"/>
      <c r="G622" s="99"/>
      <c r="H622" s="98"/>
      <c r="I622" s="100"/>
      <c r="J622" s="100"/>
      <c r="K622" s="100"/>
      <c r="L622" s="101"/>
      <c r="M622" s="101"/>
      <c r="N622" s="112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</row>
    <row r="623" spans="1:29" ht="13">
      <c r="A623" s="115"/>
      <c r="B623" s="97"/>
      <c r="C623" s="115"/>
      <c r="D623" s="115"/>
      <c r="E623" s="115"/>
      <c r="F623" s="115"/>
      <c r="G623" s="99"/>
      <c r="H623" s="98"/>
      <c r="I623" s="100"/>
      <c r="J623" s="100"/>
      <c r="K623" s="100"/>
      <c r="L623" s="101"/>
      <c r="M623" s="101"/>
      <c r="N623" s="112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</row>
    <row r="624" spans="1:29" ht="13">
      <c r="A624" s="115"/>
      <c r="B624" s="97"/>
      <c r="C624" s="115"/>
      <c r="D624" s="115"/>
      <c r="E624" s="115"/>
      <c r="F624" s="115"/>
      <c r="G624" s="99"/>
      <c r="H624" s="98"/>
      <c r="I624" s="100"/>
      <c r="J624" s="100"/>
      <c r="K624" s="100"/>
      <c r="L624" s="101"/>
      <c r="M624" s="101"/>
      <c r="N624" s="112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</row>
    <row r="625" spans="1:29" ht="13">
      <c r="A625" s="115"/>
      <c r="B625" s="97"/>
      <c r="C625" s="115"/>
      <c r="D625" s="115"/>
      <c r="E625" s="115"/>
      <c r="F625" s="115"/>
      <c r="G625" s="99"/>
      <c r="H625" s="98"/>
      <c r="I625" s="100"/>
      <c r="J625" s="100"/>
      <c r="K625" s="100"/>
      <c r="L625" s="101"/>
      <c r="M625" s="101"/>
      <c r="N625" s="112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</row>
    <row r="626" spans="1:29" ht="13">
      <c r="A626" s="115"/>
      <c r="B626" s="97"/>
      <c r="C626" s="115"/>
      <c r="D626" s="115"/>
      <c r="E626" s="115"/>
      <c r="F626" s="115"/>
      <c r="G626" s="99"/>
      <c r="H626" s="98"/>
      <c r="I626" s="100"/>
      <c r="J626" s="100"/>
      <c r="K626" s="100"/>
      <c r="L626" s="101"/>
      <c r="M626" s="101"/>
      <c r="N626" s="112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</row>
    <row r="627" spans="1:29" ht="13">
      <c r="A627" s="115"/>
      <c r="B627" s="97"/>
      <c r="C627" s="115"/>
      <c r="D627" s="115"/>
      <c r="E627" s="115"/>
      <c r="F627" s="115"/>
      <c r="G627" s="99"/>
      <c r="H627" s="98"/>
      <c r="I627" s="100"/>
      <c r="J627" s="100"/>
      <c r="K627" s="100"/>
      <c r="L627" s="101"/>
      <c r="M627" s="101"/>
      <c r="N627" s="112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</row>
    <row r="628" spans="1:29" ht="13">
      <c r="A628" s="115"/>
      <c r="B628" s="97"/>
      <c r="C628" s="115"/>
      <c r="D628" s="115"/>
      <c r="E628" s="115"/>
      <c r="F628" s="115"/>
      <c r="G628" s="99"/>
      <c r="H628" s="98"/>
      <c r="I628" s="100"/>
      <c r="J628" s="100"/>
      <c r="K628" s="100"/>
      <c r="L628" s="101"/>
      <c r="M628" s="101"/>
      <c r="N628" s="112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</row>
    <row r="629" spans="1:29" ht="13">
      <c r="A629" s="115"/>
      <c r="B629" s="97"/>
      <c r="C629" s="115"/>
      <c r="D629" s="115"/>
      <c r="E629" s="115"/>
      <c r="F629" s="115"/>
      <c r="G629" s="99"/>
      <c r="H629" s="98"/>
      <c r="I629" s="100"/>
      <c r="J629" s="100"/>
      <c r="K629" s="100"/>
      <c r="L629" s="101"/>
      <c r="M629" s="101"/>
      <c r="N629" s="112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</row>
    <row r="630" spans="1:29" ht="13">
      <c r="A630" s="115"/>
      <c r="B630" s="97"/>
      <c r="C630" s="115"/>
      <c r="D630" s="115"/>
      <c r="E630" s="115"/>
      <c r="F630" s="115"/>
      <c r="G630" s="99"/>
      <c r="H630" s="98"/>
      <c r="I630" s="100"/>
      <c r="J630" s="100"/>
      <c r="K630" s="100"/>
      <c r="L630" s="101"/>
      <c r="M630" s="101"/>
      <c r="N630" s="112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</row>
    <row r="631" spans="1:29" ht="13">
      <c r="A631" s="115"/>
      <c r="B631" s="97"/>
      <c r="C631" s="115"/>
      <c r="D631" s="115"/>
      <c r="E631" s="115"/>
      <c r="F631" s="115"/>
      <c r="G631" s="99"/>
      <c r="H631" s="98"/>
      <c r="I631" s="100"/>
      <c r="J631" s="100"/>
      <c r="K631" s="100"/>
      <c r="L631" s="101"/>
      <c r="M631" s="101"/>
      <c r="N631" s="112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</row>
    <row r="632" spans="1:29" ht="13">
      <c r="A632" s="115"/>
      <c r="B632" s="97"/>
      <c r="C632" s="115"/>
      <c r="D632" s="115"/>
      <c r="E632" s="115"/>
      <c r="F632" s="115"/>
      <c r="G632" s="99"/>
      <c r="H632" s="98"/>
      <c r="I632" s="100"/>
      <c r="J632" s="100"/>
      <c r="K632" s="100"/>
      <c r="L632" s="101"/>
      <c r="M632" s="101"/>
      <c r="N632" s="112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</row>
    <row r="633" spans="1:29" ht="13">
      <c r="A633" s="115"/>
      <c r="B633" s="97"/>
      <c r="C633" s="115"/>
      <c r="D633" s="115"/>
      <c r="E633" s="115"/>
      <c r="F633" s="115"/>
      <c r="G633" s="99"/>
      <c r="H633" s="98"/>
      <c r="I633" s="100"/>
      <c r="J633" s="100"/>
      <c r="K633" s="100"/>
      <c r="L633" s="101"/>
      <c r="M633" s="101"/>
      <c r="N633" s="112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</row>
    <row r="634" spans="1:29" ht="13">
      <c r="A634" s="115"/>
      <c r="B634" s="97"/>
      <c r="C634" s="115"/>
      <c r="D634" s="115"/>
      <c r="E634" s="115"/>
      <c r="F634" s="115"/>
      <c r="G634" s="99"/>
      <c r="H634" s="98"/>
      <c r="I634" s="100"/>
      <c r="J634" s="100"/>
      <c r="K634" s="100"/>
      <c r="L634" s="101"/>
      <c r="M634" s="101"/>
      <c r="N634" s="112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</row>
    <row r="635" spans="1:29" ht="13">
      <c r="A635" s="115"/>
      <c r="B635" s="97"/>
      <c r="C635" s="115"/>
      <c r="D635" s="115"/>
      <c r="E635" s="115"/>
      <c r="F635" s="115"/>
      <c r="G635" s="99"/>
      <c r="H635" s="98"/>
      <c r="I635" s="100"/>
      <c r="J635" s="100"/>
      <c r="K635" s="100"/>
      <c r="L635" s="101"/>
      <c r="M635" s="101"/>
      <c r="N635" s="112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</row>
    <row r="636" spans="1:29" ht="13">
      <c r="A636" s="115"/>
      <c r="B636" s="97"/>
      <c r="C636" s="115"/>
      <c r="D636" s="115"/>
      <c r="E636" s="115"/>
      <c r="F636" s="115"/>
      <c r="G636" s="99"/>
      <c r="H636" s="98"/>
      <c r="I636" s="100"/>
      <c r="J636" s="100"/>
      <c r="K636" s="100"/>
      <c r="L636" s="101"/>
      <c r="M636" s="101"/>
      <c r="N636" s="112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</row>
    <row r="637" spans="1:29" ht="13">
      <c r="A637" s="115"/>
      <c r="B637" s="97"/>
      <c r="C637" s="115"/>
      <c r="D637" s="115"/>
      <c r="E637" s="115"/>
      <c r="F637" s="115"/>
      <c r="G637" s="99"/>
      <c r="H637" s="98"/>
      <c r="I637" s="100"/>
      <c r="J637" s="100"/>
      <c r="K637" s="100"/>
      <c r="L637" s="101"/>
      <c r="M637" s="101"/>
      <c r="N637" s="112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</row>
    <row r="638" spans="1:29" ht="13">
      <c r="A638" s="115"/>
      <c r="B638" s="97"/>
      <c r="C638" s="115"/>
      <c r="D638" s="115"/>
      <c r="E638" s="115"/>
      <c r="F638" s="115"/>
      <c r="G638" s="99"/>
      <c r="H638" s="98"/>
      <c r="I638" s="100"/>
      <c r="J638" s="100"/>
      <c r="K638" s="100"/>
      <c r="L638" s="101"/>
      <c r="M638" s="101"/>
      <c r="N638" s="112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</row>
    <row r="639" spans="1:29" ht="13">
      <c r="A639" s="115"/>
      <c r="B639" s="97"/>
      <c r="C639" s="115"/>
      <c r="D639" s="115"/>
      <c r="E639" s="115"/>
      <c r="F639" s="115"/>
      <c r="G639" s="99"/>
      <c r="H639" s="98"/>
      <c r="I639" s="100"/>
      <c r="J639" s="100"/>
      <c r="K639" s="100"/>
      <c r="L639" s="101"/>
      <c r="M639" s="101"/>
      <c r="N639" s="112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</row>
    <row r="640" spans="1:29" ht="13">
      <c r="A640" s="115"/>
      <c r="B640" s="97"/>
      <c r="C640" s="115"/>
      <c r="D640" s="115"/>
      <c r="E640" s="115"/>
      <c r="F640" s="115"/>
      <c r="G640" s="99"/>
      <c r="H640" s="98"/>
      <c r="I640" s="100"/>
      <c r="J640" s="100"/>
      <c r="K640" s="100"/>
      <c r="L640" s="101"/>
      <c r="M640" s="101"/>
      <c r="N640" s="112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</row>
    <row r="641" spans="1:29" ht="13">
      <c r="A641" s="115"/>
      <c r="B641" s="97"/>
      <c r="C641" s="115"/>
      <c r="D641" s="115"/>
      <c r="E641" s="115"/>
      <c r="F641" s="115"/>
      <c r="G641" s="99"/>
      <c r="H641" s="98"/>
      <c r="I641" s="100"/>
      <c r="J641" s="100"/>
      <c r="K641" s="100"/>
      <c r="L641" s="101"/>
      <c r="M641" s="101"/>
      <c r="N641" s="112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</row>
    <row r="642" spans="1:29" ht="13">
      <c r="A642" s="115"/>
      <c r="B642" s="97"/>
      <c r="C642" s="115"/>
      <c r="D642" s="115"/>
      <c r="E642" s="115"/>
      <c r="F642" s="115"/>
      <c r="G642" s="99"/>
      <c r="H642" s="98"/>
      <c r="I642" s="100"/>
      <c r="J642" s="100"/>
      <c r="K642" s="100"/>
      <c r="L642" s="101"/>
      <c r="M642" s="101"/>
      <c r="N642" s="112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</row>
    <row r="643" spans="1:29" ht="13">
      <c r="A643" s="115"/>
      <c r="B643" s="97"/>
      <c r="C643" s="115"/>
      <c r="D643" s="115"/>
      <c r="E643" s="115"/>
      <c r="F643" s="115"/>
      <c r="G643" s="99"/>
      <c r="H643" s="98"/>
      <c r="I643" s="100"/>
      <c r="J643" s="100"/>
      <c r="K643" s="100"/>
      <c r="L643" s="101"/>
      <c r="M643" s="101"/>
      <c r="N643" s="112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</row>
    <row r="644" spans="1:29" ht="13">
      <c r="A644" s="115"/>
      <c r="B644" s="97"/>
      <c r="C644" s="115"/>
      <c r="D644" s="115"/>
      <c r="E644" s="115"/>
      <c r="F644" s="115"/>
      <c r="G644" s="99"/>
      <c r="H644" s="98"/>
      <c r="I644" s="100"/>
      <c r="J644" s="100"/>
      <c r="K644" s="100"/>
      <c r="L644" s="101"/>
      <c r="M644" s="101"/>
      <c r="N644" s="112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</row>
    <row r="645" spans="1:29" ht="13">
      <c r="A645" s="115"/>
      <c r="B645" s="97"/>
      <c r="C645" s="115"/>
      <c r="D645" s="115"/>
      <c r="E645" s="115"/>
      <c r="F645" s="115"/>
      <c r="G645" s="99"/>
      <c r="H645" s="98"/>
      <c r="I645" s="100"/>
      <c r="J645" s="100"/>
      <c r="K645" s="100"/>
      <c r="L645" s="101"/>
      <c r="M645" s="101"/>
      <c r="N645" s="112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</row>
    <row r="646" spans="1:29" ht="13">
      <c r="A646" s="115"/>
      <c r="B646" s="97"/>
      <c r="C646" s="115"/>
      <c r="D646" s="115"/>
      <c r="E646" s="115"/>
      <c r="F646" s="115"/>
      <c r="G646" s="99"/>
      <c r="H646" s="98"/>
      <c r="I646" s="100"/>
      <c r="J646" s="100"/>
      <c r="K646" s="100"/>
      <c r="L646" s="101"/>
      <c r="M646" s="101"/>
      <c r="N646" s="112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</row>
    <row r="647" spans="1:29" ht="13">
      <c r="A647" s="115"/>
      <c r="B647" s="97"/>
      <c r="C647" s="115"/>
      <c r="D647" s="115"/>
      <c r="E647" s="115"/>
      <c r="F647" s="115"/>
      <c r="G647" s="99"/>
      <c r="H647" s="98"/>
      <c r="I647" s="100"/>
      <c r="J647" s="100"/>
      <c r="K647" s="100"/>
      <c r="L647" s="101"/>
      <c r="M647" s="101"/>
      <c r="N647" s="112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</row>
    <row r="648" spans="1:29" ht="13">
      <c r="A648" s="115"/>
      <c r="B648" s="97"/>
      <c r="C648" s="115"/>
      <c r="D648" s="115"/>
      <c r="E648" s="115"/>
      <c r="F648" s="115"/>
      <c r="G648" s="99"/>
      <c r="H648" s="98"/>
      <c r="I648" s="100"/>
      <c r="J648" s="100"/>
      <c r="K648" s="100"/>
      <c r="L648" s="101"/>
      <c r="M648" s="101"/>
      <c r="N648" s="112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</row>
    <row r="649" spans="1:29" ht="13">
      <c r="A649" s="115"/>
      <c r="B649" s="97"/>
      <c r="C649" s="115"/>
      <c r="D649" s="115"/>
      <c r="E649" s="115"/>
      <c r="F649" s="115"/>
      <c r="G649" s="99"/>
      <c r="H649" s="98"/>
      <c r="I649" s="100"/>
      <c r="J649" s="100"/>
      <c r="K649" s="100"/>
      <c r="L649" s="101"/>
      <c r="M649" s="101"/>
      <c r="N649" s="112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</row>
    <row r="650" spans="1:29" ht="13">
      <c r="A650" s="115"/>
      <c r="B650" s="97"/>
      <c r="C650" s="115"/>
      <c r="D650" s="115"/>
      <c r="E650" s="115"/>
      <c r="F650" s="115"/>
      <c r="G650" s="99"/>
      <c r="H650" s="98"/>
      <c r="I650" s="100"/>
      <c r="J650" s="100"/>
      <c r="K650" s="100"/>
      <c r="L650" s="101"/>
      <c r="M650" s="101"/>
      <c r="N650" s="112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</row>
    <row r="651" spans="1:29" ht="13">
      <c r="A651" s="115"/>
      <c r="B651" s="97"/>
      <c r="C651" s="115"/>
      <c r="D651" s="115"/>
      <c r="E651" s="115"/>
      <c r="F651" s="115"/>
      <c r="G651" s="99"/>
      <c r="H651" s="98"/>
      <c r="I651" s="100"/>
      <c r="J651" s="100"/>
      <c r="K651" s="100"/>
      <c r="L651" s="101"/>
      <c r="M651" s="101"/>
      <c r="N651" s="112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</row>
    <row r="652" spans="1:29" ht="13">
      <c r="A652" s="115"/>
      <c r="B652" s="97"/>
      <c r="C652" s="115"/>
      <c r="D652" s="115"/>
      <c r="E652" s="115"/>
      <c r="F652" s="115"/>
      <c r="G652" s="99"/>
      <c r="H652" s="98"/>
      <c r="I652" s="100"/>
      <c r="J652" s="100"/>
      <c r="K652" s="100"/>
      <c r="L652" s="101"/>
      <c r="M652" s="101"/>
      <c r="N652" s="112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</row>
    <row r="653" spans="1:29" ht="13">
      <c r="A653" s="115"/>
      <c r="B653" s="97"/>
      <c r="C653" s="115"/>
      <c r="D653" s="115"/>
      <c r="E653" s="115"/>
      <c r="F653" s="115"/>
      <c r="G653" s="99"/>
      <c r="H653" s="98"/>
      <c r="I653" s="100"/>
      <c r="J653" s="100"/>
      <c r="K653" s="100"/>
      <c r="L653" s="101"/>
      <c r="M653" s="101"/>
      <c r="N653" s="112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</row>
    <row r="654" spans="1:29" ht="13">
      <c r="A654" s="115"/>
      <c r="B654" s="97"/>
      <c r="C654" s="115"/>
      <c r="D654" s="115"/>
      <c r="E654" s="115"/>
      <c r="F654" s="115"/>
      <c r="G654" s="99"/>
      <c r="H654" s="98"/>
      <c r="I654" s="100"/>
      <c r="J654" s="100"/>
      <c r="K654" s="100"/>
      <c r="L654" s="101"/>
      <c r="M654" s="101"/>
      <c r="N654" s="112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</row>
    <row r="655" spans="1:29" ht="13">
      <c r="A655" s="115"/>
      <c r="B655" s="97"/>
      <c r="C655" s="115"/>
      <c r="D655" s="115"/>
      <c r="E655" s="115"/>
      <c r="F655" s="115"/>
      <c r="G655" s="99"/>
      <c r="H655" s="98"/>
      <c r="I655" s="100"/>
      <c r="J655" s="100"/>
      <c r="K655" s="100"/>
      <c r="L655" s="101"/>
      <c r="M655" s="101"/>
      <c r="N655" s="112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</row>
    <row r="656" spans="1:29" ht="13">
      <c r="A656" s="115"/>
      <c r="B656" s="97"/>
      <c r="C656" s="115"/>
      <c r="D656" s="115"/>
      <c r="E656" s="115"/>
      <c r="F656" s="115"/>
      <c r="G656" s="99"/>
      <c r="H656" s="98"/>
      <c r="I656" s="100"/>
      <c r="J656" s="100"/>
      <c r="K656" s="100"/>
      <c r="L656" s="101"/>
      <c r="M656" s="101"/>
      <c r="N656" s="112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</row>
    <row r="657" spans="1:29" ht="13">
      <c r="A657" s="115"/>
      <c r="B657" s="97"/>
      <c r="C657" s="115"/>
      <c r="D657" s="115"/>
      <c r="E657" s="115"/>
      <c r="F657" s="115"/>
      <c r="G657" s="99"/>
      <c r="H657" s="98"/>
      <c r="I657" s="100"/>
      <c r="J657" s="100"/>
      <c r="K657" s="100"/>
      <c r="L657" s="101"/>
      <c r="M657" s="101"/>
      <c r="N657" s="112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</row>
    <row r="658" spans="1:29" ht="13">
      <c r="A658" s="115"/>
      <c r="B658" s="97"/>
      <c r="C658" s="115"/>
      <c r="D658" s="115"/>
      <c r="E658" s="115"/>
      <c r="F658" s="115"/>
      <c r="G658" s="99"/>
      <c r="H658" s="98"/>
      <c r="I658" s="100"/>
      <c r="J658" s="100"/>
      <c r="K658" s="100"/>
      <c r="L658" s="101"/>
      <c r="M658" s="101"/>
      <c r="N658" s="112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</row>
    <row r="659" spans="1:29" ht="13">
      <c r="A659" s="115"/>
      <c r="B659" s="97"/>
      <c r="C659" s="115"/>
      <c r="D659" s="115"/>
      <c r="E659" s="115"/>
      <c r="F659" s="115"/>
      <c r="G659" s="99"/>
      <c r="H659" s="98"/>
      <c r="I659" s="100"/>
      <c r="J659" s="100"/>
      <c r="K659" s="100"/>
      <c r="L659" s="101"/>
      <c r="M659" s="101"/>
      <c r="N659" s="112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</row>
    <row r="660" spans="1:29" ht="13">
      <c r="A660" s="115"/>
      <c r="B660" s="97"/>
      <c r="C660" s="115"/>
      <c r="D660" s="115"/>
      <c r="E660" s="115"/>
      <c r="F660" s="115"/>
      <c r="G660" s="99"/>
      <c r="H660" s="98"/>
      <c r="I660" s="100"/>
      <c r="J660" s="100"/>
      <c r="K660" s="100"/>
      <c r="L660" s="101"/>
      <c r="M660" s="101"/>
      <c r="N660" s="112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</row>
    <row r="661" spans="1:29" ht="13">
      <c r="A661" s="115"/>
      <c r="B661" s="97"/>
      <c r="C661" s="115"/>
      <c r="D661" s="115"/>
      <c r="E661" s="115"/>
      <c r="F661" s="115"/>
      <c r="G661" s="99"/>
      <c r="H661" s="98"/>
      <c r="I661" s="100"/>
      <c r="J661" s="100"/>
      <c r="K661" s="100"/>
      <c r="L661" s="101"/>
      <c r="M661" s="101"/>
      <c r="N661" s="112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</row>
    <row r="662" spans="1:29" ht="13">
      <c r="A662" s="115"/>
      <c r="B662" s="97"/>
      <c r="C662" s="115"/>
      <c r="D662" s="115"/>
      <c r="E662" s="115"/>
      <c r="F662" s="115"/>
      <c r="G662" s="99"/>
      <c r="H662" s="98"/>
      <c r="I662" s="100"/>
      <c r="J662" s="100"/>
      <c r="K662" s="100"/>
      <c r="L662" s="101"/>
      <c r="M662" s="101"/>
      <c r="N662" s="112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</row>
    <row r="663" spans="1:29" ht="13">
      <c r="A663" s="115"/>
      <c r="B663" s="97"/>
      <c r="C663" s="115"/>
      <c r="D663" s="115"/>
      <c r="E663" s="115"/>
      <c r="F663" s="115"/>
      <c r="G663" s="99"/>
      <c r="H663" s="98"/>
      <c r="I663" s="100"/>
      <c r="J663" s="100"/>
      <c r="K663" s="100"/>
      <c r="L663" s="101"/>
      <c r="M663" s="101"/>
      <c r="N663" s="112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</row>
    <row r="664" spans="1:29" ht="13">
      <c r="A664" s="115"/>
      <c r="B664" s="97"/>
      <c r="C664" s="115"/>
      <c r="D664" s="115"/>
      <c r="E664" s="115"/>
      <c r="F664" s="115"/>
      <c r="G664" s="99"/>
      <c r="H664" s="98"/>
      <c r="I664" s="100"/>
      <c r="J664" s="100"/>
      <c r="K664" s="100"/>
      <c r="L664" s="101"/>
      <c r="M664" s="101"/>
      <c r="N664" s="112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</row>
    <row r="665" spans="1:29" ht="13">
      <c r="A665" s="115"/>
      <c r="B665" s="97"/>
      <c r="C665" s="115"/>
      <c r="D665" s="115"/>
      <c r="E665" s="115"/>
      <c r="F665" s="115"/>
      <c r="G665" s="99"/>
      <c r="H665" s="98"/>
      <c r="I665" s="100"/>
      <c r="J665" s="100"/>
      <c r="K665" s="100"/>
      <c r="L665" s="101"/>
      <c r="M665" s="101"/>
      <c r="N665" s="112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</row>
    <row r="666" spans="1:29" ht="13">
      <c r="A666" s="115"/>
      <c r="B666" s="97"/>
      <c r="C666" s="115"/>
      <c r="D666" s="115"/>
      <c r="E666" s="115"/>
      <c r="F666" s="115"/>
      <c r="G666" s="99"/>
      <c r="H666" s="98"/>
      <c r="I666" s="100"/>
      <c r="J666" s="100"/>
      <c r="K666" s="100"/>
      <c r="L666" s="101"/>
      <c r="M666" s="101"/>
      <c r="N666" s="112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</row>
    <row r="667" spans="1:29" ht="13">
      <c r="A667" s="115"/>
      <c r="B667" s="97"/>
      <c r="C667" s="115"/>
      <c r="D667" s="115"/>
      <c r="E667" s="115"/>
      <c r="F667" s="115"/>
      <c r="G667" s="99"/>
      <c r="H667" s="98"/>
      <c r="I667" s="100"/>
      <c r="J667" s="100"/>
      <c r="K667" s="100"/>
      <c r="L667" s="101"/>
      <c r="M667" s="101"/>
      <c r="N667" s="112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</row>
    <row r="668" spans="1:29" ht="13">
      <c r="A668" s="115"/>
      <c r="B668" s="97"/>
      <c r="C668" s="115"/>
      <c r="D668" s="115"/>
      <c r="E668" s="115"/>
      <c r="F668" s="115"/>
      <c r="G668" s="99"/>
      <c r="H668" s="98"/>
      <c r="I668" s="100"/>
      <c r="J668" s="100"/>
      <c r="K668" s="100"/>
      <c r="L668" s="101"/>
      <c r="M668" s="101"/>
      <c r="N668" s="112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</row>
    <row r="669" spans="1:29" ht="13">
      <c r="A669" s="115"/>
      <c r="B669" s="97"/>
      <c r="C669" s="115"/>
      <c r="D669" s="115"/>
      <c r="E669" s="115"/>
      <c r="F669" s="115"/>
      <c r="G669" s="99"/>
      <c r="H669" s="98"/>
      <c r="I669" s="100"/>
      <c r="J669" s="100"/>
      <c r="K669" s="100"/>
      <c r="L669" s="101"/>
      <c r="M669" s="101"/>
      <c r="N669" s="112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</row>
    <row r="670" spans="1:29" ht="13">
      <c r="A670" s="115"/>
      <c r="B670" s="97"/>
      <c r="C670" s="115"/>
      <c r="D670" s="115"/>
      <c r="E670" s="115"/>
      <c r="F670" s="115"/>
      <c r="G670" s="99"/>
      <c r="H670" s="98"/>
      <c r="I670" s="100"/>
      <c r="J670" s="100"/>
      <c r="K670" s="100"/>
      <c r="L670" s="101"/>
      <c r="M670" s="101"/>
      <c r="N670" s="112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</row>
    <row r="671" spans="1:29" ht="13">
      <c r="A671" s="115"/>
      <c r="B671" s="97"/>
      <c r="C671" s="115"/>
      <c r="D671" s="115"/>
      <c r="E671" s="115"/>
      <c r="F671" s="115"/>
      <c r="G671" s="99"/>
      <c r="H671" s="98"/>
      <c r="I671" s="100"/>
      <c r="J671" s="100"/>
      <c r="K671" s="100"/>
      <c r="L671" s="101"/>
      <c r="M671" s="101"/>
      <c r="N671" s="112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</row>
    <row r="672" spans="1:29" ht="13">
      <c r="A672" s="115"/>
      <c r="B672" s="97"/>
      <c r="C672" s="115"/>
      <c r="D672" s="115"/>
      <c r="E672" s="115"/>
      <c r="F672" s="115"/>
      <c r="G672" s="99"/>
      <c r="H672" s="98"/>
      <c r="I672" s="100"/>
      <c r="J672" s="100"/>
      <c r="K672" s="100"/>
      <c r="L672" s="101"/>
      <c r="M672" s="101"/>
      <c r="N672" s="112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</row>
    <row r="673" spans="1:29" ht="13">
      <c r="A673" s="115"/>
      <c r="B673" s="97"/>
      <c r="C673" s="115"/>
      <c r="D673" s="115"/>
      <c r="E673" s="115"/>
      <c r="F673" s="115"/>
      <c r="G673" s="99"/>
      <c r="H673" s="98"/>
      <c r="I673" s="100"/>
      <c r="J673" s="100"/>
      <c r="K673" s="100"/>
      <c r="L673" s="101"/>
      <c r="M673" s="101"/>
      <c r="N673" s="112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</row>
    <row r="674" spans="1:29" ht="13">
      <c r="A674" s="115"/>
      <c r="B674" s="97"/>
      <c r="C674" s="115"/>
      <c r="D674" s="115"/>
      <c r="E674" s="115"/>
      <c r="F674" s="115"/>
      <c r="G674" s="99"/>
      <c r="H674" s="98"/>
      <c r="I674" s="100"/>
      <c r="J674" s="100"/>
      <c r="K674" s="100"/>
      <c r="L674" s="101"/>
      <c r="M674" s="101"/>
      <c r="N674" s="112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</row>
    <row r="675" spans="1:29" ht="13">
      <c r="A675" s="115"/>
      <c r="B675" s="97"/>
      <c r="C675" s="115"/>
      <c r="D675" s="115"/>
      <c r="E675" s="115"/>
      <c r="F675" s="115"/>
      <c r="G675" s="99"/>
      <c r="H675" s="98"/>
      <c r="I675" s="100"/>
      <c r="J675" s="100"/>
      <c r="K675" s="100"/>
      <c r="L675" s="101"/>
      <c r="M675" s="101"/>
      <c r="N675" s="112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</row>
    <row r="676" spans="1:29" ht="13">
      <c r="A676" s="115"/>
      <c r="B676" s="97"/>
      <c r="C676" s="115"/>
      <c r="D676" s="115"/>
      <c r="E676" s="115"/>
      <c r="F676" s="115"/>
      <c r="G676" s="99"/>
      <c r="H676" s="98"/>
      <c r="I676" s="100"/>
      <c r="J676" s="100"/>
      <c r="K676" s="100"/>
      <c r="L676" s="101"/>
      <c r="M676" s="101"/>
      <c r="N676" s="112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</row>
    <row r="677" spans="1:29" ht="13">
      <c r="A677" s="115"/>
      <c r="B677" s="97"/>
      <c r="C677" s="115"/>
      <c r="D677" s="115"/>
      <c r="E677" s="115"/>
      <c r="F677" s="115"/>
      <c r="G677" s="99"/>
      <c r="H677" s="98"/>
      <c r="I677" s="100"/>
      <c r="J677" s="100"/>
      <c r="K677" s="100"/>
      <c r="L677" s="101"/>
      <c r="M677" s="101"/>
      <c r="N677" s="112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</row>
    <row r="678" spans="1:29" ht="13">
      <c r="A678" s="115"/>
      <c r="B678" s="97"/>
      <c r="C678" s="115"/>
      <c r="D678" s="115"/>
      <c r="E678" s="115"/>
      <c r="F678" s="115"/>
      <c r="G678" s="99"/>
      <c r="H678" s="98"/>
      <c r="I678" s="100"/>
      <c r="J678" s="100"/>
      <c r="K678" s="100"/>
      <c r="L678" s="101"/>
      <c r="M678" s="101"/>
      <c r="N678" s="112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</row>
    <row r="679" spans="1:29" ht="13">
      <c r="A679" s="115"/>
      <c r="B679" s="97"/>
      <c r="C679" s="115"/>
      <c r="D679" s="115"/>
      <c r="E679" s="115"/>
      <c r="F679" s="115"/>
      <c r="G679" s="99"/>
      <c r="H679" s="98"/>
      <c r="I679" s="100"/>
      <c r="J679" s="100"/>
      <c r="K679" s="100"/>
      <c r="L679" s="101"/>
      <c r="M679" s="101"/>
      <c r="N679" s="112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</row>
    <row r="680" spans="1:29" ht="13">
      <c r="A680" s="115"/>
      <c r="B680" s="97"/>
      <c r="C680" s="115"/>
      <c r="D680" s="115"/>
      <c r="E680" s="115"/>
      <c r="F680" s="115"/>
      <c r="G680" s="99"/>
      <c r="H680" s="98"/>
      <c r="I680" s="100"/>
      <c r="J680" s="100"/>
      <c r="K680" s="100"/>
      <c r="L680" s="101"/>
      <c r="M680" s="101"/>
      <c r="N680" s="112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</row>
    <row r="681" spans="1:29" ht="13">
      <c r="A681" s="115"/>
      <c r="B681" s="97"/>
      <c r="C681" s="115"/>
      <c r="D681" s="115"/>
      <c r="E681" s="115"/>
      <c r="F681" s="115"/>
      <c r="G681" s="99"/>
      <c r="H681" s="98"/>
      <c r="I681" s="100"/>
      <c r="J681" s="100"/>
      <c r="K681" s="100"/>
      <c r="L681" s="101"/>
      <c r="M681" s="101"/>
      <c r="N681" s="112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</row>
    <row r="682" spans="1:29" ht="13">
      <c r="A682" s="115"/>
      <c r="B682" s="97"/>
      <c r="C682" s="115"/>
      <c r="D682" s="115"/>
      <c r="E682" s="115"/>
      <c r="F682" s="115"/>
      <c r="G682" s="99"/>
      <c r="H682" s="98"/>
      <c r="I682" s="100"/>
      <c r="J682" s="100"/>
      <c r="K682" s="100"/>
      <c r="L682" s="101"/>
      <c r="M682" s="101"/>
      <c r="N682" s="112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</row>
    <row r="683" spans="1:29" ht="13">
      <c r="A683" s="115"/>
      <c r="B683" s="97"/>
      <c r="C683" s="115"/>
      <c r="D683" s="115"/>
      <c r="E683" s="115"/>
      <c r="F683" s="115"/>
      <c r="G683" s="99"/>
      <c r="H683" s="98"/>
      <c r="I683" s="100"/>
      <c r="J683" s="100"/>
      <c r="K683" s="100"/>
      <c r="L683" s="101"/>
      <c r="M683" s="101"/>
      <c r="N683" s="112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</row>
    <row r="684" spans="1:29" ht="13">
      <c r="A684" s="115"/>
      <c r="B684" s="97"/>
      <c r="C684" s="115"/>
      <c r="D684" s="115"/>
      <c r="E684" s="115"/>
      <c r="F684" s="115"/>
      <c r="G684" s="99"/>
      <c r="H684" s="98"/>
      <c r="I684" s="100"/>
      <c r="J684" s="100"/>
      <c r="K684" s="100"/>
      <c r="L684" s="101"/>
      <c r="M684" s="101"/>
      <c r="N684" s="112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</row>
    <row r="685" spans="1:29" ht="13">
      <c r="A685" s="115"/>
      <c r="B685" s="97"/>
      <c r="C685" s="115"/>
      <c r="D685" s="115"/>
      <c r="E685" s="115"/>
      <c r="F685" s="115"/>
      <c r="G685" s="99"/>
      <c r="H685" s="98"/>
      <c r="I685" s="100"/>
      <c r="J685" s="100"/>
      <c r="K685" s="100"/>
      <c r="L685" s="101"/>
      <c r="M685" s="101"/>
      <c r="N685" s="112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</row>
    <row r="686" spans="1:29" ht="13">
      <c r="A686" s="115"/>
      <c r="B686" s="97"/>
      <c r="C686" s="115"/>
      <c r="D686" s="115"/>
      <c r="E686" s="115"/>
      <c r="F686" s="115"/>
      <c r="G686" s="99"/>
      <c r="H686" s="98"/>
      <c r="I686" s="100"/>
      <c r="J686" s="100"/>
      <c r="K686" s="100"/>
      <c r="L686" s="101"/>
      <c r="M686" s="101"/>
      <c r="N686" s="112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</row>
    <row r="687" spans="1:29" ht="13">
      <c r="A687" s="115"/>
      <c r="B687" s="97"/>
      <c r="C687" s="115"/>
      <c r="D687" s="115"/>
      <c r="E687" s="115"/>
      <c r="F687" s="115"/>
      <c r="G687" s="99"/>
      <c r="H687" s="98"/>
      <c r="I687" s="100"/>
      <c r="J687" s="100"/>
      <c r="K687" s="100"/>
      <c r="L687" s="101"/>
      <c r="M687" s="101"/>
      <c r="N687" s="112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</row>
    <row r="688" spans="1:29" ht="13">
      <c r="A688" s="115"/>
      <c r="B688" s="97"/>
      <c r="C688" s="115"/>
      <c r="D688" s="115"/>
      <c r="E688" s="115"/>
      <c r="F688" s="115"/>
      <c r="G688" s="99"/>
      <c r="H688" s="98"/>
      <c r="I688" s="100"/>
      <c r="J688" s="100"/>
      <c r="K688" s="100"/>
      <c r="L688" s="101"/>
      <c r="M688" s="101"/>
      <c r="N688" s="112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</row>
    <row r="689" spans="1:29" ht="13">
      <c r="A689" s="115"/>
      <c r="B689" s="97"/>
      <c r="C689" s="115"/>
      <c r="D689" s="115"/>
      <c r="E689" s="115"/>
      <c r="F689" s="115"/>
      <c r="G689" s="99"/>
      <c r="H689" s="98"/>
      <c r="I689" s="100"/>
      <c r="J689" s="100"/>
      <c r="K689" s="100"/>
      <c r="L689" s="101"/>
      <c r="M689" s="101"/>
      <c r="N689" s="112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</row>
    <row r="690" spans="1:29" ht="13">
      <c r="A690" s="115"/>
      <c r="B690" s="97"/>
      <c r="C690" s="115"/>
      <c r="D690" s="115"/>
      <c r="E690" s="115"/>
      <c r="F690" s="115"/>
      <c r="G690" s="99"/>
      <c r="H690" s="98"/>
      <c r="I690" s="100"/>
      <c r="J690" s="100"/>
      <c r="K690" s="100"/>
      <c r="L690" s="101"/>
      <c r="M690" s="101"/>
      <c r="N690" s="112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</row>
    <row r="691" spans="1:29" ht="13">
      <c r="A691" s="115"/>
      <c r="B691" s="97"/>
      <c r="C691" s="115"/>
      <c r="D691" s="115"/>
      <c r="E691" s="115"/>
      <c r="F691" s="115"/>
      <c r="G691" s="99"/>
      <c r="H691" s="98"/>
      <c r="I691" s="100"/>
      <c r="J691" s="100"/>
      <c r="K691" s="100"/>
      <c r="L691" s="101"/>
      <c r="M691" s="101"/>
      <c r="N691" s="112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</row>
    <row r="692" spans="1:29" ht="13">
      <c r="A692" s="115"/>
      <c r="B692" s="97"/>
      <c r="C692" s="115"/>
      <c r="D692" s="115"/>
      <c r="E692" s="115"/>
      <c r="F692" s="115"/>
      <c r="G692" s="99"/>
      <c r="H692" s="98"/>
      <c r="I692" s="100"/>
      <c r="J692" s="100"/>
      <c r="K692" s="100"/>
      <c r="L692" s="101"/>
      <c r="M692" s="101"/>
      <c r="N692" s="112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</row>
    <row r="693" spans="1:29" ht="13">
      <c r="A693" s="115"/>
      <c r="B693" s="97"/>
      <c r="C693" s="115"/>
      <c r="D693" s="115"/>
      <c r="E693" s="115"/>
      <c r="F693" s="115"/>
      <c r="G693" s="99"/>
      <c r="H693" s="98"/>
      <c r="I693" s="100"/>
      <c r="J693" s="100"/>
      <c r="K693" s="100"/>
      <c r="L693" s="101"/>
      <c r="M693" s="101"/>
      <c r="N693" s="112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</row>
    <row r="694" spans="1:29" ht="13">
      <c r="A694" s="115"/>
      <c r="B694" s="97"/>
      <c r="C694" s="115"/>
      <c r="D694" s="115"/>
      <c r="E694" s="115"/>
      <c r="F694" s="115"/>
      <c r="G694" s="99"/>
      <c r="H694" s="98"/>
      <c r="I694" s="100"/>
      <c r="J694" s="100"/>
      <c r="K694" s="100"/>
      <c r="L694" s="101"/>
      <c r="M694" s="101"/>
      <c r="N694" s="112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</row>
    <row r="695" spans="1:29" ht="13">
      <c r="A695" s="115"/>
      <c r="B695" s="97"/>
      <c r="C695" s="115"/>
      <c r="D695" s="115"/>
      <c r="E695" s="115"/>
      <c r="F695" s="115"/>
      <c r="G695" s="99"/>
      <c r="H695" s="98"/>
      <c r="I695" s="100"/>
      <c r="J695" s="100"/>
      <c r="K695" s="100"/>
      <c r="L695" s="101"/>
      <c r="M695" s="101"/>
      <c r="N695" s="112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</row>
    <row r="696" spans="1:29" ht="13">
      <c r="A696" s="115"/>
      <c r="B696" s="97"/>
      <c r="C696" s="115"/>
      <c r="D696" s="115"/>
      <c r="E696" s="115"/>
      <c r="F696" s="115"/>
      <c r="G696" s="99"/>
      <c r="H696" s="98"/>
      <c r="I696" s="100"/>
      <c r="J696" s="100"/>
      <c r="K696" s="100"/>
      <c r="L696" s="101"/>
      <c r="M696" s="101"/>
      <c r="N696" s="112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</row>
    <row r="697" spans="1:29" ht="13">
      <c r="A697" s="115"/>
      <c r="B697" s="97"/>
      <c r="C697" s="115"/>
      <c r="D697" s="115"/>
      <c r="E697" s="115"/>
      <c r="F697" s="115"/>
      <c r="G697" s="99"/>
      <c r="H697" s="98"/>
      <c r="I697" s="100"/>
      <c r="J697" s="100"/>
      <c r="K697" s="100"/>
      <c r="L697" s="101"/>
      <c r="M697" s="101"/>
      <c r="N697" s="112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</row>
    <row r="698" spans="1:29" ht="13">
      <c r="A698" s="115"/>
      <c r="B698" s="97"/>
      <c r="C698" s="115"/>
      <c r="D698" s="115"/>
      <c r="E698" s="115"/>
      <c r="F698" s="115"/>
      <c r="G698" s="99"/>
      <c r="H698" s="98"/>
      <c r="I698" s="100"/>
      <c r="J698" s="100"/>
      <c r="K698" s="100"/>
      <c r="L698" s="101"/>
      <c r="M698" s="101"/>
      <c r="N698" s="112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</row>
    <row r="699" spans="1:29" ht="13">
      <c r="A699" s="115"/>
      <c r="B699" s="97"/>
      <c r="C699" s="115"/>
      <c r="D699" s="115"/>
      <c r="E699" s="115"/>
      <c r="F699" s="115"/>
      <c r="G699" s="99"/>
      <c r="H699" s="98"/>
      <c r="I699" s="100"/>
      <c r="J699" s="100"/>
      <c r="K699" s="100"/>
      <c r="L699" s="101"/>
      <c r="M699" s="101"/>
      <c r="N699" s="112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</row>
    <row r="700" spans="1:29" ht="13">
      <c r="A700" s="115"/>
      <c r="B700" s="97"/>
      <c r="C700" s="115"/>
      <c r="D700" s="115"/>
      <c r="E700" s="115"/>
      <c r="F700" s="115"/>
      <c r="G700" s="99"/>
      <c r="H700" s="98"/>
      <c r="I700" s="100"/>
      <c r="J700" s="100"/>
      <c r="K700" s="100"/>
      <c r="L700" s="101"/>
      <c r="M700" s="101"/>
      <c r="N700" s="112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</row>
    <row r="701" spans="1:29" ht="13">
      <c r="A701" s="115"/>
      <c r="B701" s="97"/>
      <c r="C701" s="115"/>
      <c r="D701" s="115"/>
      <c r="E701" s="115"/>
      <c r="F701" s="115"/>
      <c r="G701" s="99"/>
      <c r="H701" s="98"/>
      <c r="I701" s="100"/>
      <c r="J701" s="100"/>
      <c r="K701" s="100"/>
      <c r="L701" s="101"/>
      <c r="M701" s="101"/>
      <c r="N701" s="112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</row>
    <row r="702" spans="1:29" ht="13">
      <c r="A702" s="115"/>
      <c r="B702" s="97"/>
      <c r="C702" s="115"/>
      <c r="D702" s="115"/>
      <c r="E702" s="115"/>
      <c r="F702" s="115"/>
      <c r="G702" s="99"/>
      <c r="H702" s="98"/>
      <c r="I702" s="100"/>
      <c r="J702" s="100"/>
      <c r="K702" s="100"/>
      <c r="L702" s="101"/>
      <c r="M702" s="101"/>
      <c r="N702" s="112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</row>
    <row r="703" spans="1:29" ht="13">
      <c r="A703" s="115"/>
      <c r="B703" s="97"/>
      <c r="C703" s="115"/>
      <c r="D703" s="115"/>
      <c r="E703" s="115"/>
      <c r="F703" s="115"/>
      <c r="G703" s="99"/>
      <c r="H703" s="98"/>
      <c r="I703" s="100"/>
      <c r="J703" s="100"/>
      <c r="K703" s="100"/>
      <c r="L703" s="101"/>
      <c r="M703" s="101"/>
      <c r="N703" s="112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</row>
    <row r="704" spans="1:29" ht="13">
      <c r="A704" s="115"/>
      <c r="B704" s="97"/>
      <c r="C704" s="115"/>
      <c r="D704" s="115"/>
      <c r="E704" s="115"/>
      <c r="F704" s="115"/>
      <c r="G704" s="99"/>
      <c r="H704" s="98"/>
      <c r="I704" s="100"/>
      <c r="J704" s="100"/>
      <c r="K704" s="100"/>
      <c r="L704" s="101"/>
      <c r="M704" s="101"/>
      <c r="N704" s="112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</row>
    <row r="705" spans="1:29" ht="13">
      <c r="A705" s="115"/>
      <c r="B705" s="97"/>
      <c r="C705" s="115"/>
      <c r="D705" s="115"/>
      <c r="E705" s="115"/>
      <c r="F705" s="115"/>
      <c r="G705" s="99"/>
      <c r="H705" s="98"/>
      <c r="I705" s="100"/>
      <c r="J705" s="100"/>
      <c r="K705" s="100"/>
      <c r="L705" s="101"/>
      <c r="M705" s="101"/>
      <c r="N705" s="112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</row>
    <row r="706" spans="1:29" ht="13">
      <c r="A706" s="115"/>
      <c r="B706" s="97"/>
      <c r="C706" s="115"/>
      <c r="D706" s="115"/>
      <c r="E706" s="115"/>
      <c r="F706" s="115"/>
      <c r="G706" s="99"/>
      <c r="H706" s="98"/>
      <c r="I706" s="100"/>
      <c r="J706" s="100"/>
      <c r="K706" s="100"/>
      <c r="L706" s="101"/>
      <c r="M706" s="101"/>
      <c r="N706" s="112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</row>
    <row r="707" spans="1:29" ht="13">
      <c r="A707" s="115"/>
      <c r="B707" s="97"/>
      <c r="C707" s="115"/>
      <c r="D707" s="115"/>
      <c r="E707" s="115"/>
      <c r="F707" s="115"/>
      <c r="G707" s="99"/>
      <c r="H707" s="98"/>
      <c r="I707" s="100"/>
      <c r="J707" s="100"/>
      <c r="K707" s="100"/>
      <c r="L707" s="101"/>
      <c r="M707" s="101"/>
      <c r="N707" s="112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</row>
    <row r="708" spans="1:29" ht="13">
      <c r="A708" s="115"/>
      <c r="B708" s="97"/>
      <c r="C708" s="115"/>
      <c r="D708" s="115"/>
      <c r="E708" s="115"/>
      <c r="F708" s="115"/>
      <c r="G708" s="99"/>
      <c r="H708" s="98"/>
      <c r="I708" s="100"/>
      <c r="J708" s="100"/>
      <c r="K708" s="100"/>
      <c r="L708" s="101"/>
      <c r="M708" s="101"/>
      <c r="N708" s="112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</row>
    <row r="709" spans="1:29" ht="13">
      <c r="A709" s="115"/>
      <c r="B709" s="97"/>
      <c r="C709" s="115"/>
      <c r="D709" s="115"/>
      <c r="E709" s="115"/>
      <c r="F709" s="115"/>
      <c r="G709" s="99"/>
      <c r="H709" s="98"/>
      <c r="I709" s="100"/>
      <c r="J709" s="100"/>
      <c r="K709" s="100"/>
      <c r="L709" s="101"/>
      <c r="M709" s="101"/>
      <c r="N709" s="112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</row>
    <row r="710" spans="1:29" ht="13">
      <c r="A710" s="115"/>
      <c r="B710" s="97"/>
      <c r="C710" s="115"/>
      <c r="D710" s="115"/>
      <c r="E710" s="115"/>
      <c r="F710" s="115"/>
      <c r="G710" s="99"/>
      <c r="H710" s="98"/>
      <c r="I710" s="100"/>
      <c r="J710" s="100"/>
      <c r="K710" s="100"/>
      <c r="L710" s="101"/>
      <c r="M710" s="101"/>
      <c r="N710" s="112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</row>
    <row r="711" spans="1:29" ht="13">
      <c r="A711" s="115"/>
      <c r="B711" s="97"/>
      <c r="C711" s="115"/>
      <c r="D711" s="115"/>
      <c r="E711" s="115"/>
      <c r="F711" s="115"/>
      <c r="G711" s="99"/>
      <c r="H711" s="98"/>
      <c r="I711" s="100"/>
      <c r="J711" s="100"/>
      <c r="K711" s="100"/>
      <c r="L711" s="101"/>
      <c r="M711" s="101"/>
      <c r="N711" s="112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</row>
    <row r="712" spans="1:29" ht="13">
      <c r="A712" s="115"/>
      <c r="B712" s="97"/>
      <c r="C712" s="115"/>
      <c r="D712" s="115"/>
      <c r="E712" s="115"/>
      <c r="F712" s="115"/>
      <c r="G712" s="99"/>
      <c r="H712" s="98"/>
      <c r="I712" s="100"/>
      <c r="J712" s="100"/>
      <c r="K712" s="100"/>
      <c r="L712" s="101"/>
      <c r="M712" s="101"/>
      <c r="N712" s="112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</row>
    <row r="713" spans="1:29" ht="13">
      <c r="A713" s="115"/>
      <c r="B713" s="97"/>
      <c r="C713" s="115"/>
      <c r="D713" s="115"/>
      <c r="E713" s="115"/>
      <c r="F713" s="115"/>
      <c r="G713" s="99"/>
      <c r="H713" s="98"/>
      <c r="I713" s="100"/>
      <c r="J713" s="100"/>
      <c r="K713" s="100"/>
      <c r="L713" s="101"/>
      <c r="M713" s="101"/>
      <c r="N713" s="112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</row>
    <row r="714" spans="1:29" ht="13">
      <c r="A714" s="115"/>
      <c r="B714" s="97"/>
      <c r="C714" s="115"/>
      <c r="D714" s="115"/>
      <c r="E714" s="115"/>
      <c r="F714" s="115"/>
      <c r="G714" s="99"/>
      <c r="H714" s="98"/>
      <c r="I714" s="100"/>
      <c r="J714" s="100"/>
      <c r="K714" s="100"/>
      <c r="L714" s="101"/>
      <c r="M714" s="101"/>
      <c r="N714" s="112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</row>
    <row r="715" spans="1:29" ht="13">
      <c r="A715" s="115"/>
      <c r="B715" s="97"/>
      <c r="C715" s="115"/>
      <c r="D715" s="115"/>
      <c r="E715" s="115"/>
      <c r="F715" s="115"/>
      <c r="G715" s="99"/>
      <c r="H715" s="98"/>
      <c r="I715" s="100"/>
      <c r="J715" s="100"/>
      <c r="K715" s="100"/>
      <c r="L715" s="101"/>
      <c r="M715" s="101"/>
      <c r="N715" s="112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</row>
    <row r="716" spans="1:29" ht="13">
      <c r="A716" s="115"/>
      <c r="B716" s="97"/>
      <c r="C716" s="115"/>
      <c r="D716" s="115"/>
      <c r="E716" s="115"/>
      <c r="F716" s="115"/>
      <c r="G716" s="99"/>
      <c r="H716" s="98"/>
      <c r="I716" s="100"/>
      <c r="J716" s="100"/>
      <c r="K716" s="100"/>
      <c r="L716" s="101"/>
      <c r="M716" s="101"/>
      <c r="N716" s="112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</row>
    <row r="717" spans="1:29" ht="13">
      <c r="A717" s="115"/>
      <c r="B717" s="97"/>
      <c r="C717" s="115"/>
      <c r="D717" s="115"/>
      <c r="E717" s="115"/>
      <c r="F717" s="115"/>
      <c r="G717" s="99"/>
      <c r="H717" s="98"/>
      <c r="I717" s="100"/>
      <c r="J717" s="100"/>
      <c r="K717" s="100"/>
      <c r="L717" s="101"/>
      <c r="M717" s="101"/>
      <c r="N717" s="112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</row>
    <row r="718" spans="1:29" ht="13">
      <c r="A718" s="115"/>
      <c r="B718" s="97"/>
      <c r="C718" s="115"/>
      <c r="D718" s="115"/>
      <c r="E718" s="115"/>
      <c r="F718" s="115"/>
      <c r="G718" s="99"/>
      <c r="H718" s="98"/>
      <c r="I718" s="100"/>
      <c r="J718" s="100"/>
      <c r="K718" s="100"/>
      <c r="L718" s="101"/>
      <c r="M718" s="101"/>
      <c r="N718" s="112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</row>
    <row r="719" spans="1:29" ht="13">
      <c r="A719" s="115"/>
      <c r="B719" s="97"/>
      <c r="C719" s="115"/>
      <c r="D719" s="115"/>
      <c r="E719" s="115"/>
      <c r="F719" s="115"/>
      <c r="G719" s="99"/>
      <c r="H719" s="98"/>
      <c r="I719" s="100"/>
      <c r="J719" s="100"/>
      <c r="K719" s="100"/>
      <c r="L719" s="101"/>
      <c r="M719" s="101"/>
      <c r="N719" s="112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</row>
    <row r="720" spans="1:29" ht="13">
      <c r="A720" s="115"/>
      <c r="B720" s="97"/>
      <c r="C720" s="115"/>
      <c r="D720" s="115"/>
      <c r="E720" s="115"/>
      <c r="F720" s="115"/>
      <c r="G720" s="99"/>
      <c r="H720" s="98"/>
      <c r="I720" s="100"/>
      <c r="J720" s="100"/>
      <c r="K720" s="100"/>
      <c r="L720" s="101"/>
      <c r="M720" s="101"/>
      <c r="N720" s="112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</row>
    <row r="721" spans="1:29" ht="13">
      <c r="A721" s="115"/>
      <c r="B721" s="97"/>
      <c r="C721" s="115"/>
      <c r="D721" s="115"/>
      <c r="E721" s="115"/>
      <c r="F721" s="115"/>
      <c r="G721" s="99"/>
      <c r="H721" s="98"/>
      <c r="I721" s="100"/>
      <c r="J721" s="100"/>
      <c r="K721" s="100"/>
      <c r="L721" s="101"/>
      <c r="M721" s="101"/>
      <c r="N721" s="112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</row>
    <row r="722" spans="1:29" ht="13">
      <c r="A722" s="115"/>
      <c r="B722" s="97"/>
      <c r="C722" s="115"/>
      <c r="D722" s="115"/>
      <c r="E722" s="115"/>
      <c r="F722" s="115"/>
      <c r="G722" s="99"/>
      <c r="H722" s="98"/>
      <c r="I722" s="100"/>
      <c r="J722" s="100"/>
      <c r="K722" s="100"/>
      <c r="L722" s="101"/>
      <c r="M722" s="101"/>
      <c r="N722" s="112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</row>
    <row r="723" spans="1:29" ht="13">
      <c r="A723" s="115"/>
      <c r="B723" s="97"/>
      <c r="C723" s="115"/>
      <c r="D723" s="115"/>
      <c r="E723" s="115"/>
      <c r="F723" s="115"/>
      <c r="G723" s="99"/>
      <c r="H723" s="98"/>
      <c r="I723" s="100"/>
      <c r="J723" s="100"/>
      <c r="K723" s="100"/>
      <c r="L723" s="101"/>
      <c r="M723" s="101"/>
      <c r="N723" s="112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</row>
    <row r="724" spans="1:29" ht="13">
      <c r="A724" s="115"/>
      <c r="B724" s="97"/>
      <c r="C724" s="115"/>
      <c r="D724" s="115"/>
      <c r="E724" s="115"/>
      <c r="F724" s="115"/>
      <c r="G724" s="99"/>
      <c r="H724" s="98"/>
      <c r="I724" s="100"/>
      <c r="J724" s="100"/>
      <c r="K724" s="100"/>
      <c r="L724" s="101"/>
      <c r="M724" s="101"/>
      <c r="N724" s="112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</row>
    <row r="725" spans="1:29" ht="13">
      <c r="A725" s="115"/>
      <c r="B725" s="97"/>
      <c r="C725" s="115"/>
      <c r="D725" s="115"/>
      <c r="E725" s="115"/>
      <c r="F725" s="115"/>
      <c r="G725" s="99"/>
      <c r="H725" s="98"/>
      <c r="I725" s="100"/>
      <c r="J725" s="100"/>
      <c r="K725" s="100"/>
      <c r="L725" s="101"/>
      <c r="M725" s="101"/>
      <c r="N725" s="112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</row>
    <row r="726" spans="1:29" ht="13">
      <c r="A726" s="115"/>
      <c r="B726" s="97"/>
      <c r="C726" s="115"/>
      <c r="D726" s="115"/>
      <c r="E726" s="115"/>
      <c r="F726" s="115"/>
      <c r="G726" s="99"/>
      <c r="H726" s="98"/>
      <c r="I726" s="100"/>
      <c r="J726" s="100"/>
      <c r="K726" s="100"/>
      <c r="L726" s="101"/>
      <c r="M726" s="101"/>
      <c r="N726" s="112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</row>
    <row r="727" spans="1:29" ht="13">
      <c r="A727" s="115"/>
      <c r="B727" s="97"/>
      <c r="C727" s="115"/>
      <c r="D727" s="115"/>
      <c r="E727" s="115"/>
      <c r="F727" s="115"/>
      <c r="G727" s="99"/>
      <c r="H727" s="98"/>
      <c r="I727" s="100"/>
      <c r="J727" s="100"/>
      <c r="K727" s="100"/>
      <c r="L727" s="101"/>
      <c r="M727" s="101"/>
      <c r="N727" s="112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</row>
    <row r="728" spans="1:29" ht="13">
      <c r="A728" s="115"/>
      <c r="B728" s="97"/>
      <c r="C728" s="115"/>
      <c r="D728" s="115"/>
      <c r="E728" s="115"/>
      <c r="F728" s="115"/>
      <c r="G728" s="99"/>
      <c r="H728" s="98"/>
      <c r="I728" s="100"/>
      <c r="J728" s="100"/>
      <c r="K728" s="100"/>
      <c r="L728" s="101"/>
      <c r="M728" s="101"/>
      <c r="N728" s="112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</row>
    <row r="729" spans="1:29" ht="13">
      <c r="A729" s="115"/>
      <c r="B729" s="97"/>
      <c r="C729" s="115"/>
      <c r="D729" s="115"/>
      <c r="E729" s="115"/>
      <c r="F729" s="115"/>
      <c r="G729" s="99"/>
      <c r="H729" s="98"/>
      <c r="I729" s="100"/>
      <c r="J729" s="100"/>
      <c r="K729" s="100"/>
      <c r="L729" s="101"/>
      <c r="M729" s="101"/>
      <c r="N729" s="112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</row>
    <row r="730" spans="1:29" ht="13">
      <c r="A730" s="115"/>
      <c r="B730" s="97"/>
      <c r="C730" s="115"/>
      <c r="D730" s="115"/>
      <c r="E730" s="115"/>
      <c r="F730" s="115"/>
      <c r="G730" s="99"/>
      <c r="H730" s="98"/>
      <c r="I730" s="100"/>
      <c r="J730" s="100"/>
      <c r="K730" s="100"/>
      <c r="L730" s="101"/>
      <c r="M730" s="101"/>
      <c r="N730" s="112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</row>
    <row r="731" spans="1:29" ht="13">
      <c r="A731" s="115"/>
      <c r="B731" s="97"/>
      <c r="C731" s="115"/>
      <c r="D731" s="115"/>
      <c r="E731" s="115"/>
      <c r="F731" s="115"/>
      <c r="G731" s="99"/>
      <c r="H731" s="98"/>
      <c r="I731" s="100"/>
      <c r="J731" s="100"/>
      <c r="K731" s="100"/>
      <c r="L731" s="101"/>
      <c r="M731" s="101"/>
      <c r="N731" s="112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</row>
    <row r="732" spans="1:29" ht="13">
      <c r="A732" s="115"/>
      <c r="B732" s="97"/>
      <c r="C732" s="115"/>
      <c r="D732" s="115"/>
      <c r="E732" s="115"/>
      <c r="F732" s="115"/>
      <c r="G732" s="99"/>
      <c r="H732" s="98"/>
      <c r="I732" s="100"/>
      <c r="J732" s="100"/>
      <c r="K732" s="100"/>
      <c r="L732" s="101"/>
      <c r="M732" s="101"/>
      <c r="N732" s="112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</row>
    <row r="733" spans="1:29" ht="13">
      <c r="A733" s="115"/>
      <c r="B733" s="97"/>
      <c r="C733" s="115"/>
      <c r="D733" s="115"/>
      <c r="E733" s="115"/>
      <c r="F733" s="115"/>
      <c r="G733" s="99"/>
      <c r="H733" s="98"/>
      <c r="I733" s="100"/>
      <c r="J733" s="100"/>
      <c r="K733" s="100"/>
      <c r="L733" s="101"/>
      <c r="M733" s="101"/>
      <c r="N733" s="112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</row>
    <row r="734" spans="1:29" ht="13">
      <c r="A734" s="115"/>
      <c r="B734" s="97"/>
      <c r="C734" s="115"/>
      <c r="D734" s="115"/>
      <c r="E734" s="115"/>
      <c r="F734" s="115"/>
      <c r="G734" s="99"/>
      <c r="H734" s="98"/>
      <c r="I734" s="100"/>
      <c r="J734" s="100"/>
      <c r="K734" s="100"/>
      <c r="L734" s="101"/>
      <c r="M734" s="101"/>
      <c r="N734" s="112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</row>
    <row r="735" spans="1:29" ht="13">
      <c r="A735" s="115"/>
      <c r="B735" s="97"/>
      <c r="C735" s="115"/>
      <c r="D735" s="115"/>
      <c r="E735" s="115"/>
      <c r="F735" s="115"/>
      <c r="G735" s="99"/>
      <c r="H735" s="98"/>
      <c r="I735" s="100"/>
      <c r="J735" s="100"/>
      <c r="K735" s="100"/>
      <c r="L735" s="101"/>
      <c r="M735" s="101"/>
      <c r="N735" s="112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</row>
    <row r="736" spans="1:29" ht="13">
      <c r="A736" s="115"/>
      <c r="B736" s="97"/>
      <c r="C736" s="115"/>
      <c r="D736" s="115"/>
      <c r="E736" s="115"/>
      <c r="F736" s="115"/>
      <c r="G736" s="99"/>
      <c r="H736" s="98"/>
      <c r="I736" s="100"/>
      <c r="J736" s="100"/>
      <c r="K736" s="100"/>
      <c r="L736" s="101"/>
      <c r="M736" s="101"/>
      <c r="N736" s="112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</row>
    <row r="737" spans="1:29" ht="13">
      <c r="A737" s="115"/>
      <c r="B737" s="97"/>
      <c r="C737" s="115"/>
      <c r="D737" s="115"/>
      <c r="E737" s="115"/>
      <c r="F737" s="115"/>
      <c r="G737" s="99"/>
      <c r="H737" s="98"/>
      <c r="I737" s="100"/>
      <c r="J737" s="100"/>
      <c r="K737" s="100"/>
      <c r="L737" s="101"/>
      <c r="M737" s="101"/>
      <c r="N737" s="112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</row>
    <row r="738" spans="1:29" ht="13">
      <c r="A738" s="115"/>
      <c r="B738" s="97"/>
      <c r="C738" s="115"/>
      <c r="D738" s="115"/>
      <c r="E738" s="115"/>
      <c r="F738" s="115"/>
      <c r="G738" s="99"/>
      <c r="H738" s="98"/>
      <c r="I738" s="100"/>
      <c r="J738" s="100"/>
      <c r="K738" s="100"/>
      <c r="L738" s="101"/>
      <c r="M738" s="101"/>
      <c r="N738" s="112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</row>
    <row r="739" spans="1:29" ht="13">
      <c r="A739" s="115"/>
      <c r="B739" s="97"/>
      <c r="C739" s="115"/>
      <c r="D739" s="115"/>
      <c r="E739" s="115"/>
      <c r="F739" s="115"/>
      <c r="G739" s="99"/>
      <c r="H739" s="98"/>
      <c r="I739" s="100"/>
      <c r="J739" s="100"/>
      <c r="K739" s="100"/>
      <c r="L739" s="101"/>
      <c r="M739" s="101"/>
      <c r="N739" s="112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</row>
    <row r="740" spans="1:29" ht="13">
      <c r="A740" s="115"/>
      <c r="B740" s="97"/>
      <c r="C740" s="115"/>
      <c r="D740" s="115"/>
      <c r="E740" s="115"/>
      <c r="F740" s="115"/>
      <c r="G740" s="99"/>
      <c r="H740" s="98"/>
      <c r="I740" s="100"/>
      <c r="J740" s="100"/>
      <c r="K740" s="100"/>
      <c r="L740" s="101"/>
      <c r="M740" s="101"/>
      <c r="N740" s="112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</row>
    <row r="741" spans="1:29" ht="13">
      <c r="A741" s="115"/>
      <c r="B741" s="97"/>
      <c r="C741" s="115"/>
      <c r="D741" s="115"/>
      <c r="E741" s="115"/>
      <c r="F741" s="115"/>
      <c r="G741" s="99"/>
      <c r="H741" s="98"/>
      <c r="I741" s="100"/>
      <c r="J741" s="100"/>
      <c r="K741" s="100"/>
      <c r="L741" s="101"/>
      <c r="M741" s="101"/>
      <c r="N741" s="112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</row>
    <row r="742" spans="1:29" ht="13">
      <c r="A742" s="115"/>
      <c r="B742" s="97"/>
      <c r="C742" s="115"/>
      <c r="D742" s="115"/>
      <c r="E742" s="115"/>
      <c r="F742" s="115"/>
      <c r="G742" s="99"/>
      <c r="H742" s="98"/>
      <c r="I742" s="100"/>
      <c r="J742" s="100"/>
      <c r="K742" s="100"/>
      <c r="L742" s="101"/>
      <c r="M742" s="101"/>
      <c r="N742" s="112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</row>
    <row r="743" spans="1:29" ht="13">
      <c r="A743" s="115"/>
      <c r="B743" s="97"/>
      <c r="C743" s="115"/>
      <c r="D743" s="115"/>
      <c r="E743" s="115"/>
      <c r="F743" s="115"/>
      <c r="G743" s="99"/>
      <c r="H743" s="98"/>
      <c r="I743" s="100"/>
      <c r="J743" s="100"/>
      <c r="K743" s="100"/>
      <c r="L743" s="101"/>
      <c r="M743" s="101"/>
      <c r="N743" s="112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</row>
    <row r="744" spans="1:29" ht="13">
      <c r="A744" s="115"/>
      <c r="B744" s="97"/>
      <c r="C744" s="115"/>
      <c r="D744" s="115"/>
      <c r="E744" s="115"/>
      <c r="F744" s="115"/>
      <c r="G744" s="99"/>
      <c r="H744" s="98"/>
      <c r="I744" s="100"/>
      <c r="J744" s="100"/>
      <c r="K744" s="100"/>
      <c r="L744" s="101"/>
      <c r="M744" s="101"/>
      <c r="N744" s="112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</row>
    <row r="745" spans="1:29" ht="13">
      <c r="A745" s="115"/>
      <c r="B745" s="97"/>
      <c r="C745" s="115"/>
      <c r="D745" s="115"/>
      <c r="E745" s="115"/>
      <c r="F745" s="115"/>
      <c r="G745" s="99"/>
      <c r="H745" s="98"/>
      <c r="I745" s="100"/>
      <c r="J745" s="100"/>
      <c r="K745" s="100"/>
      <c r="L745" s="101"/>
      <c r="M745" s="101"/>
      <c r="N745" s="112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</row>
    <row r="746" spans="1:29" ht="13">
      <c r="A746" s="115"/>
      <c r="B746" s="97"/>
      <c r="C746" s="115"/>
      <c r="D746" s="115"/>
      <c r="E746" s="115"/>
      <c r="F746" s="115"/>
      <c r="G746" s="99"/>
      <c r="H746" s="98"/>
      <c r="I746" s="100"/>
      <c r="J746" s="100"/>
      <c r="K746" s="100"/>
      <c r="L746" s="101"/>
      <c r="M746" s="101"/>
      <c r="N746" s="112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</row>
    <row r="747" spans="1:29" ht="13">
      <c r="A747" s="115"/>
      <c r="B747" s="97"/>
      <c r="C747" s="115"/>
      <c r="D747" s="115"/>
      <c r="E747" s="115"/>
      <c r="F747" s="115"/>
      <c r="G747" s="99"/>
      <c r="H747" s="98"/>
      <c r="I747" s="100"/>
      <c r="J747" s="100"/>
      <c r="K747" s="100"/>
      <c r="L747" s="101"/>
      <c r="M747" s="101"/>
      <c r="N747" s="112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</row>
    <row r="748" spans="1:29" ht="13">
      <c r="A748" s="115"/>
      <c r="B748" s="97"/>
      <c r="C748" s="115"/>
      <c r="D748" s="115"/>
      <c r="E748" s="115"/>
      <c r="F748" s="115"/>
      <c r="G748" s="99"/>
      <c r="H748" s="98"/>
      <c r="I748" s="100"/>
      <c r="J748" s="100"/>
      <c r="K748" s="100"/>
      <c r="L748" s="101"/>
      <c r="M748" s="101"/>
      <c r="N748" s="112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</row>
    <row r="749" spans="1:29" ht="13">
      <c r="A749" s="115"/>
      <c r="B749" s="97"/>
      <c r="C749" s="115"/>
      <c r="D749" s="115"/>
      <c r="E749" s="115"/>
      <c r="F749" s="115"/>
      <c r="G749" s="99"/>
      <c r="H749" s="98"/>
      <c r="I749" s="100"/>
      <c r="J749" s="100"/>
      <c r="K749" s="100"/>
      <c r="L749" s="101"/>
      <c r="M749" s="101"/>
      <c r="N749" s="112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</row>
    <row r="750" spans="1:29" ht="13">
      <c r="A750" s="115"/>
      <c r="B750" s="97"/>
      <c r="C750" s="115"/>
      <c r="D750" s="115"/>
      <c r="E750" s="115"/>
      <c r="F750" s="115"/>
      <c r="G750" s="99"/>
      <c r="H750" s="98"/>
      <c r="I750" s="100"/>
      <c r="J750" s="100"/>
      <c r="K750" s="100"/>
      <c r="L750" s="101"/>
      <c r="M750" s="101"/>
      <c r="N750" s="112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</row>
    <row r="751" spans="1:29" ht="13">
      <c r="A751" s="115"/>
      <c r="B751" s="97"/>
      <c r="C751" s="115"/>
      <c r="D751" s="115"/>
      <c r="E751" s="115"/>
      <c r="F751" s="115"/>
      <c r="G751" s="99"/>
      <c r="H751" s="98"/>
      <c r="I751" s="100"/>
      <c r="J751" s="100"/>
      <c r="K751" s="100"/>
      <c r="L751" s="101"/>
      <c r="M751" s="101"/>
      <c r="N751" s="112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</row>
    <row r="752" spans="1:29" ht="13">
      <c r="A752" s="115"/>
      <c r="B752" s="97"/>
      <c r="C752" s="115"/>
      <c r="D752" s="115"/>
      <c r="E752" s="115"/>
      <c r="F752" s="115"/>
      <c r="G752" s="99"/>
      <c r="H752" s="98"/>
      <c r="I752" s="100"/>
      <c r="J752" s="100"/>
      <c r="K752" s="100"/>
      <c r="L752" s="101"/>
      <c r="M752" s="101"/>
      <c r="N752" s="112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</row>
    <row r="753" spans="1:29" ht="13">
      <c r="A753" s="115"/>
      <c r="B753" s="97"/>
      <c r="C753" s="115"/>
      <c r="D753" s="115"/>
      <c r="E753" s="115"/>
      <c r="F753" s="115"/>
      <c r="G753" s="99"/>
      <c r="H753" s="98"/>
      <c r="I753" s="100"/>
      <c r="J753" s="100"/>
      <c r="K753" s="100"/>
      <c r="L753" s="101"/>
      <c r="M753" s="101"/>
      <c r="N753" s="112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</row>
    <row r="754" spans="1:29" ht="13">
      <c r="A754" s="115"/>
      <c r="B754" s="97"/>
      <c r="C754" s="115"/>
      <c r="D754" s="115"/>
      <c r="E754" s="115"/>
      <c r="F754" s="115"/>
      <c r="G754" s="99"/>
      <c r="H754" s="98"/>
      <c r="I754" s="100"/>
      <c r="J754" s="100"/>
      <c r="K754" s="100"/>
      <c r="L754" s="101"/>
      <c r="M754" s="101"/>
      <c r="N754" s="112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</row>
    <row r="755" spans="1:29" ht="13">
      <c r="A755" s="115"/>
      <c r="B755" s="97"/>
      <c r="C755" s="115"/>
      <c r="D755" s="115"/>
      <c r="E755" s="115"/>
      <c r="F755" s="115"/>
      <c r="G755" s="99"/>
      <c r="H755" s="98"/>
      <c r="I755" s="100"/>
      <c r="J755" s="100"/>
      <c r="K755" s="100"/>
      <c r="L755" s="101"/>
      <c r="M755" s="101"/>
      <c r="N755" s="112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</row>
    <row r="756" spans="1:29" ht="13">
      <c r="A756" s="115"/>
      <c r="B756" s="97"/>
      <c r="C756" s="115"/>
      <c r="D756" s="115"/>
      <c r="E756" s="115"/>
      <c r="F756" s="115"/>
      <c r="G756" s="99"/>
      <c r="H756" s="98"/>
      <c r="I756" s="100"/>
      <c r="J756" s="100"/>
      <c r="K756" s="100"/>
      <c r="L756" s="101"/>
      <c r="M756" s="101"/>
      <c r="N756" s="112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</row>
    <row r="757" spans="1:29" ht="13">
      <c r="A757" s="115"/>
      <c r="B757" s="97"/>
      <c r="C757" s="115"/>
      <c r="D757" s="115"/>
      <c r="E757" s="115"/>
      <c r="F757" s="115"/>
      <c r="G757" s="99"/>
      <c r="H757" s="98"/>
      <c r="I757" s="100"/>
      <c r="J757" s="100"/>
      <c r="K757" s="100"/>
      <c r="L757" s="101"/>
      <c r="M757" s="101"/>
      <c r="N757" s="112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</row>
    <row r="758" spans="1:29" ht="13">
      <c r="A758" s="115"/>
      <c r="B758" s="97"/>
      <c r="C758" s="115"/>
      <c r="D758" s="115"/>
      <c r="E758" s="115"/>
      <c r="F758" s="115"/>
      <c r="G758" s="99"/>
      <c r="H758" s="98"/>
      <c r="I758" s="100"/>
      <c r="J758" s="100"/>
      <c r="K758" s="100"/>
      <c r="L758" s="101"/>
      <c r="M758" s="101"/>
      <c r="N758" s="112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</row>
    <row r="759" spans="1:29" ht="13">
      <c r="A759" s="115"/>
      <c r="B759" s="97"/>
      <c r="C759" s="115"/>
      <c r="D759" s="115"/>
      <c r="E759" s="115"/>
      <c r="F759" s="115"/>
      <c r="G759" s="99"/>
      <c r="H759" s="98"/>
      <c r="I759" s="100"/>
      <c r="J759" s="100"/>
      <c r="K759" s="100"/>
      <c r="L759" s="101"/>
      <c r="M759" s="101"/>
      <c r="N759" s="112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</row>
    <row r="760" spans="1:29" ht="13">
      <c r="A760" s="115"/>
      <c r="B760" s="97"/>
      <c r="C760" s="115"/>
      <c r="D760" s="115"/>
      <c r="E760" s="115"/>
      <c r="F760" s="115"/>
      <c r="G760" s="99"/>
      <c r="H760" s="98"/>
      <c r="I760" s="100"/>
      <c r="J760" s="100"/>
      <c r="K760" s="100"/>
      <c r="L760" s="101"/>
      <c r="M760" s="101"/>
      <c r="N760" s="112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</row>
    <row r="761" spans="1:29" ht="13">
      <c r="A761" s="115"/>
      <c r="B761" s="97"/>
      <c r="C761" s="115"/>
      <c r="D761" s="115"/>
      <c r="E761" s="115"/>
      <c r="F761" s="115"/>
      <c r="G761" s="99"/>
      <c r="H761" s="98"/>
      <c r="I761" s="100"/>
      <c r="J761" s="100"/>
      <c r="K761" s="100"/>
      <c r="L761" s="101"/>
      <c r="M761" s="101"/>
      <c r="N761" s="112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</row>
    <row r="762" spans="1:29" ht="13">
      <c r="A762" s="115"/>
      <c r="B762" s="97"/>
      <c r="C762" s="115"/>
      <c r="D762" s="115"/>
      <c r="E762" s="115"/>
      <c r="F762" s="115"/>
      <c r="G762" s="99"/>
      <c r="H762" s="98"/>
      <c r="I762" s="100"/>
      <c r="J762" s="100"/>
      <c r="K762" s="100"/>
      <c r="L762" s="101"/>
      <c r="M762" s="101"/>
      <c r="N762" s="112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</row>
    <row r="763" spans="1:29" ht="13">
      <c r="A763" s="115"/>
      <c r="B763" s="97"/>
      <c r="C763" s="115"/>
      <c r="D763" s="115"/>
      <c r="E763" s="115"/>
      <c r="F763" s="115"/>
      <c r="G763" s="99"/>
      <c r="H763" s="98"/>
      <c r="I763" s="100"/>
      <c r="J763" s="100"/>
      <c r="K763" s="100"/>
      <c r="L763" s="101"/>
      <c r="M763" s="101"/>
      <c r="N763" s="112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</row>
    <row r="764" spans="1:29" ht="13">
      <c r="A764" s="115"/>
      <c r="B764" s="97"/>
      <c r="C764" s="115"/>
      <c r="D764" s="115"/>
      <c r="E764" s="115"/>
      <c r="F764" s="115"/>
      <c r="G764" s="99"/>
      <c r="H764" s="98"/>
      <c r="I764" s="100"/>
      <c r="J764" s="100"/>
      <c r="K764" s="100"/>
      <c r="L764" s="101"/>
      <c r="M764" s="101"/>
      <c r="N764" s="112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</row>
    <row r="765" spans="1:29" ht="13">
      <c r="A765" s="115"/>
      <c r="B765" s="97"/>
      <c r="C765" s="115"/>
      <c r="D765" s="115"/>
      <c r="E765" s="115"/>
      <c r="F765" s="115"/>
      <c r="G765" s="99"/>
      <c r="H765" s="98"/>
      <c r="I765" s="100"/>
      <c r="J765" s="100"/>
      <c r="K765" s="100"/>
      <c r="L765" s="101"/>
      <c r="M765" s="101"/>
      <c r="N765" s="112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</row>
    <row r="766" spans="1:29" ht="13">
      <c r="A766" s="115"/>
      <c r="B766" s="97"/>
      <c r="C766" s="115"/>
      <c r="D766" s="115"/>
      <c r="E766" s="115"/>
      <c r="F766" s="115"/>
      <c r="G766" s="99"/>
      <c r="H766" s="98"/>
      <c r="I766" s="100"/>
      <c r="J766" s="100"/>
      <c r="K766" s="100"/>
      <c r="L766" s="101"/>
      <c r="M766" s="101"/>
      <c r="N766" s="112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</row>
    <row r="767" spans="1:29" ht="13">
      <c r="A767" s="115"/>
      <c r="B767" s="97"/>
      <c r="C767" s="115"/>
      <c r="D767" s="115"/>
      <c r="E767" s="115"/>
      <c r="F767" s="115"/>
      <c r="G767" s="99"/>
      <c r="H767" s="98"/>
      <c r="I767" s="100"/>
      <c r="J767" s="100"/>
      <c r="K767" s="100"/>
      <c r="L767" s="101"/>
      <c r="M767" s="101"/>
      <c r="N767" s="112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</row>
    <row r="768" spans="1:29" ht="13">
      <c r="A768" s="115"/>
      <c r="B768" s="97"/>
      <c r="C768" s="115"/>
      <c r="D768" s="115"/>
      <c r="E768" s="115"/>
      <c r="F768" s="115"/>
      <c r="G768" s="99"/>
      <c r="H768" s="98"/>
      <c r="I768" s="100"/>
      <c r="J768" s="100"/>
      <c r="K768" s="100"/>
      <c r="L768" s="101"/>
      <c r="M768" s="101"/>
      <c r="N768" s="112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</row>
    <row r="769" spans="1:29" ht="13">
      <c r="A769" s="115"/>
      <c r="B769" s="97"/>
      <c r="C769" s="115"/>
      <c r="D769" s="115"/>
      <c r="E769" s="115"/>
      <c r="F769" s="115"/>
      <c r="G769" s="99"/>
      <c r="H769" s="98"/>
      <c r="I769" s="100"/>
      <c r="J769" s="100"/>
      <c r="K769" s="100"/>
      <c r="L769" s="101"/>
      <c r="M769" s="101"/>
      <c r="N769" s="112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</row>
    <row r="770" spans="1:29" ht="13">
      <c r="A770" s="115"/>
      <c r="B770" s="97"/>
      <c r="C770" s="115"/>
      <c r="D770" s="115"/>
      <c r="E770" s="115"/>
      <c r="F770" s="115"/>
      <c r="G770" s="99"/>
      <c r="H770" s="98"/>
      <c r="I770" s="100"/>
      <c r="J770" s="100"/>
      <c r="K770" s="100"/>
      <c r="L770" s="101"/>
      <c r="M770" s="101"/>
      <c r="N770" s="112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</row>
    <row r="771" spans="1:29" ht="13">
      <c r="A771" s="115"/>
      <c r="B771" s="97"/>
      <c r="C771" s="115"/>
      <c r="D771" s="115"/>
      <c r="E771" s="115"/>
      <c r="F771" s="115"/>
      <c r="G771" s="99"/>
      <c r="H771" s="98"/>
      <c r="I771" s="100"/>
      <c r="J771" s="100"/>
      <c r="K771" s="100"/>
      <c r="L771" s="101"/>
      <c r="M771" s="101"/>
      <c r="N771" s="112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</row>
    <row r="772" spans="1:29" ht="13">
      <c r="A772" s="115"/>
      <c r="B772" s="97"/>
      <c r="C772" s="115"/>
      <c r="D772" s="115"/>
      <c r="E772" s="115"/>
      <c r="F772" s="115"/>
      <c r="G772" s="99"/>
      <c r="H772" s="98"/>
      <c r="I772" s="100"/>
      <c r="J772" s="100"/>
      <c r="K772" s="100"/>
      <c r="L772" s="101"/>
      <c r="M772" s="101"/>
      <c r="N772" s="112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</row>
    <row r="773" spans="1:29" ht="13">
      <c r="A773" s="115"/>
      <c r="B773" s="97"/>
      <c r="C773" s="115"/>
      <c r="D773" s="115"/>
      <c r="E773" s="115"/>
      <c r="F773" s="115"/>
      <c r="G773" s="99"/>
      <c r="H773" s="98"/>
      <c r="I773" s="100"/>
      <c r="J773" s="100"/>
      <c r="K773" s="100"/>
      <c r="L773" s="101"/>
      <c r="M773" s="101"/>
      <c r="N773" s="112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</row>
    <row r="774" spans="1:29" ht="13">
      <c r="A774" s="115"/>
      <c r="B774" s="97"/>
      <c r="C774" s="115"/>
      <c r="D774" s="115"/>
      <c r="E774" s="115"/>
      <c r="F774" s="115"/>
      <c r="G774" s="99"/>
      <c r="H774" s="98"/>
      <c r="I774" s="100"/>
      <c r="J774" s="100"/>
      <c r="K774" s="100"/>
      <c r="L774" s="101"/>
      <c r="M774" s="101"/>
      <c r="N774" s="112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</row>
    <row r="775" spans="1:29" ht="13">
      <c r="A775" s="115"/>
      <c r="B775" s="97"/>
      <c r="C775" s="115"/>
      <c r="D775" s="115"/>
      <c r="E775" s="115"/>
      <c r="F775" s="115"/>
      <c r="G775" s="99"/>
      <c r="H775" s="98"/>
      <c r="I775" s="100"/>
      <c r="J775" s="100"/>
      <c r="K775" s="100"/>
      <c r="L775" s="101"/>
      <c r="M775" s="101"/>
      <c r="N775" s="112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</row>
    <row r="776" spans="1:29" ht="13">
      <c r="A776" s="115"/>
      <c r="B776" s="97"/>
      <c r="C776" s="115"/>
      <c r="D776" s="115"/>
      <c r="E776" s="115"/>
      <c r="F776" s="115"/>
      <c r="G776" s="99"/>
      <c r="H776" s="98"/>
      <c r="I776" s="100"/>
      <c r="J776" s="100"/>
      <c r="K776" s="100"/>
      <c r="L776" s="101"/>
      <c r="M776" s="101"/>
      <c r="N776" s="112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</row>
    <row r="777" spans="1:29" ht="13">
      <c r="A777" s="115"/>
      <c r="B777" s="97"/>
      <c r="C777" s="115"/>
      <c r="D777" s="115"/>
      <c r="E777" s="115"/>
      <c r="F777" s="115"/>
      <c r="G777" s="99"/>
      <c r="H777" s="98"/>
      <c r="I777" s="100"/>
      <c r="J777" s="100"/>
      <c r="K777" s="100"/>
      <c r="L777" s="101"/>
      <c r="M777" s="101"/>
      <c r="N777" s="112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</row>
    <row r="778" spans="1:29" ht="13">
      <c r="A778" s="115"/>
      <c r="B778" s="97"/>
      <c r="C778" s="115"/>
      <c r="D778" s="115"/>
      <c r="E778" s="115"/>
      <c r="F778" s="115"/>
      <c r="G778" s="99"/>
      <c r="H778" s="98"/>
      <c r="I778" s="100"/>
      <c r="J778" s="100"/>
      <c r="K778" s="100"/>
      <c r="L778" s="101"/>
      <c r="M778" s="101"/>
      <c r="N778" s="112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</row>
    <row r="779" spans="1:29" ht="13">
      <c r="A779" s="115"/>
      <c r="B779" s="97"/>
      <c r="C779" s="115"/>
      <c r="D779" s="115"/>
      <c r="E779" s="115"/>
      <c r="F779" s="115"/>
      <c r="G779" s="99"/>
      <c r="H779" s="98"/>
      <c r="I779" s="100"/>
      <c r="J779" s="100"/>
      <c r="K779" s="100"/>
      <c r="L779" s="101"/>
      <c r="M779" s="101"/>
      <c r="N779" s="112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</row>
    <row r="780" spans="1:29" ht="13">
      <c r="A780" s="115"/>
      <c r="B780" s="97"/>
      <c r="C780" s="115"/>
      <c r="D780" s="115"/>
      <c r="E780" s="115"/>
      <c r="F780" s="115"/>
      <c r="G780" s="99"/>
      <c r="H780" s="98"/>
      <c r="I780" s="100"/>
      <c r="J780" s="100"/>
      <c r="K780" s="100"/>
      <c r="L780" s="101"/>
      <c r="M780" s="101"/>
      <c r="N780" s="112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</row>
    <row r="781" spans="1:29" ht="13">
      <c r="A781" s="115"/>
      <c r="B781" s="97"/>
      <c r="C781" s="115"/>
      <c r="D781" s="115"/>
      <c r="E781" s="115"/>
      <c r="F781" s="115"/>
      <c r="G781" s="99"/>
      <c r="H781" s="98"/>
      <c r="I781" s="100"/>
      <c r="J781" s="100"/>
      <c r="K781" s="100"/>
      <c r="L781" s="101"/>
      <c r="M781" s="101"/>
      <c r="N781" s="112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</row>
    <row r="782" spans="1:29" ht="13">
      <c r="A782" s="115"/>
      <c r="B782" s="97"/>
      <c r="C782" s="115"/>
      <c r="D782" s="115"/>
      <c r="E782" s="115"/>
      <c r="F782" s="115"/>
      <c r="G782" s="99"/>
      <c r="H782" s="98"/>
      <c r="I782" s="100"/>
      <c r="J782" s="100"/>
      <c r="K782" s="100"/>
      <c r="L782" s="101"/>
      <c r="M782" s="101"/>
      <c r="N782" s="112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</row>
    <row r="783" spans="1:29" ht="13">
      <c r="A783" s="115"/>
      <c r="B783" s="97"/>
      <c r="C783" s="115"/>
      <c r="D783" s="115"/>
      <c r="E783" s="115"/>
      <c r="F783" s="115"/>
      <c r="G783" s="99"/>
      <c r="H783" s="98"/>
      <c r="I783" s="100"/>
      <c r="J783" s="100"/>
      <c r="K783" s="100"/>
      <c r="L783" s="101"/>
      <c r="M783" s="101"/>
      <c r="N783" s="112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</row>
    <row r="784" spans="1:29" ht="13">
      <c r="A784" s="115"/>
      <c r="B784" s="97"/>
      <c r="C784" s="115"/>
      <c r="D784" s="115"/>
      <c r="E784" s="115"/>
      <c r="F784" s="115"/>
      <c r="G784" s="99"/>
      <c r="H784" s="98"/>
      <c r="I784" s="100"/>
      <c r="J784" s="100"/>
      <c r="K784" s="100"/>
      <c r="L784" s="101"/>
      <c r="M784" s="101"/>
      <c r="N784" s="112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</row>
    <row r="785" spans="1:29" ht="13">
      <c r="A785" s="115"/>
      <c r="B785" s="97"/>
      <c r="C785" s="115"/>
      <c r="D785" s="115"/>
      <c r="E785" s="115"/>
      <c r="F785" s="115"/>
      <c r="G785" s="99"/>
      <c r="H785" s="98"/>
      <c r="I785" s="100"/>
      <c r="J785" s="100"/>
      <c r="K785" s="100"/>
      <c r="L785" s="101"/>
      <c r="M785" s="101"/>
      <c r="N785" s="112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</row>
    <row r="786" spans="1:29" ht="13">
      <c r="A786" s="115"/>
      <c r="B786" s="97"/>
      <c r="C786" s="115"/>
      <c r="D786" s="115"/>
      <c r="E786" s="115"/>
      <c r="F786" s="115"/>
      <c r="G786" s="99"/>
      <c r="H786" s="98"/>
      <c r="I786" s="100"/>
      <c r="J786" s="100"/>
      <c r="K786" s="100"/>
      <c r="L786" s="101"/>
      <c r="M786" s="101"/>
      <c r="N786" s="112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</row>
    <row r="787" spans="1:29" ht="13">
      <c r="A787" s="115"/>
      <c r="B787" s="97"/>
      <c r="C787" s="115"/>
      <c r="D787" s="115"/>
      <c r="E787" s="115"/>
      <c r="F787" s="115"/>
      <c r="G787" s="99"/>
      <c r="H787" s="98"/>
      <c r="I787" s="100"/>
      <c r="J787" s="100"/>
      <c r="K787" s="100"/>
      <c r="L787" s="101"/>
      <c r="M787" s="101"/>
      <c r="N787" s="112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</row>
    <row r="788" spans="1:29" ht="13">
      <c r="A788" s="115"/>
      <c r="B788" s="97"/>
      <c r="C788" s="115"/>
      <c r="D788" s="115"/>
      <c r="E788" s="115"/>
      <c r="F788" s="115"/>
      <c r="G788" s="99"/>
      <c r="H788" s="98"/>
      <c r="I788" s="100"/>
      <c r="J788" s="100"/>
      <c r="K788" s="100"/>
      <c r="L788" s="101"/>
      <c r="M788" s="101"/>
      <c r="N788" s="112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</row>
    <row r="789" spans="1:29" ht="13">
      <c r="A789" s="115"/>
      <c r="B789" s="97"/>
      <c r="C789" s="115"/>
      <c r="D789" s="115"/>
      <c r="E789" s="115"/>
      <c r="F789" s="115"/>
      <c r="G789" s="99"/>
      <c r="H789" s="98"/>
      <c r="I789" s="100"/>
      <c r="J789" s="100"/>
      <c r="K789" s="100"/>
      <c r="L789" s="101"/>
      <c r="M789" s="101"/>
      <c r="N789" s="112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</row>
    <row r="790" spans="1:29" ht="13">
      <c r="A790" s="115"/>
      <c r="B790" s="97"/>
      <c r="C790" s="115"/>
      <c r="D790" s="115"/>
      <c r="E790" s="115"/>
      <c r="F790" s="115"/>
      <c r="G790" s="99"/>
      <c r="H790" s="98"/>
      <c r="I790" s="100"/>
      <c r="J790" s="100"/>
      <c r="K790" s="100"/>
      <c r="L790" s="101"/>
      <c r="M790" s="101"/>
      <c r="N790" s="112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</row>
    <row r="791" spans="1:29" ht="13">
      <c r="A791" s="115"/>
      <c r="B791" s="97"/>
      <c r="C791" s="115"/>
      <c r="D791" s="115"/>
      <c r="E791" s="115"/>
      <c r="F791" s="115"/>
      <c r="G791" s="99"/>
      <c r="H791" s="98"/>
      <c r="I791" s="100"/>
      <c r="J791" s="100"/>
      <c r="K791" s="100"/>
      <c r="L791" s="101"/>
      <c r="M791" s="101"/>
      <c r="N791" s="112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</row>
    <row r="792" spans="1:29" ht="13">
      <c r="A792" s="115"/>
      <c r="B792" s="97"/>
      <c r="C792" s="115"/>
      <c r="D792" s="115"/>
      <c r="E792" s="115"/>
      <c r="F792" s="115"/>
      <c r="G792" s="99"/>
      <c r="H792" s="98"/>
      <c r="I792" s="100"/>
      <c r="J792" s="100"/>
      <c r="K792" s="100"/>
      <c r="L792" s="101"/>
      <c r="M792" s="101"/>
      <c r="N792" s="112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</row>
    <row r="793" spans="1:29" ht="13">
      <c r="A793" s="115"/>
      <c r="B793" s="97"/>
      <c r="C793" s="115"/>
      <c r="D793" s="115"/>
      <c r="E793" s="115"/>
      <c r="F793" s="115"/>
      <c r="G793" s="99"/>
      <c r="H793" s="98"/>
      <c r="I793" s="100"/>
      <c r="J793" s="100"/>
      <c r="K793" s="100"/>
      <c r="L793" s="101"/>
      <c r="M793" s="101"/>
      <c r="N793" s="112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</row>
    <row r="794" spans="1:29" ht="13">
      <c r="A794" s="115"/>
      <c r="B794" s="97"/>
      <c r="C794" s="115"/>
      <c r="D794" s="115"/>
      <c r="E794" s="115"/>
      <c r="F794" s="115"/>
      <c r="G794" s="99"/>
      <c r="H794" s="98"/>
      <c r="I794" s="100"/>
      <c r="J794" s="100"/>
      <c r="K794" s="100"/>
      <c r="L794" s="101"/>
      <c r="M794" s="101"/>
      <c r="N794" s="112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</row>
    <row r="795" spans="1:29" ht="13">
      <c r="A795" s="115"/>
      <c r="B795" s="97"/>
      <c r="C795" s="115"/>
      <c r="D795" s="115"/>
      <c r="E795" s="115"/>
      <c r="F795" s="115"/>
      <c r="G795" s="99"/>
      <c r="H795" s="98"/>
      <c r="I795" s="100"/>
      <c r="J795" s="100"/>
      <c r="K795" s="100"/>
      <c r="L795" s="101"/>
      <c r="M795" s="101"/>
      <c r="N795" s="112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</row>
    <row r="796" spans="1:29" ht="13">
      <c r="A796" s="115"/>
      <c r="B796" s="97"/>
      <c r="C796" s="115"/>
      <c r="D796" s="115"/>
      <c r="E796" s="115"/>
      <c r="F796" s="115"/>
      <c r="G796" s="99"/>
      <c r="H796" s="98"/>
      <c r="I796" s="100"/>
      <c r="J796" s="100"/>
      <c r="K796" s="100"/>
      <c r="L796" s="101"/>
      <c r="M796" s="101"/>
      <c r="N796" s="112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</row>
    <row r="797" spans="1:29" ht="13">
      <c r="A797" s="115"/>
      <c r="B797" s="97"/>
      <c r="C797" s="115"/>
      <c r="D797" s="115"/>
      <c r="E797" s="115"/>
      <c r="F797" s="115"/>
      <c r="G797" s="99"/>
      <c r="H797" s="98"/>
      <c r="I797" s="100"/>
      <c r="J797" s="100"/>
      <c r="K797" s="100"/>
      <c r="L797" s="101"/>
      <c r="M797" s="101"/>
      <c r="N797" s="112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</row>
    <row r="798" spans="1:29" ht="13">
      <c r="A798" s="115"/>
      <c r="B798" s="97"/>
      <c r="C798" s="115"/>
      <c r="D798" s="115"/>
      <c r="E798" s="115"/>
      <c r="F798" s="115"/>
      <c r="G798" s="99"/>
      <c r="H798" s="98"/>
      <c r="I798" s="100"/>
      <c r="J798" s="100"/>
      <c r="K798" s="100"/>
      <c r="L798" s="101"/>
      <c r="M798" s="101"/>
      <c r="N798" s="112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</row>
    <row r="799" spans="1:29" ht="13">
      <c r="A799" s="115"/>
      <c r="B799" s="97"/>
      <c r="C799" s="115"/>
      <c r="D799" s="115"/>
      <c r="E799" s="115"/>
      <c r="F799" s="115"/>
      <c r="G799" s="99"/>
      <c r="H799" s="98"/>
      <c r="I799" s="100"/>
      <c r="J799" s="100"/>
      <c r="K799" s="100"/>
      <c r="L799" s="101"/>
      <c r="M799" s="101"/>
      <c r="N799" s="112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</row>
    <row r="800" spans="1:29" ht="13">
      <c r="A800" s="115"/>
      <c r="B800" s="97"/>
      <c r="C800" s="115"/>
      <c r="D800" s="115"/>
      <c r="E800" s="115"/>
      <c r="F800" s="115"/>
      <c r="G800" s="99"/>
      <c r="H800" s="98"/>
      <c r="I800" s="100"/>
      <c r="J800" s="100"/>
      <c r="K800" s="100"/>
      <c r="L800" s="101"/>
      <c r="M800" s="101"/>
      <c r="N800" s="112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</row>
    <row r="801" spans="1:29" ht="13">
      <c r="A801" s="115"/>
      <c r="B801" s="97"/>
      <c r="C801" s="115"/>
      <c r="D801" s="115"/>
      <c r="E801" s="115"/>
      <c r="F801" s="115"/>
      <c r="G801" s="99"/>
      <c r="H801" s="98"/>
      <c r="I801" s="100"/>
      <c r="J801" s="100"/>
      <c r="K801" s="100"/>
      <c r="L801" s="101"/>
      <c r="M801" s="101"/>
      <c r="N801" s="112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</row>
    <row r="802" spans="1:29" ht="13">
      <c r="A802" s="115"/>
      <c r="B802" s="97"/>
      <c r="C802" s="115"/>
      <c r="D802" s="115"/>
      <c r="E802" s="115"/>
      <c r="F802" s="115"/>
      <c r="G802" s="99"/>
      <c r="H802" s="98"/>
      <c r="I802" s="100"/>
      <c r="J802" s="100"/>
      <c r="K802" s="100"/>
      <c r="L802" s="101"/>
      <c r="M802" s="101"/>
      <c r="N802" s="112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</row>
    <row r="803" spans="1:29" ht="13">
      <c r="A803" s="115"/>
      <c r="B803" s="97"/>
      <c r="C803" s="115"/>
      <c r="D803" s="115"/>
      <c r="E803" s="115"/>
      <c r="F803" s="115"/>
      <c r="G803" s="99"/>
      <c r="H803" s="98"/>
      <c r="I803" s="100"/>
      <c r="J803" s="100"/>
      <c r="K803" s="100"/>
      <c r="L803" s="101"/>
      <c r="M803" s="101"/>
      <c r="N803" s="112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</row>
    <row r="804" spans="1:29" ht="13">
      <c r="A804" s="115"/>
      <c r="B804" s="97"/>
      <c r="C804" s="115"/>
      <c r="D804" s="115"/>
      <c r="E804" s="115"/>
      <c r="F804" s="115"/>
      <c r="G804" s="99"/>
      <c r="H804" s="98"/>
      <c r="I804" s="100"/>
      <c r="J804" s="100"/>
      <c r="K804" s="100"/>
      <c r="L804" s="101"/>
      <c r="M804" s="101"/>
      <c r="N804" s="112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</row>
    <row r="805" spans="1:29" ht="13">
      <c r="A805" s="115"/>
      <c r="B805" s="97"/>
      <c r="C805" s="115"/>
      <c r="D805" s="115"/>
      <c r="E805" s="115"/>
      <c r="F805" s="115"/>
      <c r="G805" s="99"/>
      <c r="H805" s="98"/>
      <c r="I805" s="100"/>
      <c r="J805" s="100"/>
      <c r="K805" s="100"/>
      <c r="L805" s="101"/>
      <c r="M805" s="101"/>
      <c r="N805" s="112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</row>
    <row r="806" spans="1:29" ht="13">
      <c r="A806" s="115"/>
      <c r="B806" s="97"/>
      <c r="C806" s="115"/>
      <c r="D806" s="115"/>
      <c r="E806" s="115"/>
      <c r="F806" s="115"/>
      <c r="G806" s="99"/>
      <c r="H806" s="98"/>
      <c r="I806" s="100"/>
      <c r="J806" s="100"/>
      <c r="K806" s="100"/>
      <c r="L806" s="101"/>
      <c r="M806" s="101"/>
      <c r="N806" s="112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</row>
    <row r="807" spans="1:29" ht="13">
      <c r="A807" s="115"/>
      <c r="B807" s="97"/>
      <c r="C807" s="115"/>
      <c r="D807" s="115"/>
      <c r="E807" s="115"/>
      <c r="F807" s="115"/>
      <c r="G807" s="99"/>
      <c r="H807" s="98"/>
      <c r="I807" s="100"/>
      <c r="J807" s="100"/>
      <c r="K807" s="100"/>
      <c r="L807" s="101"/>
      <c r="M807" s="101"/>
      <c r="N807" s="112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</row>
    <row r="808" spans="1:29" ht="13">
      <c r="A808" s="115"/>
      <c r="B808" s="97"/>
      <c r="C808" s="115"/>
      <c r="D808" s="115"/>
      <c r="E808" s="115"/>
      <c r="F808" s="115"/>
      <c r="G808" s="99"/>
      <c r="H808" s="98"/>
      <c r="I808" s="100"/>
      <c r="J808" s="100"/>
      <c r="K808" s="100"/>
      <c r="L808" s="101"/>
      <c r="M808" s="101"/>
      <c r="N808" s="112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</row>
    <row r="809" spans="1:29" ht="13">
      <c r="A809" s="115"/>
      <c r="B809" s="97"/>
      <c r="C809" s="115"/>
      <c r="D809" s="115"/>
      <c r="E809" s="115"/>
      <c r="F809" s="115"/>
      <c r="G809" s="99"/>
      <c r="H809" s="98"/>
      <c r="I809" s="100"/>
      <c r="J809" s="100"/>
      <c r="K809" s="100"/>
      <c r="L809" s="101"/>
      <c r="M809" s="101"/>
      <c r="N809" s="112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</row>
    <row r="810" spans="1:29" ht="13">
      <c r="A810" s="115"/>
      <c r="B810" s="97"/>
      <c r="C810" s="115"/>
      <c r="D810" s="115"/>
      <c r="E810" s="115"/>
      <c r="F810" s="115"/>
      <c r="G810" s="99"/>
      <c r="H810" s="98"/>
      <c r="I810" s="100"/>
      <c r="J810" s="100"/>
      <c r="K810" s="100"/>
      <c r="L810" s="101"/>
      <c r="M810" s="101"/>
      <c r="N810" s="112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</row>
    <row r="811" spans="1:29" ht="13">
      <c r="A811" s="115"/>
      <c r="B811" s="97"/>
      <c r="C811" s="115"/>
      <c r="D811" s="115"/>
      <c r="E811" s="115"/>
      <c r="F811" s="115"/>
      <c r="G811" s="99"/>
      <c r="H811" s="98"/>
      <c r="I811" s="100"/>
      <c r="J811" s="100"/>
      <c r="K811" s="100"/>
      <c r="L811" s="101"/>
      <c r="M811" s="101"/>
      <c r="N811" s="112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</row>
    <row r="812" spans="1:29" ht="13">
      <c r="A812" s="115"/>
      <c r="B812" s="97"/>
      <c r="C812" s="115"/>
      <c r="D812" s="115"/>
      <c r="E812" s="115"/>
      <c r="F812" s="115"/>
      <c r="G812" s="99"/>
      <c r="H812" s="98"/>
      <c r="I812" s="100"/>
      <c r="J812" s="100"/>
      <c r="K812" s="100"/>
      <c r="L812" s="101"/>
      <c r="M812" s="101"/>
      <c r="N812" s="112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</row>
    <row r="813" spans="1:29" ht="13">
      <c r="A813" s="115"/>
      <c r="B813" s="97"/>
      <c r="C813" s="115"/>
      <c r="D813" s="115"/>
      <c r="E813" s="115"/>
      <c r="F813" s="115"/>
      <c r="G813" s="99"/>
      <c r="H813" s="98"/>
      <c r="I813" s="100"/>
      <c r="J813" s="100"/>
      <c r="K813" s="100"/>
      <c r="L813" s="101"/>
      <c r="M813" s="101"/>
      <c r="N813" s="112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</row>
    <row r="814" spans="1:29" ht="13">
      <c r="A814" s="115"/>
      <c r="B814" s="97"/>
      <c r="C814" s="115"/>
      <c r="D814" s="115"/>
      <c r="E814" s="115"/>
      <c r="F814" s="115"/>
      <c r="G814" s="99"/>
      <c r="H814" s="98"/>
      <c r="I814" s="100"/>
      <c r="J814" s="100"/>
      <c r="K814" s="100"/>
      <c r="L814" s="101"/>
      <c r="M814" s="101"/>
      <c r="N814" s="112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</row>
    <row r="815" spans="1:29" ht="13">
      <c r="A815" s="115"/>
      <c r="B815" s="97"/>
      <c r="C815" s="115"/>
      <c r="D815" s="115"/>
      <c r="E815" s="115"/>
      <c r="F815" s="115"/>
      <c r="G815" s="99"/>
      <c r="H815" s="98"/>
      <c r="I815" s="100"/>
      <c r="J815" s="100"/>
      <c r="K815" s="100"/>
      <c r="L815" s="101"/>
      <c r="M815" s="101"/>
      <c r="N815" s="112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</row>
    <row r="816" spans="1:29" ht="13">
      <c r="A816" s="115"/>
      <c r="B816" s="97"/>
      <c r="C816" s="115"/>
      <c r="D816" s="115"/>
      <c r="E816" s="115"/>
      <c r="F816" s="115"/>
      <c r="G816" s="99"/>
      <c r="H816" s="98"/>
      <c r="I816" s="100"/>
      <c r="J816" s="100"/>
      <c r="K816" s="100"/>
      <c r="L816" s="101"/>
      <c r="M816" s="101"/>
      <c r="N816" s="112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</row>
    <row r="817" spans="1:29" ht="13">
      <c r="A817" s="115"/>
      <c r="B817" s="97"/>
      <c r="C817" s="115"/>
      <c r="D817" s="115"/>
      <c r="E817" s="115"/>
      <c r="F817" s="115"/>
      <c r="G817" s="99"/>
      <c r="H817" s="98"/>
      <c r="I817" s="100"/>
      <c r="J817" s="100"/>
      <c r="K817" s="100"/>
      <c r="L817" s="101"/>
      <c r="M817" s="101"/>
      <c r="N817" s="112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</row>
    <row r="818" spans="1:29" ht="13">
      <c r="A818" s="115"/>
      <c r="B818" s="97"/>
      <c r="C818" s="115"/>
      <c r="D818" s="115"/>
      <c r="E818" s="115"/>
      <c r="F818" s="115"/>
      <c r="G818" s="99"/>
      <c r="H818" s="98"/>
      <c r="I818" s="100"/>
      <c r="J818" s="100"/>
      <c r="K818" s="100"/>
      <c r="L818" s="101"/>
      <c r="M818" s="101"/>
      <c r="N818" s="112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</row>
    <row r="819" spans="1:29" ht="13">
      <c r="A819" s="115"/>
      <c r="B819" s="97"/>
      <c r="C819" s="115"/>
      <c r="D819" s="115"/>
      <c r="E819" s="115"/>
      <c r="F819" s="115"/>
      <c r="G819" s="99"/>
      <c r="H819" s="98"/>
      <c r="I819" s="100"/>
      <c r="J819" s="100"/>
      <c r="K819" s="100"/>
      <c r="L819" s="101"/>
      <c r="M819" s="101"/>
      <c r="N819" s="112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</row>
    <row r="820" spans="1:29" ht="13">
      <c r="A820" s="115"/>
      <c r="B820" s="97"/>
      <c r="C820" s="115"/>
      <c r="D820" s="115"/>
      <c r="E820" s="115"/>
      <c r="F820" s="115"/>
      <c r="G820" s="99"/>
      <c r="H820" s="98"/>
      <c r="I820" s="100"/>
      <c r="J820" s="100"/>
      <c r="K820" s="100"/>
      <c r="L820" s="101"/>
      <c r="M820" s="101"/>
      <c r="N820" s="112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</row>
    <row r="821" spans="1:29" ht="13">
      <c r="A821" s="115"/>
      <c r="B821" s="97"/>
      <c r="C821" s="115"/>
      <c r="D821" s="115"/>
      <c r="E821" s="115"/>
      <c r="F821" s="115"/>
      <c r="G821" s="99"/>
      <c r="H821" s="98"/>
      <c r="I821" s="100"/>
      <c r="J821" s="100"/>
      <c r="K821" s="100"/>
      <c r="L821" s="101"/>
      <c r="M821" s="101"/>
      <c r="N821" s="112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</row>
    <row r="822" spans="1:29" ht="13">
      <c r="A822" s="115"/>
      <c r="B822" s="97"/>
      <c r="C822" s="115"/>
      <c r="D822" s="115"/>
      <c r="E822" s="115"/>
      <c r="F822" s="115"/>
      <c r="G822" s="99"/>
      <c r="H822" s="98"/>
      <c r="I822" s="100"/>
      <c r="J822" s="100"/>
      <c r="K822" s="100"/>
      <c r="L822" s="101"/>
      <c r="M822" s="101"/>
      <c r="N822" s="112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</row>
    <row r="823" spans="1:29" ht="13">
      <c r="A823" s="115"/>
      <c r="B823" s="97"/>
      <c r="C823" s="115"/>
      <c r="D823" s="115"/>
      <c r="E823" s="115"/>
      <c r="F823" s="115"/>
      <c r="G823" s="99"/>
      <c r="H823" s="98"/>
      <c r="I823" s="100"/>
      <c r="J823" s="100"/>
      <c r="K823" s="100"/>
      <c r="L823" s="101"/>
      <c r="M823" s="101"/>
      <c r="N823" s="112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</row>
    <row r="824" spans="1:29" ht="13">
      <c r="A824" s="115"/>
      <c r="B824" s="97"/>
      <c r="C824" s="115"/>
      <c r="D824" s="115"/>
      <c r="E824" s="115"/>
      <c r="F824" s="115"/>
      <c r="G824" s="99"/>
      <c r="H824" s="98"/>
      <c r="I824" s="100"/>
      <c r="J824" s="100"/>
      <c r="K824" s="100"/>
      <c r="L824" s="101"/>
      <c r="M824" s="101"/>
      <c r="N824" s="112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</row>
    <row r="825" spans="1:29" ht="13">
      <c r="A825" s="115"/>
      <c r="B825" s="97"/>
      <c r="C825" s="115"/>
      <c r="D825" s="115"/>
      <c r="E825" s="115"/>
      <c r="F825" s="115"/>
      <c r="G825" s="99"/>
      <c r="H825" s="98"/>
      <c r="I825" s="100"/>
      <c r="J825" s="100"/>
      <c r="K825" s="100"/>
      <c r="L825" s="101"/>
      <c r="M825" s="101"/>
      <c r="N825" s="112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</row>
    <row r="826" spans="1:29" ht="13">
      <c r="A826" s="115"/>
      <c r="B826" s="97"/>
      <c r="C826" s="115"/>
      <c r="D826" s="115"/>
      <c r="E826" s="115"/>
      <c r="F826" s="115"/>
      <c r="G826" s="99"/>
      <c r="H826" s="98"/>
      <c r="I826" s="100"/>
      <c r="J826" s="100"/>
      <c r="K826" s="100"/>
      <c r="L826" s="101"/>
      <c r="M826" s="101"/>
      <c r="N826" s="112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</row>
    <row r="827" spans="1:29" ht="13">
      <c r="A827" s="115"/>
      <c r="B827" s="97"/>
      <c r="C827" s="115"/>
      <c r="D827" s="115"/>
      <c r="E827" s="115"/>
      <c r="F827" s="115"/>
      <c r="G827" s="99"/>
      <c r="H827" s="98"/>
      <c r="I827" s="100"/>
      <c r="J827" s="100"/>
      <c r="K827" s="100"/>
      <c r="L827" s="101"/>
      <c r="M827" s="101"/>
      <c r="N827" s="112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</row>
    <row r="828" spans="1:29" ht="13">
      <c r="A828" s="115"/>
      <c r="B828" s="97"/>
      <c r="C828" s="115"/>
      <c r="D828" s="115"/>
      <c r="E828" s="115"/>
      <c r="F828" s="115"/>
      <c r="G828" s="99"/>
      <c r="H828" s="98"/>
      <c r="I828" s="100"/>
      <c r="J828" s="100"/>
      <c r="K828" s="100"/>
      <c r="L828" s="101"/>
      <c r="M828" s="101"/>
      <c r="N828" s="112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</row>
    <row r="829" spans="1:29" ht="13">
      <c r="A829" s="115"/>
      <c r="B829" s="97"/>
      <c r="C829" s="115"/>
      <c r="D829" s="115"/>
      <c r="E829" s="115"/>
      <c r="F829" s="115"/>
      <c r="G829" s="99"/>
      <c r="H829" s="98"/>
      <c r="I829" s="100"/>
      <c r="J829" s="100"/>
      <c r="K829" s="100"/>
      <c r="L829" s="101"/>
      <c r="M829" s="101"/>
      <c r="N829" s="112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</row>
    <row r="830" spans="1:29" ht="13">
      <c r="A830" s="115"/>
      <c r="B830" s="97"/>
      <c r="C830" s="115"/>
      <c r="D830" s="115"/>
      <c r="E830" s="115"/>
      <c r="F830" s="115"/>
      <c r="G830" s="99"/>
      <c r="H830" s="98"/>
      <c r="I830" s="100"/>
      <c r="J830" s="100"/>
      <c r="K830" s="100"/>
      <c r="L830" s="101"/>
      <c r="M830" s="101"/>
      <c r="N830" s="112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</row>
    <row r="831" spans="1:29" ht="13">
      <c r="A831" s="115"/>
      <c r="B831" s="97"/>
      <c r="C831" s="115"/>
      <c r="D831" s="115"/>
      <c r="E831" s="115"/>
      <c r="F831" s="115"/>
      <c r="G831" s="99"/>
      <c r="H831" s="98"/>
      <c r="I831" s="100"/>
      <c r="J831" s="100"/>
      <c r="K831" s="100"/>
      <c r="L831" s="101"/>
      <c r="M831" s="101"/>
      <c r="N831" s="112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</row>
    <row r="832" spans="1:29" ht="13">
      <c r="A832" s="115"/>
      <c r="B832" s="97"/>
      <c r="C832" s="115"/>
      <c r="D832" s="115"/>
      <c r="E832" s="115"/>
      <c r="F832" s="115"/>
      <c r="G832" s="99"/>
      <c r="H832" s="98"/>
      <c r="I832" s="100"/>
      <c r="J832" s="100"/>
      <c r="K832" s="100"/>
      <c r="L832" s="101"/>
      <c r="M832" s="101"/>
      <c r="N832" s="112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</row>
    <row r="833" spans="1:29" ht="13">
      <c r="A833" s="115"/>
      <c r="B833" s="97"/>
      <c r="C833" s="115"/>
      <c r="D833" s="115"/>
      <c r="E833" s="115"/>
      <c r="F833" s="115"/>
      <c r="G833" s="99"/>
      <c r="H833" s="98"/>
      <c r="I833" s="100"/>
      <c r="J833" s="100"/>
      <c r="K833" s="100"/>
      <c r="L833" s="101"/>
      <c r="M833" s="101"/>
      <c r="N833" s="112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</row>
    <row r="834" spans="1:29" ht="13">
      <c r="A834" s="115"/>
      <c r="B834" s="97"/>
      <c r="C834" s="115"/>
      <c r="D834" s="115"/>
      <c r="E834" s="115"/>
      <c r="F834" s="115"/>
      <c r="G834" s="99"/>
      <c r="H834" s="98"/>
      <c r="I834" s="100"/>
      <c r="J834" s="100"/>
      <c r="K834" s="100"/>
      <c r="L834" s="101"/>
      <c r="M834" s="101"/>
      <c r="N834" s="112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</row>
    <row r="835" spans="1:29" ht="13">
      <c r="A835" s="115"/>
      <c r="B835" s="97"/>
      <c r="C835" s="115"/>
      <c r="D835" s="115"/>
      <c r="E835" s="115"/>
      <c r="F835" s="115"/>
      <c r="G835" s="99"/>
      <c r="H835" s="98"/>
      <c r="I835" s="100"/>
      <c r="J835" s="100"/>
      <c r="K835" s="100"/>
      <c r="L835" s="101"/>
      <c r="M835" s="101"/>
      <c r="N835" s="112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</row>
    <row r="836" spans="1:29" ht="13">
      <c r="A836" s="115"/>
      <c r="B836" s="97"/>
      <c r="C836" s="115"/>
      <c r="D836" s="115"/>
      <c r="E836" s="115"/>
      <c r="F836" s="115"/>
      <c r="G836" s="99"/>
      <c r="H836" s="98"/>
      <c r="I836" s="100"/>
      <c r="J836" s="100"/>
      <c r="K836" s="100"/>
      <c r="L836" s="101"/>
      <c r="M836" s="101"/>
      <c r="N836" s="112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</row>
    <row r="837" spans="1:29" ht="13">
      <c r="A837" s="115"/>
      <c r="B837" s="97"/>
      <c r="C837" s="115"/>
      <c r="D837" s="115"/>
      <c r="E837" s="115"/>
      <c r="F837" s="115"/>
      <c r="G837" s="99"/>
      <c r="H837" s="98"/>
      <c r="I837" s="100"/>
      <c r="J837" s="100"/>
      <c r="K837" s="100"/>
      <c r="L837" s="101"/>
      <c r="M837" s="101"/>
      <c r="N837" s="112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</row>
    <row r="838" spans="1:29" ht="13">
      <c r="A838" s="115"/>
      <c r="B838" s="97"/>
      <c r="C838" s="115"/>
      <c r="D838" s="115"/>
      <c r="E838" s="115"/>
      <c r="F838" s="115"/>
      <c r="G838" s="99"/>
      <c r="H838" s="98"/>
      <c r="I838" s="100"/>
      <c r="J838" s="100"/>
      <c r="K838" s="100"/>
      <c r="L838" s="101"/>
      <c r="M838" s="101"/>
      <c r="N838" s="112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</row>
    <row r="839" spans="1:29" ht="13">
      <c r="A839" s="115"/>
      <c r="B839" s="97"/>
      <c r="C839" s="115"/>
      <c r="D839" s="115"/>
      <c r="E839" s="115"/>
      <c r="F839" s="115"/>
      <c r="G839" s="99"/>
      <c r="H839" s="98"/>
      <c r="I839" s="100"/>
      <c r="J839" s="100"/>
      <c r="K839" s="100"/>
      <c r="L839" s="101"/>
      <c r="M839" s="101"/>
      <c r="N839" s="112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</row>
    <row r="840" spans="1:29" ht="13">
      <c r="A840" s="115"/>
      <c r="B840" s="97"/>
      <c r="C840" s="115"/>
      <c r="D840" s="115"/>
      <c r="E840" s="115"/>
      <c r="F840" s="115"/>
      <c r="G840" s="99"/>
      <c r="H840" s="98"/>
      <c r="I840" s="100"/>
      <c r="J840" s="100"/>
      <c r="K840" s="100"/>
      <c r="L840" s="101"/>
      <c r="M840" s="101"/>
      <c r="N840" s="112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</row>
    <row r="841" spans="1:29" ht="13">
      <c r="A841" s="115"/>
      <c r="B841" s="97"/>
      <c r="C841" s="115"/>
      <c r="D841" s="115"/>
      <c r="E841" s="115"/>
      <c r="F841" s="115"/>
      <c r="G841" s="99"/>
      <c r="H841" s="98"/>
      <c r="I841" s="100"/>
      <c r="J841" s="100"/>
      <c r="K841" s="100"/>
      <c r="L841" s="101"/>
      <c r="M841" s="101"/>
      <c r="N841" s="112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</row>
    <row r="842" spans="1:29" ht="13">
      <c r="A842" s="115"/>
      <c r="B842" s="97"/>
      <c r="C842" s="115"/>
      <c r="D842" s="115"/>
      <c r="E842" s="115"/>
      <c r="F842" s="115"/>
      <c r="G842" s="99"/>
      <c r="H842" s="98"/>
      <c r="I842" s="100"/>
      <c r="J842" s="100"/>
      <c r="K842" s="100"/>
      <c r="L842" s="101"/>
      <c r="M842" s="101"/>
      <c r="N842" s="112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</row>
    <row r="843" spans="1:29" ht="13">
      <c r="A843" s="115"/>
      <c r="B843" s="97"/>
      <c r="C843" s="115"/>
      <c r="D843" s="115"/>
      <c r="E843" s="115"/>
      <c r="F843" s="115"/>
      <c r="G843" s="99"/>
      <c r="H843" s="98"/>
      <c r="I843" s="100"/>
      <c r="J843" s="100"/>
      <c r="K843" s="100"/>
      <c r="L843" s="101"/>
      <c r="M843" s="101"/>
      <c r="N843" s="112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</row>
    <row r="844" spans="1:29" ht="13">
      <c r="A844" s="115"/>
      <c r="B844" s="97"/>
      <c r="C844" s="115"/>
      <c r="D844" s="115"/>
      <c r="E844" s="115"/>
      <c r="F844" s="115"/>
      <c r="G844" s="99"/>
      <c r="H844" s="98"/>
      <c r="I844" s="100"/>
      <c r="J844" s="100"/>
      <c r="K844" s="100"/>
      <c r="L844" s="101"/>
      <c r="M844" s="101"/>
      <c r="N844" s="112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</row>
    <row r="845" spans="1:29" ht="13">
      <c r="A845" s="115"/>
      <c r="B845" s="97"/>
      <c r="C845" s="115"/>
      <c r="D845" s="115"/>
      <c r="E845" s="115"/>
      <c r="F845" s="115"/>
      <c r="G845" s="99"/>
      <c r="H845" s="98"/>
      <c r="I845" s="100"/>
      <c r="J845" s="100"/>
      <c r="K845" s="100"/>
      <c r="L845" s="101"/>
      <c r="M845" s="101"/>
      <c r="N845" s="112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</row>
    <row r="846" spans="1:29" ht="13">
      <c r="A846" s="115"/>
      <c r="B846" s="97"/>
      <c r="C846" s="115"/>
      <c r="D846" s="115"/>
      <c r="E846" s="115"/>
      <c r="F846" s="115"/>
      <c r="G846" s="99"/>
      <c r="H846" s="98"/>
      <c r="I846" s="100"/>
      <c r="J846" s="100"/>
      <c r="K846" s="100"/>
      <c r="L846" s="101"/>
      <c r="M846" s="101"/>
      <c r="N846" s="112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</row>
    <row r="847" spans="1:29" ht="13">
      <c r="A847" s="115"/>
      <c r="B847" s="97"/>
      <c r="C847" s="115"/>
      <c r="D847" s="115"/>
      <c r="E847" s="115"/>
      <c r="F847" s="115"/>
      <c r="G847" s="99"/>
      <c r="H847" s="98"/>
      <c r="I847" s="100"/>
      <c r="J847" s="100"/>
      <c r="K847" s="100"/>
      <c r="L847" s="101"/>
      <c r="M847" s="101"/>
      <c r="N847" s="112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</row>
    <row r="848" spans="1:29" ht="13">
      <c r="A848" s="115"/>
      <c r="B848" s="97"/>
      <c r="C848" s="115"/>
      <c r="D848" s="115"/>
      <c r="E848" s="115"/>
      <c r="F848" s="115"/>
      <c r="G848" s="99"/>
      <c r="H848" s="98"/>
      <c r="I848" s="100"/>
      <c r="J848" s="100"/>
      <c r="K848" s="100"/>
      <c r="L848" s="101"/>
      <c r="M848" s="101"/>
      <c r="N848" s="112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</row>
    <row r="849" spans="1:29" ht="13">
      <c r="A849" s="115"/>
      <c r="B849" s="97"/>
      <c r="C849" s="115"/>
      <c r="D849" s="115"/>
      <c r="E849" s="115"/>
      <c r="F849" s="115"/>
      <c r="G849" s="99"/>
      <c r="H849" s="98"/>
      <c r="I849" s="100"/>
      <c r="J849" s="100"/>
      <c r="K849" s="100"/>
      <c r="L849" s="101"/>
      <c r="M849" s="101"/>
      <c r="N849" s="112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</row>
    <row r="850" spans="1:29" ht="13">
      <c r="A850" s="115"/>
      <c r="B850" s="97"/>
      <c r="C850" s="115"/>
      <c r="D850" s="115"/>
      <c r="E850" s="115"/>
      <c r="F850" s="115"/>
      <c r="G850" s="99"/>
      <c r="H850" s="98"/>
      <c r="I850" s="100"/>
      <c r="J850" s="100"/>
      <c r="K850" s="100"/>
      <c r="L850" s="101"/>
      <c r="M850" s="101"/>
      <c r="N850" s="112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</row>
    <row r="851" spans="1:29" ht="13">
      <c r="A851" s="115"/>
      <c r="B851" s="97"/>
      <c r="C851" s="115"/>
      <c r="D851" s="115"/>
      <c r="E851" s="115"/>
      <c r="F851" s="115"/>
      <c r="G851" s="99"/>
      <c r="H851" s="98"/>
      <c r="I851" s="100"/>
      <c r="J851" s="100"/>
      <c r="K851" s="100"/>
      <c r="L851" s="101"/>
      <c r="M851" s="101"/>
      <c r="N851" s="112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</row>
    <row r="852" spans="1:29" ht="13">
      <c r="A852" s="115"/>
      <c r="B852" s="97"/>
      <c r="C852" s="115"/>
      <c r="D852" s="115"/>
      <c r="E852" s="115"/>
      <c r="F852" s="115"/>
      <c r="G852" s="99"/>
      <c r="H852" s="98"/>
      <c r="I852" s="100"/>
      <c r="J852" s="100"/>
      <c r="K852" s="100"/>
      <c r="L852" s="101"/>
      <c r="M852" s="101"/>
      <c r="N852" s="112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</row>
    <row r="853" spans="1:29" ht="13">
      <c r="A853" s="115"/>
      <c r="B853" s="97"/>
      <c r="C853" s="115"/>
      <c r="D853" s="115"/>
      <c r="E853" s="115"/>
      <c r="F853" s="115"/>
      <c r="G853" s="99"/>
      <c r="H853" s="98"/>
      <c r="I853" s="100"/>
      <c r="J853" s="100"/>
      <c r="K853" s="100"/>
      <c r="L853" s="101"/>
      <c r="M853" s="101"/>
      <c r="N853" s="112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</row>
    <row r="854" spans="1:29" ht="13">
      <c r="A854" s="115"/>
      <c r="B854" s="97"/>
      <c r="C854" s="115"/>
      <c r="D854" s="115"/>
      <c r="E854" s="115"/>
      <c r="F854" s="115"/>
      <c r="G854" s="99"/>
      <c r="H854" s="98"/>
      <c r="I854" s="100"/>
      <c r="J854" s="100"/>
      <c r="K854" s="100"/>
      <c r="L854" s="101"/>
      <c r="M854" s="101"/>
      <c r="N854" s="112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</row>
    <row r="855" spans="1:29" ht="13">
      <c r="A855" s="115"/>
      <c r="B855" s="97"/>
      <c r="C855" s="115"/>
      <c r="D855" s="115"/>
      <c r="E855" s="115"/>
      <c r="F855" s="115"/>
      <c r="G855" s="99"/>
      <c r="H855" s="98"/>
      <c r="I855" s="100"/>
      <c r="J855" s="100"/>
      <c r="K855" s="100"/>
      <c r="L855" s="101"/>
      <c r="M855" s="101"/>
      <c r="N855" s="112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</row>
    <row r="856" spans="1:29" ht="13">
      <c r="A856" s="115"/>
      <c r="B856" s="97"/>
      <c r="C856" s="115"/>
      <c r="D856" s="115"/>
      <c r="E856" s="115"/>
      <c r="F856" s="115"/>
      <c r="G856" s="99"/>
      <c r="H856" s="98"/>
      <c r="I856" s="100"/>
      <c r="J856" s="100"/>
      <c r="K856" s="100"/>
      <c r="L856" s="101"/>
      <c r="M856" s="101"/>
      <c r="N856" s="112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</row>
    <row r="857" spans="1:29" ht="13">
      <c r="A857" s="115"/>
      <c r="B857" s="97"/>
      <c r="C857" s="115"/>
      <c r="D857" s="115"/>
      <c r="E857" s="115"/>
      <c r="F857" s="115"/>
      <c r="G857" s="99"/>
      <c r="H857" s="98"/>
      <c r="I857" s="100"/>
      <c r="J857" s="100"/>
      <c r="K857" s="100"/>
      <c r="L857" s="101"/>
      <c r="M857" s="101"/>
      <c r="N857" s="112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</row>
    <row r="858" spans="1:29" ht="13">
      <c r="A858" s="115"/>
      <c r="B858" s="97"/>
      <c r="C858" s="115"/>
      <c r="D858" s="115"/>
      <c r="E858" s="115"/>
      <c r="F858" s="115"/>
      <c r="G858" s="99"/>
      <c r="H858" s="98"/>
      <c r="I858" s="100"/>
      <c r="J858" s="100"/>
      <c r="K858" s="100"/>
      <c r="L858" s="101"/>
      <c r="M858" s="101"/>
      <c r="N858" s="112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</row>
    <row r="859" spans="1:29" ht="13">
      <c r="A859" s="115"/>
      <c r="B859" s="97"/>
      <c r="C859" s="115"/>
      <c r="D859" s="115"/>
      <c r="E859" s="115"/>
      <c r="F859" s="115"/>
      <c r="G859" s="99"/>
      <c r="H859" s="98"/>
      <c r="I859" s="100"/>
      <c r="J859" s="100"/>
      <c r="K859" s="100"/>
      <c r="L859" s="101"/>
      <c r="M859" s="101"/>
      <c r="N859" s="112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</row>
    <row r="860" spans="1:29" ht="13">
      <c r="A860" s="115"/>
      <c r="B860" s="97"/>
      <c r="C860" s="115"/>
      <c r="D860" s="115"/>
      <c r="E860" s="115"/>
      <c r="F860" s="115"/>
      <c r="G860" s="99"/>
      <c r="H860" s="98"/>
      <c r="I860" s="100"/>
      <c r="J860" s="100"/>
      <c r="K860" s="100"/>
      <c r="L860" s="101"/>
      <c r="M860" s="101"/>
      <c r="N860" s="112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</row>
    <row r="861" spans="1:29" ht="13">
      <c r="A861" s="115"/>
      <c r="B861" s="97"/>
      <c r="C861" s="115"/>
      <c r="D861" s="115"/>
      <c r="E861" s="115"/>
      <c r="F861" s="115"/>
      <c r="G861" s="99"/>
      <c r="H861" s="98"/>
      <c r="I861" s="100"/>
      <c r="J861" s="100"/>
      <c r="K861" s="100"/>
      <c r="L861" s="101"/>
      <c r="M861" s="101"/>
      <c r="N861" s="112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</row>
    <row r="862" spans="1:29" ht="13">
      <c r="A862" s="115"/>
      <c r="B862" s="97"/>
      <c r="C862" s="115"/>
      <c r="D862" s="115"/>
      <c r="E862" s="115"/>
      <c r="F862" s="115"/>
      <c r="G862" s="99"/>
      <c r="H862" s="98"/>
      <c r="I862" s="100"/>
      <c r="J862" s="100"/>
      <c r="K862" s="100"/>
      <c r="L862" s="101"/>
      <c r="M862" s="101"/>
      <c r="N862" s="112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</row>
    <row r="863" spans="1:29" ht="13">
      <c r="A863" s="115"/>
      <c r="B863" s="97"/>
      <c r="C863" s="115"/>
      <c r="D863" s="115"/>
      <c r="E863" s="115"/>
      <c r="F863" s="115"/>
      <c r="G863" s="99"/>
      <c r="H863" s="98"/>
      <c r="I863" s="100"/>
      <c r="J863" s="100"/>
      <c r="K863" s="100"/>
      <c r="L863" s="101"/>
      <c r="M863" s="101"/>
      <c r="N863" s="112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</row>
    <row r="864" spans="1:29" ht="13">
      <c r="A864" s="115"/>
      <c r="B864" s="97"/>
      <c r="C864" s="115"/>
      <c r="D864" s="115"/>
      <c r="E864" s="115"/>
      <c r="F864" s="115"/>
      <c r="G864" s="99"/>
      <c r="H864" s="98"/>
      <c r="I864" s="100"/>
      <c r="J864" s="100"/>
      <c r="K864" s="100"/>
      <c r="L864" s="101"/>
      <c r="M864" s="101"/>
      <c r="N864" s="112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</row>
    <row r="865" spans="1:29" ht="13">
      <c r="A865" s="115"/>
      <c r="B865" s="97"/>
      <c r="C865" s="115"/>
      <c r="D865" s="115"/>
      <c r="E865" s="115"/>
      <c r="F865" s="115"/>
      <c r="G865" s="99"/>
      <c r="H865" s="98"/>
      <c r="I865" s="100"/>
      <c r="J865" s="100"/>
      <c r="K865" s="100"/>
      <c r="L865" s="101"/>
      <c r="M865" s="101"/>
      <c r="N865" s="112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</row>
    <row r="866" spans="1:29" ht="13">
      <c r="A866" s="115"/>
      <c r="B866" s="97"/>
      <c r="C866" s="115"/>
      <c r="D866" s="115"/>
      <c r="E866" s="115"/>
      <c r="F866" s="115"/>
      <c r="G866" s="99"/>
      <c r="H866" s="98"/>
      <c r="I866" s="100"/>
      <c r="J866" s="100"/>
      <c r="K866" s="100"/>
      <c r="L866" s="101"/>
      <c r="M866" s="101"/>
      <c r="N866" s="112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</row>
    <row r="867" spans="1:29" ht="13">
      <c r="A867" s="115"/>
      <c r="B867" s="97"/>
      <c r="C867" s="115"/>
      <c r="D867" s="115"/>
      <c r="E867" s="115"/>
      <c r="F867" s="115"/>
      <c r="G867" s="99"/>
      <c r="H867" s="98"/>
      <c r="I867" s="100"/>
      <c r="J867" s="100"/>
      <c r="K867" s="100"/>
      <c r="L867" s="101"/>
      <c r="M867" s="101"/>
      <c r="N867" s="112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</row>
    <row r="868" spans="1:29" ht="13">
      <c r="A868" s="115"/>
      <c r="B868" s="97"/>
      <c r="C868" s="115"/>
      <c r="D868" s="115"/>
      <c r="E868" s="115"/>
      <c r="F868" s="115"/>
      <c r="G868" s="99"/>
      <c r="H868" s="98"/>
      <c r="I868" s="100"/>
      <c r="J868" s="100"/>
      <c r="K868" s="100"/>
      <c r="L868" s="101"/>
      <c r="M868" s="101"/>
      <c r="N868" s="112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</row>
    <row r="869" spans="1:29" ht="13">
      <c r="A869" s="115"/>
      <c r="B869" s="97"/>
      <c r="C869" s="115"/>
      <c r="D869" s="115"/>
      <c r="E869" s="115"/>
      <c r="F869" s="115"/>
      <c r="G869" s="99"/>
      <c r="H869" s="98"/>
      <c r="I869" s="100"/>
      <c r="J869" s="100"/>
      <c r="K869" s="100"/>
      <c r="L869" s="101"/>
      <c r="M869" s="101"/>
      <c r="N869" s="112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</row>
    <row r="870" spans="1:29" ht="13">
      <c r="A870" s="115"/>
      <c r="B870" s="97"/>
      <c r="C870" s="115"/>
      <c r="D870" s="115"/>
      <c r="E870" s="115"/>
      <c r="F870" s="115"/>
      <c r="G870" s="99"/>
      <c r="H870" s="98"/>
      <c r="I870" s="100"/>
      <c r="J870" s="100"/>
      <c r="K870" s="100"/>
      <c r="L870" s="101"/>
      <c r="M870" s="101"/>
      <c r="N870" s="112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</row>
    <row r="871" spans="1:29" ht="13">
      <c r="A871" s="115"/>
      <c r="B871" s="97"/>
      <c r="C871" s="115"/>
      <c r="D871" s="115"/>
      <c r="E871" s="115"/>
      <c r="F871" s="115"/>
      <c r="G871" s="99"/>
      <c r="H871" s="98"/>
      <c r="I871" s="100"/>
      <c r="J871" s="100"/>
      <c r="K871" s="100"/>
      <c r="L871" s="101"/>
      <c r="M871" s="101"/>
      <c r="N871" s="112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</row>
    <row r="872" spans="1:29" ht="13">
      <c r="A872" s="115"/>
      <c r="B872" s="97"/>
      <c r="C872" s="115"/>
      <c r="D872" s="115"/>
      <c r="E872" s="115"/>
      <c r="F872" s="115"/>
      <c r="G872" s="99"/>
      <c r="H872" s="98"/>
      <c r="I872" s="100"/>
      <c r="J872" s="100"/>
      <c r="K872" s="100"/>
      <c r="L872" s="101"/>
      <c r="M872" s="101"/>
      <c r="N872" s="112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</row>
    <row r="873" spans="1:29" ht="13">
      <c r="A873" s="115"/>
      <c r="B873" s="97"/>
      <c r="C873" s="115"/>
      <c r="D873" s="115"/>
      <c r="E873" s="115"/>
      <c r="F873" s="115"/>
      <c r="G873" s="99"/>
      <c r="H873" s="98"/>
      <c r="I873" s="100"/>
      <c r="J873" s="100"/>
      <c r="K873" s="100"/>
      <c r="L873" s="101"/>
      <c r="M873" s="101"/>
      <c r="N873" s="112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</row>
    <row r="874" spans="1:29" ht="13">
      <c r="A874" s="115"/>
      <c r="B874" s="97"/>
      <c r="C874" s="115"/>
      <c r="D874" s="115"/>
      <c r="E874" s="115"/>
      <c r="F874" s="115"/>
      <c r="G874" s="99"/>
      <c r="H874" s="98"/>
      <c r="I874" s="100"/>
      <c r="J874" s="100"/>
      <c r="K874" s="100"/>
      <c r="L874" s="101"/>
      <c r="M874" s="101"/>
      <c r="N874" s="112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</row>
    <row r="875" spans="1:29" ht="13">
      <c r="A875" s="115"/>
      <c r="B875" s="97"/>
      <c r="C875" s="115"/>
      <c r="D875" s="115"/>
      <c r="E875" s="115"/>
      <c r="F875" s="115"/>
      <c r="G875" s="99"/>
      <c r="H875" s="98"/>
      <c r="I875" s="100"/>
      <c r="J875" s="100"/>
      <c r="K875" s="100"/>
      <c r="L875" s="101"/>
      <c r="M875" s="101"/>
      <c r="N875" s="112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</row>
    <row r="876" spans="1:29" ht="13">
      <c r="A876" s="115"/>
      <c r="B876" s="97"/>
      <c r="C876" s="115"/>
      <c r="D876" s="115"/>
      <c r="E876" s="115"/>
      <c r="F876" s="115"/>
      <c r="G876" s="99"/>
      <c r="H876" s="98"/>
      <c r="I876" s="100"/>
      <c r="J876" s="100"/>
      <c r="K876" s="100"/>
      <c r="L876" s="101"/>
      <c r="M876" s="101"/>
      <c r="N876" s="112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</row>
    <row r="877" spans="1:29" ht="13">
      <c r="A877" s="115"/>
      <c r="B877" s="97"/>
      <c r="C877" s="115"/>
      <c r="D877" s="115"/>
      <c r="E877" s="115"/>
      <c r="F877" s="115"/>
      <c r="G877" s="99"/>
      <c r="H877" s="98"/>
      <c r="I877" s="100"/>
      <c r="J877" s="100"/>
      <c r="K877" s="100"/>
      <c r="L877" s="101"/>
      <c r="M877" s="101"/>
      <c r="N877" s="112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</row>
    <row r="878" spans="1:29" ht="13">
      <c r="A878" s="115"/>
      <c r="B878" s="97"/>
      <c r="C878" s="115"/>
      <c r="D878" s="115"/>
      <c r="E878" s="115"/>
      <c r="F878" s="115"/>
      <c r="G878" s="99"/>
      <c r="H878" s="98"/>
      <c r="I878" s="100"/>
      <c r="J878" s="100"/>
      <c r="K878" s="100"/>
      <c r="L878" s="101"/>
      <c r="M878" s="101"/>
      <c r="N878" s="112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</row>
    <row r="879" spans="1:29" ht="13">
      <c r="A879" s="115"/>
      <c r="B879" s="97"/>
      <c r="C879" s="115"/>
      <c r="D879" s="115"/>
      <c r="E879" s="115"/>
      <c r="F879" s="115"/>
      <c r="G879" s="99"/>
      <c r="H879" s="98"/>
      <c r="I879" s="100"/>
      <c r="J879" s="100"/>
      <c r="K879" s="100"/>
      <c r="L879" s="101"/>
      <c r="M879" s="101"/>
      <c r="N879" s="112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</row>
    <row r="880" spans="1:29" ht="13">
      <c r="A880" s="115"/>
      <c r="B880" s="97"/>
      <c r="C880" s="115"/>
      <c r="D880" s="115"/>
      <c r="E880" s="115"/>
      <c r="F880" s="115"/>
      <c r="G880" s="99"/>
      <c r="H880" s="98"/>
      <c r="I880" s="100"/>
      <c r="J880" s="100"/>
      <c r="K880" s="100"/>
      <c r="L880" s="101"/>
      <c r="M880" s="101"/>
      <c r="N880" s="112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</row>
    <row r="881" spans="1:29" ht="13">
      <c r="A881" s="115"/>
      <c r="B881" s="97"/>
      <c r="C881" s="115"/>
      <c r="D881" s="115"/>
      <c r="E881" s="115"/>
      <c r="F881" s="115"/>
      <c r="G881" s="99"/>
      <c r="H881" s="98"/>
      <c r="I881" s="100"/>
      <c r="J881" s="100"/>
      <c r="K881" s="100"/>
      <c r="L881" s="101"/>
      <c r="M881" s="101"/>
      <c r="N881" s="112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</row>
    <row r="882" spans="1:29" ht="13">
      <c r="A882" s="115"/>
      <c r="B882" s="97"/>
      <c r="C882" s="115"/>
      <c r="D882" s="115"/>
      <c r="E882" s="115"/>
      <c r="F882" s="115"/>
      <c r="G882" s="99"/>
      <c r="H882" s="98"/>
      <c r="I882" s="100"/>
      <c r="J882" s="100"/>
      <c r="K882" s="100"/>
      <c r="L882" s="101"/>
      <c r="M882" s="101"/>
      <c r="N882" s="112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</row>
    <row r="883" spans="1:29" ht="13">
      <c r="A883" s="115"/>
      <c r="B883" s="97"/>
      <c r="C883" s="115"/>
      <c r="D883" s="115"/>
      <c r="E883" s="115"/>
      <c r="F883" s="115"/>
      <c r="G883" s="99"/>
      <c r="H883" s="98"/>
      <c r="I883" s="100"/>
      <c r="J883" s="100"/>
      <c r="K883" s="100"/>
      <c r="L883" s="101"/>
      <c r="M883" s="101"/>
      <c r="N883" s="112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</row>
    <row r="884" spans="1:29" ht="13">
      <c r="A884" s="115"/>
      <c r="B884" s="97"/>
      <c r="C884" s="115"/>
      <c r="D884" s="115"/>
      <c r="E884" s="115"/>
      <c r="F884" s="115"/>
      <c r="G884" s="99"/>
      <c r="H884" s="98"/>
      <c r="I884" s="100"/>
      <c r="J884" s="100"/>
      <c r="K884" s="100"/>
      <c r="L884" s="101"/>
      <c r="M884" s="101"/>
      <c r="N884" s="112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</row>
    <row r="885" spans="1:29" ht="13">
      <c r="A885" s="115"/>
      <c r="B885" s="97"/>
      <c r="C885" s="115"/>
      <c r="D885" s="115"/>
      <c r="E885" s="115"/>
      <c r="F885" s="115"/>
      <c r="G885" s="99"/>
      <c r="H885" s="98"/>
      <c r="I885" s="100"/>
      <c r="J885" s="100"/>
      <c r="K885" s="100"/>
      <c r="L885" s="101"/>
      <c r="M885" s="101"/>
      <c r="N885" s="112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</row>
    <row r="886" spans="1:29" ht="13">
      <c r="A886" s="115"/>
      <c r="B886" s="97"/>
      <c r="C886" s="115"/>
      <c r="D886" s="115"/>
      <c r="E886" s="115"/>
      <c r="F886" s="115"/>
      <c r="G886" s="99"/>
      <c r="H886" s="98"/>
      <c r="I886" s="100"/>
      <c r="J886" s="100"/>
      <c r="K886" s="100"/>
      <c r="L886" s="101"/>
      <c r="M886" s="101"/>
      <c r="N886" s="112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</row>
    <row r="887" spans="1:29" ht="13">
      <c r="A887" s="115"/>
      <c r="B887" s="97"/>
      <c r="C887" s="115"/>
      <c r="D887" s="115"/>
      <c r="E887" s="115"/>
      <c r="F887" s="115"/>
      <c r="G887" s="99"/>
      <c r="H887" s="98"/>
      <c r="I887" s="100"/>
      <c r="J887" s="100"/>
      <c r="K887" s="100"/>
      <c r="L887" s="101"/>
      <c r="M887" s="101"/>
      <c r="N887" s="112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</row>
    <row r="888" spans="1:29" ht="13">
      <c r="A888" s="115"/>
      <c r="B888" s="97"/>
      <c r="C888" s="115"/>
      <c r="D888" s="115"/>
      <c r="E888" s="115"/>
      <c r="F888" s="115"/>
      <c r="G888" s="99"/>
      <c r="H888" s="98"/>
      <c r="I888" s="100"/>
      <c r="J888" s="100"/>
      <c r="K888" s="100"/>
      <c r="L888" s="101"/>
      <c r="M888" s="101"/>
      <c r="N888" s="112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</row>
    <row r="889" spans="1:29" ht="13">
      <c r="A889" s="115"/>
      <c r="B889" s="97"/>
      <c r="C889" s="115"/>
      <c r="D889" s="115"/>
      <c r="E889" s="115"/>
      <c r="F889" s="115"/>
      <c r="G889" s="99"/>
      <c r="H889" s="98"/>
      <c r="I889" s="100"/>
      <c r="J889" s="100"/>
      <c r="K889" s="100"/>
      <c r="L889" s="101"/>
      <c r="M889" s="101"/>
      <c r="N889" s="112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</row>
    <row r="890" spans="1:29" ht="13">
      <c r="A890" s="115"/>
      <c r="B890" s="97"/>
      <c r="C890" s="115"/>
      <c r="D890" s="115"/>
      <c r="E890" s="115"/>
      <c r="F890" s="115"/>
      <c r="G890" s="99"/>
      <c r="H890" s="98"/>
      <c r="I890" s="100"/>
      <c r="J890" s="100"/>
      <c r="K890" s="100"/>
      <c r="L890" s="101"/>
      <c r="M890" s="101"/>
      <c r="N890" s="112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</row>
    <row r="891" spans="1:29" ht="13">
      <c r="A891" s="115"/>
      <c r="B891" s="97"/>
      <c r="C891" s="115"/>
      <c r="D891" s="115"/>
      <c r="E891" s="115"/>
      <c r="F891" s="115"/>
      <c r="G891" s="99"/>
      <c r="H891" s="98"/>
      <c r="I891" s="100"/>
      <c r="J891" s="100"/>
      <c r="K891" s="100"/>
      <c r="L891" s="101"/>
      <c r="M891" s="101"/>
      <c r="N891" s="112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</row>
    <row r="892" spans="1:29" ht="13">
      <c r="A892" s="115"/>
      <c r="B892" s="97"/>
      <c r="C892" s="115"/>
      <c r="D892" s="115"/>
      <c r="E892" s="115"/>
      <c r="F892" s="115"/>
      <c r="G892" s="99"/>
      <c r="H892" s="98"/>
      <c r="I892" s="100"/>
      <c r="J892" s="100"/>
      <c r="K892" s="100"/>
      <c r="L892" s="101"/>
      <c r="M892" s="101"/>
      <c r="N892" s="112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</row>
    <row r="893" spans="1:29" ht="13">
      <c r="A893" s="115"/>
      <c r="B893" s="97"/>
      <c r="C893" s="115"/>
      <c r="D893" s="115"/>
      <c r="E893" s="115"/>
      <c r="F893" s="115"/>
      <c r="G893" s="99"/>
      <c r="H893" s="98"/>
      <c r="I893" s="100"/>
      <c r="J893" s="100"/>
      <c r="K893" s="100"/>
      <c r="L893" s="101"/>
      <c r="M893" s="101"/>
      <c r="N893" s="112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</row>
    <row r="894" spans="1:29" ht="13">
      <c r="A894" s="115"/>
      <c r="B894" s="97"/>
      <c r="C894" s="115"/>
      <c r="D894" s="115"/>
      <c r="E894" s="115"/>
      <c r="F894" s="115"/>
      <c r="G894" s="99"/>
      <c r="H894" s="98"/>
      <c r="I894" s="100"/>
      <c r="J894" s="100"/>
      <c r="K894" s="100"/>
      <c r="L894" s="101"/>
      <c r="M894" s="101"/>
      <c r="N894" s="112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</row>
    <row r="895" spans="1:29" ht="13">
      <c r="A895" s="115"/>
      <c r="B895" s="97"/>
      <c r="C895" s="115"/>
      <c r="D895" s="115"/>
      <c r="E895" s="115"/>
      <c r="F895" s="115"/>
      <c r="G895" s="99"/>
      <c r="H895" s="98"/>
      <c r="I895" s="100"/>
      <c r="J895" s="100"/>
      <c r="K895" s="100"/>
      <c r="L895" s="101"/>
      <c r="M895" s="101"/>
      <c r="N895" s="112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</row>
    <row r="896" spans="1:29" ht="13">
      <c r="A896" s="115"/>
      <c r="B896" s="97"/>
      <c r="C896" s="115"/>
      <c r="D896" s="115"/>
      <c r="E896" s="115"/>
      <c r="F896" s="115"/>
      <c r="G896" s="99"/>
      <c r="H896" s="98"/>
      <c r="I896" s="100"/>
      <c r="J896" s="100"/>
      <c r="K896" s="100"/>
      <c r="L896" s="101"/>
      <c r="M896" s="101"/>
      <c r="N896" s="112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</row>
    <row r="897" spans="1:29" ht="13">
      <c r="A897" s="115"/>
      <c r="B897" s="97"/>
      <c r="C897" s="115"/>
      <c r="D897" s="115"/>
      <c r="E897" s="115"/>
      <c r="F897" s="115"/>
      <c r="G897" s="99"/>
      <c r="H897" s="98"/>
      <c r="I897" s="100"/>
      <c r="J897" s="100"/>
      <c r="K897" s="100"/>
      <c r="L897" s="101"/>
      <c r="M897" s="101"/>
      <c r="N897" s="112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</row>
    <row r="898" spans="1:29" ht="13">
      <c r="A898" s="115"/>
      <c r="B898" s="97"/>
      <c r="C898" s="115"/>
      <c r="D898" s="115"/>
      <c r="E898" s="115"/>
      <c r="F898" s="115"/>
      <c r="G898" s="99"/>
      <c r="H898" s="98"/>
      <c r="I898" s="100"/>
      <c r="J898" s="100"/>
      <c r="K898" s="100"/>
      <c r="L898" s="101"/>
      <c r="M898" s="101"/>
      <c r="N898" s="112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</row>
    <row r="899" spans="1:29" ht="13">
      <c r="A899" s="115"/>
      <c r="B899" s="97"/>
      <c r="C899" s="115"/>
      <c r="D899" s="115"/>
      <c r="E899" s="115"/>
      <c r="F899" s="115"/>
      <c r="G899" s="99"/>
      <c r="H899" s="98"/>
      <c r="I899" s="100"/>
      <c r="J899" s="100"/>
      <c r="K899" s="100"/>
      <c r="L899" s="101"/>
      <c r="M899" s="101"/>
      <c r="N899" s="112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</row>
    <row r="900" spans="1:29" ht="13">
      <c r="A900" s="115"/>
      <c r="B900" s="97"/>
      <c r="C900" s="115"/>
      <c r="D900" s="115"/>
      <c r="E900" s="115"/>
      <c r="F900" s="115"/>
      <c r="G900" s="99"/>
      <c r="H900" s="98"/>
      <c r="I900" s="100"/>
      <c r="J900" s="100"/>
      <c r="K900" s="100"/>
      <c r="L900" s="101"/>
      <c r="M900" s="101"/>
      <c r="N900" s="112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</row>
    <row r="901" spans="1:29" ht="13">
      <c r="A901" s="115"/>
      <c r="B901" s="97"/>
      <c r="C901" s="115"/>
      <c r="D901" s="115"/>
      <c r="E901" s="115"/>
      <c r="F901" s="115"/>
      <c r="G901" s="99"/>
      <c r="H901" s="98"/>
      <c r="I901" s="100"/>
      <c r="J901" s="100"/>
      <c r="K901" s="100"/>
      <c r="L901" s="101"/>
      <c r="M901" s="101"/>
      <c r="N901" s="112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</row>
    <row r="902" spans="1:29" ht="13">
      <c r="A902" s="115"/>
      <c r="B902" s="97"/>
      <c r="C902" s="115"/>
      <c r="D902" s="115"/>
      <c r="E902" s="115"/>
      <c r="F902" s="115"/>
      <c r="G902" s="99"/>
      <c r="H902" s="98"/>
      <c r="I902" s="100"/>
      <c r="J902" s="100"/>
      <c r="K902" s="100"/>
      <c r="L902" s="101"/>
      <c r="M902" s="101"/>
      <c r="N902" s="112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</row>
    <row r="903" spans="1:29" ht="13">
      <c r="A903" s="115"/>
      <c r="B903" s="97"/>
      <c r="C903" s="115"/>
      <c r="D903" s="115"/>
      <c r="E903" s="115"/>
      <c r="F903" s="115"/>
      <c r="G903" s="99"/>
      <c r="H903" s="98"/>
      <c r="I903" s="100"/>
      <c r="J903" s="100"/>
      <c r="K903" s="100"/>
      <c r="L903" s="101"/>
      <c r="M903" s="101"/>
      <c r="N903" s="112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</row>
    <row r="904" spans="1:29" ht="13">
      <c r="A904" s="115"/>
      <c r="B904" s="97"/>
      <c r="C904" s="115"/>
      <c r="D904" s="115"/>
      <c r="E904" s="115"/>
      <c r="F904" s="115"/>
      <c r="G904" s="99"/>
      <c r="H904" s="98"/>
      <c r="I904" s="100"/>
      <c r="J904" s="100"/>
      <c r="K904" s="100"/>
      <c r="L904" s="101"/>
      <c r="M904" s="101"/>
      <c r="N904" s="112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</row>
    <row r="905" spans="1:29" ht="13">
      <c r="A905" s="115"/>
      <c r="B905" s="97"/>
      <c r="C905" s="115"/>
      <c r="D905" s="115"/>
      <c r="E905" s="115"/>
      <c r="F905" s="115"/>
      <c r="G905" s="99"/>
      <c r="H905" s="98"/>
      <c r="I905" s="100"/>
      <c r="J905" s="100"/>
      <c r="K905" s="100"/>
      <c r="L905" s="101"/>
      <c r="M905" s="101"/>
      <c r="N905" s="112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</row>
    <row r="906" spans="1:29" ht="13">
      <c r="A906" s="115"/>
      <c r="B906" s="97"/>
      <c r="C906" s="115"/>
      <c r="D906" s="115"/>
      <c r="E906" s="115"/>
      <c r="F906" s="115"/>
      <c r="G906" s="99"/>
      <c r="H906" s="98"/>
      <c r="I906" s="100"/>
      <c r="J906" s="100"/>
      <c r="K906" s="100"/>
      <c r="L906" s="101"/>
      <c r="M906" s="101"/>
      <c r="N906" s="112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</row>
    <row r="907" spans="1:29" ht="13">
      <c r="A907" s="115"/>
      <c r="B907" s="97"/>
      <c r="C907" s="115"/>
      <c r="D907" s="115"/>
      <c r="E907" s="115"/>
      <c r="F907" s="115"/>
      <c r="G907" s="99"/>
      <c r="H907" s="98"/>
      <c r="I907" s="100"/>
      <c r="J907" s="100"/>
      <c r="K907" s="100"/>
      <c r="L907" s="101"/>
      <c r="M907" s="101"/>
      <c r="N907" s="112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</row>
    <row r="908" spans="1:29" ht="13">
      <c r="A908" s="115"/>
      <c r="B908" s="97"/>
      <c r="C908" s="115"/>
      <c r="D908" s="115"/>
      <c r="E908" s="115"/>
      <c r="F908" s="115"/>
      <c r="G908" s="99"/>
      <c r="H908" s="98"/>
      <c r="I908" s="100"/>
      <c r="J908" s="100"/>
      <c r="K908" s="100"/>
      <c r="L908" s="101"/>
      <c r="M908" s="101"/>
      <c r="N908" s="112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</row>
    <row r="909" spans="1:29" ht="13">
      <c r="A909" s="115"/>
      <c r="B909" s="97"/>
      <c r="C909" s="115"/>
      <c r="D909" s="115"/>
      <c r="E909" s="115"/>
      <c r="F909" s="115"/>
      <c r="G909" s="99"/>
      <c r="H909" s="98"/>
      <c r="I909" s="100"/>
      <c r="J909" s="100"/>
      <c r="K909" s="100"/>
      <c r="L909" s="101"/>
      <c r="M909" s="101"/>
      <c r="N909" s="112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</row>
    <row r="910" spans="1:29" ht="13">
      <c r="A910" s="115"/>
      <c r="B910" s="97"/>
      <c r="C910" s="115"/>
      <c r="D910" s="115"/>
      <c r="E910" s="115"/>
      <c r="F910" s="115"/>
      <c r="G910" s="99"/>
      <c r="H910" s="98"/>
      <c r="I910" s="100"/>
      <c r="J910" s="100"/>
      <c r="K910" s="100"/>
      <c r="L910" s="101"/>
      <c r="M910" s="101"/>
      <c r="N910" s="112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</row>
    <row r="911" spans="1:29" ht="13">
      <c r="A911" s="115"/>
      <c r="B911" s="97"/>
      <c r="C911" s="115"/>
      <c r="D911" s="115"/>
      <c r="E911" s="115"/>
      <c r="F911" s="115"/>
      <c r="G911" s="99"/>
      <c r="H911" s="98"/>
      <c r="I911" s="100"/>
      <c r="J911" s="100"/>
      <c r="K911" s="100"/>
      <c r="L911" s="101"/>
      <c r="M911" s="101"/>
      <c r="N911" s="112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</row>
    <row r="912" spans="1:29" ht="13">
      <c r="A912" s="115"/>
      <c r="B912" s="97"/>
      <c r="C912" s="115"/>
      <c r="D912" s="115"/>
      <c r="E912" s="115"/>
      <c r="F912" s="115"/>
      <c r="G912" s="99"/>
      <c r="H912" s="98"/>
      <c r="I912" s="100"/>
      <c r="J912" s="100"/>
      <c r="K912" s="100"/>
      <c r="L912" s="101"/>
      <c r="M912" s="101"/>
      <c r="N912" s="112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</row>
    <row r="913" spans="1:29" ht="13">
      <c r="A913" s="115"/>
      <c r="B913" s="97"/>
      <c r="C913" s="115"/>
      <c r="D913" s="115"/>
      <c r="E913" s="115"/>
      <c r="F913" s="115"/>
      <c r="G913" s="99"/>
      <c r="H913" s="98"/>
      <c r="I913" s="100"/>
      <c r="J913" s="100"/>
      <c r="K913" s="100"/>
      <c r="L913" s="101"/>
      <c r="M913" s="101"/>
      <c r="N913" s="112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</row>
    <row r="914" spans="1:29" ht="13">
      <c r="A914" s="115"/>
      <c r="B914" s="97"/>
      <c r="C914" s="115"/>
      <c r="D914" s="115"/>
      <c r="E914" s="115"/>
      <c r="F914" s="115"/>
      <c r="G914" s="99"/>
      <c r="H914" s="98"/>
      <c r="I914" s="100"/>
      <c r="J914" s="100"/>
      <c r="K914" s="100"/>
      <c r="L914" s="101"/>
      <c r="M914" s="101"/>
      <c r="N914" s="112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</row>
    <row r="915" spans="1:29" ht="13">
      <c r="A915" s="115"/>
      <c r="B915" s="97"/>
      <c r="C915" s="115"/>
      <c r="D915" s="115"/>
      <c r="E915" s="115"/>
      <c r="F915" s="115"/>
      <c r="G915" s="99"/>
      <c r="H915" s="98"/>
      <c r="I915" s="100"/>
      <c r="J915" s="100"/>
      <c r="K915" s="100"/>
      <c r="L915" s="101"/>
      <c r="M915" s="101"/>
      <c r="N915" s="112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</row>
    <row r="916" spans="1:29" ht="13">
      <c r="A916" s="115"/>
      <c r="B916" s="97"/>
      <c r="C916" s="115"/>
      <c r="D916" s="115"/>
      <c r="E916" s="115"/>
      <c r="F916" s="115"/>
      <c r="G916" s="99"/>
      <c r="H916" s="98"/>
      <c r="I916" s="100"/>
      <c r="J916" s="100"/>
      <c r="K916" s="100"/>
      <c r="L916" s="101"/>
      <c r="M916" s="101"/>
      <c r="N916" s="112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</row>
    <row r="917" spans="1:29" ht="13">
      <c r="A917" s="115"/>
      <c r="B917" s="97"/>
      <c r="C917" s="115"/>
      <c r="D917" s="115"/>
      <c r="E917" s="115"/>
      <c r="F917" s="115"/>
      <c r="G917" s="99"/>
      <c r="H917" s="98"/>
      <c r="I917" s="100"/>
      <c r="J917" s="100"/>
      <c r="K917" s="100"/>
      <c r="L917" s="101"/>
      <c r="M917" s="101"/>
      <c r="N917" s="112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</row>
    <row r="918" spans="1:29" ht="13">
      <c r="A918" s="115"/>
      <c r="B918" s="97"/>
      <c r="C918" s="115"/>
      <c r="D918" s="115"/>
      <c r="E918" s="115"/>
      <c r="F918" s="115"/>
      <c r="G918" s="99"/>
      <c r="H918" s="98"/>
      <c r="I918" s="100"/>
      <c r="J918" s="100"/>
      <c r="K918" s="100"/>
      <c r="L918" s="101"/>
      <c r="M918" s="101"/>
      <c r="N918" s="112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</row>
    <row r="919" spans="1:29" ht="13">
      <c r="A919" s="115"/>
      <c r="B919" s="97"/>
      <c r="C919" s="115"/>
      <c r="D919" s="115"/>
      <c r="E919" s="115"/>
      <c r="F919" s="115"/>
      <c r="G919" s="99"/>
      <c r="H919" s="98"/>
      <c r="I919" s="100"/>
      <c r="J919" s="100"/>
      <c r="K919" s="100"/>
      <c r="L919" s="101"/>
      <c r="M919" s="101"/>
      <c r="N919" s="112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</row>
    <row r="920" spans="1:29" ht="13">
      <c r="A920" s="115"/>
      <c r="B920" s="97"/>
      <c r="C920" s="115"/>
      <c r="D920" s="115"/>
      <c r="E920" s="115"/>
      <c r="F920" s="115"/>
      <c r="G920" s="99"/>
      <c r="H920" s="98"/>
      <c r="I920" s="100"/>
      <c r="J920" s="100"/>
      <c r="K920" s="100"/>
      <c r="L920" s="101"/>
      <c r="M920" s="101"/>
      <c r="N920" s="112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</row>
    <row r="921" spans="1:29" ht="13">
      <c r="A921" s="115"/>
      <c r="B921" s="97"/>
      <c r="C921" s="115"/>
      <c r="D921" s="115"/>
      <c r="E921" s="115"/>
      <c r="F921" s="115"/>
      <c r="G921" s="99"/>
      <c r="H921" s="98"/>
      <c r="I921" s="100"/>
      <c r="J921" s="100"/>
      <c r="K921" s="100"/>
      <c r="L921" s="101"/>
      <c r="M921" s="101"/>
      <c r="N921" s="112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</row>
    <row r="922" spans="1:29" ht="13">
      <c r="A922" s="115"/>
      <c r="B922" s="97"/>
      <c r="C922" s="115"/>
      <c r="D922" s="115"/>
      <c r="E922" s="115"/>
      <c r="F922" s="115"/>
      <c r="G922" s="99"/>
      <c r="H922" s="98"/>
      <c r="I922" s="100"/>
      <c r="J922" s="100"/>
      <c r="K922" s="100"/>
      <c r="L922" s="101"/>
      <c r="M922" s="101"/>
      <c r="N922" s="112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</row>
    <row r="923" spans="1:29" ht="13">
      <c r="A923" s="115"/>
      <c r="B923" s="97"/>
      <c r="C923" s="115"/>
      <c r="D923" s="115"/>
      <c r="E923" s="115"/>
      <c r="F923" s="115"/>
      <c r="G923" s="99"/>
      <c r="H923" s="98"/>
      <c r="I923" s="100"/>
      <c r="J923" s="100"/>
      <c r="K923" s="100"/>
      <c r="L923" s="101"/>
      <c r="M923" s="101"/>
      <c r="N923" s="112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</row>
    <row r="924" spans="1:29" ht="13">
      <c r="A924" s="115"/>
      <c r="B924" s="97"/>
      <c r="C924" s="115"/>
      <c r="D924" s="115"/>
      <c r="E924" s="115"/>
      <c r="F924" s="115"/>
      <c r="G924" s="99"/>
      <c r="H924" s="98"/>
      <c r="I924" s="100"/>
      <c r="J924" s="100"/>
      <c r="K924" s="100"/>
      <c r="L924" s="101"/>
      <c r="M924" s="101"/>
      <c r="N924" s="112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</row>
    <row r="925" spans="1:29" ht="13">
      <c r="A925" s="115"/>
      <c r="B925" s="97"/>
      <c r="C925" s="115"/>
      <c r="D925" s="115"/>
      <c r="E925" s="115"/>
      <c r="F925" s="115"/>
      <c r="G925" s="99"/>
      <c r="H925" s="98"/>
      <c r="I925" s="100"/>
      <c r="J925" s="100"/>
      <c r="K925" s="100"/>
      <c r="L925" s="101"/>
      <c r="M925" s="101"/>
      <c r="N925" s="112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</row>
    <row r="926" spans="1:29" ht="13">
      <c r="A926" s="115"/>
      <c r="B926" s="97"/>
      <c r="C926" s="115"/>
      <c r="D926" s="115"/>
      <c r="E926" s="115"/>
      <c r="F926" s="115"/>
      <c r="G926" s="99"/>
      <c r="H926" s="98"/>
      <c r="I926" s="100"/>
      <c r="J926" s="100"/>
      <c r="K926" s="100"/>
      <c r="L926" s="101"/>
      <c r="M926" s="101"/>
      <c r="N926" s="112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</row>
    <row r="927" spans="1:29" ht="13">
      <c r="A927" s="115"/>
      <c r="B927" s="97"/>
      <c r="C927" s="115"/>
      <c r="D927" s="115"/>
      <c r="E927" s="115"/>
      <c r="F927" s="115"/>
      <c r="G927" s="99"/>
      <c r="H927" s="98"/>
      <c r="I927" s="100"/>
      <c r="J927" s="100"/>
      <c r="K927" s="100"/>
      <c r="L927" s="101"/>
      <c r="M927" s="101"/>
      <c r="N927" s="112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</row>
    <row r="928" spans="1:29" ht="13">
      <c r="A928" s="115"/>
      <c r="B928" s="97"/>
      <c r="C928" s="115"/>
      <c r="D928" s="115"/>
      <c r="E928" s="115"/>
      <c r="F928" s="115"/>
      <c r="G928" s="99"/>
      <c r="H928" s="98"/>
      <c r="I928" s="100"/>
      <c r="J928" s="100"/>
      <c r="K928" s="100"/>
      <c r="L928" s="101"/>
      <c r="M928" s="101"/>
      <c r="N928" s="112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</row>
    <row r="929" spans="1:29" ht="13">
      <c r="A929" s="115"/>
      <c r="B929" s="97"/>
      <c r="C929" s="115"/>
      <c r="D929" s="115"/>
      <c r="E929" s="115"/>
      <c r="F929" s="115"/>
      <c r="G929" s="99"/>
      <c r="H929" s="98"/>
      <c r="I929" s="100"/>
      <c r="J929" s="100"/>
      <c r="K929" s="100"/>
      <c r="L929" s="101"/>
      <c r="M929" s="101"/>
      <c r="N929" s="112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</row>
    <row r="930" spans="1:29" ht="13">
      <c r="A930" s="115"/>
      <c r="B930" s="97"/>
      <c r="C930" s="115"/>
      <c r="D930" s="115"/>
      <c r="E930" s="115"/>
      <c r="F930" s="115"/>
      <c r="G930" s="99"/>
      <c r="H930" s="98"/>
      <c r="I930" s="100"/>
      <c r="J930" s="100"/>
      <c r="K930" s="100"/>
      <c r="L930" s="101"/>
      <c r="M930" s="101"/>
      <c r="N930" s="112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</row>
    <row r="931" spans="1:29" ht="13">
      <c r="A931" s="115"/>
      <c r="B931" s="97"/>
      <c r="C931" s="115"/>
      <c r="D931" s="115"/>
      <c r="E931" s="115"/>
      <c r="F931" s="115"/>
      <c r="G931" s="99"/>
      <c r="H931" s="98"/>
      <c r="I931" s="100"/>
      <c r="J931" s="100"/>
      <c r="K931" s="100"/>
      <c r="L931" s="101"/>
      <c r="M931" s="101"/>
      <c r="N931" s="112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</row>
    <row r="932" spans="1:29" ht="13">
      <c r="A932" s="115"/>
      <c r="B932" s="97"/>
      <c r="C932" s="115"/>
      <c r="D932" s="115"/>
      <c r="E932" s="115"/>
      <c r="F932" s="115"/>
      <c r="G932" s="99"/>
      <c r="H932" s="98"/>
      <c r="I932" s="100"/>
      <c r="J932" s="100"/>
      <c r="K932" s="100"/>
      <c r="L932" s="101"/>
      <c r="M932" s="101"/>
      <c r="N932" s="112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</row>
    <row r="933" spans="1:29" ht="13">
      <c r="A933" s="115"/>
      <c r="B933" s="97"/>
      <c r="C933" s="115"/>
      <c r="D933" s="115"/>
      <c r="E933" s="115"/>
      <c r="F933" s="115"/>
      <c r="G933" s="99"/>
      <c r="H933" s="98"/>
      <c r="I933" s="100"/>
      <c r="J933" s="100"/>
      <c r="K933" s="100"/>
      <c r="L933" s="101"/>
      <c r="M933" s="101"/>
      <c r="N933" s="112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</row>
    <row r="934" spans="1:29" ht="13">
      <c r="A934" s="115"/>
      <c r="B934" s="97"/>
      <c r="C934" s="115"/>
      <c r="D934" s="115"/>
      <c r="E934" s="115"/>
      <c r="F934" s="115"/>
      <c r="G934" s="99"/>
      <c r="H934" s="98"/>
      <c r="I934" s="100"/>
      <c r="J934" s="100"/>
      <c r="K934" s="100"/>
      <c r="L934" s="101"/>
      <c r="M934" s="101"/>
      <c r="N934" s="112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</row>
    <row r="935" spans="1:29" ht="13">
      <c r="A935" s="115"/>
      <c r="B935" s="97"/>
      <c r="C935" s="115"/>
      <c r="D935" s="115"/>
      <c r="E935" s="115"/>
      <c r="F935" s="115"/>
      <c r="G935" s="99"/>
      <c r="H935" s="98"/>
      <c r="I935" s="100"/>
      <c r="J935" s="100"/>
      <c r="K935" s="100"/>
      <c r="L935" s="101"/>
      <c r="M935" s="101"/>
      <c r="N935" s="112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</row>
    <row r="936" spans="1:29" ht="13">
      <c r="A936" s="115"/>
      <c r="B936" s="97"/>
      <c r="C936" s="115"/>
      <c r="D936" s="115"/>
      <c r="E936" s="115"/>
      <c r="F936" s="115"/>
      <c r="G936" s="99"/>
      <c r="H936" s="98"/>
      <c r="I936" s="100"/>
      <c r="J936" s="100"/>
      <c r="K936" s="100"/>
      <c r="L936" s="101"/>
      <c r="M936" s="101"/>
      <c r="N936" s="112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</row>
    <row r="937" spans="1:29" ht="13">
      <c r="A937" s="115"/>
      <c r="B937" s="97"/>
      <c r="C937" s="115"/>
      <c r="D937" s="115"/>
      <c r="E937" s="115"/>
      <c r="F937" s="115"/>
      <c r="G937" s="99"/>
      <c r="H937" s="98"/>
      <c r="I937" s="100"/>
      <c r="J937" s="100"/>
      <c r="K937" s="100"/>
      <c r="L937" s="101"/>
      <c r="M937" s="101"/>
      <c r="N937" s="112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</row>
    <row r="938" spans="1:29" ht="13">
      <c r="A938" s="115"/>
      <c r="B938" s="97"/>
      <c r="C938" s="115"/>
      <c r="D938" s="115"/>
      <c r="E938" s="115"/>
      <c r="F938" s="115"/>
      <c r="G938" s="99"/>
      <c r="H938" s="98"/>
      <c r="I938" s="100"/>
      <c r="J938" s="100"/>
      <c r="K938" s="100"/>
      <c r="L938" s="101"/>
      <c r="M938" s="101"/>
      <c r="N938" s="112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</row>
    <row r="939" spans="1:29" ht="13">
      <c r="A939" s="115"/>
      <c r="B939" s="97"/>
      <c r="C939" s="115"/>
      <c r="D939" s="115"/>
      <c r="E939" s="115"/>
      <c r="F939" s="115"/>
      <c r="G939" s="99"/>
      <c r="H939" s="98"/>
      <c r="I939" s="100"/>
      <c r="J939" s="100"/>
      <c r="K939" s="100"/>
      <c r="L939" s="101"/>
      <c r="M939" s="101"/>
      <c r="N939" s="112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</row>
    <row r="940" spans="1:29" ht="13">
      <c r="A940" s="115"/>
      <c r="B940" s="97"/>
      <c r="C940" s="115"/>
      <c r="D940" s="115"/>
      <c r="E940" s="115"/>
      <c r="F940" s="115"/>
      <c r="G940" s="99"/>
      <c r="H940" s="98"/>
      <c r="I940" s="100"/>
      <c r="J940" s="100"/>
      <c r="K940" s="100"/>
      <c r="L940" s="101"/>
      <c r="M940" s="101"/>
      <c r="N940" s="112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</row>
    <row r="941" spans="1:29" ht="13">
      <c r="A941" s="115"/>
      <c r="B941" s="97"/>
      <c r="C941" s="115"/>
      <c r="D941" s="115"/>
      <c r="E941" s="115"/>
      <c r="F941" s="115"/>
      <c r="G941" s="99"/>
      <c r="H941" s="98"/>
      <c r="I941" s="100"/>
      <c r="J941" s="100"/>
      <c r="K941" s="100"/>
      <c r="L941" s="101"/>
      <c r="M941" s="101"/>
      <c r="N941" s="112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</row>
    <row r="942" spans="1:29" ht="13">
      <c r="A942" s="115"/>
      <c r="B942" s="97"/>
      <c r="C942" s="115"/>
      <c r="D942" s="115"/>
      <c r="E942" s="115"/>
      <c r="F942" s="115"/>
      <c r="G942" s="99"/>
      <c r="H942" s="98"/>
      <c r="I942" s="100"/>
      <c r="J942" s="100"/>
      <c r="K942" s="100"/>
      <c r="L942" s="101"/>
      <c r="M942" s="101"/>
      <c r="N942" s="112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</row>
    <row r="943" spans="1:29" ht="13">
      <c r="A943" s="115"/>
      <c r="B943" s="97"/>
      <c r="C943" s="115"/>
      <c r="D943" s="115"/>
      <c r="E943" s="115"/>
      <c r="F943" s="115"/>
      <c r="G943" s="99"/>
      <c r="H943" s="98"/>
      <c r="I943" s="100"/>
      <c r="J943" s="100"/>
      <c r="K943" s="100"/>
      <c r="L943" s="101"/>
      <c r="M943" s="101"/>
      <c r="N943" s="112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</row>
    <row r="944" spans="1:29" ht="13">
      <c r="A944" s="115"/>
      <c r="B944" s="97"/>
      <c r="C944" s="115"/>
      <c r="D944" s="115"/>
      <c r="E944" s="115"/>
      <c r="F944" s="115"/>
      <c r="G944" s="99"/>
      <c r="H944" s="98"/>
      <c r="I944" s="100"/>
      <c r="J944" s="100"/>
      <c r="K944" s="100"/>
      <c r="L944" s="101"/>
      <c r="M944" s="101"/>
      <c r="N944" s="112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</row>
    <row r="945" spans="1:29" ht="13">
      <c r="A945" s="115"/>
      <c r="B945" s="97"/>
      <c r="C945" s="115"/>
      <c r="D945" s="115"/>
      <c r="E945" s="115"/>
      <c r="F945" s="115"/>
      <c r="G945" s="99"/>
      <c r="H945" s="98"/>
      <c r="I945" s="100"/>
      <c r="J945" s="100"/>
      <c r="K945" s="100"/>
      <c r="L945" s="101"/>
      <c r="M945" s="101"/>
      <c r="N945" s="112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</row>
    <row r="946" spans="1:29" ht="13">
      <c r="A946" s="115"/>
      <c r="B946" s="97"/>
      <c r="C946" s="115"/>
      <c r="D946" s="115"/>
      <c r="E946" s="115"/>
      <c r="F946" s="115"/>
      <c r="G946" s="99"/>
      <c r="H946" s="98"/>
      <c r="I946" s="100"/>
      <c r="J946" s="100"/>
      <c r="K946" s="100"/>
      <c r="L946" s="101"/>
      <c r="M946" s="101"/>
      <c r="N946" s="112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</row>
    <row r="947" spans="1:29" ht="13">
      <c r="A947" s="115"/>
      <c r="B947" s="97"/>
      <c r="C947" s="115"/>
      <c r="D947" s="115"/>
      <c r="E947" s="115"/>
      <c r="F947" s="115"/>
      <c r="G947" s="99"/>
      <c r="H947" s="98"/>
      <c r="I947" s="100"/>
      <c r="J947" s="100"/>
      <c r="K947" s="100"/>
      <c r="L947" s="101"/>
      <c r="M947" s="101"/>
      <c r="N947" s="112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</row>
    <row r="948" spans="1:29" ht="13">
      <c r="A948" s="115"/>
      <c r="B948" s="97"/>
      <c r="C948" s="115"/>
      <c r="D948" s="115"/>
      <c r="E948" s="115"/>
      <c r="F948" s="115"/>
      <c r="G948" s="99"/>
      <c r="H948" s="98"/>
      <c r="I948" s="100"/>
      <c r="J948" s="100"/>
      <c r="K948" s="100"/>
      <c r="L948" s="101"/>
      <c r="M948" s="101"/>
      <c r="N948" s="112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</row>
    <row r="949" spans="1:29" ht="13">
      <c r="A949" s="115"/>
      <c r="B949" s="97"/>
      <c r="C949" s="115"/>
      <c r="D949" s="115"/>
      <c r="E949" s="115"/>
      <c r="F949" s="115"/>
      <c r="G949" s="99"/>
      <c r="H949" s="98"/>
      <c r="I949" s="100"/>
      <c r="J949" s="100"/>
      <c r="K949" s="100"/>
      <c r="L949" s="101"/>
      <c r="M949" s="101"/>
      <c r="N949" s="112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</row>
    <row r="950" spans="1:29" ht="13">
      <c r="A950" s="115"/>
      <c r="B950" s="97"/>
      <c r="C950" s="115"/>
      <c r="D950" s="115"/>
      <c r="E950" s="115"/>
      <c r="F950" s="115"/>
      <c r="G950" s="99"/>
      <c r="H950" s="98"/>
      <c r="I950" s="100"/>
      <c r="J950" s="100"/>
      <c r="K950" s="100"/>
      <c r="L950" s="101"/>
      <c r="M950" s="101"/>
      <c r="N950" s="112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</row>
    <row r="951" spans="1:29" ht="13">
      <c r="A951" s="115"/>
      <c r="B951" s="97"/>
      <c r="C951" s="115"/>
      <c r="D951" s="115"/>
      <c r="E951" s="115"/>
      <c r="F951" s="115"/>
      <c r="G951" s="99"/>
      <c r="H951" s="98"/>
      <c r="I951" s="100"/>
      <c r="J951" s="100"/>
      <c r="K951" s="100"/>
      <c r="L951" s="101"/>
      <c r="M951" s="101"/>
      <c r="N951" s="112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1"/>
      <c r="AC951" s="101"/>
    </row>
    <row r="952" spans="1:29" ht="13">
      <c r="A952" s="115"/>
      <c r="B952" s="97"/>
      <c r="C952" s="115"/>
      <c r="D952" s="115"/>
      <c r="E952" s="115"/>
      <c r="F952" s="115"/>
      <c r="G952" s="99"/>
      <c r="H952" s="98"/>
      <c r="I952" s="100"/>
      <c r="J952" s="100"/>
      <c r="K952" s="100"/>
      <c r="L952" s="101"/>
      <c r="M952" s="101"/>
      <c r="N952" s="112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1"/>
      <c r="AC952" s="101"/>
    </row>
    <row r="953" spans="1:29" ht="13">
      <c r="A953" s="115"/>
      <c r="B953" s="97"/>
      <c r="C953" s="115"/>
      <c r="D953" s="115"/>
      <c r="E953" s="115"/>
      <c r="F953" s="115"/>
      <c r="G953" s="99"/>
      <c r="H953" s="98"/>
      <c r="I953" s="100"/>
      <c r="J953" s="100"/>
      <c r="K953" s="100"/>
      <c r="L953" s="101"/>
      <c r="M953" s="101"/>
      <c r="N953" s="112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</row>
    <row r="954" spans="1:29" ht="13">
      <c r="A954" s="115"/>
      <c r="B954" s="97"/>
      <c r="C954" s="115"/>
      <c r="D954" s="115"/>
      <c r="E954" s="115"/>
      <c r="F954" s="115"/>
      <c r="G954" s="99"/>
      <c r="H954" s="98"/>
      <c r="I954" s="100"/>
      <c r="J954" s="100"/>
      <c r="K954" s="100"/>
      <c r="L954" s="101"/>
      <c r="M954" s="101"/>
      <c r="N954" s="112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  <c r="AA954" s="101"/>
      <c r="AB954" s="101"/>
      <c r="AC954" s="101"/>
    </row>
    <row r="955" spans="1:29" ht="13">
      <c r="A955" s="115"/>
      <c r="B955" s="97"/>
      <c r="C955" s="115"/>
      <c r="D955" s="115"/>
      <c r="E955" s="115"/>
      <c r="F955" s="115"/>
      <c r="G955" s="99"/>
      <c r="H955" s="98"/>
      <c r="I955" s="100"/>
      <c r="J955" s="100"/>
      <c r="K955" s="100"/>
      <c r="L955" s="101"/>
      <c r="M955" s="101"/>
      <c r="N955" s="112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  <c r="AA955" s="101"/>
      <c r="AB955" s="101"/>
      <c r="AC955" s="101"/>
    </row>
    <row r="956" spans="1:29" ht="13">
      <c r="A956" s="115"/>
      <c r="B956" s="97"/>
      <c r="C956" s="115"/>
      <c r="D956" s="115"/>
      <c r="E956" s="115"/>
      <c r="F956" s="115"/>
      <c r="G956" s="99"/>
      <c r="H956" s="98"/>
      <c r="I956" s="100"/>
      <c r="J956" s="100"/>
      <c r="K956" s="100"/>
      <c r="L956" s="101"/>
      <c r="M956" s="101"/>
      <c r="N956" s="112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1"/>
      <c r="AC956" s="101"/>
    </row>
    <row r="957" spans="1:29" ht="13">
      <c r="A957" s="115"/>
      <c r="B957" s="97"/>
      <c r="C957" s="115"/>
      <c r="D957" s="115"/>
      <c r="E957" s="115"/>
      <c r="F957" s="115"/>
      <c r="G957" s="99"/>
      <c r="H957" s="98"/>
      <c r="I957" s="100"/>
      <c r="J957" s="100"/>
      <c r="K957" s="100"/>
      <c r="L957" s="101"/>
      <c r="M957" s="101"/>
      <c r="N957" s="112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  <c r="AA957" s="101"/>
      <c r="AB957" s="101"/>
      <c r="AC957" s="101"/>
    </row>
    <row r="958" spans="1:29" ht="13">
      <c r="A958" s="115"/>
      <c r="B958" s="97"/>
      <c r="C958" s="115"/>
      <c r="D958" s="115"/>
      <c r="E958" s="115"/>
      <c r="F958" s="115"/>
      <c r="G958" s="99"/>
      <c r="H958" s="98"/>
      <c r="I958" s="100"/>
      <c r="J958" s="100"/>
      <c r="K958" s="100"/>
      <c r="L958" s="101"/>
      <c r="M958" s="101"/>
      <c r="N958" s="112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  <c r="AA958" s="101"/>
      <c r="AB958" s="101"/>
      <c r="AC958" s="101"/>
    </row>
    <row r="959" spans="1:29" ht="13">
      <c r="A959" s="115"/>
      <c r="B959" s="97"/>
      <c r="C959" s="115"/>
      <c r="D959" s="115"/>
      <c r="E959" s="115"/>
      <c r="F959" s="115"/>
      <c r="G959" s="99"/>
      <c r="H959" s="98"/>
      <c r="I959" s="100"/>
      <c r="J959" s="100"/>
      <c r="K959" s="100"/>
      <c r="L959" s="101"/>
      <c r="M959" s="101"/>
      <c r="N959" s="112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  <c r="AA959" s="101"/>
      <c r="AB959" s="101"/>
      <c r="AC959" s="101"/>
    </row>
    <row r="960" spans="1:29" ht="13">
      <c r="A960" s="115"/>
      <c r="B960" s="97"/>
      <c r="C960" s="115"/>
      <c r="D960" s="115"/>
      <c r="E960" s="115"/>
      <c r="F960" s="115"/>
      <c r="G960" s="99"/>
      <c r="H960" s="98"/>
      <c r="I960" s="100"/>
      <c r="J960" s="100"/>
      <c r="K960" s="100"/>
      <c r="L960" s="101"/>
      <c r="M960" s="101"/>
      <c r="N960" s="112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  <c r="AA960" s="101"/>
      <c r="AB960" s="101"/>
      <c r="AC960" s="101"/>
    </row>
    <row r="961" spans="1:29" ht="13">
      <c r="A961" s="115"/>
      <c r="B961" s="97"/>
      <c r="C961" s="115"/>
      <c r="D961" s="115"/>
      <c r="E961" s="115"/>
      <c r="F961" s="115"/>
      <c r="G961" s="99"/>
      <c r="H961" s="98"/>
      <c r="I961" s="100"/>
      <c r="J961" s="100"/>
      <c r="K961" s="100"/>
      <c r="L961" s="101"/>
      <c r="M961" s="101"/>
      <c r="N961" s="112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  <c r="AA961" s="101"/>
      <c r="AB961" s="101"/>
      <c r="AC961" s="101"/>
    </row>
    <row r="962" spans="1:29" ht="13">
      <c r="A962" s="115"/>
      <c r="B962" s="97"/>
      <c r="C962" s="115"/>
      <c r="D962" s="115"/>
      <c r="E962" s="115"/>
      <c r="F962" s="115"/>
      <c r="G962" s="99"/>
      <c r="H962" s="98"/>
      <c r="I962" s="100"/>
      <c r="J962" s="100"/>
      <c r="K962" s="100"/>
      <c r="L962" s="101"/>
      <c r="M962" s="101"/>
      <c r="N962" s="112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  <c r="AA962" s="101"/>
      <c r="AB962" s="101"/>
      <c r="AC962" s="101"/>
    </row>
    <row r="963" spans="1:29" ht="13">
      <c r="A963" s="115"/>
      <c r="B963" s="97"/>
      <c r="C963" s="115"/>
      <c r="D963" s="115"/>
      <c r="E963" s="115"/>
      <c r="F963" s="115"/>
      <c r="G963" s="99"/>
      <c r="H963" s="98"/>
      <c r="I963" s="100"/>
      <c r="J963" s="100"/>
      <c r="K963" s="100"/>
      <c r="L963" s="101"/>
      <c r="M963" s="101"/>
      <c r="N963" s="112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  <c r="AA963" s="101"/>
      <c r="AB963" s="101"/>
      <c r="AC963" s="101"/>
    </row>
    <row r="964" spans="1:29" ht="13">
      <c r="A964" s="115"/>
      <c r="B964" s="97"/>
      <c r="C964" s="115"/>
      <c r="D964" s="115"/>
      <c r="E964" s="115"/>
      <c r="F964" s="115"/>
      <c r="G964" s="99"/>
      <c r="H964" s="98"/>
      <c r="I964" s="100"/>
      <c r="J964" s="100"/>
      <c r="K964" s="100"/>
      <c r="L964" s="101"/>
      <c r="M964" s="101"/>
      <c r="N964" s="112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  <c r="AA964" s="101"/>
      <c r="AB964" s="101"/>
      <c r="AC964" s="101"/>
    </row>
    <row r="965" spans="1:29" ht="13">
      <c r="A965" s="115"/>
      <c r="B965" s="97"/>
      <c r="C965" s="115"/>
      <c r="D965" s="115"/>
      <c r="E965" s="115"/>
      <c r="F965" s="115"/>
      <c r="G965" s="99"/>
      <c r="H965" s="98"/>
      <c r="I965" s="100"/>
      <c r="J965" s="100"/>
      <c r="K965" s="100"/>
      <c r="L965" s="101"/>
      <c r="M965" s="101"/>
      <c r="N965" s="112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  <c r="AA965" s="101"/>
      <c r="AB965" s="101"/>
      <c r="AC965" s="101"/>
    </row>
    <row r="966" spans="1:29" ht="13">
      <c r="A966" s="115"/>
      <c r="B966" s="97"/>
      <c r="C966" s="115"/>
      <c r="D966" s="115"/>
      <c r="E966" s="115"/>
      <c r="F966" s="115"/>
      <c r="G966" s="99"/>
      <c r="H966" s="98"/>
      <c r="I966" s="100"/>
      <c r="J966" s="100"/>
      <c r="K966" s="100"/>
      <c r="L966" s="101"/>
      <c r="M966" s="101"/>
      <c r="N966" s="112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  <c r="AA966" s="101"/>
      <c r="AB966" s="101"/>
      <c r="AC966" s="101"/>
    </row>
    <row r="967" spans="1:29" ht="13">
      <c r="A967" s="115"/>
      <c r="B967" s="97"/>
      <c r="C967" s="115"/>
      <c r="D967" s="115"/>
      <c r="E967" s="115"/>
      <c r="F967" s="115"/>
      <c r="G967" s="99"/>
      <c r="H967" s="98"/>
      <c r="I967" s="100"/>
      <c r="J967" s="100"/>
      <c r="K967" s="100"/>
      <c r="L967" s="101"/>
      <c r="M967" s="101"/>
      <c r="N967" s="112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  <c r="AA967" s="101"/>
      <c r="AB967" s="101"/>
      <c r="AC967" s="101"/>
    </row>
    <row r="968" spans="1:29" ht="13">
      <c r="A968" s="115"/>
      <c r="B968" s="97"/>
      <c r="C968" s="115"/>
      <c r="D968" s="115"/>
      <c r="E968" s="115"/>
      <c r="F968" s="115"/>
      <c r="G968" s="99"/>
      <c r="H968" s="98"/>
      <c r="I968" s="100"/>
      <c r="J968" s="100"/>
      <c r="K968" s="100"/>
      <c r="L968" s="101"/>
      <c r="M968" s="101"/>
      <c r="N968" s="112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  <c r="AA968" s="101"/>
      <c r="AB968" s="101"/>
      <c r="AC968" s="101"/>
    </row>
    <row r="969" spans="1:29" ht="13">
      <c r="A969" s="115"/>
      <c r="B969" s="97"/>
      <c r="C969" s="115"/>
      <c r="D969" s="115"/>
      <c r="E969" s="115"/>
      <c r="F969" s="115"/>
      <c r="G969" s="99"/>
      <c r="H969" s="98"/>
      <c r="I969" s="100"/>
      <c r="J969" s="100"/>
      <c r="K969" s="100"/>
      <c r="L969" s="101"/>
      <c r="M969" s="101"/>
      <c r="N969" s="112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  <c r="AA969" s="101"/>
      <c r="AB969" s="101"/>
      <c r="AC969" s="101"/>
    </row>
    <row r="970" spans="1:29" ht="13">
      <c r="A970" s="115"/>
      <c r="B970" s="97"/>
      <c r="C970" s="115"/>
      <c r="D970" s="115"/>
      <c r="E970" s="115"/>
      <c r="F970" s="115"/>
      <c r="G970" s="99"/>
      <c r="H970" s="98"/>
      <c r="I970" s="100"/>
      <c r="J970" s="100"/>
      <c r="K970" s="100"/>
      <c r="L970" s="101"/>
      <c r="M970" s="101"/>
      <c r="N970" s="112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  <c r="AA970" s="101"/>
      <c r="AB970" s="101"/>
      <c r="AC970" s="101"/>
    </row>
    <row r="971" spans="1:29" ht="13">
      <c r="A971" s="115"/>
      <c r="B971" s="97"/>
      <c r="C971" s="115"/>
      <c r="D971" s="115"/>
      <c r="E971" s="115"/>
      <c r="F971" s="115"/>
      <c r="G971" s="99"/>
      <c r="H971" s="98"/>
      <c r="I971" s="100"/>
      <c r="J971" s="100"/>
      <c r="K971" s="100"/>
      <c r="L971" s="101"/>
      <c r="M971" s="101"/>
      <c r="N971" s="112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  <c r="AA971" s="101"/>
      <c r="AB971" s="101"/>
      <c r="AC971" s="101"/>
    </row>
    <row r="972" spans="1:29" ht="13">
      <c r="A972" s="115"/>
      <c r="B972" s="97"/>
      <c r="C972" s="115"/>
      <c r="D972" s="115"/>
      <c r="E972" s="115"/>
      <c r="F972" s="115"/>
      <c r="G972" s="99"/>
      <c r="H972" s="98"/>
      <c r="I972" s="100"/>
      <c r="J972" s="100"/>
      <c r="K972" s="100"/>
      <c r="L972" s="101"/>
      <c r="M972" s="101"/>
      <c r="N972" s="112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  <c r="AA972" s="101"/>
      <c r="AB972" s="101"/>
      <c r="AC972" s="101"/>
    </row>
    <row r="973" spans="1:29" ht="13">
      <c r="A973" s="115"/>
      <c r="B973" s="97"/>
      <c r="C973" s="115"/>
      <c r="D973" s="115"/>
      <c r="E973" s="115"/>
      <c r="F973" s="115"/>
      <c r="G973" s="99"/>
      <c r="H973" s="98"/>
      <c r="I973" s="100"/>
      <c r="J973" s="100"/>
      <c r="K973" s="100"/>
      <c r="L973" s="101"/>
      <c r="M973" s="101"/>
      <c r="N973" s="112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  <c r="AA973" s="101"/>
      <c r="AB973" s="101"/>
      <c r="AC973" s="101"/>
    </row>
    <row r="974" spans="1:29" ht="13">
      <c r="A974" s="115"/>
      <c r="B974" s="97"/>
      <c r="C974" s="115"/>
      <c r="D974" s="115"/>
      <c r="E974" s="115"/>
      <c r="F974" s="115"/>
      <c r="G974" s="99"/>
      <c r="H974" s="98"/>
      <c r="I974" s="100"/>
      <c r="J974" s="100"/>
      <c r="K974" s="100"/>
      <c r="L974" s="101"/>
      <c r="M974" s="101"/>
      <c r="N974" s="112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  <c r="AA974" s="101"/>
      <c r="AB974" s="101"/>
      <c r="AC974" s="101"/>
    </row>
    <row r="975" spans="1:29" ht="13">
      <c r="A975" s="115"/>
      <c r="B975" s="97"/>
      <c r="C975" s="115"/>
      <c r="D975" s="115"/>
      <c r="E975" s="115"/>
      <c r="F975" s="115"/>
      <c r="G975" s="99"/>
      <c r="H975" s="98"/>
      <c r="I975" s="100"/>
      <c r="J975" s="100"/>
      <c r="K975" s="100"/>
      <c r="L975" s="101"/>
      <c r="M975" s="101"/>
      <c r="N975" s="112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  <c r="AA975" s="101"/>
      <c r="AB975" s="101"/>
      <c r="AC975" s="101"/>
    </row>
    <row r="976" spans="1:29" ht="13">
      <c r="A976" s="115"/>
      <c r="B976" s="97"/>
      <c r="C976" s="115"/>
      <c r="D976" s="115"/>
      <c r="E976" s="115"/>
      <c r="F976" s="115"/>
      <c r="G976" s="99"/>
      <c r="H976" s="98"/>
      <c r="I976" s="100"/>
      <c r="J976" s="100"/>
      <c r="K976" s="100"/>
      <c r="L976" s="101"/>
      <c r="M976" s="101"/>
      <c r="N976" s="112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  <c r="AA976" s="101"/>
      <c r="AB976" s="101"/>
      <c r="AC976" s="101"/>
    </row>
    <row r="977" spans="1:29" ht="13">
      <c r="A977" s="115"/>
      <c r="B977" s="97"/>
      <c r="C977" s="115"/>
      <c r="D977" s="115"/>
      <c r="E977" s="115"/>
      <c r="F977" s="115"/>
      <c r="G977" s="99"/>
      <c r="H977" s="98"/>
      <c r="I977" s="100"/>
      <c r="J977" s="100"/>
      <c r="K977" s="100"/>
      <c r="L977" s="101"/>
      <c r="M977" s="101"/>
      <c r="N977" s="112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  <c r="AA977" s="101"/>
      <c r="AB977" s="101"/>
      <c r="AC977" s="101"/>
    </row>
    <row r="978" spans="1:29" ht="13">
      <c r="A978" s="115"/>
      <c r="B978" s="97"/>
      <c r="C978" s="115"/>
      <c r="D978" s="115"/>
      <c r="E978" s="115"/>
      <c r="F978" s="115"/>
      <c r="G978" s="99"/>
      <c r="H978" s="98"/>
      <c r="I978" s="100"/>
      <c r="J978" s="100"/>
      <c r="K978" s="100"/>
      <c r="L978" s="101"/>
      <c r="M978" s="101"/>
      <c r="N978" s="112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  <c r="AA978" s="101"/>
      <c r="AB978" s="101"/>
      <c r="AC978" s="101"/>
    </row>
    <row r="979" spans="1:29" ht="13">
      <c r="A979" s="115"/>
      <c r="B979" s="97"/>
      <c r="C979" s="115"/>
      <c r="D979" s="115"/>
      <c r="E979" s="115"/>
      <c r="F979" s="115"/>
      <c r="G979" s="99"/>
      <c r="H979" s="98"/>
      <c r="I979" s="100"/>
      <c r="J979" s="100"/>
      <c r="K979" s="100"/>
      <c r="L979" s="101"/>
      <c r="M979" s="101"/>
      <c r="N979" s="112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  <c r="AA979" s="101"/>
      <c r="AB979" s="101"/>
      <c r="AC979" s="101"/>
    </row>
    <row r="980" spans="1:29" ht="13">
      <c r="A980" s="115"/>
      <c r="B980" s="97"/>
      <c r="C980" s="115"/>
      <c r="D980" s="115"/>
      <c r="E980" s="115"/>
      <c r="F980" s="115"/>
      <c r="G980" s="99"/>
      <c r="H980" s="98"/>
      <c r="I980" s="100"/>
      <c r="J980" s="100"/>
      <c r="K980" s="100"/>
      <c r="L980" s="101"/>
      <c r="M980" s="101"/>
      <c r="N980" s="112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  <c r="AA980" s="101"/>
      <c r="AB980" s="101"/>
      <c r="AC980" s="101"/>
    </row>
    <row r="981" spans="1:29" ht="13">
      <c r="A981" s="115"/>
      <c r="B981" s="97"/>
      <c r="C981" s="115"/>
      <c r="D981" s="115"/>
      <c r="E981" s="115"/>
      <c r="F981" s="115"/>
      <c r="G981" s="99"/>
      <c r="H981" s="98"/>
      <c r="I981" s="100"/>
      <c r="J981" s="100"/>
      <c r="K981" s="100"/>
      <c r="L981" s="101"/>
      <c r="M981" s="101"/>
      <c r="N981" s="112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  <c r="AA981" s="101"/>
      <c r="AB981" s="101"/>
      <c r="AC981" s="101"/>
    </row>
    <row r="982" spans="1:29" ht="13">
      <c r="A982" s="115"/>
      <c r="B982" s="97"/>
      <c r="C982" s="115"/>
      <c r="D982" s="115"/>
      <c r="E982" s="115"/>
      <c r="F982" s="115"/>
      <c r="G982" s="99"/>
      <c r="H982" s="98"/>
      <c r="I982" s="100"/>
      <c r="J982" s="100"/>
      <c r="K982" s="100"/>
      <c r="L982" s="101"/>
      <c r="M982" s="101"/>
      <c r="N982" s="112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  <c r="AA982" s="101"/>
      <c r="AB982" s="101"/>
      <c r="AC982" s="101"/>
    </row>
    <row r="983" spans="1:29" ht="13">
      <c r="A983" s="115"/>
      <c r="B983" s="97"/>
      <c r="C983" s="115"/>
      <c r="D983" s="115"/>
      <c r="E983" s="115"/>
      <c r="F983" s="115"/>
      <c r="G983" s="99"/>
      <c r="H983" s="98"/>
      <c r="I983" s="100"/>
      <c r="J983" s="100"/>
      <c r="K983" s="100"/>
      <c r="L983" s="101"/>
      <c r="M983" s="101"/>
      <c r="N983" s="112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  <c r="AA983" s="101"/>
      <c r="AB983" s="101"/>
      <c r="AC983" s="101"/>
    </row>
    <row r="984" spans="1:29" ht="13">
      <c r="A984" s="115"/>
      <c r="B984" s="97"/>
      <c r="C984" s="115"/>
      <c r="D984" s="115"/>
      <c r="E984" s="115"/>
      <c r="F984" s="115"/>
      <c r="G984" s="99"/>
      <c r="H984" s="98"/>
      <c r="I984" s="100"/>
      <c r="J984" s="100"/>
      <c r="K984" s="100"/>
      <c r="L984" s="101"/>
      <c r="M984" s="101"/>
      <c r="N984" s="112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  <c r="AA984" s="101"/>
      <c r="AB984" s="101"/>
      <c r="AC984" s="101"/>
    </row>
    <row r="985" spans="1:29" ht="13">
      <c r="A985" s="115"/>
      <c r="B985" s="97"/>
      <c r="C985" s="115"/>
      <c r="D985" s="115"/>
      <c r="E985" s="115"/>
      <c r="F985" s="115"/>
      <c r="G985" s="99"/>
      <c r="H985" s="98"/>
      <c r="I985" s="100"/>
      <c r="J985" s="100"/>
      <c r="K985" s="100"/>
      <c r="L985" s="101"/>
      <c r="M985" s="101"/>
      <c r="N985" s="112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  <c r="AA985" s="101"/>
      <c r="AB985" s="101"/>
      <c r="AC985" s="101"/>
    </row>
    <row r="986" spans="1:29" ht="13">
      <c r="A986" s="115"/>
      <c r="B986" s="97"/>
      <c r="C986" s="115"/>
      <c r="D986" s="115"/>
      <c r="E986" s="115"/>
      <c r="F986" s="115"/>
      <c r="G986" s="99"/>
      <c r="H986" s="98"/>
      <c r="I986" s="100"/>
      <c r="J986" s="100"/>
      <c r="K986" s="100"/>
      <c r="L986" s="101"/>
      <c r="M986" s="101"/>
      <c r="N986" s="112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  <c r="AA986" s="101"/>
      <c r="AB986" s="101"/>
      <c r="AC986" s="101"/>
    </row>
    <row r="987" spans="1:29" ht="13">
      <c r="A987" s="115"/>
      <c r="B987" s="97"/>
      <c r="C987" s="115"/>
      <c r="D987" s="115"/>
      <c r="E987" s="115"/>
      <c r="F987" s="115"/>
      <c r="G987" s="99"/>
      <c r="H987" s="98"/>
      <c r="I987" s="100"/>
      <c r="J987" s="100"/>
      <c r="K987" s="100"/>
      <c r="L987" s="101"/>
      <c r="M987" s="101"/>
      <c r="N987" s="112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  <c r="AA987" s="101"/>
      <c r="AB987" s="101"/>
      <c r="AC987" s="101"/>
    </row>
    <row r="988" spans="1:29" ht="13">
      <c r="A988" s="115"/>
      <c r="B988" s="97"/>
      <c r="C988" s="115"/>
      <c r="D988" s="115"/>
      <c r="E988" s="115"/>
      <c r="F988" s="115"/>
      <c r="G988" s="99"/>
      <c r="H988" s="98"/>
      <c r="I988" s="100"/>
      <c r="J988" s="100"/>
      <c r="K988" s="100"/>
      <c r="L988" s="101"/>
      <c r="M988" s="101"/>
      <c r="N988" s="112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  <c r="AA988" s="101"/>
      <c r="AB988" s="101"/>
      <c r="AC988" s="101"/>
    </row>
    <row r="989" spans="1:29" ht="13">
      <c r="A989" s="115"/>
      <c r="B989" s="97"/>
      <c r="C989" s="115"/>
      <c r="D989" s="115"/>
      <c r="E989" s="115"/>
      <c r="F989" s="115"/>
      <c r="G989" s="99"/>
      <c r="H989" s="98"/>
      <c r="I989" s="100"/>
      <c r="J989" s="100"/>
      <c r="K989" s="100"/>
      <c r="L989" s="101"/>
      <c r="M989" s="101"/>
      <c r="N989" s="112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  <c r="AA989" s="101"/>
      <c r="AB989" s="101"/>
      <c r="AC989" s="101"/>
    </row>
    <row r="990" spans="1:29" ht="13">
      <c r="A990" s="115"/>
      <c r="B990" s="97"/>
      <c r="C990" s="115"/>
      <c r="D990" s="115"/>
      <c r="E990" s="115"/>
      <c r="F990" s="115"/>
      <c r="G990" s="99"/>
      <c r="H990" s="98"/>
      <c r="I990" s="100"/>
      <c r="J990" s="100"/>
      <c r="K990" s="100"/>
      <c r="L990" s="101"/>
      <c r="M990" s="101"/>
      <c r="N990" s="112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  <c r="AA990" s="101"/>
      <c r="AB990" s="101"/>
      <c r="AC990" s="101"/>
    </row>
    <row r="991" spans="1:29" ht="13">
      <c r="A991" s="115"/>
      <c r="B991" s="97"/>
      <c r="C991" s="115"/>
      <c r="D991" s="115"/>
      <c r="E991" s="115"/>
      <c r="F991" s="115"/>
      <c r="G991" s="99"/>
      <c r="H991" s="98"/>
      <c r="I991" s="100"/>
      <c r="J991" s="100"/>
      <c r="K991" s="100"/>
      <c r="L991" s="101"/>
      <c r="M991" s="101"/>
      <c r="N991" s="112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  <c r="AA991" s="101"/>
      <c r="AB991" s="101"/>
      <c r="AC991" s="101"/>
    </row>
    <row r="992" spans="1:29" ht="13">
      <c r="A992" s="115"/>
      <c r="B992" s="97"/>
      <c r="C992" s="115"/>
      <c r="D992" s="115"/>
      <c r="E992" s="115"/>
      <c r="F992" s="115"/>
      <c r="G992" s="99"/>
      <c r="H992" s="98"/>
      <c r="I992" s="100"/>
      <c r="J992" s="100"/>
      <c r="K992" s="100"/>
      <c r="L992" s="101"/>
      <c r="M992" s="101"/>
      <c r="N992" s="112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  <c r="AA992" s="101"/>
      <c r="AB992" s="101"/>
      <c r="AC992" s="101"/>
    </row>
    <row r="993" spans="1:29" ht="13">
      <c r="A993" s="115"/>
      <c r="B993" s="97"/>
      <c r="C993" s="115"/>
      <c r="D993" s="115"/>
      <c r="E993" s="115"/>
      <c r="F993" s="115"/>
      <c r="G993" s="99"/>
      <c r="H993" s="98"/>
      <c r="I993" s="100"/>
      <c r="J993" s="100"/>
      <c r="K993" s="100"/>
      <c r="L993" s="101"/>
      <c r="M993" s="101"/>
      <c r="N993" s="112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  <c r="AA993" s="101"/>
      <c r="AB993" s="101"/>
      <c r="AC993" s="101"/>
    </row>
    <row r="994" spans="1:29" ht="13">
      <c r="A994" s="115"/>
      <c r="B994" s="97"/>
      <c r="C994" s="115"/>
      <c r="D994" s="115"/>
      <c r="E994" s="115"/>
      <c r="F994" s="115"/>
      <c r="G994" s="99"/>
      <c r="H994" s="98"/>
      <c r="I994" s="100"/>
      <c r="J994" s="100"/>
      <c r="K994" s="100"/>
      <c r="L994" s="101"/>
      <c r="M994" s="101"/>
      <c r="N994" s="112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  <c r="AA994" s="101"/>
      <c r="AB994" s="101"/>
      <c r="AC994" s="101"/>
    </row>
    <row r="995" spans="1:29" ht="13">
      <c r="A995" s="115"/>
      <c r="B995" s="97"/>
      <c r="C995" s="115"/>
      <c r="D995" s="115"/>
      <c r="E995" s="115"/>
      <c r="F995" s="115"/>
      <c r="G995" s="99"/>
      <c r="H995" s="98"/>
      <c r="I995" s="100"/>
      <c r="J995" s="100"/>
      <c r="K995" s="100"/>
      <c r="L995" s="101"/>
      <c r="M995" s="101"/>
      <c r="N995" s="112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  <c r="AA995" s="101"/>
      <c r="AB995" s="101"/>
      <c r="AC995" s="101"/>
    </row>
    <row r="996" spans="1:29" ht="13">
      <c r="A996" s="115"/>
      <c r="B996" s="97"/>
      <c r="C996" s="115"/>
      <c r="D996" s="115"/>
      <c r="E996" s="115"/>
      <c r="F996" s="115"/>
      <c r="G996" s="99"/>
      <c r="H996" s="98"/>
      <c r="I996" s="100"/>
      <c r="J996" s="100"/>
      <c r="K996" s="100"/>
      <c r="L996" s="101"/>
      <c r="M996" s="101"/>
      <c r="N996" s="112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  <c r="AA996" s="101"/>
      <c r="AB996" s="101"/>
      <c r="AC996" s="101"/>
    </row>
    <row r="997" spans="1:29" ht="13">
      <c r="A997" s="115"/>
      <c r="B997" s="97"/>
      <c r="C997" s="115"/>
      <c r="D997" s="115"/>
      <c r="E997" s="115"/>
      <c r="F997" s="115"/>
      <c r="G997" s="99"/>
      <c r="H997" s="98"/>
      <c r="I997" s="100"/>
      <c r="J997" s="100"/>
      <c r="K997" s="100"/>
      <c r="L997" s="101"/>
      <c r="M997" s="101"/>
      <c r="N997" s="112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  <c r="AA997" s="101"/>
      <c r="AB997" s="101"/>
      <c r="AC997" s="101"/>
    </row>
    <row r="998" spans="1:29" ht="13">
      <c r="A998" s="115"/>
      <c r="B998" s="97"/>
      <c r="C998" s="115"/>
      <c r="D998" s="115"/>
      <c r="E998" s="115"/>
      <c r="F998" s="115"/>
      <c r="G998" s="99"/>
      <c r="H998" s="98"/>
      <c r="I998" s="100"/>
      <c r="J998" s="100"/>
      <c r="K998" s="100"/>
      <c r="L998" s="101"/>
      <c r="M998" s="101"/>
      <c r="N998" s="112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  <c r="AA998" s="101"/>
      <c r="AB998" s="101"/>
      <c r="AC998" s="101"/>
    </row>
    <row r="999" spans="1:29" ht="13">
      <c r="A999" s="115"/>
      <c r="B999" s="97"/>
      <c r="C999" s="115"/>
      <c r="D999" s="115"/>
      <c r="E999" s="115"/>
      <c r="F999" s="115"/>
      <c r="G999" s="99"/>
      <c r="H999" s="98"/>
      <c r="I999" s="100"/>
      <c r="J999" s="100"/>
      <c r="K999" s="100"/>
      <c r="L999" s="101"/>
      <c r="M999" s="101"/>
      <c r="N999" s="112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  <c r="AA999" s="101"/>
      <c r="AB999" s="101"/>
      <c r="AC999" s="101"/>
    </row>
    <row r="1000" spans="1:29" ht="13">
      <c r="A1000" s="115"/>
      <c r="B1000" s="97"/>
      <c r="C1000" s="115"/>
      <c r="D1000" s="115"/>
      <c r="E1000" s="115"/>
      <c r="F1000" s="115"/>
      <c r="G1000" s="99"/>
      <c r="H1000" s="98"/>
      <c r="I1000" s="100"/>
      <c r="J1000" s="100"/>
      <c r="K1000" s="100"/>
      <c r="L1000" s="101"/>
      <c r="M1000" s="101"/>
      <c r="N1000" s="112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  <c r="AA1000" s="101"/>
      <c r="AB1000" s="101"/>
      <c r="AC1000" s="101"/>
    </row>
    <row r="1001" spans="1:29" ht="13">
      <c r="A1001" s="115"/>
      <c r="B1001" s="97"/>
      <c r="C1001" s="115"/>
      <c r="D1001" s="115"/>
      <c r="E1001" s="115"/>
      <c r="F1001" s="115"/>
      <c r="G1001" s="99"/>
      <c r="H1001" s="98"/>
      <c r="I1001" s="100"/>
      <c r="J1001" s="100"/>
      <c r="K1001" s="100"/>
      <c r="L1001" s="101"/>
      <c r="M1001" s="101"/>
      <c r="N1001" s="112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1"/>
      <c r="Y1001" s="101"/>
      <c r="Z1001" s="101"/>
      <c r="AA1001" s="101"/>
      <c r="AB1001" s="101"/>
      <c r="AC1001" s="101"/>
    </row>
  </sheetData>
  <mergeCells count="1">
    <mergeCell ref="M1:N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9DAF8"/>
    <outlinePr summaryBelow="0" summaryRight="0"/>
    <pageSetUpPr fitToPage="1"/>
  </sheetPr>
  <dimension ref="A1:Z1006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7.26953125" customWidth="1"/>
    <col min="2" max="3" width="5.453125" customWidth="1"/>
    <col min="4" max="4" width="7.08984375" customWidth="1"/>
    <col min="5" max="5" width="22.7265625" hidden="1" customWidth="1"/>
    <col min="6" max="6" width="13.453125" hidden="1" customWidth="1"/>
    <col min="7" max="7" width="56.54296875" customWidth="1"/>
    <col min="8" max="8" width="25.81640625" hidden="1" customWidth="1"/>
    <col min="9" max="10" width="12.7265625" hidden="1" customWidth="1"/>
    <col min="11" max="11" width="7.453125" hidden="1" customWidth="1"/>
    <col min="12" max="12" width="13.7265625" hidden="1" customWidth="1"/>
    <col min="13" max="13" width="7.453125" hidden="1" customWidth="1"/>
    <col min="14" max="14" width="12.7265625" hidden="1" customWidth="1"/>
    <col min="15" max="15" width="9.54296875" hidden="1" customWidth="1"/>
    <col min="16" max="16" width="27" hidden="1" customWidth="1"/>
    <col min="17" max="17" width="11.54296875" customWidth="1"/>
    <col min="18" max="18" width="8.453125" customWidth="1"/>
    <col min="19" max="19" width="7.453125" hidden="1" customWidth="1"/>
    <col min="20" max="20" width="10.54296875" hidden="1" customWidth="1"/>
    <col min="21" max="21" width="10.54296875" customWidth="1"/>
    <col min="22" max="23" width="10.54296875" hidden="1" customWidth="1"/>
    <col min="24" max="24" width="11.54296875" hidden="1" customWidth="1"/>
    <col min="25" max="25" width="13.54296875" hidden="1" customWidth="1"/>
    <col min="26" max="26" width="29.453125" customWidth="1"/>
  </cols>
  <sheetData>
    <row r="1" spans="1:26" ht="15.75" customHeight="1">
      <c r="A1" s="37"/>
      <c r="B1" s="38"/>
      <c r="C1" s="39"/>
      <c r="D1" s="40"/>
      <c r="E1" s="40"/>
      <c r="F1" s="40"/>
      <c r="G1" s="41"/>
      <c r="H1" s="40"/>
      <c r="I1" s="40"/>
      <c r="J1" s="40"/>
      <c r="K1" s="40"/>
      <c r="L1" s="40"/>
      <c r="M1" s="40"/>
      <c r="N1" s="40"/>
      <c r="O1" s="40"/>
      <c r="P1" s="42"/>
      <c r="Q1" s="43"/>
      <c r="R1" s="43"/>
      <c r="S1" s="43"/>
      <c r="T1" s="43"/>
      <c r="U1" s="44"/>
      <c r="V1" s="40"/>
      <c r="W1" s="40"/>
      <c r="X1" s="40"/>
      <c r="Y1" s="40"/>
      <c r="Z1" s="40"/>
    </row>
    <row r="2" spans="1:26" ht="26">
      <c r="A2" s="46" t="s">
        <v>36</v>
      </c>
      <c r="B2" s="47" t="s">
        <v>95</v>
      </c>
      <c r="C2" s="47" t="s">
        <v>38</v>
      </c>
      <c r="D2" s="48" t="s">
        <v>40</v>
      </c>
      <c r="E2" s="49" t="s">
        <v>43</v>
      </c>
      <c r="F2" s="50" t="s">
        <v>45</v>
      </c>
      <c r="G2" s="47" t="s">
        <v>96</v>
      </c>
      <c r="H2" s="50" t="s">
        <v>97</v>
      </c>
      <c r="I2" s="50" t="s">
        <v>98</v>
      </c>
      <c r="J2" s="50" t="s">
        <v>99</v>
      </c>
      <c r="K2" s="48" t="s">
        <v>100</v>
      </c>
      <c r="L2" s="50" t="s">
        <v>101</v>
      </c>
      <c r="M2" s="48" t="s">
        <v>102</v>
      </c>
      <c r="N2" s="50" t="s">
        <v>103</v>
      </c>
      <c r="O2" s="48" t="s">
        <v>104</v>
      </c>
      <c r="P2" s="51" t="s">
        <v>1156</v>
      </c>
      <c r="Q2" s="52" t="s">
        <v>63</v>
      </c>
      <c r="R2" s="52" t="s">
        <v>65</v>
      </c>
      <c r="S2" s="52" t="s">
        <v>67</v>
      </c>
      <c r="T2" s="52" t="s">
        <v>69</v>
      </c>
      <c r="U2" s="53" t="s">
        <v>71</v>
      </c>
      <c r="V2" s="54" t="s">
        <v>106</v>
      </c>
      <c r="W2" s="54" t="s">
        <v>107</v>
      </c>
      <c r="X2" s="54" t="s">
        <v>108</v>
      </c>
      <c r="Y2" s="54" t="s">
        <v>73</v>
      </c>
      <c r="Z2" s="55" t="s">
        <v>109</v>
      </c>
    </row>
    <row r="3" spans="1:26" ht="15.75" customHeight="1">
      <c r="A3" s="56" t="str">
        <f t="shared" ref="A3:A15" si="0">CONCATENATE("S",B3,C3)</f>
        <v>S0NE</v>
      </c>
      <c r="B3" s="57">
        <v>0</v>
      </c>
      <c r="C3" s="58" t="s">
        <v>110</v>
      </c>
      <c r="D3" s="59">
        <f t="shared" ref="D3:D26" si="1">B3*200+200</f>
        <v>200</v>
      </c>
      <c r="E3" s="60" t="s">
        <v>538</v>
      </c>
      <c r="F3" s="60">
        <v>1103124226</v>
      </c>
      <c r="G3" s="58" t="s">
        <v>539</v>
      </c>
      <c r="H3" s="60" t="s">
        <v>540</v>
      </c>
      <c r="I3" s="60">
        <v>114.1583588</v>
      </c>
      <c r="J3" s="60">
        <v>22.283442170000001</v>
      </c>
      <c r="K3" s="61">
        <v>3.6</v>
      </c>
      <c r="L3" s="60" t="s">
        <v>126</v>
      </c>
      <c r="M3" s="61">
        <v>185.9</v>
      </c>
      <c r="N3" s="60" t="s">
        <v>115</v>
      </c>
      <c r="O3" s="61">
        <v>182.3</v>
      </c>
      <c r="P3" s="62"/>
      <c r="Q3" s="43" t="b">
        <v>0</v>
      </c>
      <c r="R3" s="43" t="b">
        <v>0</v>
      </c>
      <c r="S3" s="43" t="b">
        <v>0</v>
      </c>
      <c r="T3" s="63" t="b">
        <f ca="1">AND(U3&lt;&gt;"",OR(U3&gt;(VLOOKUP(B3,S_analysis!$A$2:$K$7,5,FALSE)+2*VLOOKUP(B3,S_analysis!$A$2:$K$7,6,FALSE)),U3&lt;(VLOOKUP(B3,S_analysis!$A$2:$K$7,5,FALSE)-2*VLOOKUP(B3,S_analysis!$A$2:$K$7,6,FALSE))))</f>
        <v>0</v>
      </c>
      <c r="U3" s="64">
        <v>50</v>
      </c>
      <c r="V3" s="60">
        <v>0</v>
      </c>
      <c r="W3" s="59">
        <v>100</v>
      </c>
      <c r="X3" s="60">
        <v>1984</v>
      </c>
      <c r="Y3" s="65" t="s">
        <v>173</v>
      </c>
      <c r="Z3" s="66" t="s">
        <v>1761</v>
      </c>
    </row>
    <row r="4" spans="1:26" ht="15.75" customHeight="1">
      <c r="A4" s="56" t="str">
        <f t="shared" si="0"/>
        <v>S0SE</v>
      </c>
      <c r="B4" s="57">
        <v>0</v>
      </c>
      <c r="C4" s="58" t="s">
        <v>116</v>
      </c>
      <c r="D4" s="59">
        <f t="shared" si="1"/>
        <v>200</v>
      </c>
      <c r="E4" s="60" t="s">
        <v>541</v>
      </c>
      <c r="F4" s="60">
        <v>1103123008</v>
      </c>
      <c r="G4" s="58" t="s">
        <v>542</v>
      </c>
      <c r="H4" s="60" t="s">
        <v>543</v>
      </c>
      <c r="I4" s="60">
        <v>114.15816770000001</v>
      </c>
      <c r="J4" s="60">
        <v>22.284623549999999</v>
      </c>
      <c r="K4" s="61">
        <v>3.8</v>
      </c>
      <c r="L4" s="60" t="s">
        <v>115</v>
      </c>
      <c r="M4" s="61">
        <v>34.4</v>
      </c>
      <c r="N4" s="60" t="s">
        <v>115</v>
      </c>
      <c r="O4" s="61">
        <v>30.6</v>
      </c>
      <c r="P4" s="67" t="s">
        <v>1157</v>
      </c>
      <c r="Q4" s="43" t="b">
        <v>0</v>
      </c>
      <c r="R4" s="43" t="b">
        <v>1</v>
      </c>
      <c r="S4" s="43" t="b">
        <v>0</v>
      </c>
      <c r="T4" s="63" t="b">
        <f ca="1">AND(U4&lt;&gt;"",OR(U4&gt;(VLOOKUP(B4,S_analysis!$A$2:$K$7,5,FALSE)+2*VLOOKUP(B4,S_analysis!$A$2:$K$7,6,FALSE)),U4&lt;(VLOOKUP(B4,S_analysis!$A$2:$K$7,5,FALSE)-2*VLOOKUP(B4,S_analysis!$A$2:$K$7,6,FALSE))))</f>
        <v>1</v>
      </c>
      <c r="U4" s="68">
        <v>4</v>
      </c>
      <c r="V4" s="60"/>
      <c r="W4" s="59"/>
      <c r="X4" s="60"/>
      <c r="Y4" s="60" t="s">
        <v>227</v>
      </c>
      <c r="Z4" s="66" t="s">
        <v>1763</v>
      </c>
    </row>
    <row r="5" spans="1:26" ht="15.75" customHeight="1">
      <c r="A5" s="56" t="str">
        <f t="shared" si="0"/>
        <v>S0SW</v>
      </c>
      <c r="B5" s="57">
        <v>0</v>
      </c>
      <c r="C5" s="58" t="s">
        <v>121</v>
      </c>
      <c r="D5" s="59">
        <f t="shared" si="1"/>
        <v>200</v>
      </c>
      <c r="E5" s="60" t="s">
        <v>545</v>
      </c>
      <c r="F5" s="60">
        <v>1103124028</v>
      </c>
      <c r="G5" s="58" t="s">
        <v>546</v>
      </c>
      <c r="H5" s="60" t="s">
        <v>547</v>
      </c>
      <c r="I5" s="60">
        <v>114.15954379999999</v>
      </c>
      <c r="J5" s="60">
        <v>22.283562939999999</v>
      </c>
      <c r="K5" s="61">
        <v>3.9</v>
      </c>
      <c r="L5" s="60" t="s">
        <v>115</v>
      </c>
      <c r="M5" s="61">
        <v>30.1</v>
      </c>
      <c r="N5" s="60" t="s">
        <v>115</v>
      </c>
      <c r="O5" s="61">
        <v>26.2</v>
      </c>
      <c r="P5" s="67" t="s">
        <v>182</v>
      </c>
      <c r="Q5" s="43" t="b">
        <v>0</v>
      </c>
      <c r="R5" s="43" t="b">
        <v>1</v>
      </c>
      <c r="S5" s="43" t="b">
        <v>0</v>
      </c>
      <c r="T5" s="63" t="b">
        <f ca="1">AND(U5&lt;&gt;"",OR(U5&gt;(VLOOKUP(B5,S_analysis!$A$2:$K$7,5,FALSE)+2*VLOOKUP(B5,S_analysis!$A$2:$K$7,6,FALSE)),U5&lt;(VLOOKUP(B5,S_analysis!$A$2:$K$7,5,FALSE)-2*VLOOKUP(B5,S_analysis!$A$2:$K$7,6,FALSE))))</f>
        <v>1</v>
      </c>
      <c r="U5" s="68">
        <v>3</v>
      </c>
      <c r="V5" s="65"/>
      <c r="W5" s="66"/>
      <c r="X5" s="65"/>
      <c r="Y5" s="60" t="s">
        <v>227</v>
      </c>
      <c r="Z5" s="66" t="s">
        <v>1765</v>
      </c>
    </row>
    <row r="6" spans="1:26" ht="15.75" customHeight="1">
      <c r="A6" s="56" t="str">
        <f t="shared" si="0"/>
        <v>S0NW</v>
      </c>
      <c r="B6" s="57">
        <v>0</v>
      </c>
      <c r="C6" s="58" t="s">
        <v>127</v>
      </c>
      <c r="D6" s="59">
        <f t="shared" si="1"/>
        <v>200</v>
      </c>
      <c r="E6" s="60" t="s">
        <v>549</v>
      </c>
      <c r="F6" s="60">
        <v>1103124531</v>
      </c>
      <c r="G6" s="58" t="s">
        <v>550</v>
      </c>
      <c r="H6" s="60" t="s">
        <v>551</v>
      </c>
      <c r="I6" s="60">
        <v>114.15915529999999</v>
      </c>
      <c r="J6" s="60">
        <v>22.28300407</v>
      </c>
      <c r="K6" s="61">
        <v>3.7</v>
      </c>
      <c r="L6" s="60" t="s">
        <v>115</v>
      </c>
      <c r="M6" s="61">
        <v>182</v>
      </c>
      <c r="N6" s="60" t="s">
        <v>115</v>
      </c>
      <c r="O6" s="61">
        <v>178.3</v>
      </c>
      <c r="P6" s="62"/>
      <c r="Q6" s="43" t="b">
        <v>0</v>
      </c>
      <c r="R6" s="43" t="b">
        <v>0</v>
      </c>
      <c r="S6" s="43" t="b">
        <v>0</v>
      </c>
      <c r="T6" s="63" t="b">
        <f ca="1">AND(U6&lt;&gt;"",OR(U6&gt;(VLOOKUP(B6,S_analysis!$A$2:$K$7,5,FALSE)+2*VLOOKUP(B6,S_analysis!$A$2:$K$7,6,FALSE)),U6&lt;(VLOOKUP(B6,S_analysis!$A$2:$K$7,5,FALSE)-2*VLOOKUP(B6,S_analysis!$A$2:$K$7,6,FALSE))))</f>
        <v>0</v>
      </c>
      <c r="U6" s="64">
        <v>48</v>
      </c>
      <c r="V6" s="60">
        <v>1</v>
      </c>
      <c r="W6" s="59">
        <v>108</v>
      </c>
      <c r="X6" s="60">
        <v>1972</v>
      </c>
      <c r="Y6" s="65" t="s">
        <v>173</v>
      </c>
      <c r="Z6" s="66" t="s">
        <v>1767</v>
      </c>
    </row>
    <row r="7" spans="1:26" ht="15.75" customHeight="1">
      <c r="A7" s="56" t="str">
        <f t="shared" si="0"/>
        <v>S1NE</v>
      </c>
      <c r="B7" s="57">
        <v>1</v>
      </c>
      <c r="C7" s="58" t="s">
        <v>110</v>
      </c>
      <c r="D7" s="59">
        <f t="shared" si="1"/>
        <v>400</v>
      </c>
      <c r="E7" s="60" t="s">
        <v>1290</v>
      </c>
      <c r="F7" s="60">
        <v>1103125853</v>
      </c>
      <c r="G7" s="58" t="s">
        <v>1291</v>
      </c>
      <c r="H7" s="60" t="s">
        <v>1292</v>
      </c>
      <c r="I7" s="60">
        <v>114.1577702</v>
      </c>
      <c r="J7" s="60">
        <v>22.281507319999999</v>
      </c>
      <c r="K7" s="61">
        <v>4</v>
      </c>
      <c r="L7" s="60" t="s">
        <v>126</v>
      </c>
      <c r="M7" s="61">
        <v>158.30000000000001</v>
      </c>
      <c r="N7" s="60" t="s">
        <v>115</v>
      </c>
      <c r="O7" s="61">
        <v>154.30000000000001</v>
      </c>
      <c r="P7" s="62"/>
      <c r="Q7" s="43" t="b">
        <v>0</v>
      </c>
      <c r="R7" s="43" t="b">
        <v>0</v>
      </c>
      <c r="S7" s="43" t="b">
        <v>0</v>
      </c>
      <c r="T7" s="63" t="b">
        <f ca="1">AND(U7&lt;&gt;"",OR(U7&gt;(VLOOKUP(B7,S_analysis!$A$2:$K$7,5,FALSE)+2*VLOOKUP(B7,S_analysis!$A$2:$K$7,6,FALSE)),U7&lt;(VLOOKUP(B7,S_analysis!$A$2:$K$7,5,FALSE)-2*VLOOKUP(B7,S_analysis!$A$2:$K$7,6,FALSE))))</f>
        <v>0</v>
      </c>
      <c r="U7" s="68">
        <v>44</v>
      </c>
      <c r="V7" s="60">
        <v>2</v>
      </c>
      <c r="W7" s="59">
        <v>264</v>
      </c>
      <c r="X7" s="60">
        <v>1979</v>
      </c>
      <c r="Y7" s="60" t="s">
        <v>173</v>
      </c>
      <c r="Z7" s="66" t="s">
        <v>1774</v>
      </c>
    </row>
    <row r="8" spans="1:26" ht="15.75" customHeight="1">
      <c r="A8" s="56" t="str">
        <f t="shared" si="0"/>
        <v>S1SE</v>
      </c>
      <c r="B8" s="57">
        <v>1</v>
      </c>
      <c r="C8" s="58" t="s">
        <v>116</v>
      </c>
      <c r="D8" s="59">
        <f t="shared" si="1"/>
        <v>400</v>
      </c>
      <c r="E8" s="60" t="s">
        <v>552</v>
      </c>
      <c r="F8" s="60">
        <v>1103124903</v>
      </c>
      <c r="G8" s="58" t="s">
        <v>553</v>
      </c>
      <c r="H8" s="60" t="s">
        <v>554</v>
      </c>
      <c r="I8" s="60">
        <v>114.1577892</v>
      </c>
      <c r="J8" s="60">
        <v>22.282554059999999</v>
      </c>
      <c r="K8" s="61">
        <v>3.7</v>
      </c>
      <c r="L8" s="60" t="s">
        <v>115</v>
      </c>
      <c r="M8" s="61">
        <v>109</v>
      </c>
      <c r="N8" s="60">
        <v>3</v>
      </c>
      <c r="O8" s="61">
        <v>105.3</v>
      </c>
      <c r="P8" s="69"/>
      <c r="Q8" s="43" t="b">
        <v>0</v>
      </c>
      <c r="R8" s="43" t="b">
        <v>0</v>
      </c>
      <c r="S8" s="43" t="b">
        <v>0</v>
      </c>
      <c r="T8" s="63" t="b">
        <f ca="1">AND(U8&lt;&gt;"",OR(U8&gt;(VLOOKUP(B8,S_analysis!$A$2:$K$7,5,FALSE)+2*VLOOKUP(B8,S_analysis!$A$2:$K$7,6,FALSE)),U8&lt;(VLOOKUP(B8,S_analysis!$A$2:$K$7,5,FALSE)-2*VLOOKUP(B8,S_analysis!$A$2:$K$7,6,FALSE))))</f>
        <v>0</v>
      </c>
      <c r="U8" s="68">
        <v>27</v>
      </c>
      <c r="V8" s="65">
        <v>0</v>
      </c>
      <c r="W8" s="66">
        <v>363</v>
      </c>
      <c r="X8" s="65">
        <v>1980</v>
      </c>
      <c r="Y8" s="60" t="s">
        <v>173</v>
      </c>
      <c r="Z8" s="66" t="s">
        <v>1769</v>
      </c>
    </row>
    <row r="9" spans="1:26" ht="15.75" customHeight="1">
      <c r="A9" s="56" t="str">
        <f t="shared" si="0"/>
        <v>S1SW</v>
      </c>
      <c r="B9" s="57">
        <v>1</v>
      </c>
      <c r="C9" s="58" t="s">
        <v>121</v>
      </c>
      <c r="D9" s="59">
        <f t="shared" si="1"/>
        <v>400</v>
      </c>
      <c r="E9" s="60" t="s">
        <v>558</v>
      </c>
      <c r="F9" s="60">
        <v>1103125246</v>
      </c>
      <c r="G9" s="58" t="s">
        <v>559</v>
      </c>
      <c r="H9" s="60" t="s">
        <v>560</v>
      </c>
      <c r="I9" s="60">
        <v>114.1584381</v>
      </c>
      <c r="J9" s="60">
        <v>22.282230460000001</v>
      </c>
      <c r="K9" s="61">
        <v>3.7</v>
      </c>
      <c r="L9" s="60" t="s">
        <v>115</v>
      </c>
      <c r="M9" s="61">
        <v>127.5</v>
      </c>
      <c r="N9" s="60" t="s">
        <v>115</v>
      </c>
      <c r="O9" s="61">
        <v>123.8</v>
      </c>
      <c r="P9" s="69"/>
      <c r="Q9" s="43" t="b">
        <v>0</v>
      </c>
      <c r="R9" s="43" t="b">
        <v>0</v>
      </c>
      <c r="S9" s="43" t="b">
        <v>0</v>
      </c>
      <c r="T9" s="63" t="b">
        <f ca="1">AND(U9&lt;&gt;"",OR(U9&gt;(VLOOKUP(B9,S_analysis!$A$2:$K$7,5,FALSE)+2*VLOOKUP(B9,S_analysis!$A$2:$K$7,6,FALSE)),U9&lt;(VLOOKUP(B9,S_analysis!$A$2:$K$7,5,FALSE)-2*VLOOKUP(B9,S_analysis!$A$2:$K$7,6,FALSE))))</f>
        <v>0</v>
      </c>
      <c r="U9" s="68">
        <v>31</v>
      </c>
      <c r="V9" s="65">
        <v>3</v>
      </c>
      <c r="W9" s="66">
        <v>31</v>
      </c>
      <c r="X9" s="65">
        <v>2002</v>
      </c>
      <c r="Y9" s="60" t="s">
        <v>173</v>
      </c>
      <c r="Z9" s="66" t="s">
        <v>1773</v>
      </c>
    </row>
    <row r="10" spans="1:26" ht="15.75" customHeight="1">
      <c r="A10" s="56" t="str">
        <f t="shared" si="0"/>
        <v>S1NW</v>
      </c>
      <c r="B10" s="57">
        <v>1</v>
      </c>
      <c r="C10" s="58" t="s">
        <v>127</v>
      </c>
      <c r="D10" s="59">
        <f t="shared" si="1"/>
        <v>400</v>
      </c>
      <c r="E10" s="60" t="s">
        <v>1286</v>
      </c>
      <c r="F10" s="60">
        <v>1103125889</v>
      </c>
      <c r="G10" s="58" t="s">
        <v>1287</v>
      </c>
      <c r="H10" s="60" t="s">
        <v>1288</v>
      </c>
      <c r="I10" s="60">
        <v>114.1585436</v>
      </c>
      <c r="J10" s="60">
        <v>22.281495159999999</v>
      </c>
      <c r="K10" s="61">
        <v>3.8</v>
      </c>
      <c r="L10" s="60" t="s">
        <v>126</v>
      </c>
      <c r="M10" s="61">
        <v>127.5</v>
      </c>
      <c r="N10" s="60" t="s">
        <v>115</v>
      </c>
      <c r="O10" s="61">
        <v>123.7</v>
      </c>
      <c r="P10" s="62"/>
      <c r="Q10" s="43"/>
      <c r="R10" s="43" t="b">
        <v>0</v>
      </c>
      <c r="S10" s="43" t="b">
        <v>0</v>
      </c>
      <c r="T10" s="63" t="b">
        <f ca="1">AND(U10&lt;&gt;"",OR(U10&gt;(VLOOKUP(B10,S_analysis!$A$2:$K$7,5,FALSE)+2*VLOOKUP(B10,S_analysis!$A$2:$K$7,6,FALSE)),U10&lt;(VLOOKUP(B10,S_analysis!$A$2:$K$7,5,FALSE)-2*VLOOKUP(B10,S_analysis!$A$2:$K$7,6,FALSE))))</f>
        <v>0</v>
      </c>
      <c r="U10" s="68">
        <v>35</v>
      </c>
      <c r="V10" s="60">
        <v>0</v>
      </c>
      <c r="W10" s="59">
        <v>310</v>
      </c>
      <c r="X10" s="60">
        <v>1976</v>
      </c>
      <c r="Y10" s="60" t="s">
        <v>173</v>
      </c>
      <c r="Z10" s="66" t="s">
        <v>1775</v>
      </c>
    </row>
    <row r="11" spans="1:26" ht="15.75" customHeight="1">
      <c r="A11" s="56" t="str">
        <f t="shared" si="0"/>
        <v>S2NE</v>
      </c>
      <c r="B11" s="57">
        <v>2</v>
      </c>
      <c r="C11" s="58" t="s">
        <v>110</v>
      </c>
      <c r="D11" s="59">
        <f t="shared" si="1"/>
        <v>600</v>
      </c>
      <c r="E11" s="60" t="s">
        <v>1300</v>
      </c>
      <c r="F11" s="60">
        <v>1103126642</v>
      </c>
      <c r="G11" s="58" t="s">
        <v>1301</v>
      </c>
      <c r="H11" s="60" t="s">
        <v>1302</v>
      </c>
      <c r="I11" s="60">
        <v>114.15901100000001</v>
      </c>
      <c r="J11" s="60">
        <v>22.28043036</v>
      </c>
      <c r="K11" s="61">
        <v>3.7</v>
      </c>
      <c r="L11" s="60" t="s">
        <v>115</v>
      </c>
      <c r="M11" s="61">
        <v>189.8</v>
      </c>
      <c r="N11" s="60">
        <v>3</v>
      </c>
      <c r="O11" s="61">
        <v>186.1</v>
      </c>
      <c r="P11" s="69"/>
      <c r="Q11" s="43" t="b">
        <v>0</v>
      </c>
      <c r="R11" s="43" t="b">
        <v>0</v>
      </c>
      <c r="S11" s="43" t="b">
        <v>0</v>
      </c>
      <c r="T11" s="63" t="b">
        <f ca="1">AND(U11&lt;&gt;"",OR(U11&gt;(VLOOKUP(B11,S_analysis!$A$2:$K$7,5,FALSE)+2*VLOOKUP(B11,S_analysis!$A$2:$K$7,6,FALSE)),U11&lt;(VLOOKUP(B11,S_analysis!$A$2:$K$7,5,FALSE)-2*VLOOKUP(B11,S_analysis!$A$2:$K$7,6,FALSE))))</f>
        <v>0</v>
      </c>
      <c r="U11" s="68">
        <v>32</v>
      </c>
      <c r="V11" s="65">
        <v>1</v>
      </c>
      <c r="W11" s="66"/>
      <c r="X11" s="65">
        <v>1989</v>
      </c>
      <c r="Y11" s="60" t="s">
        <v>173</v>
      </c>
      <c r="Z11" s="66" t="s">
        <v>1784</v>
      </c>
    </row>
    <row r="12" spans="1:26" ht="15.75" customHeight="1">
      <c r="A12" s="56" t="str">
        <f t="shared" si="0"/>
        <v>S2SE</v>
      </c>
      <c r="B12" s="57">
        <v>2</v>
      </c>
      <c r="C12" s="58" t="s">
        <v>116</v>
      </c>
      <c r="D12" s="59">
        <f t="shared" si="1"/>
        <v>600</v>
      </c>
      <c r="E12" s="60" t="s">
        <v>1295</v>
      </c>
      <c r="F12" s="60">
        <v>1103126580</v>
      </c>
      <c r="G12" s="58" t="s">
        <v>1296</v>
      </c>
      <c r="H12" s="60" t="s">
        <v>1297</v>
      </c>
      <c r="I12" s="60">
        <v>114.1585176</v>
      </c>
      <c r="J12" s="60">
        <v>22.280496939999999</v>
      </c>
      <c r="K12" s="61">
        <v>3.7</v>
      </c>
      <c r="L12" s="60" t="s">
        <v>115</v>
      </c>
      <c r="M12" s="61">
        <v>185.4</v>
      </c>
      <c r="N12" s="60" t="s">
        <v>115</v>
      </c>
      <c r="O12" s="61">
        <v>181.7</v>
      </c>
      <c r="P12" s="62"/>
      <c r="Q12" s="43" t="b">
        <v>0</v>
      </c>
      <c r="R12" s="43" t="b">
        <v>0</v>
      </c>
      <c r="S12" s="43" t="b">
        <v>0</v>
      </c>
      <c r="T12" s="63" t="b">
        <f ca="1">AND(U12&lt;&gt;"",OR(U12&gt;(VLOOKUP(B12,S_analysis!$A$2:$K$7,5,FALSE)+2*VLOOKUP(B12,S_analysis!$A$2:$K$7,6,FALSE)),U12&lt;(VLOOKUP(B12,S_analysis!$A$2:$K$7,5,FALSE)-2*VLOOKUP(B12,S_analysis!$A$2:$K$7,6,FALSE))))</f>
        <v>0</v>
      </c>
      <c r="U12" s="64">
        <v>33</v>
      </c>
      <c r="V12" s="60">
        <v>0</v>
      </c>
      <c r="W12" s="59">
        <v>396</v>
      </c>
      <c r="X12" s="65">
        <v>1991</v>
      </c>
      <c r="Y12" s="65" t="s">
        <v>173</v>
      </c>
      <c r="Z12" s="66" t="s">
        <v>1785</v>
      </c>
    </row>
    <row r="13" spans="1:26" ht="15.75" customHeight="1">
      <c r="A13" s="56" t="str">
        <f t="shared" si="0"/>
        <v>S2SW</v>
      </c>
      <c r="B13" s="57">
        <v>2</v>
      </c>
      <c r="C13" s="58" t="s">
        <v>121</v>
      </c>
      <c r="D13" s="59">
        <f t="shared" si="1"/>
        <v>600</v>
      </c>
      <c r="E13" s="60" t="s">
        <v>556</v>
      </c>
      <c r="F13" s="60" t="s">
        <v>556</v>
      </c>
      <c r="G13" s="58" t="s">
        <v>556</v>
      </c>
      <c r="H13" s="60" t="s">
        <v>556</v>
      </c>
      <c r="I13" s="60" t="s">
        <v>556</v>
      </c>
      <c r="J13" s="60" t="s">
        <v>556</v>
      </c>
      <c r="K13" s="61" t="s">
        <v>556</v>
      </c>
      <c r="L13" s="60" t="s">
        <v>556</v>
      </c>
      <c r="M13" s="61" t="s">
        <v>556</v>
      </c>
      <c r="N13" s="60" t="s">
        <v>556</v>
      </c>
      <c r="O13" s="61" t="s">
        <v>556</v>
      </c>
      <c r="P13" s="62" t="s">
        <v>1158</v>
      </c>
      <c r="Q13" s="43" t="b">
        <v>1</v>
      </c>
      <c r="R13" s="43" t="b">
        <v>0</v>
      </c>
      <c r="S13" s="43" t="b">
        <v>0</v>
      </c>
      <c r="T13" s="63" t="b">
        <f ca="1">AND(U13&lt;&gt;"",OR(U13&gt;(VLOOKUP(B13,S_analysis!$A$2:$K$7,5,FALSE)+2*VLOOKUP(B13,S_analysis!$A$2:$K$7,6,FALSE)),U13&lt;(VLOOKUP(B13,S_analysis!$A$2:$K$7,5,FALSE)-2*VLOOKUP(B13,S_analysis!$A$2:$K$7,6,FALSE))))</f>
        <v>1</v>
      </c>
      <c r="U13" s="64">
        <v>0</v>
      </c>
      <c r="V13" s="65"/>
      <c r="W13" s="66"/>
      <c r="X13" s="65"/>
      <c r="Y13" s="60"/>
      <c r="Z13" s="66" t="s">
        <v>556</v>
      </c>
    </row>
    <row r="14" spans="1:26" ht="15.75" customHeight="1">
      <c r="A14" s="56" t="str">
        <f t="shared" si="0"/>
        <v>S2NW</v>
      </c>
      <c r="B14" s="57">
        <v>2</v>
      </c>
      <c r="C14" s="58" t="s">
        <v>127</v>
      </c>
      <c r="D14" s="59">
        <f t="shared" si="1"/>
        <v>600</v>
      </c>
      <c r="E14" s="60" t="s">
        <v>561</v>
      </c>
      <c r="F14" s="60">
        <v>1103125983</v>
      </c>
      <c r="G14" s="58" t="s">
        <v>562</v>
      </c>
      <c r="H14" s="60" t="s">
        <v>563</v>
      </c>
      <c r="I14" s="60">
        <v>114.1591631</v>
      </c>
      <c r="J14" s="60">
        <v>22.281224989999998</v>
      </c>
      <c r="K14" s="61">
        <v>3.7</v>
      </c>
      <c r="L14" s="60" t="s">
        <v>115</v>
      </c>
      <c r="M14" s="61">
        <v>84.1</v>
      </c>
      <c r="N14" s="60">
        <v>3</v>
      </c>
      <c r="O14" s="61">
        <v>80.400000000000006</v>
      </c>
      <c r="P14" s="69"/>
      <c r="Q14" s="43" t="b">
        <v>0</v>
      </c>
      <c r="R14" s="43" t="b">
        <v>0</v>
      </c>
      <c r="S14" s="43" t="b">
        <v>0</v>
      </c>
      <c r="T14" s="63" t="b">
        <f ca="1">AND(U14&lt;&gt;"",OR(U14&gt;(VLOOKUP(B14,S_analysis!$A$2:$K$7,5,FALSE)+2*VLOOKUP(B14,S_analysis!$A$2:$K$7,6,FALSE)),U14&lt;(VLOOKUP(B14,S_analysis!$A$2:$K$7,5,FALSE)-2*VLOOKUP(B14,S_analysis!$A$2:$K$7,6,FALSE))))</f>
        <v>0</v>
      </c>
      <c r="U14" s="68">
        <v>26</v>
      </c>
      <c r="V14" s="65">
        <v>1</v>
      </c>
      <c r="W14" s="66">
        <v>229</v>
      </c>
      <c r="X14" s="65">
        <v>1965</v>
      </c>
      <c r="Y14" s="60" t="s">
        <v>173</v>
      </c>
      <c r="Z14" s="66" t="s">
        <v>1780</v>
      </c>
    </row>
    <row r="15" spans="1:26" ht="15.75" customHeight="1">
      <c r="A15" s="56" t="str">
        <f t="shared" si="0"/>
        <v>S3NE</v>
      </c>
      <c r="B15" s="57">
        <v>3</v>
      </c>
      <c r="C15" s="58" t="s">
        <v>110</v>
      </c>
      <c r="D15" s="59">
        <f t="shared" si="1"/>
        <v>800</v>
      </c>
      <c r="E15" s="60" t="s">
        <v>1304</v>
      </c>
      <c r="F15" s="60">
        <v>1103127201</v>
      </c>
      <c r="G15" s="58" t="s">
        <v>1305</v>
      </c>
      <c r="H15" s="60" t="s">
        <v>1306</v>
      </c>
      <c r="I15" s="60">
        <v>114.1605385</v>
      </c>
      <c r="J15" s="60">
        <v>22.279542500000002</v>
      </c>
      <c r="K15" s="61">
        <v>7.2</v>
      </c>
      <c r="L15" s="60" t="s">
        <v>126</v>
      </c>
      <c r="M15" s="61">
        <v>288.7</v>
      </c>
      <c r="N15" s="60">
        <v>3</v>
      </c>
      <c r="O15" s="61">
        <v>281.5</v>
      </c>
      <c r="P15" s="69"/>
      <c r="Q15" s="43" t="b">
        <v>0</v>
      </c>
      <c r="R15" s="43" t="b">
        <v>0</v>
      </c>
      <c r="S15" s="43" t="b">
        <v>0</v>
      </c>
      <c r="T15" s="63" t="b">
        <f ca="1">AND(U15&lt;&gt;"",OR(U15&gt;(VLOOKUP(B15,S_analysis!$A$2:$K$7,5,FALSE)+2*VLOOKUP(B15,S_analysis!$A$2:$K$7,6,FALSE)),U15&lt;(VLOOKUP(B15,S_analysis!$A$2:$K$7,5,FALSE)-2*VLOOKUP(B15,S_analysis!$A$2:$K$7,6,FALSE))))</f>
        <v>0</v>
      </c>
      <c r="U15" s="64">
        <v>70</v>
      </c>
      <c r="V15" s="65">
        <v>6</v>
      </c>
      <c r="W15" s="66">
        <v>96</v>
      </c>
      <c r="X15" s="65">
        <v>1998</v>
      </c>
      <c r="Y15" s="65" t="s">
        <v>173</v>
      </c>
      <c r="Z15" s="66" t="s">
        <v>1797</v>
      </c>
    </row>
    <row r="16" spans="1:26" ht="15.75" customHeight="1">
      <c r="A16" s="166" t="s">
        <v>1159</v>
      </c>
      <c r="B16" s="57">
        <v>3</v>
      </c>
      <c r="C16" s="58" t="s">
        <v>116</v>
      </c>
      <c r="D16" s="59">
        <f t="shared" si="1"/>
        <v>800</v>
      </c>
      <c r="E16" s="60" t="s">
        <v>1311</v>
      </c>
      <c r="F16" s="60">
        <v>1103127307</v>
      </c>
      <c r="G16" s="58" t="s">
        <v>1312</v>
      </c>
      <c r="H16" s="60" t="s">
        <v>2370</v>
      </c>
      <c r="I16" s="60">
        <v>114.1596737</v>
      </c>
      <c r="J16" s="60">
        <v>22.279441569999999</v>
      </c>
      <c r="K16" s="61">
        <v>21</v>
      </c>
      <c r="L16" s="60" t="s">
        <v>115</v>
      </c>
      <c r="M16" s="61">
        <v>36.200000000000003</v>
      </c>
      <c r="N16" s="60" t="s">
        <v>115</v>
      </c>
      <c r="O16" s="61">
        <v>15.2</v>
      </c>
      <c r="P16" s="69" t="s">
        <v>1160</v>
      </c>
      <c r="Q16" s="43" t="b">
        <v>0</v>
      </c>
      <c r="R16" s="43" t="b">
        <v>1</v>
      </c>
      <c r="S16" s="43" t="b">
        <v>1</v>
      </c>
      <c r="T16" s="63" t="b">
        <f ca="1">AND(U16&lt;&gt;"",OR(U16&gt;(VLOOKUP(B16,S_analysis!$A$2:$K$7,5,FALSE)+2*VLOOKUP(B16,S_analysis!$A$2:$K$7,6,FALSE)),U16&lt;(VLOOKUP(B16,S_analysis!$A$2:$K$7,5,FALSE)-2*VLOOKUP(B16,S_analysis!$A$2:$K$7,6,FALSE))))</f>
        <v>0</v>
      </c>
      <c r="U16" s="64">
        <v>3</v>
      </c>
      <c r="V16" s="65"/>
      <c r="W16" s="66"/>
      <c r="X16" s="65">
        <v>1917</v>
      </c>
      <c r="Y16" s="70" t="s">
        <v>1161</v>
      </c>
      <c r="Z16" s="66" t="s">
        <v>1798</v>
      </c>
    </row>
    <row r="17" spans="1:26" ht="15.75" customHeight="1">
      <c r="A17" s="56" t="str">
        <f t="shared" ref="A17:A26" si="2">CONCATENATE("S",B17,C17)</f>
        <v>S3SW</v>
      </c>
      <c r="B17" s="57">
        <v>3</v>
      </c>
      <c r="C17" s="58" t="s">
        <v>121</v>
      </c>
      <c r="D17" s="59">
        <f t="shared" si="1"/>
        <v>800</v>
      </c>
      <c r="E17" s="60" t="s">
        <v>1308</v>
      </c>
      <c r="F17" s="60">
        <v>1103126706</v>
      </c>
      <c r="G17" s="58" t="s">
        <v>1309</v>
      </c>
      <c r="H17" s="60" t="s">
        <v>1310</v>
      </c>
      <c r="I17" s="60">
        <v>114.1595453</v>
      </c>
      <c r="J17" s="60">
        <v>22.2802969</v>
      </c>
      <c r="K17" s="61">
        <v>3.7</v>
      </c>
      <c r="L17" s="60" t="s">
        <v>115</v>
      </c>
      <c r="M17" s="61">
        <v>180.9</v>
      </c>
      <c r="N17" s="60" t="s">
        <v>115</v>
      </c>
      <c r="O17" s="61">
        <v>177.2</v>
      </c>
      <c r="P17" s="62"/>
      <c r="Q17" s="43" t="b">
        <v>0</v>
      </c>
      <c r="R17" s="43" t="b">
        <v>0</v>
      </c>
      <c r="S17" s="43" t="b">
        <v>0</v>
      </c>
      <c r="T17" s="63" t="b">
        <f ca="1">AND(U17&lt;&gt;"",OR(U17&gt;(VLOOKUP(B17,S_analysis!$A$2:$K$7,5,FALSE)+2*VLOOKUP(B17,S_analysis!$A$2:$K$7,6,FALSE)),U17&lt;(VLOOKUP(B17,S_analysis!$A$2:$K$7,5,FALSE)-2*VLOOKUP(B17,S_analysis!$A$2:$K$7,6,FALSE))))</f>
        <v>0</v>
      </c>
      <c r="U17" s="68">
        <v>46</v>
      </c>
      <c r="V17" s="60">
        <v>4</v>
      </c>
      <c r="W17" s="59">
        <v>50</v>
      </c>
      <c r="X17" s="60">
        <v>1986</v>
      </c>
      <c r="Y17" s="60" t="s">
        <v>173</v>
      </c>
      <c r="Z17" s="66" t="s">
        <v>1799</v>
      </c>
    </row>
    <row r="18" spans="1:26" ht="15.75" customHeight="1">
      <c r="A18" s="56" t="str">
        <f t="shared" si="2"/>
        <v>S3NW</v>
      </c>
      <c r="B18" s="57">
        <v>3</v>
      </c>
      <c r="C18" s="58" t="s">
        <v>127</v>
      </c>
      <c r="D18" s="59">
        <f t="shared" si="1"/>
        <v>800</v>
      </c>
      <c r="E18" s="60" t="s">
        <v>1315</v>
      </c>
      <c r="F18" s="60">
        <v>1103126848</v>
      </c>
      <c r="G18" s="58" t="s">
        <v>1316</v>
      </c>
      <c r="H18" s="60" t="s">
        <v>1317</v>
      </c>
      <c r="I18" s="60">
        <v>114.1601375</v>
      </c>
      <c r="J18" s="60">
        <v>22.28021008</v>
      </c>
      <c r="K18" s="61">
        <v>4.5999999999999996</v>
      </c>
      <c r="L18" s="60" t="s">
        <v>126</v>
      </c>
      <c r="M18" s="61">
        <v>78.3</v>
      </c>
      <c r="N18" s="60" t="s">
        <v>115</v>
      </c>
      <c r="O18" s="61">
        <v>73.7</v>
      </c>
      <c r="P18" s="62"/>
      <c r="Q18" s="43" t="b">
        <v>0</v>
      </c>
      <c r="R18" s="43" t="b">
        <v>0</v>
      </c>
      <c r="S18" s="43" t="b">
        <v>0</v>
      </c>
      <c r="T18" s="63" t="b">
        <f ca="1">AND(U18&lt;&gt;"",OR(U18&gt;(VLOOKUP(B18,S_analysis!$A$2:$K$7,5,FALSE)+2*VLOOKUP(B18,S_analysis!$A$2:$K$7,6,FALSE)),U18&lt;(VLOOKUP(B18,S_analysis!$A$2:$K$7,5,FALSE)-2*VLOOKUP(B18,S_analysis!$A$2:$K$7,6,FALSE))))</f>
        <v>0</v>
      </c>
      <c r="U18" s="68">
        <v>15</v>
      </c>
      <c r="V18" s="60">
        <v>0</v>
      </c>
      <c r="W18" s="59">
        <v>15</v>
      </c>
      <c r="X18" s="60">
        <v>1952</v>
      </c>
      <c r="Y18" s="60" t="s">
        <v>173</v>
      </c>
      <c r="Z18" s="66" t="s">
        <v>1800</v>
      </c>
    </row>
    <row r="19" spans="1:26" ht="15.75" customHeight="1">
      <c r="A19" s="56" t="str">
        <f t="shared" si="2"/>
        <v>S4NE</v>
      </c>
      <c r="B19" s="57">
        <v>4</v>
      </c>
      <c r="C19" s="58" t="s">
        <v>110</v>
      </c>
      <c r="D19" s="59">
        <f t="shared" si="1"/>
        <v>1000</v>
      </c>
      <c r="E19" s="60" t="s">
        <v>1319</v>
      </c>
      <c r="F19" s="60">
        <v>1103127404</v>
      </c>
      <c r="G19" s="58" t="s">
        <v>1320</v>
      </c>
      <c r="H19" s="60" t="s">
        <v>1321</v>
      </c>
      <c r="I19" s="60">
        <v>114.16005989999999</v>
      </c>
      <c r="J19" s="60">
        <v>22.27918339</v>
      </c>
      <c r="K19" s="61">
        <v>13.8</v>
      </c>
      <c r="L19" s="60" t="s">
        <v>126</v>
      </c>
      <c r="M19" s="61">
        <v>25.2</v>
      </c>
      <c r="N19" s="60" t="s">
        <v>115</v>
      </c>
      <c r="O19" s="61">
        <v>11.4</v>
      </c>
      <c r="P19" s="69"/>
      <c r="Q19" s="43" t="b">
        <v>0</v>
      </c>
      <c r="R19" s="43" t="b">
        <v>1</v>
      </c>
      <c r="S19" s="43" t="b">
        <v>0</v>
      </c>
      <c r="T19" s="63" t="b">
        <f ca="1">AND(U19&lt;&gt;"",OR(U19&gt;(VLOOKUP(B19,S_analysis!$A$2:$K$7,5,FALSE)+2*VLOOKUP(B19,S_analysis!$A$2:$K$7,6,FALSE)),U19&lt;(VLOOKUP(B19,S_analysis!$A$2:$K$7,5,FALSE)-2*VLOOKUP(B19,S_analysis!$A$2:$K$7,6,FALSE))))</f>
        <v>1</v>
      </c>
      <c r="U19" s="68">
        <v>0</v>
      </c>
      <c r="V19" s="65"/>
      <c r="W19" s="66"/>
      <c r="X19" s="65"/>
      <c r="Y19" s="60" t="s">
        <v>152</v>
      </c>
      <c r="Z19" s="66" t="s">
        <v>1797</v>
      </c>
    </row>
    <row r="20" spans="1:26" ht="15.75" customHeight="1">
      <c r="A20" s="56" t="str">
        <f t="shared" si="2"/>
        <v>S4SE</v>
      </c>
      <c r="B20" s="57">
        <v>4</v>
      </c>
      <c r="C20" s="58" t="s">
        <v>116</v>
      </c>
      <c r="D20" s="59">
        <f t="shared" si="1"/>
        <v>1000</v>
      </c>
      <c r="E20" s="60" t="s">
        <v>1304</v>
      </c>
      <c r="F20" s="60">
        <v>1103127201</v>
      </c>
      <c r="G20" s="58" t="s">
        <v>1305</v>
      </c>
      <c r="H20" s="60" t="s">
        <v>1306</v>
      </c>
      <c r="I20" s="60">
        <v>114.1605385</v>
      </c>
      <c r="J20" s="60">
        <v>22.279542500000002</v>
      </c>
      <c r="K20" s="61">
        <v>7.2</v>
      </c>
      <c r="L20" s="60" t="s">
        <v>126</v>
      </c>
      <c r="M20" s="61">
        <v>288.7</v>
      </c>
      <c r="N20" s="60">
        <v>3</v>
      </c>
      <c r="O20" s="61">
        <v>281.5</v>
      </c>
      <c r="P20" s="62" t="s">
        <v>1162</v>
      </c>
      <c r="Q20" s="43" t="b">
        <v>0</v>
      </c>
      <c r="R20" s="43" t="b">
        <v>1</v>
      </c>
      <c r="S20" s="43" t="b">
        <v>0</v>
      </c>
      <c r="T20" s="63" t="b">
        <f ca="1">AND(U20&lt;&gt;"",OR(U20&gt;(VLOOKUP(B20,S_analysis!$A$2:$K$7,5,FALSE)+2*VLOOKUP(B20,S_analysis!$A$2:$K$7,6,FALSE)),U20&lt;(VLOOKUP(B20,S_analysis!$A$2:$K$7,5,FALSE)-2*VLOOKUP(B20,S_analysis!$A$2:$K$7,6,FALSE))))</f>
        <v>0</v>
      </c>
      <c r="U20" s="68">
        <v>70</v>
      </c>
      <c r="V20" s="60">
        <v>6</v>
      </c>
      <c r="W20" s="59">
        <v>96</v>
      </c>
      <c r="X20" s="60">
        <v>1998</v>
      </c>
      <c r="Y20" s="60" t="s">
        <v>173</v>
      </c>
      <c r="Z20" s="66" t="s">
        <v>1797</v>
      </c>
    </row>
    <row r="21" spans="1:26" ht="15.75" customHeight="1">
      <c r="A21" s="56" t="str">
        <f t="shared" si="2"/>
        <v>S4SW</v>
      </c>
      <c r="B21" s="57">
        <v>4</v>
      </c>
      <c r="C21" s="58" t="s">
        <v>121</v>
      </c>
      <c r="D21" s="59">
        <f t="shared" si="1"/>
        <v>1000</v>
      </c>
      <c r="E21" s="60" t="s">
        <v>577</v>
      </c>
      <c r="F21" s="60">
        <v>1103127344</v>
      </c>
      <c r="G21" s="58" t="s">
        <v>578</v>
      </c>
      <c r="H21" s="60" t="s">
        <v>579</v>
      </c>
      <c r="I21" s="60">
        <v>114.16157130000001</v>
      </c>
      <c r="J21" s="60">
        <v>22.27927815</v>
      </c>
      <c r="K21" s="61">
        <v>7</v>
      </c>
      <c r="L21" s="60" t="s">
        <v>126</v>
      </c>
      <c r="M21" s="61">
        <v>310.3</v>
      </c>
      <c r="N21" s="60" t="s">
        <v>115</v>
      </c>
      <c r="O21" s="61">
        <v>303.3</v>
      </c>
      <c r="P21" s="69"/>
      <c r="Q21" s="43" t="b">
        <v>0</v>
      </c>
      <c r="R21" s="43" t="b">
        <v>0</v>
      </c>
      <c r="S21" s="43" t="b">
        <v>0</v>
      </c>
      <c r="T21" s="63" t="b">
        <f ca="1">AND(U21&lt;&gt;"",OR(U21&gt;(VLOOKUP(B21,S_analysis!$A$2:$K$7,5,FALSE)+2*VLOOKUP(B21,S_analysis!$A$2:$K$7,6,FALSE)),U21&lt;(VLOOKUP(B21,S_analysis!$A$2:$K$7,5,FALSE)-2*VLOOKUP(B21,S_analysis!$A$2:$K$7,6,FALSE))))</f>
        <v>0</v>
      </c>
      <c r="U21" s="68">
        <v>70</v>
      </c>
      <c r="V21" s="65">
        <v>0</v>
      </c>
      <c r="W21" s="66">
        <v>65</v>
      </c>
      <c r="X21" s="65">
        <v>1989</v>
      </c>
      <c r="Y21" s="60" t="s">
        <v>173</v>
      </c>
      <c r="Z21" s="66" t="s">
        <v>1807</v>
      </c>
    </row>
    <row r="22" spans="1:26" ht="15.75" customHeight="1">
      <c r="A22" s="56" t="str">
        <f t="shared" si="2"/>
        <v>S4NW</v>
      </c>
      <c r="B22" s="57">
        <v>4</v>
      </c>
      <c r="C22" s="58" t="s">
        <v>127</v>
      </c>
      <c r="D22" s="59">
        <f t="shared" si="1"/>
        <v>1000</v>
      </c>
      <c r="E22" s="60" t="s">
        <v>1324</v>
      </c>
      <c r="F22" s="60">
        <v>1103127911</v>
      </c>
      <c r="G22" s="58" t="s">
        <v>1325</v>
      </c>
      <c r="H22" s="60" t="s">
        <v>1326</v>
      </c>
      <c r="I22" s="60">
        <v>114.16055590000001</v>
      </c>
      <c r="J22" s="60">
        <v>22.278461849999999</v>
      </c>
      <c r="K22" s="61">
        <v>19.399999999999999</v>
      </c>
      <c r="L22" s="60" t="s">
        <v>115</v>
      </c>
      <c r="M22" s="61">
        <v>213.4</v>
      </c>
      <c r="N22" s="60">
        <v>3</v>
      </c>
      <c r="O22" s="61">
        <v>194</v>
      </c>
      <c r="P22" s="69"/>
      <c r="Q22" s="43" t="b">
        <v>0</v>
      </c>
      <c r="R22" s="43" t="b">
        <v>0</v>
      </c>
      <c r="S22" s="43" t="b">
        <v>0</v>
      </c>
      <c r="T22" s="63" t="b">
        <f ca="1">AND(U22&lt;&gt;"",OR(U22&gt;(VLOOKUP(B22,S_analysis!$A$2:$K$7,5,FALSE)+2*VLOOKUP(B22,S_analysis!$A$2:$K$7,6,FALSE)),U22&lt;(VLOOKUP(B22,S_analysis!$A$2:$K$7,5,FALSE)-2*VLOOKUP(B22,S_analysis!$A$2:$K$7,6,FALSE))))</f>
        <v>0</v>
      </c>
      <c r="U22" s="68">
        <v>47</v>
      </c>
      <c r="V22" s="65"/>
      <c r="W22" s="66"/>
      <c r="X22" s="65">
        <v>1992</v>
      </c>
      <c r="Y22" s="60" t="s">
        <v>1163</v>
      </c>
      <c r="Z22" s="66" t="s">
        <v>1810</v>
      </c>
    </row>
    <row r="23" spans="1:26" ht="15.75" customHeight="1">
      <c r="A23" s="56" t="str">
        <f t="shared" si="2"/>
        <v>S5NE</v>
      </c>
      <c r="B23" s="57">
        <v>5</v>
      </c>
      <c r="C23" s="58" t="s">
        <v>110</v>
      </c>
      <c r="D23" s="59">
        <f t="shared" si="1"/>
        <v>1200</v>
      </c>
      <c r="E23" s="60" t="s">
        <v>1333</v>
      </c>
      <c r="F23" s="60">
        <v>1103128212</v>
      </c>
      <c r="G23" s="58" t="s">
        <v>1334</v>
      </c>
      <c r="H23" s="60" t="s">
        <v>1335</v>
      </c>
      <c r="I23" s="60">
        <v>114.1586315</v>
      </c>
      <c r="J23" s="60">
        <v>22.278086040000002</v>
      </c>
      <c r="K23" s="61">
        <v>39.4</v>
      </c>
      <c r="L23" s="60" t="s">
        <v>762</v>
      </c>
      <c r="M23" s="61">
        <v>56.8</v>
      </c>
      <c r="N23" s="60" t="s">
        <v>115</v>
      </c>
      <c r="O23" s="61">
        <v>17.399999999999999</v>
      </c>
      <c r="P23" s="67" t="s">
        <v>182</v>
      </c>
      <c r="Q23" s="43" t="b">
        <v>0</v>
      </c>
      <c r="R23" s="43" t="b">
        <v>1</v>
      </c>
      <c r="S23" s="43" t="b">
        <v>0</v>
      </c>
      <c r="T23" s="63" t="e">
        <f ca="1">AND(U23&lt;&gt;"",OR(U23&gt;(VLOOKUP(B23,S_analysis!$A$2:$K$7,5,FALSE)+2*VLOOKUP(B23,S_analysis!$A$2:$K$7,6,FALSE)),U23&lt;(VLOOKUP(B23,S_analysis!$A$2:$K$7,5,FALSE)-2*VLOOKUP(B23,S_analysis!$A$2:$K$7,6,FALSE))))</f>
        <v>#VALUE!</v>
      </c>
      <c r="U23" s="68">
        <v>5</v>
      </c>
      <c r="V23" s="65"/>
      <c r="W23" s="66"/>
      <c r="X23" s="65"/>
      <c r="Y23" s="60" t="s">
        <v>227</v>
      </c>
      <c r="Z23" s="66" t="s">
        <v>1821</v>
      </c>
    </row>
    <row r="24" spans="1:26" ht="15.75" customHeight="1">
      <c r="A24" s="56" t="str">
        <f t="shared" si="2"/>
        <v>S5SE</v>
      </c>
      <c r="B24" s="57">
        <v>5</v>
      </c>
      <c r="C24" s="58" t="s">
        <v>116</v>
      </c>
      <c r="D24" s="59">
        <f t="shared" si="1"/>
        <v>1200</v>
      </c>
      <c r="E24" s="60" t="s">
        <v>556</v>
      </c>
      <c r="F24" s="60" t="s">
        <v>556</v>
      </c>
      <c r="G24" s="58" t="s">
        <v>556</v>
      </c>
      <c r="H24" s="60" t="s">
        <v>556</v>
      </c>
      <c r="I24" s="60" t="s">
        <v>556</v>
      </c>
      <c r="J24" s="60" t="s">
        <v>556</v>
      </c>
      <c r="K24" s="61" t="s">
        <v>556</v>
      </c>
      <c r="L24" s="60" t="s">
        <v>556</v>
      </c>
      <c r="M24" s="61" t="s">
        <v>556</v>
      </c>
      <c r="N24" s="60" t="s">
        <v>556</v>
      </c>
      <c r="O24" s="61" t="s">
        <v>556</v>
      </c>
      <c r="P24" s="69" t="s">
        <v>1164</v>
      </c>
      <c r="Q24" s="43" t="b">
        <v>1</v>
      </c>
      <c r="R24" s="43" t="b">
        <v>1</v>
      </c>
      <c r="S24" s="43" t="b">
        <v>0</v>
      </c>
      <c r="T24" s="63" t="e">
        <f ca="1">AND(U24&lt;&gt;"",OR(U24&gt;(VLOOKUP(B24,S_analysis!$A$2:$K$7,5,FALSE)+2*VLOOKUP(B24,S_analysis!$A$2:$K$7,6,FALSE)),U24&lt;(VLOOKUP(B24,S_analysis!$A$2:$K$7,5,FALSE)-2*VLOOKUP(B24,S_analysis!$A$2:$K$7,6,FALSE))))</f>
        <v>#VALUE!</v>
      </c>
      <c r="U24" s="68">
        <v>5</v>
      </c>
      <c r="V24" s="65"/>
      <c r="W24" s="66"/>
      <c r="X24" s="65"/>
      <c r="Y24" s="60" t="s">
        <v>227</v>
      </c>
      <c r="Z24" s="66" t="s">
        <v>556</v>
      </c>
    </row>
    <row r="25" spans="1:26" ht="15.75" customHeight="1">
      <c r="A25" s="56" t="str">
        <f t="shared" si="2"/>
        <v>S5SW</v>
      </c>
      <c r="B25" s="57">
        <v>5</v>
      </c>
      <c r="C25" s="58" t="s">
        <v>121</v>
      </c>
      <c r="D25" s="59">
        <f t="shared" si="1"/>
        <v>1200</v>
      </c>
      <c r="E25" s="60" t="s">
        <v>1329</v>
      </c>
      <c r="F25" s="60">
        <v>1103128636</v>
      </c>
      <c r="G25" s="58" t="s">
        <v>1330</v>
      </c>
      <c r="H25" s="60" t="s">
        <v>1331</v>
      </c>
      <c r="I25" s="60">
        <v>114.1591731</v>
      </c>
      <c r="J25" s="60">
        <v>22.27769412</v>
      </c>
      <c r="K25" s="61">
        <v>26</v>
      </c>
      <c r="L25" s="60" t="s">
        <v>762</v>
      </c>
      <c r="M25" s="61">
        <v>117.4</v>
      </c>
      <c r="N25" s="60" t="s">
        <v>115</v>
      </c>
      <c r="O25" s="61">
        <v>91.4</v>
      </c>
      <c r="P25" s="62" t="s">
        <v>1165</v>
      </c>
      <c r="Q25" s="43" t="b">
        <v>0</v>
      </c>
      <c r="R25" s="43" t="b">
        <v>0</v>
      </c>
      <c r="S25" s="43" t="b">
        <v>0</v>
      </c>
      <c r="T25" s="63" t="e">
        <f ca="1">AND(U25&lt;&gt;"",OR(U25&gt;(VLOOKUP(B25,S_analysis!$A$2:$K$7,5,FALSE)+2*VLOOKUP(B25,S_analysis!$A$2:$K$7,6,FALSE)),U25&lt;(VLOOKUP(B25,S_analysis!$A$2:$K$7,5,FALSE)-2*VLOOKUP(B25,S_analysis!$A$2:$K$7,6,FALSE))))</f>
        <v>#VALUE!</v>
      </c>
      <c r="U25" s="68">
        <v>22</v>
      </c>
      <c r="V25" s="60"/>
      <c r="W25" s="59"/>
      <c r="X25" s="60"/>
      <c r="Y25" s="60" t="s">
        <v>584</v>
      </c>
      <c r="Z25" s="66" t="s">
        <v>1823</v>
      </c>
    </row>
    <row r="26" spans="1:26" ht="15.75" customHeight="1">
      <c r="A26" s="56" t="str">
        <f t="shared" si="2"/>
        <v>S5NW</v>
      </c>
      <c r="B26" s="57">
        <v>5</v>
      </c>
      <c r="C26" s="58" t="s">
        <v>127</v>
      </c>
      <c r="D26" s="59">
        <f t="shared" si="1"/>
        <v>1200</v>
      </c>
      <c r="E26" s="60" t="s">
        <v>1337</v>
      </c>
      <c r="F26" s="60">
        <v>1103128772</v>
      </c>
      <c r="G26" s="58" t="s">
        <v>1338</v>
      </c>
      <c r="H26" s="60" t="s">
        <v>1339</v>
      </c>
      <c r="I26" s="60">
        <v>114.1584774</v>
      </c>
      <c r="J26" s="60">
        <v>22.2774772</v>
      </c>
      <c r="K26" s="61">
        <v>42.4</v>
      </c>
      <c r="L26" s="60" t="s">
        <v>762</v>
      </c>
      <c r="M26" s="61">
        <v>56.8</v>
      </c>
      <c r="N26" s="60">
        <v>3</v>
      </c>
      <c r="O26" s="61">
        <v>14.4</v>
      </c>
      <c r="P26" s="62" t="s">
        <v>1166</v>
      </c>
      <c r="Q26" s="43" t="b">
        <v>0</v>
      </c>
      <c r="R26" s="43" t="b">
        <v>1</v>
      </c>
      <c r="S26" s="43" t="b">
        <v>0</v>
      </c>
      <c r="T26" s="63" t="e">
        <f ca="1">AND(U26&lt;&gt;"",OR(U26&gt;(VLOOKUP(B26,S_analysis!$A$2:$K$7,5,FALSE)+2*VLOOKUP(B26,S_analysis!$A$2:$K$7,6,FALSE)),U26&lt;(VLOOKUP(B26,S_analysis!$A$2:$K$7,5,FALSE)-2*VLOOKUP(B26,S_analysis!$A$2:$K$7,6,FALSE))))</f>
        <v>#VALUE!</v>
      </c>
      <c r="U26" s="68">
        <v>3</v>
      </c>
      <c r="V26" s="60"/>
      <c r="W26" s="59"/>
      <c r="X26" s="60">
        <v>1916</v>
      </c>
      <c r="Y26" s="60" t="s">
        <v>1167</v>
      </c>
      <c r="Z26" s="66" t="s">
        <v>1824</v>
      </c>
    </row>
    <row r="27" spans="1:26" ht="15.75" customHeight="1">
      <c r="A27" s="56"/>
      <c r="B27" s="57"/>
      <c r="C27" s="58"/>
      <c r="D27" s="59"/>
      <c r="E27" s="60"/>
      <c r="F27" s="60"/>
      <c r="G27" s="58"/>
      <c r="H27" s="60"/>
      <c r="I27" s="60"/>
      <c r="J27" s="60"/>
      <c r="K27" s="61"/>
      <c r="L27" s="60"/>
      <c r="M27" s="61"/>
      <c r="N27" s="60"/>
      <c r="O27" s="61"/>
      <c r="P27" s="62"/>
      <c r="Q27" s="43"/>
      <c r="R27" s="43"/>
      <c r="S27" s="43"/>
      <c r="T27" s="63"/>
      <c r="U27" s="68"/>
      <c r="V27" s="60"/>
      <c r="W27" s="59"/>
      <c r="X27" s="60"/>
      <c r="Y27" s="60"/>
      <c r="Z27" s="60"/>
    </row>
    <row r="28" spans="1:26" ht="15.75" customHeight="1">
      <c r="A28" s="56"/>
      <c r="B28" s="57"/>
      <c r="C28" s="58"/>
      <c r="D28" s="59"/>
      <c r="E28" s="60"/>
      <c r="F28" s="60"/>
      <c r="G28" s="58"/>
      <c r="H28" s="60"/>
      <c r="I28" s="60"/>
      <c r="J28" s="60"/>
      <c r="K28" s="61"/>
      <c r="L28" s="60"/>
      <c r="M28" s="61"/>
      <c r="N28" s="60"/>
      <c r="O28" s="61"/>
      <c r="P28" s="69"/>
      <c r="Q28" s="43"/>
      <c r="R28" s="43"/>
      <c r="S28" s="43"/>
      <c r="T28" s="63"/>
      <c r="U28" s="64"/>
      <c r="V28" s="65"/>
      <c r="W28" s="66"/>
      <c r="X28" s="65"/>
      <c r="Y28" s="65"/>
      <c r="Z28" s="65"/>
    </row>
    <row r="29" spans="1:26" ht="15.75" customHeight="1">
      <c r="A29" s="56"/>
      <c r="B29" s="57"/>
      <c r="C29" s="58"/>
      <c r="D29" s="59"/>
      <c r="E29" s="60"/>
      <c r="F29" s="60"/>
      <c r="G29" s="58"/>
      <c r="H29" s="60"/>
      <c r="I29" s="60"/>
      <c r="J29" s="60"/>
      <c r="K29" s="61"/>
      <c r="L29" s="60"/>
      <c r="M29" s="61"/>
      <c r="N29" s="60"/>
      <c r="O29" s="61"/>
      <c r="P29" s="62"/>
      <c r="Q29" s="43"/>
      <c r="R29" s="43"/>
      <c r="S29" s="43"/>
      <c r="T29" s="63"/>
      <c r="U29" s="64"/>
      <c r="V29" s="60"/>
      <c r="W29" s="59"/>
      <c r="X29" s="60"/>
      <c r="Y29" s="65"/>
      <c r="Z29" s="65"/>
    </row>
    <row r="30" spans="1:26" ht="15.75" customHeight="1">
      <c r="A30" s="56"/>
      <c r="B30" s="57"/>
      <c r="C30" s="58"/>
      <c r="D30" s="59"/>
      <c r="E30" s="60"/>
      <c r="F30" s="60"/>
      <c r="G30" s="58"/>
      <c r="H30" s="60"/>
      <c r="I30" s="60"/>
      <c r="J30" s="60"/>
      <c r="K30" s="61"/>
      <c r="L30" s="60"/>
      <c r="M30" s="61"/>
      <c r="N30" s="60"/>
      <c r="O30" s="61"/>
      <c r="P30" s="69"/>
      <c r="Q30" s="43"/>
      <c r="R30" s="43"/>
      <c r="S30" s="43"/>
      <c r="T30" s="63"/>
      <c r="U30" s="64"/>
      <c r="V30" s="65"/>
      <c r="W30" s="66"/>
      <c r="X30" s="65"/>
      <c r="Y30" s="65"/>
      <c r="Z30" s="65"/>
    </row>
    <row r="31" spans="1:26" ht="15.75" customHeight="1">
      <c r="A31" s="56"/>
      <c r="B31" s="57"/>
      <c r="C31" s="58"/>
      <c r="D31" s="59"/>
      <c r="E31" s="60"/>
      <c r="F31" s="60"/>
      <c r="G31" s="58"/>
      <c r="H31" s="60"/>
      <c r="I31" s="60"/>
      <c r="J31" s="60"/>
      <c r="K31" s="61"/>
      <c r="L31" s="60"/>
      <c r="M31" s="61"/>
      <c r="N31" s="60"/>
      <c r="O31" s="61"/>
      <c r="P31" s="69"/>
      <c r="Q31" s="43"/>
      <c r="R31" s="43"/>
      <c r="S31" s="43"/>
      <c r="T31" s="63"/>
      <c r="U31" s="68"/>
      <c r="V31" s="65"/>
      <c r="W31" s="66"/>
      <c r="X31" s="65"/>
      <c r="Y31" s="60"/>
      <c r="Z31" s="60"/>
    </row>
    <row r="32" spans="1:26" ht="15.75" customHeight="1">
      <c r="A32" s="56"/>
      <c r="B32" s="57"/>
      <c r="C32" s="58"/>
      <c r="D32" s="59"/>
      <c r="E32" s="60"/>
      <c r="F32" s="60"/>
      <c r="G32" s="58"/>
      <c r="H32" s="60"/>
      <c r="I32" s="60"/>
      <c r="J32" s="60"/>
      <c r="K32" s="61"/>
      <c r="L32" s="60"/>
      <c r="M32" s="61"/>
      <c r="N32" s="60"/>
      <c r="O32" s="61"/>
      <c r="P32" s="62"/>
      <c r="Q32" s="43"/>
      <c r="R32" s="43"/>
      <c r="S32" s="43"/>
      <c r="T32" s="63"/>
      <c r="U32" s="68"/>
      <c r="V32" s="65"/>
      <c r="W32" s="66"/>
      <c r="X32" s="65"/>
      <c r="Y32" s="60"/>
      <c r="Z32" s="60"/>
    </row>
    <row r="33" spans="1:26" ht="15.75" customHeight="1">
      <c r="A33" s="56"/>
      <c r="B33" s="57"/>
      <c r="C33" s="58"/>
      <c r="D33" s="59"/>
      <c r="E33" s="60"/>
      <c r="F33" s="60"/>
      <c r="G33" s="58"/>
      <c r="H33" s="60"/>
      <c r="I33" s="60"/>
      <c r="J33" s="60"/>
      <c r="K33" s="61"/>
      <c r="L33" s="60"/>
      <c r="M33" s="61"/>
      <c r="N33" s="60"/>
      <c r="O33" s="61"/>
      <c r="P33" s="69"/>
      <c r="Q33" s="43"/>
      <c r="R33" s="43"/>
      <c r="S33" s="43"/>
      <c r="T33" s="63"/>
      <c r="U33" s="68"/>
      <c r="V33" s="65"/>
      <c r="W33" s="66"/>
      <c r="X33" s="65"/>
      <c r="Y33" s="60"/>
      <c r="Z33" s="60"/>
    </row>
    <row r="34" spans="1:26" ht="15.75" customHeight="1">
      <c r="A34" s="56"/>
      <c r="B34" s="57"/>
      <c r="C34" s="58"/>
      <c r="D34" s="59"/>
      <c r="E34" s="60"/>
      <c r="F34" s="60"/>
      <c r="G34" s="58"/>
      <c r="H34" s="60"/>
      <c r="I34" s="60"/>
      <c r="J34" s="60"/>
      <c r="K34" s="61"/>
      <c r="L34" s="60"/>
      <c r="M34" s="61"/>
      <c r="N34" s="60"/>
      <c r="O34" s="61"/>
      <c r="P34" s="67"/>
      <c r="Q34" s="43"/>
      <c r="R34" s="43"/>
      <c r="S34" s="43"/>
      <c r="T34" s="63"/>
      <c r="U34" s="68"/>
      <c r="V34" s="60"/>
      <c r="W34" s="59"/>
      <c r="X34" s="65"/>
      <c r="Y34" s="60"/>
      <c r="Z34" s="60"/>
    </row>
    <row r="35" spans="1:26" ht="15.75" customHeight="1">
      <c r="A35" s="56"/>
      <c r="B35" s="57"/>
      <c r="C35" s="58"/>
      <c r="D35" s="59"/>
      <c r="E35" s="60"/>
      <c r="F35" s="60"/>
      <c r="G35" s="58"/>
      <c r="H35" s="60"/>
      <c r="I35" s="60"/>
      <c r="J35" s="60"/>
      <c r="K35" s="61"/>
      <c r="L35" s="60"/>
      <c r="M35" s="61"/>
      <c r="N35" s="60"/>
      <c r="O35" s="61"/>
      <c r="P35" s="69"/>
      <c r="Q35" s="43"/>
      <c r="R35" s="43"/>
      <c r="S35" s="43"/>
      <c r="T35" s="63"/>
      <c r="U35" s="68"/>
      <c r="V35" s="60"/>
      <c r="W35" s="66"/>
      <c r="X35" s="65"/>
      <c r="Y35" s="60"/>
      <c r="Z35" s="60"/>
    </row>
    <row r="36" spans="1:26" ht="15.75" customHeight="1">
      <c r="A36" s="56"/>
      <c r="B36" s="57"/>
      <c r="C36" s="58"/>
      <c r="D36" s="59"/>
      <c r="E36" s="60"/>
      <c r="F36" s="60"/>
      <c r="G36" s="58"/>
      <c r="H36" s="60"/>
      <c r="I36" s="60"/>
      <c r="J36" s="60"/>
      <c r="K36" s="61"/>
      <c r="L36" s="60"/>
      <c r="M36" s="61"/>
      <c r="N36" s="60"/>
      <c r="O36" s="61"/>
      <c r="P36" s="62"/>
      <c r="Q36" s="43"/>
      <c r="R36" s="43"/>
      <c r="S36" s="43"/>
      <c r="T36" s="63"/>
      <c r="U36" s="68"/>
      <c r="V36" s="60"/>
      <c r="W36" s="59"/>
      <c r="X36" s="60"/>
      <c r="Y36" s="60"/>
      <c r="Z36" s="60"/>
    </row>
    <row r="37" spans="1:26" ht="15.75" customHeight="1">
      <c r="A37" s="56"/>
      <c r="B37" s="57"/>
      <c r="C37" s="58"/>
      <c r="D37" s="59"/>
      <c r="E37" s="60"/>
      <c r="F37" s="60"/>
      <c r="G37" s="58"/>
      <c r="H37" s="60"/>
      <c r="I37" s="60"/>
      <c r="J37" s="60"/>
      <c r="K37" s="61"/>
      <c r="L37" s="60"/>
      <c r="M37" s="61"/>
      <c r="N37" s="60"/>
      <c r="O37" s="61"/>
      <c r="P37" s="62"/>
      <c r="Q37" s="43"/>
      <c r="R37" s="43"/>
      <c r="S37" s="43"/>
      <c r="T37" s="63"/>
      <c r="U37" s="68"/>
      <c r="V37" s="60"/>
      <c r="W37" s="59"/>
      <c r="X37" s="60"/>
      <c r="Y37" s="60"/>
      <c r="Z37" s="60"/>
    </row>
    <row r="38" spans="1:26" ht="15.75" customHeight="1">
      <c r="A38" s="56"/>
      <c r="B38" s="57"/>
      <c r="C38" s="58"/>
      <c r="D38" s="59"/>
      <c r="E38" s="60"/>
      <c r="F38" s="60"/>
      <c r="G38" s="58"/>
      <c r="H38" s="60"/>
      <c r="I38" s="60"/>
      <c r="J38" s="60"/>
      <c r="K38" s="61"/>
      <c r="L38" s="60"/>
      <c r="M38" s="61"/>
      <c r="N38" s="60"/>
      <c r="O38" s="61"/>
      <c r="P38" s="71"/>
      <c r="Q38" s="43"/>
      <c r="R38" s="43"/>
      <c r="S38" s="43"/>
      <c r="T38" s="63"/>
      <c r="U38" s="68"/>
      <c r="V38" s="65"/>
      <c r="W38" s="66"/>
      <c r="X38" s="65"/>
      <c r="Y38" s="60"/>
      <c r="Z38" s="60"/>
    </row>
    <row r="39" spans="1:26" ht="15.75" customHeight="1">
      <c r="A39" s="56"/>
      <c r="B39" s="57"/>
      <c r="C39" s="58"/>
      <c r="D39" s="59"/>
      <c r="E39" s="60"/>
      <c r="F39" s="60"/>
      <c r="G39" s="58"/>
      <c r="H39" s="60"/>
      <c r="I39" s="60"/>
      <c r="J39" s="60"/>
      <c r="K39" s="61"/>
      <c r="L39" s="60"/>
      <c r="M39" s="61"/>
      <c r="N39" s="60"/>
      <c r="O39" s="61"/>
      <c r="P39" s="62"/>
      <c r="Q39" s="43"/>
      <c r="R39" s="43"/>
      <c r="S39" s="43"/>
      <c r="T39" s="63"/>
      <c r="U39" s="68"/>
      <c r="V39" s="60"/>
      <c r="W39" s="59"/>
      <c r="X39" s="60"/>
      <c r="Y39" s="60"/>
      <c r="Z39" s="60"/>
    </row>
    <row r="40" spans="1:26" ht="15.75" customHeight="1">
      <c r="A40" s="56"/>
      <c r="B40" s="57"/>
      <c r="C40" s="58"/>
      <c r="D40" s="59"/>
      <c r="E40" s="60"/>
      <c r="F40" s="60"/>
      <c r="G40" s="58"/>
      <c r="H40" s="60"/>
      <c r="I40" s="60"/>
      <c r="J40" s="60"/>
      <c r="K40" s="61"/>
      <c r="L40" s="60"/>
      <c r="M40" s="61"/>
      <c r="N40" s="60"/>
      <c r="O40" s="61"/>
      <c r="P40" s="69"/>
      <c r="Q40" s="43"/>
      <c r="R40" s="43"/>
      <c r="S40" s="43"/>
      <c r="T40" s="63"/>
      <c r="U40" s="68"/>
      <c r="V40" s="60"/>
      <c r="W40" s="59"/>
      <c r="X40" s="60"/>
      <c r="Y40" s="60"/>
      <c r="Z40" s="60"/>
    </row>
    <row r="41" spans="1:26" ht="15.75" customHeight="1">
      <c r="A41" s="56"/>
      <c r="B41" s="58"/>
      <c r="C41" s="58"/>
      <c r="D41" s="59"/>
      <c r="E41" s="60"/>
      <c r="F41" s="60"/>
      <c r="G41" s="58"/>
      <c r="H41" s="60"/>
      <c r="I41" s="60"/>
      <c r="J41" s="60"/>
      <c r="K41" s="61"/>
      <c r="L41" s="60"/>
      <c r="M41" s="61"/>
      <c r="N41" s="60"/>
      <c r="O41" s="61"/>
      <c r="P41" s="62"/>
      <c r="Q41" s="43"/>
      <c r="R41" s="43"/>
      <c r="S41" s="43"/>
      <c r="T41" s="63"/>
      <c r="U41" s="68"/>
      <c r="V41" s="65"/>
      <c r="W41" s="66"/>
      <c r="X41" s="65"/>
      <c r="Y41" s="60"/>
      <c r="Z41" s="60"/>
    </row>
    <row r="42" spans="1:26" ht="15.75" customHeight="1">
      <c r="A42" s="56"/>
      <c r="B42" s="58"/>
      <c r="C42" s="58"/>
      <c r="D42" s="59"/>
      <c r="E42" s="60"/>
      <c r="F42" s="60"/>
      <c r="G42" s="58"/>
      <c r="H42" s="60"/>
      <c r="I42" s="60"/>
      <c r="J42" s="60"/>
      <c r="K42" s="61"/>
      <c r="L42" s="60"/>
      <c r="M42" s="61"/>
      <c r="N42" s="60"/>
      <c r="O42" s="61"/>
      <c r="P42" s="62"/>
      <c r="Q42" s="43"/>
      <c r="R42" s="43"/>
      <c r="S42" s="43"/>
      <c r="T42" s="63"/>
      <c r="U42" s="64"/>
      <c r="V42" s="65"/>
      <c r="W42" s="66"/>
      <c r="X42" s="65"/>
      <c r="Y42" s="65"/>
      <c r="Z42" s="65"/>
    </row>
    <row r="43" spans="1:26" ht="15.75" customHeight="1">
      <c r="A43" s="56"/>
      <c r="B43" s="58"/>
      <c r="C43" s="58"/>
      <c r="D43" s="59"/>
      <c r="E43" s="60"/>
      <c r="F43" s="60"/>
      <c r="G43" s="58"/>
      <c r="H43" s="60"/>
      <c r="I43" s="60"/>
      <c r="J43" s="60"/>
      <c r="K43" s="61"/>
      <c r="L43" s="60"/>
      <c r="M43" s="61"/>
      <c r="N43" s="60"/>
      <c r="O43" s="61"/>
      <c r="P43" s="62"/>
      <c r="Q43" s="43"/>
      <c r="R43" s="43"/>
      <c r="S43" s="43"/>
      <c r="T43" s="63"/>
      <c r="U43" s="68"/>
      <c r="V43" s="60"/>
      <c r="W43" s="59"/>
      <c r="X43" s="60"/>
      <c r="Y43" s="60"/>
      <c r="Z43" s="60"/>
    </row>
    <row r="44" spans="1:26" ht="15.75" customHeight="1">
      <c r="A44" s="56"/>
      <c r="B44" s="58"/>
      <c r="C44" s="58"/>
      <c r="D44" s="59"/>
      <c r="E44" s="60"/>
      <c r="F44" s="60"/>
      <c r="G44" s="58"/>
      <c r="H44" s="60"/>
      <c r="I44" s="60"/>
      <c r="J44" s="60"/>
      <c r="K44" s="61"/>
      <c r="L44" s="60"/>
      <c r="M44" s="61"/>
      <c r="N44" s="60"/>
      <c r="O44" s="61"/>
      <c r="P44" s="62"/>
      <c r="Q44" s="43"/>
      <c r="R44" s="43"/>
      <c r="S44" s="43"/>
      <c r="T44" s="63"/>
      <c r="U44" s="68"/>
      <c r="V44" s="60"/>
      <c r="W44" s="59"/>
      <c r="X44" s="60"/>
      <c r="Y44" s="60"/>
      <c r="Z44" s="60"/>
    </row>
    <row r="45" spans="1:26" ht="15.75" customHeight="1">
      <c r="A45" s="56"/>
      <c r="B45" s="58"/>
      <c r="C45" s="58"/>
      <c r="D45" s="59"/>
      <c r="E45" s="60"/>
      <c r="F45" s="60"/>
      <c r="G45" s="58"/>
      <c r="H45" s="60"/>
      <c r="I45" s="60"/>
      <c r="J45" s="60"/>
      <c r="K45" s="61"/>
      <c r="L45" s="60"/>
      <c r="M45" s="61"/>
      <c r="N45" s="60"/>
      <c r="O45" s="61"/>
      <c r="P45" s="62"/>
      <c r="Q45" s="43"/>
      <c r="R45" s="43"/>
      <c r="S45" s="43"/>
      <c r="T45" s="63"/>
      <c r="U45" s="68"/>
      <c r="V45" s="60"/>
      <c r="W45" s="59"/>
      <c r="X45" s="60"/>
      <c r="Y45" s="60"/>
      <c r="Z45" s="60"/>
    </row>
    <row r="46" spans="1:26" ht="15.75" customHeight="1">
      <c r="A46" s="56"/>
      <c r="B46" s="58"/>
      <c r="C46" s="58"/>
      <c r="D46" s="59"/>
      <c r="E46" s="60"/>
      <c r="F46" s="60"/>
      <c r="G46" s="58"/>
      <c r="H46" s="60"/>
      <c r="I46" s="60"/>
      <c r="J46" s="60"/>
      <c r="K46" s="61"/>
      <c r="L46" s="60"/>
      <c r="M46" s="61"/>
      <c r="N46" s="60"/>
      <c r="O46" s="61"/>
      <c r="P46" s="62"/>
      <c r="Q46" s="43"/>
      <c r="R46" s="43"/>
      <c r="S46" s="43"/>
      <c r="T46" s="63"/>
      <c r="U46" s="68"/>
      <c r="V46" s="60"/>
      <c r="W46" s="59"/>
      <c r="X46" s="60"/>
      <c r="Y46" s="60"/>
      <c r="Z46" s="60"/>
    </row>
    <row r="47" spans="1:26" ht="15.75" customHeight="1">
      <c r="A47" s="56"/>
      <c r="B47" s="58"/>
      <c r="C47" s="58"/>
      <c r="D47" s="59"/>
      <c r="E47" s="60"/>
      <c r="F47" s="60"/>
      <c r="G47" s="58"/>
      <c r="H47" s="60"/>
      <c r="I47" s="60"/>
      <c r="J47" s="60"/>
      <c r="K47" s="61"/>
      <c r="L47" s="60"/>
      <c r="M47" s="61"/>
      <c r="N47" s="60"/>
      <c r="O47" s="61"/>
      <c r="P47" s="62"/>
      <c r="Q47" s="43"/>
      <c r="R47" s="43"/>
      <c r="S47" s="43"/>
      <c r="T47" s="63"/>
      <c r="U47" s="68"/>
      <c r="V47" s="60"/>
      <c r="W47" s="59"/>
      <c r="X47" s="60"/>
      <c r="Y47" s="60"/>
      <c r="Z47" s="60"/>
    </row>
    <row r="48" spans="1:26" ht="15.75" customHeight="1">
      <c r="A48" s="56"/>
      <c r="B48" s="58"/>
      <c r="C48" s="58"/>
      <c r="D48" s="59"/>
      <c r="E48" s="60"/>
      <c r="F48" s="60"/>
      <c r="G48" s="58"/>
      <c r="H48" s="60"/>
      <c r="I48" s="60"/>
      <c r="J48" s="60"/>
      <c r="K48" s="61"/>
      <c r="L48" s="60"/>
      <c r="M48" s="61"/>
      <c r="N48" s="60"/>
      <c r="O48" s="61"/>
      <c r="P48" s="62"/>
      <c r="Q48" s="43"/>
      <c r="R48" s="43"/>
      <c r="S48" s="43"/>
      <c r="T48" s="63"/>
      <c r="U48" s="68"/>
      <c r="V48" s="60"/>
      <c r="W48" s="59"/>
      <c r="X48" s="60"/>
      <c r="Y48" s="60"/>
      <c r="Z48" s="60"/>
    </row>
    <row r="49" spans="1:26" ht="15.75" customHeight="1">
      <c r="A49" s="56"/>
      <c r="B49" s="58"/>
      <c r="C49" s="58"/>
      <c r="D49" s="59"/>
      <c r="E49" s="60"/>
      <c r="F49" s="60"/>
      <c r="G49" s="58"/>
      <c r="H49" s="60"/>
      <c r="I49" s="60"/>
      <c r="J49" s="60"/>
      <c r="K49" s="61"/>
      <c r="L49" s="60"/>
      <c r="M49" s="61"/>
      <c r="N49" s="60"/>
      <c r="O49" s="61"/>
      <c r="P49" s="62"/>
      <c r="Q49" s="43"/>
      <c r="R49" s="43"/>
      <c r="S49" s="43"/>
      <c r="T49" s="63"/>
      <c r="U49" s="68"/>
      <c r="V49" s="60"/>
      <c r="W49" s="59"/>
      <c r="X49" s="60"/>
      <c r="Y49" s="60"/>
      <c r="Z49" s="60"/>
    </row>
    <row r="50" spans="1:26" ht="15.75" customHeight="1">
      <c r="A50" s="56"/>
      <c r="B50" s="58"/>
      <c r="C50" s="58"/>
      <c r="D50" s="59"/>
      <c r="E50" s="60"/>
      <c r="F50" s="60"/>
      <c r="G50" s="58"/>
      <c r="H50" s="60"/>
      <c r="I50" s="60"/>
      <c r="J50" s="60"/>
      <c r="K50" s="61"/>
      <c r="L50" s="60"/>
      <c r="M50" s="61"/>
      <c r="N50" s="60"/>
      <c r="O50" s="61"/>
      <c r="P50" s="62"/>
      <c r="Q50" s="43"/>
      <c r="R50" s="43"/>
      <c r="S50" s="43"/>
      <c r="T50" s="63"/>
      <c r="U50" s="68"/>
      <c r="V50" s="60"/>
      <c r="W50" s="59"/>
      <c r="X50" s="60"/>
      <c r="Y50" s="60"/>
      <c r="Z50" s="60"/>
    </row>
    <row r="51" spans="1:26" ht="15.75" customHeight="1">
      <c r="A51" s="56"/>
      <c r="B51" s="58"/>
      <c r="C51" s="58"/>
      <c r="D51" s="59"/>
      <c r="E51" s="60"/>
      <c r="F51" s="60"/>
      <c r="G51" s="58"/>
      <c r="H51" s="60"/>
      <c r="I51" s="60"/>
      <c r="J51" s="60"/>
      <c r="K51" s="61"/>
      <c r="L51" s="60"/>
      <c r="M51" s="61"/>
      <c r="N51" s="60"/>
      <c r="O51" s="61"/>
      <c r="P51" s="62"/>
      <c r="Q51" s="43"/>
      <c r="R51" s="43"/>
      <c r="S51" s="43"/>
      <c r="T51" s="63"/>
      <c r="U51" s="68"/>
      <c r="V51" s="60"/>
      <c r="W51" s="59"/>
      <c r="X51" s="60"/>
      <c r="Y51" s="60"/>
      <c r="Z51" s="60"/>
    </row>
    <row r="52" spans="1:26" ht="15.75" customHeight="1">
      <c r="A52" s="56"/>
      <c r="B52" s="58"/>
      <c r="C52" s="58"/>
      <c r="D52" s="59"/>
      <c r="E52" s="60"/>
      <c r="F52" s="60"/>
      <c r="G52" s="58"/>
      <c r="H52" s="60"/>
      <c r="I52" s="60"/>
      <c r="J52" s="60"/>
      <c r="K52" s="61"/>
      <c r="L52" s="60"/>
      <c r="M52" s="61"/>
      <c r="N52" s="60"/>
      <c r="O52" s="61"/>
      <c r="P52" s="69"/>
      <c r="Q52" s="43"/>
      <c r="R52" s="43"/>
      <c r="S52" s="43"/>
      <c r="T52" s="63"/>
      <c r="U52" s="68"/>
      <c r="V52" s="65"/>
      <c r="W52" s="66"/>
      <c r="X52" s="65"/>
      <c r="Y52" s="60"/>
      <c r="Z52" s="60"/>
    </row>
    <row r="53" spans="1:26" ht="15.75" customHeight="1">
      <c r="A53" s="56"/>
      <c r="B53" s="58"/>
      <c r="C53" s="58"/>
      <c r="D53" s="59"/>
      <c r="E53" s="60"/>
      <c r="F53" s="60"/>
      <c r="G53" s="58"/>
      <c r="H53" s="60"/>
      <c r="I53" s="60"/>
      <c r="J53" s="60"/>
      <c r="K53" s="61"/>
      <c r="L53" s="60"/>
      <c r="M53" s="61"/>
      <c r="N53" s="60"/>
      <c r="O53" s="61"/>
      <c r="P53" s="62"/>
      <c r="Q53" s="43"/>
      <c r="R53" s="43"/>
      <c r="S53" s="43"/>
      <c r="T53" s="63"/>
      <c r="U53" s="68"/>
      <c r="V53" s="60"/>
      <c r="W53" s="59"/>
      <c r="X53" s="60"/>
      <c r="Y53" s="60"/>
      <c r="Z53" s="60"/>
    </row>
    <row r="54" spans="1:26" ht="15.75" customHeight="1">
      <c r="A54" s="56"/>
      <c r="B54" s="58"/>
      <c r="C54" s="58"/>
      <c r="D54" s="59"/>
      <c r="E54" s="60"/>
      <c r="F54" s="60"/>
      <c r="G54" s="58"/>
      <c r="H54" s="60"/>
      <c r="I54" s="60"/>
      <c r="J54" s="60"/>
      <c r="K54" s="61"/>
      <c r="L54" s="60"/>
      <c r="M54" s="61"/>
      <c r="N54" s="60"/>
      <c r="O54" s="61"/>
      <c r="P54" s="62"/>
      <c r="Q54" s="43"/>
      <c r="R54" s="43"/>
      <c r="S54" s="43"/>
      <c r="T54" s="63"/>
      <c r="U54" s="68"/>
      <c r="V54" s="60"/>
      <c r="W54" s="59"/>
      <c r="X54" s="60"/>
      <c r="Y54" s="60"/>
      <c r="Z54" s="60"/>
    </row>
    <row r="55" spans="1:26" ht="15.75" customHeight="1">
      <c r="A55" s="56"/>
      <c r="B55" s="58"/>
      <c r="C55" s="58"/>
      <c r="D55" s="59"/>
      <c r="E55" s="60"/>
      <c r="F55" s="60"/>
      <c r="G55" s="58"/>
      <c r="H55" s="60"/>
      <c r="I55" s="60"/>
      <c r="J55" s="60"/>
      <c r="K55" s="61"/>
      <c r="L55" s="60"/>
      <c r="M55" s="61"/>
      <c r="N55" s="60"/>
      <c r="O55" s="61"/>
      <c r="P55" s="62"/>
      <c r="Q55" s="43"/>
      <c r="R55" s="43"/>
      <c r="S55" s="43"/>
      <c r="T55" s="63"/>
      <c r="U55" s="68"/>
      <c r="V55" s="60"/>
      <c r="W55" s="59"/>
      <c r="X55" s="60"/>
      <c r="Y55" s="60"/>
      <c r="Z55" s="60"/>
    </row>
    <row r="56" spans="1:26" ht="15.75" customHeight="1">
      <c r="A56" s="56"/>
      <c r="B56" s="58"/>
      <c r="C56" s="58"/>
      <c r="D56" s="59"/>
      <c r="E56" s="60"/>
      <c r="F56" s="60"/>
      <c r="G56" s="58"/>
      <c r="H56" s="60"/>
      <c r="I56" s="60"/>
      <c r="J56" s="60"/>
      <c r="K56" s="61"/>
      <c r="L56" s="60"/>
      <c r="M56" s="61"/>
      <c r="N56" s="60"/>
      <c r="O56" s="61"/>
      <c r="P56" s="62"/>
      <c r="Q56" s="43"/>
      <c r="R56" s="43"/>
      <c r="S56" s="43"/>
      <c r="T56" s="63"/>
      <c r="U56" s="68"/>
      <c r="V56" s="60"/>
      <c r="W56" s="59"/>
      <c r="X56" s="60"/>
      <c r="Y56" s="60"/>
      <c r="Z56" s="60"/>
    </row>
    <row r="57" spans="1:26" ht="15.75" customHeight="1">
      <c r="A57" s="56"/>
      <c r="B57" s="58"/>
      <c r="C57" s="58"/>
      <c r="D57" s="59"/>
      <c r="E57" s="60"/>
      <c r="F57" s="60"/>
      <c r="G57" s="58"/>
      <c r="H57" s="60"/>
      <c r="I57" s="60"/>
      <c r="J57" s="60"/>
      <c r="K57" s="61"/>
      <c r="L57" s="60"/>
      <c r="M57" s="61"/>
      <c r="N57" s="60"/>
      <c r="O57" s="61"/>
      <c r="P57" s="62"/>
      <c r="Q57" s="43"/>
      <c r="R57" s="43"/>
      <c r="S57" s="43"/>
      <c r="T57" s="63"/>
      <c r="U57" s="68"/>
      <c r="V57" s="60"/>
      <c r="W57" s="59"/>
      <c r="X57" s="60"/>
      <c r="Y57" s="60"/>
      <c r="Z57" s="60"/>
    </row>
    <row r="58" spans="1:26" ht="15.75" customHeight="1">
      <c r="A58" s="56"/>
      <c r="B58" s="58"/>
      <c r="C58" s="58"/>
      <c r="D58" s="59"/>
      <c r="E58" s="60"/>
      <c r="F58" s="60"/>
      <c r="G58" s="58"/>
      <c r="H58" s="60"/>
      <c r="I58" s="60"/>
      <c r="J58" s="60"/>
      <c r="K58" s="61"/>
      <c r="L58" s="60"/>
      <c r="M58" s="61"/>
      <c r="N58" s="60"/>
      <c r="O58" s="61"/>
      <c r="P58" s="62"/>
      <c r="Q58" s="43"/>
      <c r="R58" s="43"/>
      <c r="S58" s="43"/>
      <c r="T58" s="63"/>
      <c r="U58" s="68"/>
      <c r="V58" s="60"/>
      <c r="W58" s="59"/>
      <c r="X58" s="60"/>
      <c r="Y58" s="60"/>
      <c r="Z58" s="60"/>
    </row>
    <row r="59" spans="1:26" ht="15.75" customHeight="1">
      <c r="A59" s="56"/>
      <c r="B59" s="58"/>
      <c r="C59" s="58"/>
      <c r="D59" s="59"/>
      <c r="E59" s="60"/>
      <c r="F59" s="60"/>
      <c r="G59" s="58"/>
      <c r="H59" s="60"/>
      <c r="I59" s="60"/>
      <c r="J59" s="60"/>
      <c r="K59" s="61"/>
      <c r="L59" s="60"/>
      <c r="M59" s="61"/>
      <c r="N59" s="60"/>
      <c r="O59" s="61"/>
      <c r="P59" s="62"/>
      <c r="Q59" s="43"/>
      <c r="R59" s="43"/>
      <c r="S59" s="43"/>
      <c r="T59" s="63"/>
      <c r="U59" s="68"/>
      <c r="V59" s="60"/>
      <c r="W59" s="59"/>
      <c r="X59" s="60"/>
      <c r="Y59" s="60"/>
      <c r="Z59" s="60"/>
    </row>
    <row r="60" spans="1:26" ht="15.75" customHeight="1">
      <c r="A60" s="56"/>
      <c r="B60" s="58"/>
      <c r="C60" s="58"/>
      <c r="D60" s="59"/>
      <c r="E60" s="60"/>
      <c r="F60" s="60"/>
      <c r="G60" s="58"/>
      <c r="H60" s="60"/>
      <c r="I60" s="60"/>
      <c r="J60" s="60"/>
      <c r="K60" s="61"/>
      <c r="L60" s="60"/>
      <c r="M60" s="61"/>
      <c r="N60" s="60"/>
      <c r="O60" s="61"/>
      <c r="P60" s="67"/>
      <c r="Q60" s="43"/>
      <c r="R60" s="43"/>
      <c r="S60" s="43"/>
      <c r="T60" s="63"/>
      <c r="U60" s="68"/>
      <c r="V60" s="60"/>
      <c r="W60" s="59"/>
      <c r="X60" s="60"/>
      <c r="Y60" s="60"/>
      <c r="Z60" s="60"/>
    </row>
    <row r="61" spans="1:26" ht="15.75" customHeight="1">
      <c r="A61" s="56"/>
      <c r="B61" s="58"/>
      <c r="C61" s="58"/>
      <c r="D61" s="59"/>
      <c r="E61" s="60"/>
      <c r="F61" s="60"/>
      <c r="G61" s="58"/>
      <c r="H61" s="60"/>
      <c r="I61" s="60"/>
      <c r="J61" s="60"/>
      <c r="K61" s="61"/>
      <c r="L61" s="60"/>
      <c r="M61" s="61"/>
      <c r="N61" s="60"/>
      <c r="O61" s="61"/>
      <c r="P61" s="62"/>
      <c r="Q61" s="43"/>
      <c r="R61" s="43"/>
      <c r="S61" s="43"/>
      <c r="T61" s="63"/>
      <c r="U61" s="68"/>
      <c r="V61" s="60"/>
      <c r="W61" s="59"/>
      <c r="X61" s="60"/>
      <c r="Y61" s="60"/>
      <c r="Z61" s="60"/>
    </row>
    <row r="62" spans="1:26" ht="15.75" customHeight="1">
      <c r="A62" s="56"/>
      <c r="B62" s="58"/>
      <c r="C62" s="58"/>
      <c r="D62" s="59"/>
      <c r="E62" s="60"/>
      <c r="F62" s="60"/>
      <c r="G62" s="58"/>
      <c r="H62" s="60"/>
      <c r="I62" s="60"/>
      <c r="J62" s="60"/>
      <c r="K62" s="61"/>
      <c r="L62" s="60"/>
      <c r="M62" s="61"/>
      <c r="N62" s="60"/>
      <c r="O62" s="61"/>
      <c r="P62" s="62"/>
      <c r="Q62" s="43"/>
      <c r="R62" s="43"/>
      <c r="S62" s="43"/>
      <c r="T62" s="63"/>
      <c r="U62" s="68"/>
      <c r="V62" s="60"/>
      <c r="W62" s="59"/>
      <c r="X62" s="60"/>
      <c r="Y62" s="60"/>
      <c r="Z62" s="60"/>
    </row>
    <row r="63" spans="1:26" ht="15.75" customHeight="1">
      <c r="A63" s="56"/>
      <c r="B63" s="58"/>
      <c r="C63" s="58"/>
      <c r="D63" s="59"/>
      <c r="E63" s="60"/>
      <c r="F63" s="60"/>
      <c r="G63" s="58"/>
      <c r="H63" s="60"/>
      <c r="I63" s="60"/>
      <c r="J63" s="60"/>
      <c r="K63" s="61"/>
      <c r="L63" s="60"/>
      <c r="M63" s="61"/>
      <c r="N63" s="60"/>
      <c r="O63" s="61"/>
      <c r="P63" s="62"/>
      <c r="Q63" s="43"/>
      <c r="R63" s="43"/>
      <c r="S63" s="43"/>
      <c r="T63" s="63"/>
      <c r="U63" s="68"/>
      <c r="V63" s="65"/>
      <c r="W63" s="66"/>
      <c r="X63" s="65"/>
      <c r="Y63" s="60"/>
      <c r="Z63" s="60"/>
    </row>
    <row r="64" spans="1:26" ht="15.75" customHeight="1">
      <c r="A64" s="56"/>
      <c r="B64" s="58"/>
      <c r="C64" s="58"/>
      <c r="D64" s="59"/>
      <c r="E64" s="60"/>
      <c r="F64" s="60"/>
      <c r="G64" s="58"/>
      <c r="H64" s="60"/>
      <c r="I64" s="60"/>
      <c r="J64" s="60"/>
      <c r="K64" s="61"/>
      <c r="L64" s="60"/>
      <c r="M64" s="61"/>
      <c r="N64" s="60"/>
      <c r="O64" s="61"/>
      <c r="P64" s="62"/>
      <c r="Q64" s="43"/>
      <c r="R64" s="43"/>
      <c r="S64" s="43"/>
      <c r="T64" s="63"/>
      <c r="U64" s="68"/>
      <c r="V64" s="60"/>
      <c r="W64" s="59"/>
      <c r="X64" s="60"/>
      <c r="Y64" s="60"/>
      <c r="Z64" s="60"/>
    </row>
    <row r="65" spans="1:26" ht="15.75" customHeight="1">
      <c r="A65" s="56"/>
      <c r="B65" s="58"/>
      <c r="C65" s="58"/>
      <c r="D65" s="59"/>
      <c r="E65" s="60"/>
      <c r="F65" s="60"/>
      <c r="G65" s="58"/>
      <c r="H65" s="60"/>
      <c r="I65" s="60"/>
      <c r="J65" s="60"/>
      <c r="K65" s="61"/>
      <c r="L65" s="60"/>
      <c r="M65" s="61"/>
      <c r="N65" s="60"/>
      <c r="O65" s="61"/>
      <c r="P65" s="72"/>
      <c r="Q65" s="43"/>
      <c r="R65" s="43"/>
      <c r="S65" s="43"/>
      <c r="T65" s="63"/>
      <c r="U65" s="68"/>
      <c r="V65" s="60"/>
      <c r="W65" s="59"/>
      <c r="X65" s="60"/>
      <c r="Y65" s="60"/>
      <c r="Z65" s="60"/>
    </row>
    <row r="66" spans="1:26" ht="15.75" customHeight="1">
      <c r="A66" s="56"/>
      <c r="B66" s="58"/>
      <c r="C66" s="58"/>
      <c r="D66" s="59"/>
      <c r="E66" s="60"/>
      <c r="F66" s="60"/>
      <c r="G66" s="58"/>
      <c r="H66" s="60"/>
      <c r="I66" s="60"/>
      <c r="J66" s="60"/>
      <c r="K66" s="61"/>
      <c r="L66" s="60"/>
      <c r="M66" s="61"/>
      <c r="N66" s="60"/>
      <c r="O66" s="61"/>
      <c r="P66" s="62"/>
      <c r="Q66" s="43"/>
      <c r="R66" s="43"/>
      <c r="S66" s="43"/>
      <c r="T66" s="63"/>
      <c r="U66" s="68"/>
      <c r="V66" s="60"/>
      <c r="W66" s="59"/>
      <c r="X66" s="60"/>
      <c r="Y66" s="60"/>
      <c r="Z66" s="60"/>
    </row>
    <row r="67" spans="1:26" ht="15.75" customHeight="1">
      <c r="A67" s="56"/>
      <c r="B67" s="58"/>
      <c r="C67" s="58"/>
      <c r="D67" s="59"/>
      <c r="E67" s="60"/>
      <c r="F67" s="60"/>
      <c r="G67" s="58"/>
      <c r="H67" s="60"/>
      <c r="I67" s="60"/>
      <c r="J67" s="60"/>
      <c r="K67" s="61"/>
      <c r="L67" s="60"/>
      <c r="M67" s="61"/>
      <c r="N67" s="60"/>
      <c r="O67" s="61"/>
      <c r="P67" s="62"/>
      <c r="Q67" s="43"/>
      <c r="R67" s="43"/>
      <c r="S67" s="43"/>
      <c r="T67" s="63"/>
      <c r="U67" s="68"/>
      <c r="V67" s="60"/>
      <c r="W67" s="59"/>
      <c r="X67" s="60"/>
      <c r="Y67" s="60"/>
      <c r="Z67" s="60"/>
    </row>
    <row r="68" spans="1:26" ht="15.75" customHeight="1">
      <c r="A68" s="56"/>
      <c r="B68" s="58"/>
      <c r="C68" s="58"/>
      <c r="D68" s="59"/>
      <c r="E68" s="60"/>
      <c r="F68" s="60"/>
      <c r="G68" s="58"/>
      <c r="H68" s="60"/>
      <c r="I68" s="60"/>
      <c r="J68" s="60"/>
      <c r="K68" s="61"/>
      <c r="L68" s="60"/>
      <c r="M68" s="61"/>
      <c r="N68" s="60"/>
      <c r="O68" s="61"/>
      <c r="P68" s="62"/>
      <c r="Q68" s="43"/>
      <c r="R68" s="43"/>
      <c r="S68" s="43"/>
      <c r="T68" s="63"/>
      <c r="U68" s="68"/>
      <c r="V68" s="60"/>
      <c r="W68" s="59"/>
      <c r="X68" s="60"/>
      <c r="Y68" s="60"/>
      <c r="Z68" s="60"/>
    </row>
    <row r="69" spans="1:26" ht="15.75" customHeight="1">
      <c r="A69" s="56"/>
      <c r="B69" s="58"/>
      <c r="C69" s="58"/>
      <c r="D69" s="59"/>
      <c r="E69" s="60"/>
      <c r="F69" s="60"/>
      <c r="G69" s="58"/>
      <c r="H69" s="60"/>
      <c r="I69" s="60"/>
      <c r="J69" s="60"/>
      <c r="K69" s="61"/>
      <c r="L69" s="60"/>
      <c r="M69" s="61"/>
      <c r="N69" s="60"/>
      <c r="O69" s="61"/>
      <c r="P69" s="62"/>
      <c r="Q69" s="43"/>
      <c r="R69" s="43"/>
      <c r="S69" s="43"/>
      <c r="T69" s="63"/>
      <c r="U69" s="68"/>
      <c r="V69" s="60"/>
      <c r="W69" s="59"/>
      <c r="X69" s="60"/>
      <c r="Y69" s="60"/>
      <c r="Z69" s="60"/>
    </row>
    <row r="70" spans="1:26" ht="15.75" customHeight="1">
      <c r="A70" s="56"/>
      <c r="B70" s="58"/>
      <c r="C70" s="58"/>
      <c r="D70" s="59"/>
      <c r="E70" s="60"/>
      <c r="F70" s="60"/>
      <c r="G70" s="58"/>
      <c r="H70" s="60"/>
      <c r="I70" s="60"/>
      <c r="J70" s="60"/>
      <c r="K70" s="61"/>
      <c r="L70" s="60"/>
      <c r="M70" s="61"/>
      <c r="N70" s="60"/>
      <c r="O70" s="61"/>
      <c r="P70" s="62"/>
      <c r="Q70" s="43"/>
      <c r="R70" s="43"/>
      <c r="S70" s="43"/>
      <c r="T70" s="63"/>
      <c r="U70" s="68"/>
      <c r="V70" s="60"/>
      <c r="W70" s="59"/>
      <c r="X70" s="60"/>
      <c r="Y70" s="60"/>
      <c r="Z70" s="60"/>
    </row>
    <row r="71" spans="1:26" ht="15.75" customHeight="1">
      <c r="A71" s="39"/>
      <c r="B71" s="39"/>
      <c r="C71" s="39"/>
      <c r="D71" s="59"/>
      <c r="E71" s="73"/>
      <c r="F71" s="73"/>
      <c r="G71" s="39"/>
      <c r="H71" s="60"/>
      <c r="I71" s="60"/>
      <c r="J71" s="60"/>
      <c r="K71" s="61"/>
      <c r="L71" s="60"/>
      <c r="M71" s="61"/>
      <c r="N71" s="60"/>
      <c r="O71" s="61"/>
      <c r="P71" s="74"/>
      <c r="Q71" s="75"/>
      <c r="R71" s="75"/>
      <c r="S71" s="75"/>
      <c r="T71" s="75"/>
      <c r="U71" s="76"/>
      <c r="V71" s="73"/>
      <c r="W71" s="77"/>
      <c r="X71" s="73"/>
      <c r="Y71" s="73"/>
      <c r="Z71" s="73"/>
    </row>
    <row r="72" spans="1:26" ht="15.75" customHeight="1">
      <c r="A72" s="39"/>
      <c r="B72" s="39"/>
      <c r="C72" s="39"/>
      <c r="D72" s="59"/>
      <c r="E72" s="73"/>
      <c r="F72" s="73"/>
      <c r="G72" s="39"/>
      <c r="H72" s="60"/>
      <c r="I72" s="60"/>
      <c r="J72" s="60"/>
      <c r="K72" s="61"/>
      <c r="L72" s="60"/>
      <c r="M72" s="61"/>
      <c r="N72" s="60"/>
      <c r="O72" s="61"/>
      <c r="P72" s="74"/>
      <c r="Q72" s="75"/>
      <c r="R72" s="75"/>
      <c r="S72" s="75"/>
      <c r="T72" s="75"/>
      <c r="U72" s="76"/>
      <c r="V72" s="73"/>
      <c r="W72" s="77"/>
      <c r="X72" s="73"/>
      <c r="Y72" s="73"/>
      <c r="Z72" s="73"/>
    </row>
    <row r="73" spans="1:26" ht="15.75" customHeight="1">
      <c r="A73" s="39"/>
      <c r="B73" s="39"/>
      <c r="C73" s="39"/>
      <c r="D73" s="59"/>
      <c r="E73" s="73"/>
      <c r="F73" s="73"/>
      <c r="G73" s="39"/>
      <c r="H73" s="60"/>
      <c r="I73" s="60"/>
      <c r="J73" s="60"/>
      <c r="K73" s="61"/>
      <c r="L73" s="60"/>
      <c r="M73" s="61"/>
      <c r="N73" s="60"/>
      <c r="O73" s="61"/>
      <c r="P73" s="74"/>
      <c r="Q73" s="75"/>
      <c r="R73" s="75"/>
      <c r="S73" s="75"/>
      <c r="T73" s="75"/>
      <c r="U73" s="76"/>
      <c r="V73" s="73"/>
      <c r="W73" s="77"/>
      <c r="X73" s="73"/>
      <c r="Y73" s="73"/>
      <c r="Z73" s="73"/>
    </row>
    <row r="74" spans="1:26" ht="15.75" customHeight="1">
      <c r="A74" s="39"/>
      <c r="B74" s="39"/>
      <c r="C74" s="78"/>
      <c r="D74" s="59"/>
      <c r="E74" s="79"/>
      <c r="F74" s="79"/>
      <c r="G74" s="41"/>
      <c r="H74" s="60"/>
      <c r="I74" s="60"/>
      <c r="J74" s="60"/>
      <c r="K74" s="61"/>
      <c r="L74" s="60"/>
      <c r="M74" s="61"/>
      <c r="N74" s="60"/>
      <c r="O74" s="61"/>
      <c r="P74" s="42"/>
      <c r="Q74" s="75"/>
      <c r="R74" s="75"/>
      <c r="S74" s="75"/>
      <c r="T74" s="75"/>
      <c r="U74" s="80"/>
      <c r="V74" s="40"/>
      <c r="W74" s="81"/>
      <c r="X74" s="40"/>
      <c r="Y74" s="40"/>
      <c r="Z74" s="40"/>
    </row>
    <row r="75" spans="1:26" ht="15.75" customHeight="1">
      <c r="A75" s="39"/>
      <c r="B75" s="39"/>
      <c r="C75" s="78"/>
      <c r="D75" s="59"/>
      <c r="E75" s="79"/>
      <c r="F75" s="79"/>
      <c r="G75" s="41"/>
      <c r="H75" s="60"/>
      <c r="I75" s="60"/>
      <c r="J75" s="60"/>
      <c r="K75" s="61"/>
      <c r="L75" s="60"/>
      <c r="M75" s="61"/>
      <c r="N75" s="60"/>
      <c r="O75" s="61"/>
      <c r="P75" s="42"/>
      <c r="Q75" s="75"/>
      <c r="R75" s="75"/>
      <c r="S75" s="75"/>
      <c r="T75" s="75"/>
      <c r="U75" s="80"/>
      <c r="V75" s="40"/>
      <c r="W75" s="81"/>
      <c r="X75" s="40"/>
      <c r="Y75" s="40"/>
      <c r="Z75" s="40"/>
    </row>
    <row r="76" spans="1:26" ht="15.75" customHeight="1">
      <c r="A76" s="39"/>
      <c r="B76" s="39"/>
      <c r="C76" s="78"/>
      <c r="D76" s="59"/>
      <c r="E76" s="79"/>
      <c r="F76" s="79"/>
      <c r="G76" s="41"/>
      <c r="H76" s="60"/>
      <c r="I76" s="60"/>
      <c r="J76" s="60"/>
      <c r="K76" s="61"/>
      <c r="L76" s="60"/>
      <c r="M76" s="61"/>
      <c r="N76" s="60"/>
      <c r="O76" s="61"/>
      <c r="P76" s="42"/>
      <c r="Q76" s="75"/>
      <c r="R76" s="75"/>
      <c r="S76" s="75"/>
      <c r="T76" s="75"/>
      <c r="U76" s="80"/>
      <c r="V76" s="40"/>
      <c r="W76" s="81"/>
      <c r="X76" s="40"/>
      <c r="Y76" s="40"/>
      <c r="Z76" s="40"/>
    </row>
    <row r="77" spans="1:26" ht="15.75" customHeight="1">
      <c r="A77" s="39"/>
      <c r="B77" s="39"/>
      <c r="C77" s="78"/>
      <c r="D77" s="59"/>
      <c r="E77" s="79"/>
      <c r="F77" s="79"/>
      <c r="G77" s="41"/>
      <c r="H77" s="60"/>
      <c r="I77" s="60"/>
      <c r="J77" s="60"/>
      <c r="K77" s="61"/>
      <c r="L77" s="60"/>
      <c r="M77" s="61"/>
      <c r="N77" s="60"/>
      <c r="O77" s="61"/>
      <c r="P77" s="42"/>
      <c r="Q77" s="75"/>
      <c r="R77" s="75"/>
      <c r="S77" s="75"/>
      <c r="T77" s="75"/>
      <c r="U77" s="80"/>
      <c r="V77" s="40"/>
      <c r="W77" s="81"/>
      <c r="X77" s="40"/>
      <c r="Y77" s="40"/>
      <c r="Z77" s="40"/>
    </row>
    <row r="78" spans="1:26" ht="15.75" customHeight="1">
      <c r="A78" s="39"/>
      <c r="B78" s="39"/>
      <c r="C78" s="39"/>
      <c r="D78" s="59"/>
      <c r="E78" s="73"/>
      <c r="F78" s="73"/>
      <c r="G78" s="39"/>
      <c r="H78" s="60"/>
      <c r="I78" s="60"/>
      <c r="J78" s="60"/>
      <c r="K78" s="61"/>
      <c r="L78" s="60"/>
      <c r="M78" s="61"/>
      <c r="N78" s="60"/>
      <c r="O78" s="61"/>
      <c r="P78" s="74"/>
      <c r="Q78" s="75"/>
      <c r="R78" s="75"/>
      <c r="S78" s="75"/>
      <c r="T78" s="75"/>
      <c r="U78" s="76"/>
      <c r="V78" s="73"/>
      <c r="W78" s="77"/>
      <c r="X78" s="73"/>
      <c r="Y78" s="73"/>
      <c r="Z78" s="73"/>
    </row>
    <row r="79" spans="1:26" ht="15.75" customHeight="1">
      <c r="A79" s="39"/>
      <c r="B79" s="39"/>
      <c r="C79" s="39"/>
      <c r="D79" s="59"/>
      <c r="E79" s="73"/>
      <c r="F79" s="73"/>
      <c r="G79" s="39"/>
      <c r="H79" s="60"/>
      <c r="I79" s="60"/>
      <c r="J79" s="60"/>
      <c r="K79" s="61"/>
      <c r="L79" s="60"/>
      <c r="M79" s="61"/>
      <c r="N79" s="60"/>
      <c r="O79" s="61"/>
      <c r="P79" s="74"/>
      <c r="Q79" s="75"/>
      <c r="R79" s="75"/>
      <c r="S79" s="75"/>
      <c r="T79" s="75"/>
      <c r="U79" s="76"/>
      <c r="V79" s="73"/>
      <c r="W79" s="77"/>
      <c r="X79" s="73"/>
      <c r="Y79" s="73"/>
      <c r="Z79" s="73"/>
    </row>
    <row r="80" spans="1:26" ht="15.75" customHeight="1">
      <c r="A80" s="39"/>
      <c r="B80" s="39"/>
      <c r="C80" s="39"/>
      <c r="D80" s="59"/>
      <c r="E80" s="73"/>
      <c r="F80" s="73"/>
      <c r="G80" s="39"/>
      <c r="H80" s="60"/>
      <c r="I80" s="60"/>
      <c r="J80" s="60"/>
      <c r="K80" s="61"/>
      <c r="L80" s="60"/>
      <c r="M80" s="61"/>
      <c r="N80" s="60"/>
      <c r="O80" s="61"/>
      <c r="P80" s="74"/>
      <c r="Q80" s="75"/>
      <c r="R80" s="75"/>
      <c r="S80" s="75"/>
      <c r="T80" s="75"/>
      <c r="U80" s="76"/>
      <c r="V80" s="73"/>
      <c r="W80" s="77"/>
      <c r="X80" s="73"/>
      <c r="Y80" s="73"/>
      <c r="Z80" s="73"/>
    </row>
    <row r="81" spans="1:26" ht="15.75" customHeight="1">
      <c r="A81" s="39"/>
      <c r="B81" s="39"/>
      <c r="C81" s="39"/>
      <c r="D81" s="59"/>
      <c r="E81" s="73"/>
      <c r="F81" s="73"/>
      <c r="G81" s="39"/>
      <c r="H81" s="60"/>
      <c r="I81" s="60"/>
      <c r="J81" s="60"/>
      <c r="K81" s="61"/>
      <c r="L81" s="60"/>
      <c r="M81" s="61"/>
      <c r="N81" s="60"/>
      <c r="O81" s="61"/>
      <c r="P81" s="74"/>
      <c r="Q81" s="75"/>
      <c r="R81" s="75"/>
      <c r="S81" s="75"/>
      <c r="T81" s="75"/>
      <c r="U81" s="76"/>
      <c r="V81" s="73"/>
      <c r="W81" s="77"/>
      <c r="X81" s="73"/>
      <c r="Y81" s="73"/>
      <c r="Z81" s="73"/>
    </row>
    <row r="82" spans="1:26" ht="15.75" customHeight="1">
      <c r="A82" s="39"/>
      <c r="B82" s="39"/>
      <c r="C82" s="78"/>
      <c r="D82" s="59"/>
      <c r="E82" s="79"/>
      <c r="F82" s="79"/>
      <c r="G82" s="41"/>
      <c r="H82" s="60"/>
      <c r="I82" s="60"/>
      <c r="J82" s="60"/>
      <c r="K82" s="61"/>
      <c r="L82" s="60"/>
      <c r="M82" s="61"/>
      <c r="N82" s="60"/>
      <c r="O82" s="61"/>
      <c r="P82" s="42"/>
      <c r="Q82" s="75"/>
      <c r="R82" s="75"/>
      <c r="S82" s="75"/>
      <c r="T82" s="75"/>
      <c r="U82" s="80"/>
      <c r="V82" s="40"/>
      <c r="W82" s="81"/>
      <c r="X82" s="40"/>
      <c r="Y82" s="40"/>
      <c r="Z82" s="40"/>
    </row>
    <row r="83" spans="1:26" ht="15.75" customHeight="1">
      <c r="A83" s="39"/>
      <c r="B83" s="39"/>
      <c r="C83" s="78"/>
      <c r="D83" s="59"/>
      <c r="E83" s="79"/>
      <c r="F83" s="79"/>
      <c r="G83" s="41"/>
      <c r="H83" s="60"/>
      <c r="I83" s="60"/>
      <c r="J83" s="60"/>
      <c r="K83" s="61"/>
      <c r="L83" s="60"/>
      <c r="M83" s="61"/>
      <c r="N83" s="60"/>
      <c r="O83" s="61"/>
      <c r="P83" s="42"/>
      <c r="Q83" s="75"/>
      <c r="R83" s="75"/>
      <c r="S83" s="75"/>
      <c r="T83" s="75"/>
      <c r="U83" s="80"/>
      <c r="V83" s="40"/>
      <c r="W83" s="81"/>
      <c r="X83" s="40"/>
      <c r="Y83" s="40"/>
      <c r="Z83" s="40"/>
    </row>
    <row r="84" spans="1:26" ht="15.75" customHeight="1">
      <c r="A84" s="39"/>
      <c r="B84" s="39"/>
      <c r="C84" s="78"/>
      <c r="D84" s="59"/>
      <c r="E84" s="79"/>
      <c r="F84" s="79"/>
      <c r="G84" s="41"/>
      <c r="H84" s="60"/>
      <c r="I84" s="60"/>
      <c r="J84" s="60"/>
      <c r="K84" s="61"/>
      <c r="L84" s="60"/>
      <c r="M84" s="61"/>
      <c r="N84" s="60"/>
      <c r="O84" s="61"/>
      <c r="P84" s="42"/>
      <c r="Q84" s="75"/>
      <c r="R84" s="75"/>
      <c r="S84" s="75"/>
      <c r="T84" s="75"/>
      <c r="U84" s="80"/>
      <c r="V84" s="40"/>
      <c r="W84" s="81"/>
      <c r="X84" s="40"/>
      <c r="Y84" s="40"/>
      <c r="Z84" s="40"/>
    </row>
    <row r="85" spans="1:26" ht="15.75" customHeight="1">
      <c r="A85" s="39"/>
      <c r="B85" s="39"/>
      <c r="C85" s="78"/>
      <c r="D85" s="59"/>
      <c r="E85" s="79"/>
      <c r="F85" s="79"/>
      <c r="G85" s="41"/>
      <c r="H85" s="60"/>
      <c r="I85" s="60"/>
      <c r="J85" s="60"/>
      <c r="K85" s="61"/>
      <c r="L85" s="60"/>
      <c r="M85" s="61"/>
      <c r="N85" s="60"/>
      <c r="O85" s="61"/>
      <c r="P85" s="42"/>
      <c r="Q85" s="75"/>
      <c r="R85" s="75"/>
      <c r="S85" s="75"/>
      <c r="T85" s="75"/>
      <c r="U85" s="80"/>
      <c r="V85" s="40"/>
      <c r="W85" s="81"/>
      <c r="X85" s="40"/>
      <c r="Y85" s="40"/>
      <c r="Z85" s="40"/>
    </row>
    <row r="86" spans="1:26" ht="15.75" customHeight="1">
      <c r="A86" s="39"/>
      <c r="B86" s="39"/>
      <c r="C86" s="78"/>
      <c r="D86" s="59"/>
      <c r="E86" s="79"/>
      <c r="F86" s="79"/>
      <c r="G86" s="41"/>
      <c r="H86" s="60"/>
      <c r="I86" s="60"/>
      <c r="J86" s="60"/>
      <c r="K86" s="61"/>
      <c r="L86" s="60"/>
      <c r="M86" s="61"/>
      <c r="N86" s="60"/>
      <c r="O86" s="61"/>
      <c r="P86" s="42"/>
      <c r="Q86" s="75"/>
      <c r="R86" s="75"/>
      <c r="S86" s="75"/>
      <c r="T86" s="75"/>
      <c r="U86" s="80"/>
      <c r="V86" s="40"/>
      <c r="W86" s="81"/>
      <c r="X86" s="40"/>
      <c r="Y86" s="40"/>
      <c r="Z86" s="40"/>
    </row>
    <row r="87" spans="1:26" ht="15.75" customHeight="1">
      <c r="A87" s="39"/>
      <c r="B87" s="39"/>
      <c r="C87" s="78"/>
      <c r="D87" s="59"/>
      <c r="E87" s="79"/>
      <c r="F87" s="79"/>
      <c r="G87" s="41"/>
      <c r="H87" s="60"/>
      <c r="I87" s="60"/>
      <c r="J87" s="60"/>
      <c r="K87" s="61"/>
      <c r="L87" s="60"/>
      <c r="M87" s="61"/>
      <c r="N87" s="60"/>
      <c r="O87" s="61"/>
      <c r="P87" s="42"/>
      <c r="Q87" s="75"/>
      <c r="R87" s="75"/>
      <c r="S87" s="75"/>
      <c r="T87" s="75"/>
      <c r="U87" s="80"/>
      <c r="V87" s="40"/>
      <c r="W87" s="81"/>
      <c r="X87" s="40"/>
      <c r="Y87" s="40"/>
      <c r="Z87" s="40"/>
    </row>
    <row r="88" spans="1:26" ht="15.75" customHeight="1">
      <c r="A88" s="39"/>
      <c r="B88" s="39"/>
      <c r="C88" s="78"/>
      <c r="D88" s="59"/>
      <c r="E88" s="79"/>
      <c r="F88" s="79"/>
      <c r="G88" s="41"/>
      <c r="H88" s="60"/>
      <c r="I88" s="60"/>
      <c r="J88" s="60"/>
      <c r="K88" s="61"/>
      <c r="L88" s="60"/>
      <c r="M88" s="61"/>
      <c r="N88" s="60"/>
      <c r="O88" s="61"/>
      <c r="P88" s="42"/>
      <c r="Q88" s="75"/>
      <c r="R88" s="75"/>
      <c r="S88" s="75"/>
      <c r="T88" s="75"/>
      <c r="U88" s="80"/>
      <c r="V88" s="40"/>
      <c r="W88" s="81"/>
      <c r="X88" s="40"/>
      <c r="Y88" s="40"/>
      <c r="Z88" s="40"/>
    </row>
    <row r="89" spans="1:26" ht="15.75" customHeight="1">
      <c r="A89" s="39"/>
      <c r="B89" s="39"/>
      <c r="C89" s="78"/>
      <c r="D89" s="59"/>
      <c r="E89" s="79"/>
      <c r="F89" s="79"/>
      <c r="G89" s="41"/>
      <c r="H89" s="60"/>
      <c r="I89" s="60"/>
      <c r="J89" s="60"/>
      <c r="K89" s="61"/>
      <c r="L89" s="60"/>
      <c r="M89" s="61"/>
      <c r="N89" s="60"/>
      <c r="O89" s="61"/>
      <c r="P89" s="42"/>
      <c r="Q89" s="75"/>
      <c r="R89" s="75"/>
      <c r="S89" s="75"/>
      <c r="T89" s="75"/>
      <c r="U89" s="80"/>
      <c r="V89" s="40"/>
      <c r="W89" s="81"/>
      <c r="X89" s="40"/>
      <c r="Y89" s="40"/>
      <c r="Z89" s="40"/>
    </row>
    <row r="90" spans="1:26" ht="15.75" customHeight="1">
      <c r="A90" s="39"/>
      <c r="B90" s="39"/>
      <c r="C90" s="78"/>
      <c r="D90" s="59"/>
      <c r="E90" s="79"/>
      <c r="F90" s="79"/>
      <c r="G90" s="41"/>
      <c r="H90" s="60"/>
      <c r="I90" s="60"/>
      <c r="J90" s="60"/>
      <c r="K90" s="61"/>
      <c r="L90" s="60"/>
      <c r="M90" s="61"/>
      <c r="N90" s="60"/>
      <c r="O90" s="61"/>
      <c r="P90" s="42"/>
      <c r="Q90" s="75"/>
      <c r="R90" s="75"/>
      <c r="S90" s="75"/>
      <c r="T90" s="75"/>
      <c r="U90" s="80"/>
      <c r="V90" s="40"/>
      <c r="W90" s="81"/>
      <c r="X90" s="40"/>
      <c r="Y90" s="40"/>
      <c r="Z90" s="40"/>
    </row>
    <row r="91" spans="1:26" ht="15.75" customHeight="1">
      <c r="A91" s="39"/>
      <c r="B91" s="39"/>
      <c r="C91" s="78"/>
      <c r="D91" s="59"/>
      <c r="E91" s="79"/>
      <c r="F91" s="79"/>
      <c r="G91" s="41"/>
      <c r="H91" s="60"/>
      <c r="I91" s="60"/>
      <c r="J91" s="60"/>
      <c r="K91" s="61"/>
      <c r="L91" s="60"/>
      <c r="M91" s="61"/>
      <c r="N91" s="60"/>
      <c r="O91" s="61"/>
      <c r="P91" s="42"/>
      <c r="Q91" s="75"/>
      <c r="R91" s="75"/>
      <c r="S91" s="75"/>
      <c r="T91" s="75"/>
      <c r="U91" s="80"/>
      <c r="V91" s="40"/>
      <c r="W91" s="81"/>
      <c r="X91" s="40"/>
      <c r="Y91" s="40"/>
      <c r="Z91" s="40"/>
    </row>
    <row r="92" spans="1:26" ht="15.75" customHeight="1">
      <c r="A92" s="39"/>
      <c r="B92" s="39"/>
      <c r="C92" s="78"/>
      <c r="D92" s="59"/>
      <c r="E92" s="79"/>
      <c r="F92" s="79"/>
      <c r="G92" s="41"/>
      <c r="H92" s="60"/>
      <c r="I92" s="60"/>
      <c r="J92" s="60"/>
      <c r="K92" s="61"/>
      <c r="L92" s="60"/>
      <c r="M92" s="61"/>
      <c r="N92" s="60"/>
      <c r="O92" s="61"/>
      <c r="P92" s="42"/>
      <c r="Q92" s="75"/>
      <c r="R92" s="75"/>
      <c r="S92" s="75"/>
      <c r="T92" s="75"/>
      <c r="U92" s="80"/>
      <c r="V92" s="40"/>
      <c r="W92" s="81"/>
      <c r="X92" s="40"/>
      <c r="Y92" s="40"/>
      <c r="Z92" s="40"/>
    </row>
    <row r="93" spans="1:26" ht="15.75" customHeight="1">
      <c r="A93" s="39"/>
      <c r="B93" s="39"/>
      <c r="C93" s="78"/>
      <c r="D93" s="59"/>
      <c r="E93" s="79"/>
      <c r="F93" s="79"/>
      <c r="G93" s="41"/>
      <c r="H93" s="60"/>
      <c r="I93" s="60"/>
      <c r="J93" s="60"/>
      <c r="K93" s="61"/>
      <c r="L93" s="60"/>
      <c r="M93" s="61"/>
      <c r="N93" s="60"/>
      <c r="O93" s="61"/>
      <c r="P93" s="42"/>
      <c r="Q93" s="75"/>
      <c r="R93" s="75"/>
      <c r="S93" s="75"/>
      <c r="T93" s="75"/>
      <c r="U93" s="80"/>
      <c r="V93" s="40"/>
      <c r="W93" s="81"/>
      <c r="X93" s="40"/>
      <c r="Y93" s="40"/>
      <c r="Z93" s="40"/>
    </row>
    <row r="94" spans="1:26" ht="15.75" customHeight="1">
      <c r="A94" s="83"/>
      <c r="B94" s="83"/>
      <c r="C94" s="83"/>
      <c r="D94" s="59"/>
      <c r="E94" s="84"/>
      <c r="F94" s="84"/>
      <c r="G94" s="83"/>
      <c r="H94" s="60"/>
      <c r="I94" s="60"/>
      <c r="J94" s="60"/>
      <c r="K94" s="61"/>
      <c r="L94" s="60"/>
      <c r="M94" s="61"/>
      <c r="N94" s="60"/>
      <c r="O94" s="61"/>
      <c r="P94" s="85"/>
      <c r="Q94" s="75"/>
      <c r="R94" s="75"/>
      <c r="S94" s="75"/>
      <c r="T94" s="75"/>
      <c r="U94" s="86"/>
      <c r="V94" s="84"/>
      <c r="W94" s="87"/>
      <c r="X94" s="84"/>
      <c r="Y94" s="84"/>
      <c r="Z94" s="84"/>
    </row>
    <row r="95" spans="1:26" ht="15.75" customHeight="1">
      <c r="A95" s="83"/>
      <c r="B95" s="83"/>
      <c r="C95" s="83"/>
      <c r="D95" s="59"/>
      <c r="E95" s="84"/>
      <c r="F95" s="84"/>
      <c r="G95" s="83"/>
      <c r="H95" s="60"/>
      <c r="I95" s="60"/>
      <c r="J95" s="60"/>
      <c r="K95" s="61"/>
      <c r="L95" s="60"/>
      <c r="M95" s="61"/>
      <c r="N95" s="60"/>
      <c r="O95" s="61"/>
      <c r="P95" s="85"/>
      <c r="Q95" s="75"/>
      <c r="R95" s="75"/>
      <c r="S95" s="75"/>
      <c r="T95" s="75"/>
      <c r="U95" s="86"/>
      <c r="V95" s="84"/>
      <c r="W95" s="87"/>
      <c r="X95" s="84"/>
      <c r="Y95" s="84"/>
      <c r="Z95" s="84"/>
    </row>
    <row r="96" spans="1:26" ht="15.75" customHeight="1">
      <c r="A96" s="83"/>
      <c r="B96" s="83"/>
      <c r="C96" s="83"/>
      <c r="D96" s="87"/>
      <c r="E96" s="84"/>
      <c r="F96" s="84"/>
      <c r="G96" s="83"/>
      <c r="H96" s="84"/>
      <c r="I96" s="84"/>
      <c r="J96" s="84"/>
      <c r="K96" s="88"/>
      <c r="L96" s="84"/>
      <c r="M96" s="88"/>
      <c r="N96" s="84"/>
      <c r="O96" s="88"/>
      <c r="P96" s="85"/>
      <c r="Q96" s="75"/>
      <c r="R96" s="75"/>
      <c r="S96" s="75"/>
      <c r="T96" s="75"/>
      <c r="U96" s="86"/>
      <c r="V96" s="84"/>
      <c r="W96" s="87"/>
      <c r="X96" s="84"/>
      <c r="Y96" s="84"/>
      <c r="Z96" s="84"/>
    </row>
    <row r="97" spans="1:26" ht="15.75" customHeight="1">
      <c r="A97" s="83"/>
      <c r="B97" s="83"/>
      <c r="C97" s="83"/>
      <c r="D97" s="87"/>
      <c r="E97" s="84"/>
      <c r="F97" s="84"/>
      <c r="G97" s="83"/>
      <c r="H97" s="84"/>
      <c r="I97" s="84"/>
      <c r="J97" s="84"/>
      <c r="K97" s="88"/>
      <c r="L97" s="84"/>
      <c r="M97" s="88"/>
      <c r="N97" s="84"/>
      <c r="O97" s="88"/>
      <c r="P97" s="85"/>
      <c r="Q97" s="75"/>
      <c r="R97" s="75"/>
      <c r="S97" s="75"/>
      <c r="T97" s="75"/>
      <c r="U97" s="86"/>
      <c r="V97" s="84"/>
      <c r="W97" s="87"/>
      <c r="X97" s="84"/>
      <c r="Y97" s="84"/>
      <c r="Z97" s="84"/>
    </row>
    <row r="98" spans="1:26" ht="15.75" customHeight="1">
      <c r="A98" s="83"/>
      <c r="B98" s="83"/>
      <c r="C98" s="83"/>
      <c r="D98" s="87"/>
      <c r="E98" s="84"/>
      <c r="F98" s="84"/>
      <c r="G98" s="83"/>
      <c r="H98" s="84"/>
      <c r="I98" s="84"/>
      <c r="J98" s="84"/>
      <c r="K98" s="88"/>
      <c r="L98" s="84"/>
      <c r="M98" s="88"/>
      <c r="N98" s="84"/>
      <c r="O98" s="88"/>
      <c r="P98" s="85"/>
      <c r="Q98" s="75"/>
      <c r="R98" s="75"/>
      <c r="S98" s="75"/>
      <c r="T98" s="75"/>
      <c r="U98" s="86"/>
      <c r="V98" s="84"/>
      <c r="W98" s="87"/>
      <c r="X98" s="84"/>
      <c r="Y98" s="84"/>
      <c r="Z98" s="84"/>
    </row>
    <row r="99" spans="1:26" ht="15.75" customHeight="1">
      <c r="A99" s="83"/>
      <c r="B99" s="83"/>
      <c r="C99" s="83"/>
      <c r="D99" s="87"/>
      <c r="E99" s="84"/>
      <c r="F99" s="84"/>
      <c r="G99" s="83"/>
      <c r="H99" s="84"/>
      <c r="I99" s="84"/>
      <c r="J99" s="84"/>
      <c r="K99" s="88"/>
      <c r="L99" s="84"/>
      <c r="M99" s="88"/>
      <c r="N99" s="84"/>
      <c r="O99" s="88"/>
      <c r="P99" s="85"/>
      <c r="Q99" s="75"/>
      <c r="R99" s="75"/>
      <c r="S99" s="75"/>
      <c r="T99" s="75"/>
      <c r="U99" s="86"/>
      <c r="V99" s="84"/>
      <c r="W99" s="87"/>
      <c r="X99" s="84"/>
      <c r="Y99" s="84"/>
      <c r="Z99" s="84"/>
    </row>
    <row r="100" spans="1:26" ht="15.75" customHeight="1">
      <c r="A100" s="83"/>
      <c r="B100" s="83"/>
      <c r="C100" s="83"/>
      <c r="D100" s="87"/>
      <c r="E100" s="84"/>
      <c r="F100" s="84"/>
      <c r="G100" s="83"/>
      <c r="H100" s="84"/>
      <c r="I100" s="84"/>
      <c r="J100" s="84"/>
      <c r="K100" s="88"/>
      <c r="L100" s="84"/>
      <c r="M100" s="88"/>
      <c r="N100" s="84"/>
      <c r="O100" s="88"/>
      <c r="P100" s="85"/>
      <c r="Q100" s="75"/>
      <c r="R100" s="75"/>
      <c r="S100" s="75"/>
      <c r="T100" s="75"/>
      <c r="U100" s="86"/>
      <c r="V100" s="84"/>
      <c r="W100" s="87"/>
      <c r="X100" s="84"/>
      <c r="Y100" s="84"/>
      <c r="Z100" s="84"/>
    </row>
    <row r="101" spans="1:26" ht="15.75" customHeight="1">
      <c r="A101" s="83"/>
      <c r="B101" s="83"/>
      <c r="C101" s="83"/>
      <c r="D101" s="87"/>
      <c r="E101" s="84"/>
      <c r="F101" s="84"/>
      <c r="G101" s="83"/>
      <c r="H101" s="84"/>
      <c r="I101" s="84"/>
      <c r="J101" s="84"/>
      <c r="K101" s="88"/>
      <c r="L101" s="84"/>
      <c r="M101" s="88"/>
      <c r="N101" s="84"/>
      <c r="O101" s="88"/>
      <c r="P101" s="85"/>
      <c r="Q101" s="75"/>
      <c r="R101" s="75"/>
      <c r="S101" s="75"/>
      <c r="T101" s="75"/>
      <c r="U101" s="86"/>
      <c r="V101" s="84"/>
      <c r="W101" s="87"/>
      <c r="X101" s="84"/>
      <c r="Y101" s="84"/>
      <c r="Z101" s="84"/>
    </row>
    <row r="102" spans="1:26" ht="15.75" customHeight="1">
      <c r="A102" s="83"/>
      <c r="B102" s="83"/>
      <c r="C102" s="83"/>
      <c r="D102" s="87"/>
      <c r="E102" s="84"/>
      <c r="F102" s="84"/>
      <c r="G102" s="83"/>
      <c r="H102" s="84"/>
      <c r="I102" s="84"/>
      <c r="J102" s="84"/>
      <c r="K102" s="88"/>
      <c r="L102" s="84"/>
      <c r="M102" s="88"/>
      <c r="N102" s="84"/>
      <c r="O102" s="88"/>
      <c r="P102" s="85"/>
      <c r="Q102" s="75"/>
      <c r="R102" s="75"/>
      <c r="S102" s="75"/>
      <c r="T102" s="75"/>
      <c r="U102" s="86"/>
      <c r="V102" s="84"/>
      <c r="W102" s="87"/>
      <c r="X102" s="84"/>
      <c r="Y102" s="84"/>
      <c r="Z102" s="84"/>
    </row>
    <row r="103" spans="1:26" ht="15.75" customHeight="1">
      <c r="A103" s="83"/>
      <c r="B103" s="83"/>
      <c r="C103" s="83"/>
      <c r="D103" s="87"/>
      <c r="E103" s="84"/>
      <c r="F103" s="84"/>
      <c r="G103" s="83"/>
      <c r="H103" s="84"/>
      <c r="I103" s="84"/>
      <c r="J103" s="84"/>
      <c r="K103" s="88"/>
      <c r="L103" s="84"/>
      <c r="M103" s="88"/>
      <c r="N103" s="84"/>
      <c r="O103" s="88"/>
      <c r="P103" s="85"/>
      <c r="Q103" s="75"/>
      <c r="R103" s="75"/>
      <c r="S103" s="75"/>
      <c r="T103" s="75"/>
      <c r="U103" s="86"/>
      <c r="V103" s="84"/>
      <c r="W103" s="87"/>
      <c r="X103" s="84"/>
      <c r="Y103" s="84"/>
      <c r="Z103" s="84"/>
    </row>
    <row r="104" spans="1:26" ht="15.75" customHeight="1">
      <c r="A104" s="83"/>
      <c r="B104" s="83"/>
      <c r="C104" s="83"/>
      <c r="D104" s="87"/>
      <c r="E104" s="84"/>
      <c r="F104" s="84"/>
      <c r="G104" s="83"/>
      <c r="H104" s="84"/>
      <c r="I104" s="84"/>
      <c r="J104" s="84"/>
      <c r="K104" s="88"/>
      <c r="L104" s="84"/>
      <c r="M104" s="88"/>
      <c r="N104" s="84"/>
      <c r="O104" s="88"/>
      <c r="P104" s="85"/>
      <c r="Q104" s="75"/>
      <c r="R104" s="75"/>
      <c r="S104" s="75"/>
      <c r="T104" s="75"/>
      <c r="U104" s="86"/>
      <c r="V104" s="84"/>
      <c r="W104" s="87"/>
      <c r="X104" s="84"/>
      <c r="Y104" s="84"/>
      <c r="Z104" s="84"/>
    </row>
    <row r="105" spans="1:26" ht="15.75" customHeight="1">
      <c r="A105" s="83"/>
      <c r="B105" s="83"/>
      <c r="C105" s="83"/>
      <c r="D105" s="87"/>
      <c r="E105" s="84"/>
      <c r="F105" s="84"/>
      <c r="G105" s="83"/>
      <c r="H105" s="84"/>
      <c r="I105" s="84"/>
      <c r="J105" s="84"/>
      <c r="K105" s="88"/>
      <c r="L105" s="84"/>
      <c r="M105" s="88"/>
      <c r="N105" s="84"/>
      <c r="O105" s="88"/>
      <c r="P105" s="85"/>
      <c r="Q105" s="75"/>
      <c r="R105" s="75"/>
      <c r="S105" s="75"/>
      <c r="T105" s="75"/>
      <c r="U105" s="86"/>
      <c r="V105" s="84"/>
      <c r="W105" s="87"/>
      <c r="X105" s="84"/>
      <c r="Y105" s="84"/>
      <c r="Z105" s="84"/>
    </row>
    <row r="106" spans="1:26" ht="15.75" customHeight="1">
      <c r="A106" s="83"/>
      <c r="B106" s="83"/>
      <c r="C106" s="83"/>
      <c r="D106" s="87"/>
      <c r="E106" s="84"/>
      <c r="F106" s="84"/>
      <c r="G106" s="83"/>
      <c r="H106" s="84"/>
      <c r="I106" s="84"/>
      <c r="J106" s="84"/>
      <c r="K106" s="88"/>
      <c r="L106" s="84"/>
      <c r="M106" s="88"/>
      <c r="N106" s="84"/>
      <c r="O106" s="88"/>
      <c r="P106" s="85"/>
      <c r="Q106" s="75"/>
      <c r="R106" s="75"/>
      <c r="S106" s="75"/>
      <c r="T106" s="75"/>
      <c r="U106" s="86"/>
      <c r="V106" s="84"/>
      <c r="W106" s="87"/>
      <c r="X106" s="84"/>
      <c r="Y106" s="84"/>
      <c r="Z106" s="84"/>
    </row>
    <row r="107" spans="1:26" ht="15.75" customHeight="1">
      <c r="A107" s="83"/>
      <c r="B107" s="83"/>
      <c r="C107" s="83"/>
      <c r="D107" s="87"/>
      <c r="E107" s="84"/>
      <c r="F107" s="84"/>
      <c r="G107" s="83"/>
      <c r="H107" s="84"/>
      <c r="I107" s="84"/>
      <c r="J107" s="84"/>
      <c r="K107" s="88"/>
      <c r="L107" s="84"/>
      <c r="M107" s="88"/>
      <c r="N107" s="84"/>
      <c r="O107" s="88"/>
      <c r="P107" s="85"/>
      <c r="Q107" s="75"/>
      <c r="R107" s="75"/>
      <c r="S107" s="75"/>
      <c r="T107" s="75"/>
      <c r="U107" s="86"/>
      <c r="V107" s="84"/>
      <c r="W107" s="87"/>
      <c r="X107" s="84"/>
      <c r="Y107" s="84"/>
      <c r="Z107" s="84"/>
    </row>
    <row r="108" spans="1:26" ht="15.75" customHeight="1">
      <c r="A108" s="83"/>
      <c r="B108" s="83"/>
      <c r="C108" s="83"/>
      <c r="D108" s="87"/>
      <c r="E108" s="84"/>
      <c r="F108" s="84"/>
      <c r="G108" s="83"/>
      <c r="H108" s="84"/>
      <c r="I108" s="84"/>
      <c r="J108" s="84"/>
      <c r="K108" s="88"/>
      <c r="L108" s="84"/>
      <c r="M108" s="88"/>
      <c r="N108" s="84"/>
      <c r="O108" s="88"/>
      <c r="P108" s="85"/>
      <c r="Q108" s="75"/>
      <c r="R108" s="75"/>
      <c r="S108" s="75"/>
      <c r="T108" s="75"/>
      <c r="U108" s="86"/>
      <c r="V108" s="84"/>
      <c r="W108" s="87"/>
      <c r="X108" s="84"/>
      <c r="Y108" s="84"/>
      <c r="Z108" s="84"/>
    </row>
    <row r="109" spans="1:26" ht="15.75" customHeight="1">
      <c r="A109" s="83"/>
      <c r="B109" s="83"/>
      <c r="C109" s="83"/>
      <c r="D109" s="87"/>
      <c r="E109" s="84"/>
      <c r="F109" s="84"/>
      <c r="G109" s="83"/>
      <c r="H109" s="84"/>
      <c r="I109" s="84"/>
      <c r="J109" s="84"/>
      <c r="K109" s="88"/>
      <c r="L109" s="84"/>
      <c r="M109" s="88"/>
      <c r="N109" s="84"/>
      <c r="O109" s="88"/>
      <c r="P109" s="85"/>
      <c r="Q109" s="75"/>
      <c r="R109" s="75"/>
      <c r="S109" s="75"/>
      <c r="T109" s="75"/>
      <c r="U109" s="86"/>
      <c r="V109" s="84"/>
      <c r="W109" s="87"/>
      <c r="X109" s="84"/>
      <c r="Y109" s="84"/>
      <c r="Z109" s="84"/>
    </row>
    <row r="110" spans="1:26" ht="15.75" customHeight="1">
      <c r="A110" s="83"/>
      <c r="B110" s="83"/>
      <c r="C110" s="83"/>
      <c r="D110" s="87"/>
      <c r="E110" s="84"/>
      <c r="F110" s="84"/>
      <c r="G110" s="83"/>
      <c r="H110" s="84"/>
      <c r="I110" s="84"/>
      <c r="J110" s="84"/>
      <c r="K110" s="88"/>
      <c r="L110" s="84"/>
      <c r="M110" s="88"/>
      <c r="N110" s="84"/>
      <c r="O110" s="88"/>
      <c r="P110" s="85"/>
      <c r="Q110" s="75"/>
      <c r="R110" s="75"/>
      <c r="S110" s="75"/>
      <c r="T110" s="75"/>
      <c r="U110" s="86"/>
      <c r="V110" s="84"/>
      <c r="W110" s="87"/>
      <c r="X110" s="84"/>
      <c r="Y110" s="84"/>
      <c r="Z110" s="84"/>
    </row>
    <row r="111" spans="1:26" ht="15.75" customHeight="1">
      <c r="A111" s="83"/>
      <c r="B111" s="83"/>
      <c r="C111" s="83"/>
      <c r="D111" s="87"/>
      <c r="E111" s="84"/>
      <c r="F111" s="84"/>
      <c r="G111" s="83"/>
      <c r="H111" s="84"/>
      <c r="I111" s="84"/>
      <c r="J111" s="84"/>
      <c r="K111" s="88"/>
      <c r="L111" s="84"/>
      <c r="M111" s="88"/>
      <c r="N111" s="84"/>
      <c r="O111" s="88"/>
      <c r="P111" s="85"/>
      <c r="Q111" s="75"/>
      <c r="R111" s="75"/>
      <c r="S111" s="75"/>
      <c r="T111" s="75"/>
      <c r="U111" s="86"/>
      <c r="V111" s="84"/>
      <c r="W111" s="87"/>
      <c r="X111" s="84"/>
      <c r="Y111" s="84"/>
      <c r="Z111" s="84"/>
    </row>
    <row r="112" spans="1:26" ht="15.75" customHeight="1">
      <c r="A112" s="83"/>
      <c r="B112" s="83"/>
      <c r="C112" s="83"/>
      <c r="D112" s="87"/>
      <c r="E112" s="84"/>
      <c r="F112" s="84"/>
      <c r="G112" s="83"/>
      <c r="H112" s="84"/>
      <c r="I112" s="84"/>
      <c r="J112" s="84"/>
      <c r="K112" s="88"/>
      <c r="L112" s="84"/>
      <c r="M112" s="88"/>
      <c r="N112" s="84"/>
      <c r="O112" s="88"/>
      <c r="P112" s="85"/>
      <c r="Q112" s="75"/>
      <c r="R112" s="75"/>
      <c r="S112" s="75"/>
      <c r="T112" s="75"/>
      <c r="U112" s="86"/>
      <c r="V112" s="84"/>
      <c r="W112" s="87"/>
      <c r="X112" s="84"/>
      <c r="Y112" s="84"/>
      <c r="Z112" s="84"/>
    </row>
    <row r="113" spans="1:26" ht="15.75" customHeight="1">
      <c r="A113" s="83"/>
      <c r="B113" s="83"/>
      <c r="C113" s="83"/>
      <c r="D113" s="87"/>
      <c r="E113" s="84"/>
      <c r="F113" s="84"/>
      <c r="G113" s="83"/>
      <c r="H113" s="84"/>
      <c r="I113" s="84"/>
      <c r="J113" s="84"/>
      <c r="K113" s="88"/>
      <c r="L113" s="84"/>
      <c r="M113" s="88"/>
      <c r="N113" s="84"/>
      <c r="O113" s="88"/>
      <c r="P113" s="85"/>
      <c r="Q113" s="75"/>
      <c r="R113" s="75"/>
      <c r="S113" s="75"/>
      <c r="T113" s="75"/>
      <c r="U113" s="86"/>
      <c r="V113" s="84"/>
      <c r="W113" s="87"/>
      <c r="X113" s="84"/>
      <c r="Y113" s="84"/>
      <c r="Z113" s="84"/>
    </row>
    <row r="114" spans="1:26" ht="15.75" customHeight="1">
      <c r="A114" s="83"/>
      <c r="B114" s="83"/>
      <c r="C114" s="83"/>
      <c r="D114" s="87"/>
      <c r="E114" s="84"/>
      <c r="F114" s="84"/>
      <c r="G114" s="83"/>
      <c r="H114" s="84"/>
      <c r="I114" s="84"/>
      <c r="J114" s="84"/>
      <c r="K114" s="88"/>
      <c r="L114" s="84"/>
      <c r="M114" s="88"/>
      <c r="N114" s="84"/>
      <c r="O114" s="88"/>
      <c r="P114" s="85"/>
      <c r="Q114" s="75"/>
      <c r="R114" s="75"/>
      <c r="S114" s="75"/>
      <c r="T114" s="75"/>
      <c r="U114" s="86"/>
      <c r="V114" s="84"/>
      <c r="W114" s="87"/>
      <c r="X114" s="84"/>
      <c r="Y114" s="84"/>
      <c r="Z114" s="84"/>
    </row>
    <row r="115" spans="1:26" ht="15.75" customHeight="1">
      <c r="A115" s="83"/>
      <c r="B115" s="83"/>
      <c r="C115" s="83"/>
      <c r="D115" s="87"/>
      <c r="E115" s="84"/>
      <c r="F115" s="84"/>
      <c r="G115" s="83"/>
      <c r="H115" s="84"/>
      <c r="I115" s="84"/>
      <c r="J115" s="84"/>
      <c r="K115" s="88"/>
      <c r="L115" s="84"/>
      <c r="M115" s="88"/>
      <c r="N115" s="84"/>
      <c r="O115" s="88"/>
      <c r="P115" s="85"/>
      <c r="Q115" s="75"/>
      <c r="R115" s="75"/>
      <c r="S115" s="75"/>
      <c r="T115" s="75"/>
      <c r="U115" s="86"/>
      <c r="V115" s="84"/>
      <c r="W115" s="87"/>
      <c r="X115" s="84"/>
      <c r="Y115" s="84"/>
      <c r="Z115" s="84"/>
    </row>
    <row r="116" spans="1:26" ht="15.75" customHeight="1">
      <c r="A116" s="83"/>
      <c r="B116" s="83"/>
      <c r="C116" s="83"/>
      <c r="D116" s="87"/>
      <c r="E116" s="84"/>
      <c r="F116" s="84"/>
      <c r="G116" s="83"/>
      <c r="H116" s="84"/>
      <c r="I116" s="84"/>
      <c r="J116" s="84"/>
      <c r="K116" s="88"/>
      <c r="L116" s="84"/>
      <c r="M116" s="88"/>
      <c r="N116" s="84"/>
      <c r="O116" s="88"/>
      <c r="P116" s="85"/>
      <c r="Q116" s="75"/>
      <c r="R116" s="75"/>
      <c r="S116" s="75"/>
      <c r="T116" s="75"/>
      <c r="U116" s="86"/>
      <c r="V116" s="84"/>
      <c r="W116" s="87"/>
      <c r="X116" s="84"/>
      <c r="Y116" s="84"/>
      <c r="Z116" s="84"/>
    </row>
    <row r="117" spans="1:26" ht="15.75" customHeight="1">
      <c r="A117" s="83"/>
      <c r="B117" s="83"/>
      <c r="C117" s="83"/>
      <c r="D117" s="87"/>
      <c r="E117" s="84"/>
      <c r="F117" s="84"/>
      <c r="G117" s="83"/>
      <c r="H117" s="84"/>
      <c r="I117" s="84"/>
      <c r="J117" s="84"/>
      <c r="K117" s="88"/>
      <c r="L117" s="84"/>
      <c r="M117" s="88"/>
      <c r="N117" s="84"/>
      <c r="O117" s="88"/>
      <c r="P117" s="85"/>
      <c r="Q117" s="75"/>
      <c r="R117" s="75"/>
      <c r="S117" s="75"/>
      <c r="T117" s="75"/>
      <c r="U117" s="86"/>
      <c r="V117" s="84"/>
      <c r="W117" s="87"/>
      <c r="X117" s="84"/>
      <c r="Y117" s="84"/>
      <c r="Z117" s="84"/>
    </row>
    <row r="118" spans="1:26" ht="15.75" customHeight="1">
      <c r="A118" s="83"/>
      <c r="B118" s="83"/>
      <c r="C118" s="83"/>
      <c r="D118" s="87"/>
      <c r="E118" s="84"/>
      <c r="F118" s="84"/>
      <c r="G118" s="83"/>
      <c r="H118" s="84"/>
      <c r="I118" s="84"/>
      <c r="J118" s="84"/>
      <c r="K118" s="88"/>
      <c r="L118" s="84"/>
      <c r="M118" s="88"/>
      <c r="N118" s="84"/>
      <c r="O118" s="88"/>
      <c r="P118" s="85"/>
      <c r="Q118" s="75"/>
      <c r="R118" s="75"/>
      <c r="S118" s="75"/>
      <c r="T118" s="75"/>
      <c r="U118" s="86"/>
      <c r="V118" s="84"/>
      <c r="W118" s="87"/>
      <c r="X118" s="84"/>
      <c r="Y118" s="84"/>
      <c r="Z118" s="84"/>
    </row>
    <row r="119" spans="1:26" ht="15.75" customHeight="1">
      <c r="A119" s="83"/>
      <c r="B119" s="83"/>
      <c r="C119" s="83"/>
      <c r="D119" s="87"/>
      <c r="E119" s="84"/>
      <c r="F119" s="84"/>
      <c r="G119" s="83"/>
      <c r="H119" s="84"/>
      <c r="I119" s="84"/>
      <c r="J119" s="84"/>
      <c r="K119" s="88"/>
      <c r="L119" s="84"/>
      <c r="M119" s="88"/>
      <c r="N119" s="84"/>
      <c r="O119" s="88"/>
      <c r="P119" s="85"/>
      <c r="Q119" s="75"/>
      <c r="R119" s="75"/>
      <c r="S119" s="75"/>
      <c r="T119" s="75"/>
      <c r="U119" s="86"/>
      <c r="V119" s="84"/>
      <c r="W119" s="87"/>
      <c r="X119" s="84"/>
      <c r="Y119" s="84"/>
      <c r="Z119" s="84"/>
    </row>
    <row r="120" spans="1:26" ht="15.75" customHeight="1">
      <c r="A120" s="83"/>
      <c r="B120" s="83"/>
      <c r="C120" s="83"/>
      <c r="D120" s="87"/>
      <c r="E120" s="84"/>
      <c r="F120" s="84"/>
      <c r="G120" s="83"/>
      <c r="H120" s="84"/>
      <c r="I120" s="84"/>
      <c r="J120" s="84"/>
      <c r="K120" s="88"/>
      <c r="L120" s="84"/>
      <c r="M120" s="88"/>
      <c r="N120" s="84"/>
      <c r="O120" s="88"/>
      <c r="P120" s="85"/>
      <c r="Q120" s="75"/>
      <c r="R120" s="75"/>
      <c r="S120" s="75"/>
      <c r="T120" s="75"/>
      <c r="U120" s="86"/>
      <c r="V120" s="84"/>
      <c r="W120" s="87"/>
      <c r="X120" s="84"/>
      <c r="Y120" s="84"/>
      <c r="Z120" s="84"/>
    </row>
    <row r="121" spans="1:26" ht="15.75" customHeight="1">
      <c r="A121" s="83"/>
      <c r="B121" s="83"/>
      <c r="C121" s="83"/>
      <c r="D121" s="87"/>
      <c r="E121" s="84"/>
      <c r="F121" s="84"/>
      <c r="G121" s="83"/>
      <c r="H121" s="84"/>
      <c r="I121" s="84"/>
      <c r="J121" s="84"/>
      <c r="K121" s="88"/>
      <c r="L121" s="84"/>
      <c r="M121" s="88"/>
      <c r="N121" s="84"/>
      <c r="O121" s="88"/>
      <c r="P121" s="85"/>
      <c r="Q121" s="75"/>
      <c r="R121" s="75"/>
      <c r="S121" s="75"/>
      <c r="T121" s="75"/>
      <c r="U121" s="86"/>
      <c r="V121" s="84"/>
      <c r="W121" s="87"/>
      <c r="X121" s="84"/>
      <c r="Y121" s="84"/>
      <c r="Z121" s="84"/>
    </row>
    <row r="122" spans="1:26" ht="15.75" customHeight="1">
      <c r="A122" s="83"/>
      <c r="B122" s="83"/>
      <c r="C122" s="83"/>
      <c r="D122" s="87"/>
      <c r="E122" s="84"/>
      <c r="F122" s="84"/>
      <c r="G122" s="83"/>
      <c r="H122" s="84"/>
      <c r="I122" s="84"/>
      <c r="J122" s="84"/>
      <c r="K122" s="88"/>
      <c r="L122" s="84"/>
      <c r="M122" s="88"/>
      <c r="N122" s="84"/>
      <c r="O122" s="88"/>
      <c r="P122" s="85"/>
      <c r="Q122" s="75"/>
      <c r="R122" s="75"/>
      <c r="S122" s="75"/>
      <c r="T122" s="75"/>
      <c r="U122" s="86"/>
      <c r="V122" s="84"/>
      <c r="W122" s="87"/>
      <c r="X122" s="84"/>
      <c r="Y122" s="84"/>
      <c r="Z122" s="84"/>
    </row>
    <row r="123" spans="1:26" ht="15.75" customHeight="1">
      <c r="A123" s="83"/>
      <c r="B123" s="83"/>
      <c r="C123" s="83"/>
      <c r="D123" s="87"/>
      <c r="E123" s="84"/>
      <c r="F123" s="84"/>
      <c r="G123" s="83"/>
      <c r="H123" s="84"/>
      <c r="I123" s="84"/>
      <c r="J123" s="84"/>
      <c r="K123" s="88"/>
      <c r="L123" s="84"/>
      <c r="M123" s="88"/>
      <c r="N123" s="84"/>
      <c r="O123" s="88"/>
      <c r="P123" s="85"/>
      <c r="Q123" s="75"/>
      <c r="R123" s="75"/>
      <c r="S123" s="75"/>
      <c r="T123" s="75"/>
      <c r="U123" s="86"/>
      <c r="V123" s="84"/>
      <c r="W123" s="87"/>
      <c r="X123" s="84"/>
      <c r="Y123" s="84"/>
      <c r="Z123" s="84"/>
    </row>
    <row r="124" spans="1:26" ht="15.75" customHeight="1">
      <c r="A124" s="83"/>
      <c r="B124" s="83"/>
      <c r="C124" s="83"/>
      <c r="D124" s="87"/>
      <c r="E124" s="84"/>
      <c r="F124" s="84"/>
      <c r="G124" s="83"/>
      <c r="H124" s="84"/>
      <c r="I124" s="84"/>
      <c r="J124" s="84"/>
      <c r="K124" s="88"/>
      <c r="L124" s="84"/>
      <c r="M124" s="88"/>
      <c r="N124" s="84"/>
      <c r="O124" s="88"/>
      <c r="P124" s="85"/>
      <c r="Q124" s="75"/>
      <c r="R124" s="75"/>
      <c r="S124" s="75"/>
      <c r="T124" s="75"/>
      <c r="U124" s="86"/>
      <c r="V124" s="84"/>
      <c r="W124" s="87"/>
      <c r="X124" s="84"/>
      <c r="Y124" s="84"/>
      <c r="Z124" s="84"/>
    </row>
    <row r="125" spans="1:26" ht="15.75" customHeight="1">
      <c r="A125" s="83"/>
      <c r="B125" s="83"/>
      <c r="C125" s="83"/>
      <c r="D125" s="87"/>
      <c r="E125" s="84"/>
      <c r="F125" s="84"/>
      <c r="G125" s="83"/>
      <c r="H125" s="84"/>
      <c r="I125" s="84"/>
      <c r="J125" s="84"/>
      <c r="K125" s="88"/>
      <c r="L125" s="84"/>
      <c r="M125" s="88"/>
      <c r="N125" s="84"/>
      <c r="O125" s="88"/>
      <c r="P125" s="85"/>
      <c r="Q125" s="75"/>
      <c r="R125" s="75"/>
      <c r="S125" s="75"/>
      <c r="T125" s="75"/>
      <c r="U125" s="86"/>
      <c r="V125" s="84"/>
      <c r="W125" s="87"/>
      <c r="X125" s="84"/>
      <c r="Y125" s="84"/>
      <c r="Z125" s="84"/>
    </row>
    <row r="126" spans="1:26" ht="15.75" customHeight="1">
      <c r="A126" s="83"/>
      <c r="B126" s="83"/>
      <c r="C126" s="83"/>
      <c r="D126" s="87"/>
      <c r="E126" s="84"/>
      <c r="F126" s="84"/>
      <c r="G126" s="83"/>
      <c r="H126" s="84"/>
      <c r="I126" s="84"/>
      <c r="J126" s="84"/>
      <c r="K126" s="88"/>
      <c r="L126" s="84"/>
      <c r="M126" s="88"/>
      <c r="N126" s="84"/>
      <c r="O126" s="88"/>
      <c r="P126" s="85"/>
      <c r="Q126" s="75"/>
      <c r="R126" s="75"/>
      <c r="S126" s="75"/>
      <c r="T126" s="75"/>
      <c r="U126" s="86"/>
      <c r="V126" s="84"/>
      <c r="W126" s="87"/>
      <c r="X126" s="84"/>
      <c r="Y126" s="84"/>
      <c r="Z126" s="84"/>
    </row>
    <row r="127" spans="1:26" ht="15.75" customHeight="1">
      <c r="A127" s="83"/>
      <c r="B127" s="83"/>
      <c r="C127" s="83"/>
      <c r="D127" s="87"/>
      <c r="E127" s="84"/>
      <c r="F127" s="84"/>
      <c r="G127" s="83"/>
      <c r="H127" s="84"/>
      <c r="I127" s="84"/>
      <c r="J127" s="84"/>
      <c r="K127" s="88"/>
      <c r="L127" s="84"/>
      <c r="M127" s="88"/>
      <c r="N127" s="84"/>
      <c r="O127" s="88"/>
      <c r="P127" s="85"/>
      <c r="Q127" s="75"/>
      <c r="R127" s="75"/>
      <c r="S127" s="75"/>
      <c r="T127" s="75"/>
      <c r="U127" s="86"/>
      <c r="V127" s="84"/>
      <c r="W127" s="87"/>
      <c r="X127" s="84"/>
      <c r="Y127" s="84"/>
      <c r="Z127" s="84"/>
    </row>
    <row r="128" spans="1:26" ht="15.75" customHeight="1">
      <c r="A128" s="83"/>
      <c r="B128" s="83"/>
      <c r="C128" s="83"/>
      <c r="D128" s="87"/>
      <c r="E128" s="84"/>
      <c r="F128" s="84"/>
      <c r="G128" s="83"/>
      <c r="H128" s="84"/>
      <c r="I128" s="84"/>
      <c r="J128" s="84"/>
      <c r="K128" s="88"/>
      <c r="L128" s="84"/>
      <c r="M128" s="88"/>
      <c r="N128" s="84"/>
      <c r="O128" s="88"/>
      <c r="P128" s="85"/>
      <c r="Q128" s="75"/>
      <c r="R128" s="75"/>
      <c r="S128" s="75"/>
      <c r="T128" s="75"/>
      <c r="U128" s="86"/>
      <c r="V128" s="84"/>
      <c r="W128" s="87"/>
      <c r="X128" s="84"/>
      <c r="Y128" s="84"/>
      <c r="Z128" s="84"/>
    </row>
    <row r="129" spans="1:26" ht="15.75" customHeight="1">
      <c r="A129" s="83"/>
      <c r="B129" s="83"/>
      <c r="C129" s="83"/>
      <c r="D129" s="87"/>
      <c r="E129" s="84"/>
      <c r="F129" s="84"/>
      <c r="G129" s="83"/>
      <c r="H129" s="84"/>
      <c r="I129" s="84"/>
      <c r="J129" s="84"/>
      <c r="K129" s="88"/>
      <c r="L129" s="84"/>
      <c r="M129" s="88"/>
      <c r="N129" s="84"/>
      <c r="O129" s="88"/>
      <c r="P129" s="85"/>
      <c r="Q129" s="75"/>
      <c r="R129" s="75"/>
      <c r="S129" s="75"/>
      <c r="T129" s="75"/>
      <c r="U129" s="86"/>
      <c r="V129" s="84"/>
      <c r="W129" s="87"/>
      <c r="X129" s="84"/>
      <c r="Y129" s="84"/>
      <c r="Z129" s="84"/>
    </row>
    <row r="130" spans="1:26" ht="15.75" customHeight="1">
      <c r="A130" s="83"/>
      <c r="B130" s="83"/>
      <c r="C130" s="83"/>
      <c r="D130" s="87"/>
      <c r="E130" s="84"/>
      <c r="F130" s="84"/>
      <c r="G130" s="83"/>
      <c r="H130" s="84"/>
      <c r="I130" s="84"/>
      <c r="J130" s="84"/>
      <c r="K130" s="88"/>
      <c r="L130" s="84"/>
      <c r="M130" s="88"/>
      <c r="N130" s="84"/>
      <c r="O130" s="88"/>
      <c r="P130" s="85"/>
      <c r="Q130" s="75"/>
      <c r="R130" s="75"/>
      <c r="S130" s="75"/>
      <c r="T130" s="75"/>
      <c r="U130" s="86"/>
      <c r="V130" s="84"/>
      <c r="W130" s="87"/>
      <c r="X130" s="84"/>
      <c r="Y130" s="84"/>
      <c r="Z130" s="84"/>
    </row>
    <row r="131" spans="1:26" ht="15.75" customHeight="1">
      <c r="A131" s="83"/>
      <c r="B131" s="83"/>
      <c r="C131" s="83"/>
      <c r="D131" s="87"/>
      <c r="E131" s="84"/>
      <c r="F131" s="84"/>
      <c r="G131" s="83"/>
      <c r="H131" s="84"/>
      <c r="I131" s="84"/>
      <c r="J131" s="84"/>
      <c r="K131" s="88"/>
      <c r="L131" s="84"/>
      <c r="M131" s="88"/>
      <c r="N131" s="84"/>
      <c r="O131" s="88"/>
      <c r="P131" s="85"/>
      <c r="Q131" s="75"/>
      <c r="R131" s="75"/>
      <c r="S131" s="75"/>
      <c r="T131" s="75"/>
      <c r="U131" s="86"/>
      <c r="V131" s="84"/>
      <c r="W131" s="87"/>
      <c r="X131" s="84"/>
      <c r="Y131" s="84"/>
      <c r="Z131" s="84"/>
    </row>
    <row r="132" spans="1:26" ht="15.75" customHeight="1">
      <c r="A132" s="83"/>
      <c r="B132" s="83"/>
      <c r="C132" s="83"/>
      <c r="D132" s="87"/>
      <c r="E132" s="84"/>
      <c r="F132" s="84"/>
      <c r="G132" s="83"/>
      <c r="H132" s="84"/>
      <c r="I132" s="84"/>
      <c r="J132" s="84"/>
      <c r="K132" s="88"/>
      <c r="L132" s="84"/>
      <c r="M132" s="88"/>
      <c r="N132" s="84"/>
      <c r="O132" s="88"/>
      <c r="P132" s="85"/>
      <c r="Q132" s="75"/>
      <c r="R132" s="75"/>
      <c r="S132" s="75"/>
      <c r="T132" s="75"/>
      <c r="U132" s="86"/>
      <c r="V132" s="84"/>
      <c r="W132" s="87"/>
      <c r="X132" s="84"/>
      <c r="Y132" s="84"/>
      <c r="Z132" s="84"/>
    </row>
    <row r="133" spans="1:26" ht="15.75" customHeight="1">
      <c r="A133" s="83"/>
      <c r="B133" s="83"/>
      <c r="C133" s="83"/>
      <c r="D133" s="87"/>
      <c r="E133" s="84"/>
      <c r="F133" s="84"/>
      <c r="G133" s="83"/>
      <c r="H133" s="84"/>
      <c r="I133" s="84"/>
      <c r="J133" s="84"/>
      <c r="K133" s="88"/>
      <c r="L133" s="84"/>
      <c r="M133" s="88"/>
      <c r="N133" s="84"/>
      <c r="O133" s="88"/>
      <c r="P133" s="85"/>
      <c r="Q133" s="75"/>
      <c r="R133" s="75"/>
      <c r="S133" s="75"/>
      <c r="T133" s="75"/>
      <c r="U133" s="86"/>
      <c r="V133" s="84"/>
      <c r="W133" s="87"/>
      <c r="X133" s="84"/>
      <c r="Y133" s="84"/>
      <c r="Z133" s="84"/>
    </row>
    <row r="134" spans="1:26" ht="15.75" customHeight="1">
      <c r="A134" s="83"/>
      <c r="B134" s="83"/>
      <c r="C134" s="83"/>
      <c r="D134" s="87"/>
      <c r="E134" s="84"/>
      <c r="F134" s="84"/>
      <c r="G134" s="83"/>
      <c r="H134" s="84"/>
      <c r="I134" s="84"/>
      <c r="J134" s="84"/>
      <c r="K134" s="88"/>
      <c r="L134" s="84"/>
      <c r="M134" s="88"/>
      <c r="N134" s="84"/>
      <c r="O134" s="88"/>
      <c r="P134" s="85"/>
      <c r="Q134" s="75"/>
      <c r="R134" s="75"/>
      <c r="S134" s="75"/>
      <c r="T134" s="75"/>
      <c r="U134" s="86"/>
      <c r="V134" s="84"/>
      <c r="W134" s="87"/>
      <c r="X134" s="84"/>
      <c r="Y134" s="84"/>
      <c r="Z134" s="84"/>
    </row>
    <row r="135" spans="1:26" ht="15.75" customHeight="1">
      <c r="A135" s="83"/>
      <c r="B135" s="83"/>
      <c r="C135" s="83"/>
      <c r="D135" s="87"/>
      <c r="E135" s="84"/>
      <c r="F135" s="84"/>
      <c r="G135" s="83"/>
      <c r="H135" s="84"/>
      <c r="I135" s="84"/>
      <c r="J135" s="84"/>
      <c r="K135" s="88"/>
      <c r="L135" s="84"/>
      <c r="M135" s="88"/>
      <c r="N135" s="84"/>
      <c r="O135" s="88"/>
      <c r="P135" s="85"/>
      <c r="Q135" s="75"/>
      <c r="R135" s="75"/>
      <c r="S135" s="75"/>
      <c r="T135" s="75"/>
      <c r="U135" s="86"/>
      <c r="V135" s="84"/>
      <c r="W135" s="87"/>
      <c r="X135" s="84"/>
      <c r="Y135" s="84"/>
      <c r="Z135" s="84"/>
    </row>
    <row r="136" spans="1:26" ht="15.75" customHeight="1">
      <c r="A136" s="83"/>
      <c r="B136" s="83"/>
      <c r="C136" s="83"/>
      <c r="D136" s="87"/>
      <c r="E136" s="84"/>
      <c r="F136" s="84"/>
      <c r="G136" s="83"/>
      <c r="H136" s="84"/>
      <c r="I136" s="84"/>
      <c r="J136" s="84"/>
      <c r="K136" s="88"/>
      <c r="L136" s="84"/>
      <c r="M136" s="88"/>
      <c r="N136" s="84"/>
      <c r="O136" s="88"/>
      <c r="P136" s="85"/>
      <c r="Q136" s="75"/>
      <c r="R136" s="75"/>
      <c r="S136" s="75"/>
      <c r="T136" s="75"/>
      <c r="U136" s="86"/>
      <c r="V136" s="84"/>
      <c r="W136" s="87"/>
      <c r="X136" s="84"/>
      <c r="Y136" s="84"/>
      <c r="Z136" s="84"/>
    </row>
    <row r="137" spans="1:26" ht="15.75" customHeight="1">
      <c r="A137" s="83"/>
      <c r="B137" s="83"/>
      <c r="C137" s="83"/>
      <c r="D137" s="87"/>
      <c r="E137" s="84"/>
      <c r="F137" s="84"/>
      <c r="G137" s="83"/>
      <c r="H137" s="84"/>
      <c r="I137" s="84"/>
      <c r="J137" s="84"/>
      <c r="K137" s="88"/>
      <c r="L137" s="84"/>
      <c r="M137" s="88"/>
      <c r="N137" s="84"/>
      <c r="O137" s="88"/>
      <c r="P137" s="85"/>
      <c r="Q137" s="75"/>
      <c r="R137" s="75"/>
      <c r="S137" s="75"/>
      <c r="T137" s="75"/>
      <c r="U137" s="86"/>
      <c r="V137" s="84"/>
      <c r="W137" s="87"/>
      <c r="X137" s="84"/>
      <c r="Y137" s="84"/>
      <c r="Z137" s="84"/>
    </row>
    <row r="138" spans="1:26" ht="15.75" customHeight="1">
      <c r="A138" s="83"/>
      <c r="B138" s="83"/>
      <c r="C138" s="83"/>
      <c r="D138" s="87"/>
      <c r="E138" s="84"/>
      <c r="F138" s="84"/>
      <c r="G138" s="83"/>
      <c r="H138" s="84"/>
      <c r="I138" s="84"/>
      <c r="J138" s="84"/>
      <c r="K138" s="88"/>
      <c r="L138" s="84"/>
      <c r="M138" s="88"/>
      <c r="N138" s="84"/>
      <c r="O138" s="88"/>
      <c r="P138" s="85"/>
      <c r="Q138" s="75"/>
      <c r="R138" s="75"/>
      <c r="S138" s="75"/>
      <c r="T138" s="75"/>
      <c r="U138" s="86"/>
      <c r="V138" s="84"/>
      <c r="W138" s="87"/>
      <c r="X138" s="84"/>
      <c r="Y138" s="84"/>
      <c r="Z138" s="84"/>
    </row>
    <row r="139" spans="1:26" ht="15.75" customHeight="1">
      <c r="A139" s="83"/>
      <c r="B139" s="83"/>
      <c r="C139" s="83"/>
      <c r="D139" s="87"/>
      <c r="E139" s="84"/>
      <c r="F139" s="84"/>
      <c r="G139" s="83"/>
      <c r="H139" s="84"/>
      <c r="I139" s="84"/>
      <c r="J139" s="84"/>
      <c r="K139" s="88"/>
      <c r="L139" s="84"/>
      <c r="M139" s="88"/>
      <c r="N139" s="84"/>
      <c r="O139" s="88"/>
      <c r="P139" s="85"/>
      <c r="Q139" s="75"/>
      <c r="R139" s="75"/>
      <c r="S139" s="75"/>
      <c r="T139" s="75"/>
      <c r="U139" s="86"/>
      <c r="V139" s="84"/>
      <c r="W139" s="87"/>
      <c r="X139" s="84"/>
      <c r="Y139" s="84"/>
      <c r="Z139" s="84"/>
    </row>
    <row r="140" spans="1:26" ht="15.75" customHeight="1">
      <c r="A140" s="83"/>
      <c r="B140" s="83"/>
      <c r="C140" s="83"/>
      <c r="D140" s="87"/>
      <c r="E140" s="84"/>
      <c r="F140" s="84"/>
      <c r="G140" s="83"/>
      <c r="H140" s="84"/>
      <c r="I140" s="84"/>
      <c r="J140" s="84"/>
      <c r="K140" s="88"/>
      <c r="L140" s="84"/>
      <c r="M140" s="88"/>
      <c r="N140" s="84"/>
      <c r="O140" s="88"/>
      <c r="P140" s="85"/>
      <c r="Q140" s="75"/>
      <c r="R140" s="75"/>
      <c r="S140" s="75"/>
      <c r="T140" s="75"/>
      <c r="U140" s="86"/>
      <c r="V140" s="84"/>
      <c r="W140" s="87"/>
      <c r="X140" s="84"/>
      <c r="Y140" s="84"/>
      <c r="Z140" s="84"/>
    </row>
    <row r="141" spans="1:26" ht="15.75" customHeight="1">
      <c r="A141" s="83"/>
      <c r="B141" s="83"/>
      <c r="C141" s="83"/>
      <c r="D141" s="87"/>
      <c r="E141" s="84"/>
      <c r="F141" s="84"/>
      <c r="G141" s="83"/>
      <c r="H141" s="84"/>
      <c r="I141" s="84"/>
      <c r="J141" s="84"/>
      <c r="K141" s="88"/>
      <c r="L141" s="84"/>
      <c r="M141" s="88"/>
      <c r="N141" s="84"/>
      <c r="O141" s="88"/>
      <c r="P141" s="85"/>
      <c r="Q141" s="75"/>
      <c r="R141" s="75"/>
      <c r="S141" s="75"/>
      <c r="T141" s="75"/>
      <c r="U141" s="86"/>
      <c r="V141" s="84"/>
      <c r="W141" s="87"/>
      <c r="X141" s="84"/>
      <c r="Y141" s="84"/>
      <c r="Z141" s="84"/>
    </row>
    <row r="142" spans="1:26" ht="15.75" customHeight="1">
      <c r="A142" s="83"/>
      <c r="B142" s="83"/>
      <c r="C142" s="83"/>
      <c r="D142" s="87"/>
      <c r="E142" s="84"/>
      <c r="F142" s="84"/>
      <c r="G142" s="83"/>
      <c r="H142" s="84"/>
      <c r="I142" s="84"/>
      <c r="J142" s="84"/>
      <c r="K142" s="88"/>
      <c r="L142" s="84"/>
      <c r="M142" s="88"/>
      <c r="N142" s="84"/>
      <c r="O142" s="88"/>
      <c r="P142" s="85"/>
      <c r="Q142" s="75"/>
      <c r="R142" s="75"/>
      <c r="S142" s="75"/>
      <c r="T142" s="75"/>
      <c r="U142" s="86"/>
      <c r="V142" s="84"/>
      <c r="W142" s="87"/>
      <c r="X142" s="84"/>
      <c r="Y142" s="84"/>
      <c r="Z142" s="84"/>
    </row>
    <row r="143" spans="1:26" ht="15.75" customHeight="1">
      <c r="A143" s="83"/>
      <c r="B143" s="83"/>
      <c r="C143" s="83"/>
      <c r="D143" s="87"/>
      <c r="E143" s="84"/>
      <c r="F143" s="84"/>
      <c r="G143" s="83"/>
      <c r="H143" s="84"/>
      <c r="I143" s="84"/>
      <c r="J143" s="84"/>
      <c r="K143" s="88"/>
      <c r="L143" s="84"/>
      <c r="M143" s="88"/>
      <c r="N143" s="84"/>
      <c r="O143" s="88"/>
      <c r="P143" s="85"/>
      <c r="Q143" s="75"/>
      <c r="R143" s="75"/>
      <c r="S143" s="75"/>
      <c r="T143" s="75"/>
      <c r="U143" s="86"/>
      <c r="V143" s="84"/>
      <c r="W143" s="87"/>
      <c r="X143" s="84"/>
      <c r="Y143" s="84"/>
      <c r="Z143" s="84"/>
    </row>
    <row r="144" spans="1:26" ht="15.75" customHeight="1">
      <c r="A144" s="83"/>
      <c r="B144" s="83"/>
      <c r="C144" s="83"/>
      <c r="D144" s="87"/>
      <c r="E144" s="84"/>
      <c r="F144" s="84"/>
      <c r="G144" s="83"/>
      <c r="H144" s="84"/>
      <c r="I144" s="84"/>
      <c r="J144" s="84"/>
      <c r="K144" s="88"/>
      <c r="L144" s="84"/>
      <c r="M144" s="88"/>
      <c r="N144" s="84"/>
      <c r="O144" s="88"/>
      <c r="P144" s="85"/>
      <c r="Q144" s="75"/>
      <c r="R144" s="75"/>
      <c r="S144" s="75"/>
      <c r="T144" s="75"/>
      <c r="U144" s="86"/>
      <c r="V144" s="84"/>
      <c r="W144" s="87"/>
      <c r="X144" s="84"/>
      <c r="Y144" s="84"/>
      <c r="Z144" s="84"/>
    </row>
    <row r="145" spans="1:26" ht="15.75" customHeight="1">
      <c r="A145" s="83"/>
      <c r="B145" s="83"/>
      <c r="C145" s="83"/>
      <c r="D145" s="87"/>
      <c r="E145" s="84"/>
      <c r="F145" s="84"/>
      <c r="G145" s="83"/>
      <c r="H145" s="84"/>
      <c r="I145" s="84"/>
      <c r="J145" s="84"/>
      <c r="K145" s="88"/>
      <c r="L145" s="84"/>
      <c r="M145" s="88"/>
      <c r="N145" s="84"/>
      <c r="O145" s="88"/>
      <c r="P145" s="85"/>
      <c r="Q145" s="75"/>
      <c r="R145" s="75"/>
      <c r="S145" s="75"/>
      <c r="T145" s="75"/>
      <c r="U145" s="86"/>
      <c r="V145" s="84"/>
      <c r="W145" s="87"/>
      <c r="X145" s="84"/>
      <c r="Y145" s="84"/>
      <c r="Z145" s="84"/>
    </row>
    <row r="146" spans="1:26" ht="15.75" customHeight="1">
      <c r="A146" s="83"/>
      <c r="B146" s="83"/>
      <c r="C146" s="83"/>
      <c r="D146" s="87"/>
      <c r="E146" s="84"/>
      <c r="F146" s="84"/>
      <c r="G146" s="83"/>
      <c r="H146" s="84"/>
      <c r="I146" s="84"/>
      <c r="J146" s="84"/>
      <c r="K146" s="88"/>
      <c r="L146" s="84"/>
      <c r="M146" s="88"/>
      <c r="N146" s="84"/>
      <c r="O146" s="88"/>
      <c r="P146" s="85"/>
      <c r="Q146" s="75"/>
      <c r="R146" s="75"/>
      <c r="S146" s="75"/>
      <c r="T146" s="75"/>
      <c r="U146" s="86"/>
      <c r="V146" s="84"/>
      <c r="W146" s="87"/>
      <c r="X146" s="84"/>
      <c r="Y146" s="84"/>
      <c r="Z146" s="84"/>
    </row>
    <row r="147" spans="1:26" ht="15.75" customHeight="1">
      <c r="A147" s="83"/>
      <c r="B147" s="83"/>
      <c r="C147" s="83"/>
      <c r="D147" s="87"/>
      <c r="E147" s="84"/>
      <c r="F147" s="84"/>
      <c r="G147" s="83"/>
      <c r="H147" s="84"/>
      <c r="I147" s="84"/>
      <c r="J147" s="84"/>
      <c r="K147" s="88"/>
      <c r="L147" s="84"/>
      <c r="M147" s="88"/>
      <c r="N147" s="84"/>
      <c r="O147" s="88"/>
      <c r="P147" s="85"/>
      <c r="Q147" s="75"/>
      <c r="R147" s="75"/>
      <c r="S147" s="75"/>
      <c r="T147" s="75"/>
      <c r="U147" s="86"/>
      <c r="V147" s="84"/>
      <c r="W147" s="87"/>
      <c r="X147" s="84"/>
      <c r="Y147" s="84"/>
      <c r="Z147" s="84"/>
    </row>
    <row r="148" spans="1:26" ht="15.75" customHeight="1">
      <c r="A148" s="83"/>
      <c r="B148" s="83"/>
      <c r="C148" s="83"/>
      <c r="D148" s="87"/>
      <c r="E148" s="84"/>
      <c r="F148" s="84"/>
      <c r="G148" s="83"/>
      <c r="H148" s="84"/>
      <c r="I148" s="84"/>
      <c r="J148" s="84"/>
      <c r="K148" s="88"/>
      <c r="L148" s="84"/>
      <c r="M148" s="88"/>
      <c r="N148" s="84"/>
      <c r="O148" s="88"/>
      <c r="P148" s="85"/>
      <c r="Q148" s="75"/>
      <c r="R148" s="75"/>
      <c r="S148" s="75"/>
      <c r="T148" s="75"/>
      <c r="U148" s="86"/>
      <c r="V148" s="84"/>
      <c r="W148" s="87"/>
      <c r="X148" s="84"/>
      <c r="Y148" s="84"/>
      <c r="Z148" s="84"/>
    </row>
    <row r="149" spans="1:26" ht="15.75" customHeight="1">
      <c r="A149" s="83"/>
      <c r="B149" s="83"/>
      <c r="C149" s="83"/>
      <c r="D149" s="87"/>
      <c r="E149" s="84"/>
      <c r="F149" s="84"/>
      <c r="G149" s="83"/>
      <c r="H149" s="84"/>
      <c r="I149" s="84"/>
      <c r="J149" s="84"/>
      <c r="K149" s="88"/>
      <c r="L149" s="84"/>
      <c r="M149" s="88"/>
      <c r="N149" s="84"/>
      <c r="O149" s="88"/>
      <c r="P149" s="85"/>
      <c r="Q149" s="75"/>
      <c r="R149" s="75"/>
      <c r="S149" s="75"/>
      <c r="T149" s="75"/>
      <c r="U149" s="86"/>
      <c r="V149" s="84"/>
      <c r="W149" s="87"/>
      <c r="X149" s="84"/>
      <c r="Y149" s="84"/>
      <c r="Z149" s="84"/>
    </row>
    <row r="150" spans="1:26" ht="15.75" customHeight="1">
      <c r="A150" s="83"/>
      <c r="B150" s="83"/>
      <c r="C150" s="83"/>
      <c r="D150" s="87"/>
      <c r="E150" s="84"/>
      <c r="F150" s="84"/>
      <c r="G150" s="83"/>
      <c r="H150" s="84"/>
      <c r="I150" s="84"/>
      <c r="J150" s="84"/>
      <c r="K150" s="88"/>
      <c r="L150" s="84"/>
      <c r="M150" s="88"/>
      <c r="N150" s="84"/>
      <c r="O150" s="88"/>
      <c r="P150" s="85"/>
      <c r="Q150" s="75"/>
      <c r="R150" s="75"/>
      <c r="S150" s="75"/>
      <c r="T150" s="75"/>
      <c r="U150" s="86"/>
      <c r="V150" s="84"/>
      <c r="W150" s="87"/>
      <c r="X150" s="84"/>
      <c r="Y150" s="84"/>
      <c r="Z150" s="84"/>
    </row>
    <row r="151" spans="1:26" ht="15.75" customHeight="1">
      <c r="A151" s="83"/>
      <c r="B151" s="83"/>
      <c r="C151" s="83"/>
      <c r="D151" s="87"/>
      <c r="E151" s="84"/>
      <c r="F151" s="84"/>
      <c r="G151" s="83"/>
      <c r="H151" s="84"/>
      <c r="I151" s="84"/>
      <c r="J151" s="84"/>
      <c r="K151" s="88"/>
      <c r="L151" s="84"/>
      <c r="M151" s="88"/>
      <c r="N151" s="84"/>
      <c r="O151" s="88"/>
      <c r="P151" s="85"/>
      <c r="Q151" s="75"/>
      <c r="R151" s="75"/>
      <c r="S151" s="75"/>
      <c r="T151" s="75"/>
      <c r="U151" s="86"/>
      <c r="V151" s="84"/>
      <c r="W151" s="87"/>
      <c r="X151" s="84"/>
      <c r="Y151" s="84"/>
      <c r="Z151" s="84"/>
    </row>
    <row r="152" spans="1:26" ht="15.75" customHeight="1">
      <c r="A152" s="83"/>
      <c r="B152" s="83"/>
      <c r="C152" s="83"/>
      <c r="D152" s="87"/>
      <c r="E152" s="84"/>
      <c r="F152" s="84"/>
      <c r="G152" s="83"/>
      <c r="H152" s="84"/>
      <c r="I152" s="84"/>
      <c r="J152" s="84"/>
      <c r="K152" s="88"/>
      <c r="L152" s="84"/>
      <c r="M152" s="88"/>
      <c r="N152" s="84"/>
      <c r="O152" s="88"/>
      <c r="P152" s="85"/>
      <c r="Q152" s="75"/>
      <c r="R152" s="75"/>
      <c r="S152" s="75"/>
      <c r="T152" s="75"/>
      <c r="U152" s="86"/>
      <c r="V152" s="84"/>
      <c r="W152" s="87"/>
      <c r="X152" s="84"/>
      <c r="Y152" s="84"/>
      <c r="Z152" s="84"/>
    </row>
    <row r="153" spans="1:26" ht="15.75" customHeight="1">
      <c r="A153" s="83"/>
      <c r="B153" s="83"/>
      <c r="C153" s="83"/>
      <c r="D153" s="87"/>
      <c r="E153" s="84"/>
      <c r="F153" s="84"/>
      <c r="G153" s="83"/>
      <c r="H153" s="84"/>
      <c r="I153" s="84"/>
      <c r="J153" s="84"/>
      <c r="K153" s="88"/>
      <c r="L153" s="84"/>
      <c r="M153" s="88"/>
      <c r="N153" s="84"/>
      <c r="O153" s="88"/>
      <c r="P153" s="85"/>
      <c r="Q153" s="75"/>
      <c r="R153" s="75"/>
      <c r="S153" s="75"/>
      <c r="T153" s="75"/>
      <c r="U153" s="86"/>
      <c r="V153" s="84"/>
      <c r="W153" s="87"/>
      <c r="X153" s="84"/>
      <c r="Y153" s="84"/>
      <c r="Z153" s="84"/>
    </row>
    <row r="154" spans="1:26" ht="15.75" customHeight="1">
      <c r="A154" s="83"/>
      <c r="B154" s="83"/>
      <c r="C154" s="83"/>
      <c r="D154" s="87"/>
      <c r="E154" s="84"/>
      <c r="F154" s="84"/>
      <c r="G154" s="83"/>
      <c r="H154" s="84"/>
      <c r="I154" s="84"/>
      <c r="J154" s="84"/>
      <c r="K154" s="88"/>
      <c r="L154" s="84"/>
      <c r="M154" s="88"/>
      <c r="N154" s="84"/>
      <c r="O154" s="88"/>
      <c r="P154" s="85"/>
      <c r="Q154" s="75"/>
      <c r="R154" s="75"/>
      <c r="S154" s="75"/>
      <c r="T154" s="75"/>
      <c r="U154" s="86"/>
      <c r="V154" s="84"/>
      <c r="W154" s="87"/>
      <c r="X154" s="84"/>
      <c r="Y154" s="84"/>
      <c r="Z154" s="84"/>
    </row>
    <row r="155" spans="1:26" ht="15.75" customHeight="1">
      <c r="A155" s="83"/>
      <c r="B155" s="83"/>
      <c r="C155" s="83"/>
      <c r="D155" s="87"/>
      <c r="E155" s="84"/>
      <c r="F155" s="84"/>
      <c r="G155" s="83"/>
      <c r="H155" s="84"/>
      <c r="I155" s="84"/>
      <c r="J155" s="84"/>
      <c r="K155" s="88"/>
      <c r="L155" s="84"/>
      <c r="M155" s="88"/>
      <c r="N155" s="84"/>
      <c r="O155" s="88"/>
      <c r="P155" s="85"/>
      <c r="Q155" s="75"/>
      <c r="R155" s="75"/>
      <c r="S155" s="75"/>
      <c r="T155" s="75"/>
      <c r="U155" s="86"/>
      <c r="V155" s="84"/>
      <c r="W155" s="87"/>
      <c r="X155" s="84"/>
      <c r="Y155" s="84"/>
      <c r="Z155" s="84"/>
    </row>
    <row r="156" spans="1:26" ht="15.75" customHeight="1">
      <c r="A156" s="83"/>
      <c r="B156" s="83"/>
      <c r="C156" s="83"/>
      <c r="D156" s="87"/>
      <c r="E156" s="84"/>
      <c r="F156" s="84"/>
      <c r="G156" s="83"/>
      <c r="H156" s="84"/>
      <c r="I156" s="84"/>
      <c r="J156" s="84"/>
      <c r="K156" s="88"/>
      <c r="L156" s="84"/>
      <c r="M156" s="88"/>
      <c r="N156" s="84"/>
      <c r="O156" s="88"/>
      <c r="P156" s="85"/>
      <c r="Q156" s="75"/>
      <c r="R156" s="75"/>
      <c r="S156" s="75"/>
      <c r="T156" s="75"/>
      <c r="U156" s="86"/>
      <c r="V156" s="84"/>
      <c r="W156" s="87"/>
      <c r="X156" s="84"/>
      <c r="Y156" s="84"/>
      <c r="Z156" s="84"/>
    </row>
    <row r="157" spans="1:26" ht="15.75" customHeight="1">
      <c r="A157" s="83"/>
      <c r="B157" s="83"/>
      <c r="C157" s="83"/>
      <c r="D157" s="87"/>
      <c r="E157" s="84"/>
      <c r="F157" s="84"/>
      <c r="G157" s="83"/>
      <c r="H157" s="84"/>
      <c r="I157" s="84"/>
      <c r="J157" s="84"/>
      <c r="K157" s="88"/>
      <c r="L157" s="84"/>
      <c r="M157" s="88"/>
      <c r="N157" s="84"/>
      <c r="O157" s="88"/>
      <c r="P157" s="85"/>
      <c r="Q157" s="75"/>
      <c r="R157" s="75"/>
      <c r="S157" s="75"/>
      <c r="T157" s="75"/>
      <c r="U157" s="86"/>
      <c r="V157" s="84"/>
      <c r="W157" s="87"/>
      <c r="X157" s="84"/>
      <c r="Y157" s="84"/>
      <c r="Z157" s="84"/>
    </row>
    <row r="158" spans="1:26" ht="15.75" customHeight="1">
      <c r="A158" s="83"/>
      <c r="B158" s="83"/>
      <c r="C158" s="83"/>
      <c r="D158" s="87"/>
      <c r="E158" s="84"/>
      <c r="F158" s="84"/>
      <c r="G158" s="83"/>
      <c r="H158" s="84"/>
      <c r="I158" s="84"/>
      <c r="J158" s="84"/>
      <c r="K158" s="88"/>
      <c r="L158" s="84"/>
      <c r="M158" s="88"/>
      <c r="N158" s="84"/>
      <c r="O158" s="88"/>
      <c r="P158" s="85"/>
      <c r="Q158" s="75"/>
      <c r="R158" s="75"/>
      <c r="S158" s="75"/>
      <c r="T158" s="75"/>
      <c r="U158" s="86"/>
      <c r="V158" s="84"/>
      <c r="W158" s="87"/>
      <c r="X158" s="84"/>
      <c r="Y158" s="84"/>
      <c r="Z158" s="84"/>
    </row>
    <row r="159" spans="1:26" ht="15.75" customHeight="1">
      <c r="A159" s="83"/>
      <c r="B159" s="83"/>
      <c r="C159" s="83"/>
      <c r="D159" s="87"/>
      <c r="E159" s="84"/>
      <c r="F159" s="84"/>
      <c r="G159" s="83"/>
      <c r="H159" s="84"/>
      <c r="I159" s="84"/>
      <c r="J159" s="84"/>
      <c r="K159" s="88"/>
      <c r="L159" s="84"/>
      <c r="M159" s="88"/>
      <c r="N159" s="84"/>
      <c r="O159" s="88"/>
      <c r="P159" s="85"/>
      <c r="Q159" s="75"/>
      <c r="R159" s="75"/>
      <c r="S159" s="75"/>
      <c r="T159" s="75"/>
      <c r="U159" s="86"/>
      <c r="V159" s="84"/>
      <c r="W159" s="87"/>
      <c r="X159" s="84"/>
      <c r="Y159" s="84"/>
      <c r="Z159" s="84"/>
    </row>
    <row r="160" spans="1:26" ht="15.75" customHeight="1">
      <c r="A160" s="83"/>
      <c r="B160" s="83"/>
      <c r="C160" s="83"/>
      <c r="D160" s="87"/>
      <c r="E160" s="84"/>
      <c r="F160" s="84"/>
      <c r="G160" s="83"/>
      <c r="H160" s="84"/>
      <c r="I160" s="84"/>
      <c r="J160" s="84"/>
      <c r="K160" s="88"/>
      <c r="L160" s="84"/>
      <c r="M160" s="88"/>
      <c r="N160" s="84"/>
      <c r="O160" s="88"/>
      <c r="P160" s="85"/>
      <c r="Q160" s="75"/>
      <c r="R160" s="75"/>
      <c r="S160" s="75"/>
      <c r="T160" s="75"/>
      <c r="U160" s="86"/>
      <c r="V160" s="84"/>
      <c r="W160" s="87"/>
      <c r="X160" s="84"/>
      <c r="Y160" s="84"/>
      <c r="Z160" s="84"/>
    </row>
    <row r="161" spans="1:26" ht="15.75" customHeight="1">
      <c r="A161" s="83"/>
      <c r="B161" s="83"/>
      <c r="C161" s="83"/>
      <c r="D161" s="87"/>
      <c r="E161" s="84"/>
      <c r="F161" s="84"/>
      <c r="G161" s="83"/>
      <c r="H161" s="84"/>
      <c r="I161" s="84"/>
      <c r="J161" s="84"/>
      <c r="K161" s="88"/>
      <c r="L161" s="84"/>
      <c r="M161" s="88"/>
      <c r="N161" s="84"/>
      <c r="O161" s="88"/>
      <c r="P161" s="85"/>
      <c r="Q161" s="75"/>
      <c r="R161" s="75"/>
      <c r="S161" s="75"/>
      <c r="T161" s="75"/>
      <c r="U161" s="86"/>
      <c r="V161" s="84"/>
      <c r="W161" s="87"/>
      <c r="X161" s="84"/>
      <c r="Y161" s="84"/>
      <c r="Z161" s="84"/>
    </row>
    <row r="162" spans="1:26" ht="15.75" customHeight="1">
      <c r="A162" s="83"/>
      <c r="B162" s="83"/>
      <c r="C162" s="83"/>
      <c r="D162" s="87"/>
      <c r="E162" s="84"/>
      <c r="F162" s="84"/>
      <c r="G162" s="83"/>
      <c r="H162" s="84"/>
      <c r="I162" s="84"/>
      <c r="J162" s="84"/>
      <c r="K162" s="88"/>
      <c r="L162" s="84"/>
      <c r="M162" s="88"/>
      <c r="N162" s="84"/>
      <c r="O162" s="88"/>
      <c r="P162" s="85"/>
      <c r="Q162" s="75"/>
      <c r="R162" s="75"/>
      <c r="S162" s="75"/>
      <c r="T162" s="75"/>
      <c r="U162" s="86"/>
      <c r="V162" s="84"/>
      <c r="W162" s="87"/>
      <c r="X162" s="84"/>
      <c r="Y162" s="84"/>
      <c r="Z162" s="84"/>
    </row>
    <row r="163" spans="1:26" ht="15.75" customHeight="1">
      <c r="A163" s="83"/>
      <c r="B163" s="83"/>
      <c r="C163" s="83"/>
      <c r="D163" s="87"/>
      <c r="E163" s="84"/>
      <c r="F163" s="84"/>
      <c r="G163" s="83"/>
      <c r="H163" s="84"/>
      <c r="I163" s="84"/>
      <c r="J163" s="84"/>
      <c r="K163" s="88"/>
      <c r="L163" s="84"/>
      <c r="M163" s="88"/>
      <c r="N163" s="84"/>
      <c r="O163" s="88"/>
      <c r="P163" s="85"/>
      <c r="Q163" s="75"/>
      <c r="R163" s="75"/>
      <c r="S163" s="75"/>
      <c r="T163" s="75"/>
      <c r="U163" s="86"/>
      <c r="V163" s="84"/>
      <c r="W163" s="87"/>
      <c r="X163" s="84"/>
      <c r="Y163" s="84"/>
      <c r="Z163" s="84"/>
    </row>
    <row r="164" spans="1:26" ht="15.75" customHeight="1">
      <c r="A164" s="83"/>
      <c r="B164" s="83"/>
      <c r="C164" s="83"/>
      <c r="D164" s="87"/>
      <c r="E164" s="84"/>
      <c r="F164" s="84"/>
      <c r="G164" s="83"/>
      <c r="H164" s="84"/>
      <c r="I164" s="84"/>
      <c r="J164" s="84"/>
      <c r="K164" s="88"/>
      <c r="L164" s="84"/>
      <c r="M164" s="88"/>
      <c r="N164" s="84"/>
      <c r="O164" s="88"/>
      <c r="P164" s="85"/>
      <c r="Q164" s="75"/>
      <c r="R164" s="75"/>
      <c r="S164" s="75"/>
      <c r="T164" s="75"/>
      <c r="U164" s="86"/>
      <c r="V164" s="84"/>
      <c r="W164" s="87"/>
      <c r="X164" s="84"/>
      <c r="Y164" s="84"/>
      <c r="Z164" s="84"/>
    </row>
    <row r="165" spans="1:26" ht="15.75" customHeight="1">
      <c r="A165" s="83"/>
      <c r="B165" s="83"/>
      <c r="C165" s="83"/>
      <c r="D165" s="87"/>
      <c r="E165" s="84"/>
      <c r="F165" s="84"/>
      <c r="G165" s="83"/>
      <c r="H165" s="84"/>
      <c r="I165" s="84"/>
      <c r="J165" s="84"/>
      <c r="K165" s="88"/>
      <c r="L165" s="84"/>
      <c r="M165" s="88"/>
      <c r="N165" s="84"/>
      <c r="O165" s="88"/>
      <c r="P165" s="85"/>
      <c r="Q165" s="75"/>
      <c r="R165" s="75"/>
      <c r="S165" s="75"/>
      <c r="T165" s="75"/>
      <c r="U165" s="86"/>
      <c r="V165" s="84"/>
      <c r="W165" s="87"/>
      <c r="X165" s="84"/>
      <c r="Y165" s="84"/>
      <c r="Z165" s="84"/>
    </row>
    <row r="166" spans="1:26" ht="15.75" customHeight="1">
      <c r="A166" s="83"/>
      <c r="B166" s="83"/>
      <c r="C166" s="83"/>
      <c r="D166" s="87"/>
      <c r="E166" s="84"/>
      <c r="F166" s="84"/>
      <c r="G166" s="83"/>
      <c r="H166" s="84"/>
      <c r="I166" s="84"/>
      <c r="J166" s="84"/>
      <c r="K166" s="88"/>
      <c r="L166" s="84"/>
      <c r="M166" s="88"/>
      <c r="N166" s="84"/>
      <c r="O166" s="88"/>
      <c r="P166" s="85"/>
      <c r="Q166" s="75"/>
      <c r="R166" s="75"/>
      <c r="S166" s="75"/>
      <c r="T166" s="75"/>
      <c r="U166" s="86"/>
      <c r="V166" s="84"/>
      <c r="W166" s="87"/>
      <c r="X166" s="84"/>
      <c r="Y166" s="84"/>
      <c r="Z166" s="84"/>
    </row>
    <row r="167" spans="1:26" ht="15.75" customHeight="1">
      <c r="A167" s="83"/>
      <c r="B167" s="83"/>
      <c r="C167" s="83"/>
      <c r="D167" s="87"/>
      <c r="E167" s="84"/>
      <c r="F167" s="84"/>
      <c r="G167" s="83"/>
      <c r="H167" s="84"/>
      <c r="I167" s="84"/>
      <c r="J167" s="84"/>
      <c r="K167" s="88"/>
      <c r="L167" s="84"/>
      <c r="M167" s="88"/>
      <c r="N167" s="84"/>
      <c r="O167" s="88"/>
      <c r="P167" s="85"/>
      <c r="Q167" s="75"/>
      <c r="R167" s="75"/>
      <c r="S167" s="75"/>
      <c r="T167" s="75"/>
      <c r="U167" s="86"/>
      <c r="V167" s="84"/>
      <c r="W167" s="87"/>
      <c r="X167" s="84"/>
      <c r="Y167" s="84"/>
      <c r="Z167" s="84"/>
    </row>
    <row r="168" spans="1:26" ht="15.75" customHeight="1">
      <c r="A168" s="83"/>
      <c r="B168" s="83"/>
      <c r="C168" s="83"/>
      <c r="D168" s="87"/>
      <c r="E168" s="84"/>
      <c r="F168" s="84"/>
      <c r="G168" s="83"/>
      <c r="H168" s="84"/>
      <c r="I168" s="84"/>
      <c r="J168" s="84"/>
      <c r="K168" s="88"/>
      <c r="L168" s="84"/>
      <c r="M168" s="88"/>
      <c r="N168" s="84"/>
      <c r="O168" s="88"/>
      <c r="P168" s="85"/>
      <c r="Q168" s="75"/>
      <c r="R168" s="75"/>
      <c r="S168" s="75"/>
      <c r="T168" s="75"/>
      <c r="U168" s="86"/>
      <c r="V168" s="84"/>
      <c r="W168" s="87"/>
      <c r="X168" s="84"/>
      <c r="Y168" s="84"/>
      <c r="Z168" s="84"/>
    </row>
    <row r="169" spans="1:26" ht="15.75" customHeight="1">
      <c r="A169" s="83"/>
      <c r="B169" s="83"/>
      <c r="C169" s="83"/>
      <c r="D169" s="87"/>
      <c r="E169" s="84"/>
      <c r="F169" s="84"/>
      <c r="G169" s="83"/>
      <c r="H169" s="84"/>
      <c r="I169" s="84"/>
      <c r="J169" s="84"/>
      <c r="K169" s="88"/>
      <c r="L169" s="84"/>
      <c r="M169" s="88"/>
      <c r="N169" s="84"/>
      <c r="O169" s="88"/>
      <c r="P169" s="85"/>
      <c r="Q169" s="75"/>
      <c r="R169" s="75"/>
      <c r="S169" s="75"/>
      <c r="T169" s="75"/>
      <c r="U169" s="86"/>
      <c r="V169" s="84"/>
      <c r="W169" s="87"/>
      <c r="X169" s="84"/>
      <c r="Y169" s="84"/>
      <c r="Z169" s="84"/>
    </row>
    <row r="170" spans="1:26" ht="15.75" customHeight="1">
      <c r="A170" s="83"/>
      <c r="B170" s="83"/>
      <c r="C170" s="83"/>
      <c r="D170" s="87"/>
      <c r="E170" s="84"/>
      <c r="F170" s="84"/>
      <c r="G170" s="83"/>
      <c r="H170" s="84"/>
      <c r="I170" s="84"/>
      <c r="J170" s="84"/>
      <c r="K170" s="88"/>
      <c r="L170" s="84"/>
      <c r="M170" s="88"/>
      <c r="N170" s="84"/>
      <c r="O170" s="88"/>
      <c r="P170" s="85"/>
      <c r="Q170" s="75"/>
      <c r="R170" s="75"/>
      <c r="S170" s="75"/>
      <c r="T170" s="75"/>
      <c r="U170" s="86"/>
      <c r="V170" s="84"/>
      <c r="W170" s="87"/>
      <c r="X170" s="84"/>
      <c r="Y170" s="84"/>
      <c r="Z170" s="84"/>
    </row>
    <row r="171" spans="1:26" ht="15.75" customHeight="1">
      <c r="A171" s="83"/>
      <c r="B171" s="83"/>
      <c r="C171" s="83"/>
      <c r="D171" s="87"/>
      <c r="E171" s="84"/>
      <c r="F171" s="84"/>
      <c r="G171" s="83"/>
      <c r="H171" s="84"/>
      <c r="I171" s="84"/>
      <c r="J171" s="84"/>
      <c r="K171" s="88"/>
      <c r="L171" s="84"/>
      <c r="M171" s="88"/>
      <c r="N171" s="84"/>
      <c r="O171" s="88"/>
      <c r="P171" s="85"/>
      <c r="Q171" s="75"/>
      <c r="R171" s="75"/>
      <c r="S171" s="75"/>
      <c r="T171" s="75"/>
      <c r="U171" s="86"/>
      <c r="V171" s="84"/>
      <c r="W171" s="87"/>
      <c r="X171" s="84"/>
      <c r="Y171" s="84"/>
      <c r="Z171" s="84"/>
    </row>
    <row r="172" spans="1:26" ht="15.75" customHeight="1">
      <c r="A172" s="83"/>
      <c r="B172" s="83"/>
      <c r="C172" s="83"/>
      <c r="D172" s="87"/>
      <c r="E172" s="84"/>
      <c r="F172" s="84"/>
      <c r="G172" s="83"/>
      <c r="H172" s="84"/>
      <c r="I172" s="84"/>
      <c r="J172" s="84"/>
      <c r="K172" s="88"/>
      <c r="L172" s="84"/>
      <c r="M172" s="88"/>
      <c r="N172" s="84"/>
      <c r="O172" s="88"/>
      <c r="P172" s="85"/>
      <c r="Q172" s="75"/>
      <c r="R172" s="75"/>
      <c r="S172" s="75"/>
      <c r="T172" s="75"/>
      <c r="U172" s="86"/>
      <c r="V172" s="84"/>
      <c r="W172" s="87"/>
      <c r="X172" s="84"/>
      <c r="Y172" s="84"/>
      <c r="Z172" s="84"/>
    </row>
    <row r="173" spans="1:26" ht="15.75" customHeight="1">
      <c r="A173" s="83"/>
      <c r="B173" s="83"/>
      <c r="C173" s="83"/>
      <c r="D173" s="87"/>
      <c r="E173" s="84"/>
      <c r="F173" s="84"/>
      <c r="G173" s="83"/>
      <c r="H173" s="84"/>
      <c r="I173" s="84"/>
      <c r="J173" s="84"/>
      <c r="K173" s="88"/>
      <c r="L173" s="84"/>
      <c r="M173" s="88"/>
      <c r="N173" s="84"/>
      <c r="O173" s="88"/>
      <c r="P173" s="85"/>
      <c r="Q173" s="75"/>
      <c r="R173" s="75"/>
      <c r="S173" s="75"/>
      <c r="T173" s="75"/>
      <c r="U173" s="86"/>
      <c r="V173" s="84"/>
      <c r="W173" s="87"/>
      <c r="X173" s="84"/>
      <c r="Y173" s="84"/>
      <c r="Z173" s="84"/>
    </row>
    <row r="174" spans="1:26" ht="15.75" customHeight="1">
      <c r="A174" s="83"/>
      <c r="B174" s="83"/>
      <c r="C174" s="83"/>
      <c r="D174" s="87"/>
      <c r="E174" s="84"/>
      <c r="F174" s="84"/>
      <c r="G174" s="83"/>
      <c r="H174" s="84"/>
      <c r="I174" s="84"/>
      <c r="J174" s="84"/>
      <c r="K174" s="88"/>
      <c r="L174" s="84"/>
      <c r="M174" s="88"/>
      <c r="N174" s="84"/>
      <c r="O174" s="88"/>
      <c r="P174" s="85"/>
      <c r="Q174" s="75"/>
      <c r="R174" s="75"/>
      <c r="S174" s="75"/>
      <c r="T174" s="75"/>
      <c r="U174" s="86"/>
      <c r="V174" s="84"/>
      <c r="W174" s="87"/>
      <c r="X174" s="84"/>
      <c r="Y174" s="84"/>
      <c r="Z174" s="84"/>
    </row>
    <row r="175" spans="1:26" ht="15.75" customHeight="1">
      <c r="A175" s="83"/>
      <c r="B175" s="83"/>
      <c r="C175" s="83"/>
      <c r="D175" s="87"/>
      <c r="E175" s="84"/>
      <c r="F175" s="84"/>
      <c r="G175" s="83"/>
      <c r="H175" s="84"/>
      <c r="I175" s="84"/>
      <c r="J175" s="84"/>
      <c r="K175" s="88"/>
      <c r="L175" s="84"/>
      <c r="M175" s="88"/>
      <c r="N175" s="84"/>
      <c r="O175" s="88"/>
      <c r="P175" s="85"/>
      <c r="Q175" s="75"/>
      <c r="R175" s="75"/>
      <c r="S175" s="75"/>
      <c r="T175" s="75"/>
      <c r="U175" s="86"/>
      <c r="V175" s="84"/>
      <c r="W175" s="87"/>
      <c r="X175" s="84"/>
      <c r="Y175" s="84"/>
      <c r="Z175" s="84"/>
    </row>
    <row r="176" spans="1:26" ht="15.75" customHeight="1">
      <c r="A176" s="83"/>
      <c r="B176" s="83"/>
      <c r="C176" s="83"/>
      <c r="D176" s="87"/>
      <c r="E176" s="84"/>
      <c r="F176" s="84"/>
      <c r="G176" s="83"/>
      <c r="H176" s="84"/>
      <c r="I176" s="84"/>
      <c r="J176" s="84"/>
      <c r="K176" s="88"/>
      <c r="L176" s="84"/>
      <c r="M176" s="88"/>
      <c r="N176" s="84"/>
      <c r="O176" s="88"/>
      <c r="P176" s="85"/>
      <c r="Q176" s="75"/>
      <c r="R176" s="75"/>
      <c r="S176" s="75"/>
      <c r="T176" s="75"/>
      <c r="U176" s="86"/>
      <c r="V176" s="84"/>
      <c r="W176" s="87"/>
      <c r="X176" s="84"/>
      <c r="Y176" s="84"/>
      <c r="Z176" s="84"/>
    </row>
    <row r="177" spans="1:26" ht="15.75" customHeight="1">
      <c r="A177" s="83"/>
      <c r="B177" s="83"/>
      <c r="C177" s="83"/>
      <c r="D177" s="87"/>
      <c r="E177" s="84"/>
      <c r="F177" s="84"/>
      <c r="G177" s="83"/>
      <c r="H177" s="84"/>
      <c r="I177" s="84"/>
      <c r="J177" s="84"/>
      <c r="K177" s="88"/>
      <c r="L177" s="84"/>
      <c r="M177" s="88"/>
      <c r="N177" s="84"/>
      <c r="O177" s="88"/>
      <c r="P177" s="85"/>
      <c r="Q177" s="75"/>
      <c r="R177" s="75"/>
      <c r="S177" s="75"/>
      <c r="T177" s="75"/>
      <c r="U177" s="86"/>
      <c r="V177" s="84"/>
      <c r="W177" s="87"/>
      <c r="X177" s="84"/>
      <c r="Y177" s="84"/>
      <c r="Z177" s="84"/>
    </row>
    <row r="178" spans="1:26" ht="15.75" customHeight="1">
      <c r="A178" s="83"/>
      <c r="B178" s="83"/>
      <c r="C178" s="83"/>
      <c r="D178" s="87"/>
      <c r="E178" s="84"/>
      <c r="F178" s="84"/>
      <c r="G178" s="83"/>
      <c r="H178" s="84"/>
      <c r="I178" s="84"/>
      <c r="J178" s="84"/>
      <c r="K178" s="88"/>
      <c r="L178" s="84"/>
      <c r="M178" s="88"/>
      <c r="N178" s="84"/>
      <c r="O178" s="88"/>
      <c r="P178" s="85"/>
      <c r="Q178" s="75"/>
      <c r="R178" s="75"/>
      <c r="S178" s="75"/>
      <c r="T178" s="75"/>
      <c r="U178" s="86"/>
      <c r="V178" s="84"/>
      <c r="W178" s="87"/>
      <c r="X178" s="84"/>
      <c r="Y178" s="84"/>
      <c r="Z178" s="84"/>
    </row>
    <row r="179" spans="1:26" ht="15.75" customHeight="1">
      <c r="A179" s="83"/>
      <c r="B179" s="83"/>
      <c r="C179" s="83"/>
      <c r="D179" s="87"/>
      <c r="E179" s="84"/>
      <c r="F179" s="84"/>
      <c r="G179" s="83"/>
      <c r="H179" s="84"/>
      <c r="I179" s="84"/>
      <c r="J179" s="84"/>
      <c r="K179" s="88"/>
      <c r="L179" s="84"/>
      <c r="M179" s="88"/>
      <c r="N179" s="84"/>
      <c r="O179" s="88"/>
      <c r="P179" s="85"/>
      <c r="Q179" s="75"/>
      <c r="R179" s="75"/>
      <c r="S179" s="75"/>
      <c r="T179" s="75"/>
      <c r="U179" s="86"/>
      <c r="V179" s="84"/>
      <c r="W179" s="87"/>
      <c r="X179" s="84"/>
      <c r="Y179" s="84"/>
      <c r="Z179" s="84"/>
    </row>
    <row r="180" spans="1:26" ht="15.75" customHeight="1">
      <c r="A180" s="83"/>
      <c r="B180" s="83"/>
      <c r="C180" s="83"/>
      <c r="D180" s="87"/>
      <c r="E180" s="84"/>
      <c r="F180" s="84"/>
      <c r="G180" s="83"/>
      <c r="H180" s="84"/>
      <c r="I180" s="84"/>
      <c r="J180" s="84"/>
      <c r="K180" s="88"/>
      <c r="L180" s="84"/>
      <c r="M180" s="88"/>
      <c r="N180" s="84"/>
      <c r="O180" s="88"/>
      <c r="P180" s="85"/>
      <c r="Q180" s="75"/>
      <c r="R180" s="75"/>
      <c r="S180" s="75"/>
      <c r="T180" s="75"/>
      <c r="U180" s="86"/>
      <c r="V180" s="84"/>
      <c r="W180" s="87"/>
      <c r="X180" s="84"/>
      <c r="Y180" s="84"/>
      <c r="Z180" s="84"/>
    </row>
    <row r="181" spans="1:26" ht="15.75" customHeight="1">
      <c r="A181" s="83"/>
      <c r="B181" s="83"/>
      <c r="C181" s="83"/>
      <c r="D181" s="87"/>
      <c r="E181" s="84"/>
      <c r="F181" s="84"/>
      <c r="G181" s="83"/>
      <c r="H181" s="84"/>
      <c r="I181" s="84"/>
      <c r="J181" s="84"/>
      <c r="K181" s="88"/>
      <c r="L181" s="84"/>
      <c r="M181" s="88"/>
      <c r="N181" s="84"/>
      <c r="O181" s="88"/>
      <c r="P181" s="85"/>
      <c r="Q181" s="75"/>
      <c r="R181" s="75"/>
      <c r="S181" s="75"/>
      <c r="T181" s="75"/>
      <c r="U181" s="86"/>
      <c r="V181" s="84"/>
      <c r="W181" s="87"/>
      <c r="X181" s="84"/>
      <c r="Y181" s="84"/>
      <c r="Z181" s="84"/>
    </row>
    <row r="182" spans="1:26" ht="15.75" customHeight="1">
      <c r="A182" s="83"/>
      <c r="B182" s="83"/>
      <c r="C182" s="83"/>
      <c r="D182" s="87"/>
      <c r="E182" s="84"/>
      <c r="F182" s="84"/>
      <c r="G182" s="83"/>
      <c r="H182" s="84"/>
      <c r="I182" s="84"/>
      <c r="J182" s="84"/>
      <c r="K182" s="88"/>
      <c r="L182" s="84"/>
      <c r="M182" s="88"/>
      <c r="N182" s="84"/>
      <c r="O182" s="88"/>
      <c r="P182" s="85"/>
      <c r="Q182" s="75"/>
      <c r="R182" s="75"/>
      <c r="S182" s="75"/>
      <c r="T182" s="75"/>
      <c r="U182" s="86"/>
      <c r="V182" s="84"/>
      <c r="W182" s="87"/>
      <c r="X182" s="84"/>
      <c r="Y182" s="84"/>
      <c r="Z182" s="84"/>
    </row>
    <row r="183" spans="1:26" ht="15.75" customHeight="1">
      <c r="A183" s="83"/>
      <c r="B183" s="83"/>
      <c r="C183" s="83"/>
      <c r="D183" s="87"/>
      <c r="E183" s="84"/>
      <c r="F183" s="84"/>
      <c r="G183" s="83"/>
      <c r="H183" s="84"/>
      <c r="I183" s="84"/>
      <c r="J183" s="84"/>
      <c r="K183" s="88"/>
      <c r="L183" s="84"/>
      <c r="M183" s="88"/>
      <c r="N183" s="84"/>
      <c r="O183" s="88"/>
      <c r="P183" s="85"/>
      <c r="Q183" s="75"/>
      <c r="R183" s="75"/>
      <c r="S183" s="75"/>
      <c r="T183" s="75"/>
      <c r="U183" s="86"/>
      <c r="V183" s="84"/>
      <c r="W183" s="87"/>
      <c r="X183" s="84"/>
      <c r="Y183" s="84"/>
      <c r="Z183" s="84"/>
    </row>
    <row r="184" spans="1:26" ht="15.75" customHeight="1">
      <c r="A184" s="83"/>
      <c r="B184" s="83"/>
      <c r="C184" s="83"/>
      <c r="D184" s="87"/>
      <c r="E184" s="84"/>
      <c r="F184" s="84"/>
      <c r="G184" s="83"/>
      <c r="H184" s="84"/>
      <c r="I184" s="84"/>
      <c r="J184" s="84"/>
      <c r="K184" s="88"/>
      <c r="L184" s="84"/>
      <c r="M184" s="88"/>
      <c r="N184" s="84"/>
      <c r="O184" s="88"/>
      <c r="P184" s="85"/>
      <c r="Q184" s="75"/>
      <c r="R184" s="75"/>
      <c r="S184" s="75"/>
      <c r="T184" s="75"/>
      <c r="U184" s="86"/>
      <c r="V184" s="84"/>
      <c r="W184" s="87"/>
      <c r="X184" s="84"/>
      <c r="Y184" s="84"/>
      <c r="Z184" s="84"/>
    </row>
    <row r="185" spans="1:26" ht="15.75" customHeight="1">
      <c r="A185" s="83"/>
      <c r="B185" s="83"/>
      <c r="C185" s="83"/>
      <c r="D185" s="87"/>
      <c r="E185" s="84"/>
      <c r="F185" s="84"/>
      <c r="G185" s="83"/>
      <c r="H185" s="84"/>
      <c r="I185" s="84"/>
      <c r="J185" s="84"/>
      <c r="K185" s="88"/>
      <c r="L185" s="84"/>
      <c r="M185" s="88"/>
      <c r="N185" s="84"/>
      <c r="O185" s="88"/>
      <c r="P185" s="85"/>
      <c r="Q185" s="75"/>
      <c r="R185" s="75"/>
      <c r="S185" s="75"/>
      <c r="T185" s="75"/>
      <c r="U185" s="86"/>
      <c r="V185" s="84"/>
      <c r="W185" s="87"/>
      <c r="X185" s="84"/>
      <c r="Y185" s="84"/>
      <c r="Z185" s="84"/>
    </row>
    <row r="186" spans="1:26" ht="15.75" customHeight="1">
      <c r="A186" s="83"/>
      <c r="B186" s="83"/>
      <c r="C186" s="83"/>
      <c r="D186" s="87"/>
      <c r="E186" s="84"/>
      <c r="F186" s="84"/>
      <c r="G186" s="83"/>
      <c r="H186" s="84"/>
      <c r="I186" s="84"/>
      <c r="J186" s="84"/>
      <c r="K186" s="88"/>
      <c r="L186" s="84"/>
      <c r="M186" s="88"/>
      <c r="N186" s="84"/>
      <c r="O186" s="88"/>
      <c r="P186" s="85"/>
      <c r="Q186" s="75"/>
      <c r="R186" s="75"/>
      <c r="S186" s="75"/>
      <c r="T186" s="75"/>
      <c r="U186" s="86"/>
      <c r="V186" s="84"/>
      <c r="W186" s="87"/>
      <c r="X186" s="84"/>
      <c r="Y186" s="84"/>
      <c r="Z186" s="84"/>
    </row>
    <row r="187" spans="1:26" ht="15.75" customHeight="1">
      <c r="A187" s="83"/>
      <c r="B187" s="83"/>
      <c r="C187" s="83"/>
      <c r="D187" s="87"/>
      <c r="E187" s="84"/>
      <c r="F187" s="84"/>
      <c r="G187" s="83"/>
      <c r="H187" s="84"/>
      <c r="I187" s="84"/>
      <c r="J187" s="84"/>
      <c r="K187" s="88"/>
      <c r="L187" s="84"/>
      <c r="M187" s="88"/>
      <c r="N187" s="84"/>
      <c r="O187" s="88"/>
      <c r="P187" s="85"/>
      <c r="Q187" s="75"/>
      <c r="R187" s="75"/>
      <c r="S187" s="75"/>
      <c r="T187" s="75"/>
      <c r="U187" s="86"/>
      <c r="V187" s="84"/>
      <c r="W187" s="87"/>
      <c r="X187" s="84"/>
      <c r="Y187" s="84"/>
      <c r="Z187" s="84"/>
    </row>
    <row r="188" spans="1:26" ht="15.75" customHeight="1">
      <c r="A188" s="83"/>
      <c r="B188" s="83"/>
      <c r="C188" s="83"/>
      <c r="D188" s="87"/>
      <c r="E188" s="84"/>
      <c r="F188" s="84"/>
      <c r="G188" s="83"/>
      <c r="H188" s="84"/>
      <c r="I188" s="84"/>
      <c r="J188" s="84"/>
      <c r="K188" s="88"/>
      <c r="L188" s="84"/>
      <c r="M188" s="88"/>
      <c r="N188" s="84"/>
      <c r="O188" s="88"/>
      <c r="P188" s="85"/>
      <c r="Q188" s="75"/>
      <c r="R188" s="75"/>
      <c r="S188" s="75"/>
      <c r="T188" s="75"/>
      <c r="U188" s="86"/>
      <c r="V188" s="84"/>
      <c r="W188" s="87"/>
      <c r="X188" s="84"/>
      <c r="Y188" s="84"/>
      <c r="Z188" s="84"/>
    </row>
    <row r="189" spans="1:26" ht="15.75" customHeight="1">
      <c r="A189" s="83"/>
      <c r="B189" s="83"/>
      <c r="C189" s="83"/>
      <c r="D189" s="87"/>
      <c r="E189" s="84"/>
      <c r="F189" s="84"/>
      <c r="G189" s="83"/>
      <c r="H189" s="84"/>
      <c r="I189" s="84"/>
      <c r="J189" s="84"/>
      <c r="K189" s="88"/>
      <c r="L189" s="84"/>
      <c r="M189" s="88"/>
      <c r="N189" s="84"/>
      <c r="O189" s="88"/>
      <c r="P189" s="85"/>
      <c r="Q189" s="75"/>
      <c r="R189" s="75"/>
      <c r="S189" s="75"/>
      <c r="T189" s="75"/>
      <c r="U189" s="86"/>
      <c r="V189" s="84"/>
      <c r="W189" s="87"/>
      <c r="X189" s="84"/>
      <c r="Y189" s="84"/>
      <c r="Z189" s="84"/>
    </row>
    <row r="190" spans="1:26" ht="15.75" customHeight="1">
      <c r="A190" s="83"/>
      <c r="B190" s="83"/>
      <c r="C190" s="83"/>
      <c r="D190" s="87"/>
      <c r="E190" s="84"/>
      <c r="F190" s="84"/>
      <c r="G190" s="83"/>
      <c r="H190" s="84"/>
      <c r="I190" s="84"/>
      <c r="J190" s="84"/>
      <c r="K190" s="88"/>
      <c r="L190" s="84"/>
      <c r="M190" s="88"/>
      <c r="N190" s="84"/>
      <c r="O190" s="88"/>
      <c r="P190" s="85"/>
      <c r="Q190" s="75"/>
      <c r="R190" s="75"/>
      <c r="S190" s="75"/>
      <c r="T190" s="75"/>
      <c r="U190" s="86"/>
      <c r="V190" s="84"/>
      <c r="W190" s="87"/>
      <c r="X190" s="84"/>
      <c r="Y190" s="84"/>
      <c r="Z190" s="84"/>
    </row>
    <row r="191" spans="1:26" ht="15.75" customHeight="1">
      <c r="A191" s="83"/>
      <c r="B191" s="83"/>
      <c r="C191" s="83"/>
      <c r="D191" s="87"/>
      <c r="E191" s="84"/>
      <c r="F191" s="84"/>
      <c r="G191" s="83"/>
      <c r="H191" s="84"/>
      <c r="I191" s="84"/>
      <c r="J191" s="84"/>
      <c r="K191" s="88"/>
      <c r="L191" s="84"/>
      <c r="M191" s="88"/>
      <c r="N191" s="84"/>
      <c r="O191" s="88"/>
      <c r="P191" s="85"/>
      <c r="Q191" s="75"/>
      <c r="R191" s="75"/>
      <c r="S191" s="75"/>
      <c r="T191" s="75"/>
      <c r="U191" s="86"/>
      <c r="V191" s="84"/>
      <c r="W191" s="87"/>
      <c r="X191" s="84"/>
      <c r="Y191" s="84"/>
      <c r="Z191" s="84"/>
    </row>
    <row r="192" spans="1:26" ht="15.75" customHeight="1">
      <c r="A192" s="83"/>
      <c r="B192" s="83"/>
      <c r="C192" s="83"/>
      <c r="D192" s="87"/>
      <c r="E192" s="84"/>
      <c r="F192" s="84"/>
      <c r="G192" s="83"/>
      <c r="H192" s="84"/>
      <c r="I192" s="84"/>
      <c r="J192" s="84"/>
      <c r="K192" s="88"/>
      <c r="L192" s="84"/>
      <c r="M192" s="88"/>
      <c r="N192" s="84"/>
      <c r="O192" s="88"/>
      <c r="P192" s="85"/>
      <c r="Q192" s="75"/>
      <c r="R192" s="75"/>
      <c r="S192" s="75"/>
      <c r="T192" s="75"/>
      <c r="U192" s="86"/>
      <c r="V192" s="84"/>
      <c r="W192" s="87"/>
      <c r="X192" s="84"/>
      <c r="Y192" s="84"/>
      <c r="Z192" s="84"/>
    </row>
    <row r="193" spans="1:26" ht="15.75" customHeight="1">
      <c r="A193" s="83"/>
      <c r="B193" s="83"/>
      <c r="C193" s="83"/>
      <c r="D193" s="87"/>
      <c r="E193" s="84"/>
      <c r="F193" s="84"/>
      <c r="G193" s="83"/>
      <c r="H193" s="84"/>
      <c r="I193" s="84"/>
      <c r="J193" s="84"/>
      <c r="K193" s="88"/>
      <c r="L193" s="84"/>
      <c r="M193" s="88"/>
      <c r="N193" s="84"/>
      <c r="O193" s="88"/>
      <c r="P193" s="85"/>
      <c r="Q193" s="75"/>
      <c r="R193" s="75"/>
      <c r="S193" s="75"/>
      <c r="T193" s="75"/>
      <c r="U193" s="86"/>
      <c r="V193" s="84"/>
      <c r="W193" s="87"/>
      <c r="X193" s="84"/>
      <c r="Y193" s="84"/>
      <c r="Z193" s="84"/>
    </row>
    <row r="194" spans="1:26" ht="15.75" customHeight="1">
      <c r="A194" s="83"/>
      <c r="B194" s="83"/>
      <c r="C194" s="83"/>
      <c r="D194" s="87"/>
      <c r="E194" s="84"/>
      <c r="F194" s="84"/>
      <c r="G194" s="83"/>
      <c r="H194" s="84"/>
      <c r="I194" s="84"/>
      <c r="J194" s="84"/>
      <c r="K194" s="88"/>
      <c r="L194" s="84"/>
      <c r="M194" s="88"/>
      <c r="N194" s="84"/>
      <c r="O194" s="88"/>
      <c r="P194" s="85"/>
      <c r="Q194" s="75"/>
      <c r="R194" s="75"/>
      <c r="S194" s="75"/>
      <c r="T194" s="75"/>
      <c r="U194" s="86"/>
      <c r="V194" s="84"/>
      <c r="W194" s="87"/>
      <c r="X194" s="84"/>
      <c r="Y194" s="84"/>
      <c r="Z194" s="84"/>
    </row>
    <row r="195" spans="1:26" ht="15.75" customHeight="1">
      <c r="A195" s="83"/>
      <c r="B195" s="83"/>
      <c r="C195" s="83"/>
      <c r="D195" s="87"/>
      <c r="E195" s="84"/>
      <c r="F195" s="84"/>
      <c r="G195" s="83"/>
      <c r="H195" s="84"/>
      <c r="I195" s="84"/>
      <c r="J195" s="84"/>
      <c r="K195" s="88"/>
      <c r="L195" s="84"/>
      <c r="M195" s="88"/>
      <c r="N195" s="84"/>
      <c r="O195" s="88"/>
      <c r="P195" s="85"/>
      <c r="Q195" s="75"/>
      <c r="R195" s="75"/>
      <c r="S195" s="75"/>
      <c r="T195" s="75"/>
      <c r="U195" s="86"/>
      <c r="V195" s="84"/>
      <c r="W195" s="87"/>
      <c r="X195" s="84"/>
      <c r="Y195" s="84"/>
      <c r="Z195" s="84"/>
    </row>
    <row r="196" spans="1:26" ht="15.75" customHeight="1">
      <c r="A196" s="83"/>
      <c r="B196" s="83"/>
      <c r="C196" s="83"/>
      <c r="D196" s="87"/>
      <c r="E196" s="84"/>
      <c r="F196" s="84"/>
      <c r="G196" s="83"/>
      <c r="H196" s="84"/>
      <c r="I196" s="84"/>
      <c r="J196" s="84"/>
      <c r="K196" s="88"/>
      <c r="L196" s="84"/>
      <c r="M196" s="88"/>
      <c r="N196" s="84"/>
      <c r="O196" s="88"/>
      <c r="P196" s="85"/>
      <c r="Q196" s="75"/>
      <c r="R196" s="75"/>
      <c r="S196" s="75"/>
      <c r="T196" s="75"/>
      <c r="U196" s="86"/>
      <c r="V196" s="84"/>
      <c r="W196" s="87"/>
      <c r="X196" s="84"/>
      <c r="Y196" s="84"/>
      <c r="Z196" s="84"/>
    </row>
    <row r="197" spans="1:26" ht="15.75" customHeight="1">
      <c r="A197" s="83"/>
      <c r="B197" s="83"/>
      <c r="C197" s="83"/>
      <c r="D197" s="87"/>
      <c r="E197" s="84"/>
      <c r="F197" s="84"/>
      <c r="G197" s="83"/>
      <c r="H197" s="84"/>
      <c r="I197" s="84"/>
      <c r="J197" s="84"/>
      <c r="K197" s="88"/>
      <c r="L197" s="84"/>
      <c r="M197" s="88"/>
      <c r="N197" s="84"/>
      <c r="O197" s="88"/>
      <c r="P197" s="85"/>
      <c r="Q197" s="75"/>
      <c r="R197" s="75"/>
      <c r="S197" s="75"/>
      <c r="T197" s="75"/>
      <c r="U197" s="86"/>
      <c r="V197" s="84"/>
      <c r="W197" s="87"/>
      <c r="X197" s="84"/>
      <c r="Y197" s="84"/>
      <c r="Z197" s="84"/>
    </row>
    <row r="198" spans="1:26" ht="15.75" customHeight="1">
      <c r="A198" s="83"/>
      <c r="B198" s="83"/>
      <c r="C198" s="83"/>
      <c r="D198" s="87"/>
      <c r="E198" s="84"/>
      <c r="F198" s="84"/>
      <c r="G198" s="83"/>
      <c r="H198" s="84"/>
      <c r="I198" s="84"/>
      <c r="J198" s="84"/>
      <c r="K198" s="88"/>
      <c r="L198" s="84"/>
      <c r="M198" s="88"/>
      <c r="N198" s="84"/>
      <c r="O198" s="88"/>
      <c r="P198" s="85"/>
      <c r="Q198" s="75"/>
      <c r="R198" s="75"/>
      <c r="S198" s="75"/>
      <c r="T198" s="75"/>
      <c r="U198" s="86"/>
      <c r="V198" s="84"/>
      <c r="W198" s="87"/>
      <c r="X198" s="84"/>
      <c r="Y198" s="84"/>
      <c r="Z198" s="84"/>
    </row>
    <row r="199" spans="1:26" ht="15.75" customHeight="1">
      <c r="A199" s="83"/>
      <c r="B199" s="83"/>
      <c r="C199" s="83"/>
      <c r="D199" s="87"/>
      <c r="E199" s="84"/>
      <c r="F199" s="84"/>
      <c r="G199" s="83"/>
      <c r="H199" s="84"/>
      <c r="I199" s="84"/>
      <c r="J199" s="84"/>
      <c r="K199" s="88"/>
      <c r="L199" s="84"/>
      <c r="M199" s="88"/>
      <c r="N199" s="84"/>
      <c r="O199" s="88"/>
      <c r="P199" s="85"/>
      <c r="Q199" s="75"/>
      <c r="R199" s="75"/>
      <c r="S199" s="75"/>
      <c r="T199" s="75"/>
      <c r="U199" s="86"/>
      <c r="V199" s="84"/>
      <c r="W199" s="87"/>
      <c r="X199" s="84"/>
      <c r="Y199" s="84"/>
      <c r="Z199" s="84"/>
    </row>
    <row r="200" spans="1:26" ht="15.75" customHeight="1">
      <c r="A200" s="83"/>
      <c r="B200" s="83"/>
      <c r="C200" s="83"/>
      <c r="D200" s="87"/>
      <c r="E200" s="84"/>
      <c r="F200" s="84"/>
      <c r="G200" s="83"/>
      <c r="H200" s="84"/>
      <c r="I200" s="84"/>
      <c r="J200" s="84"/>
      <c r="K200" s="88"/>
      <c r="L200" s="84"/>
      <c r="M200" s="88"/>
      <c r="N200" s="84"/>
      <c r="O200" s="88"/>
      <c r="P200" s="85"/>
      <c r="Q200" s="75"/>
      <c r="R200" s="75"/>
      <c r="S200" s="75"/>
      <c r="T200" s="75"/>
      <c r="U200" s="86"/>
      <c r="V200" s="84"/>
      <c r="W200" s="87"/>
      <c r="X200" s="84"/>
      <c r="Y200" s="84"/>
      <c r="Z200" s="84"/>
    </row>
    <row r="201" spans="1:26" ht="15.75" customHeight="1">
      <c r="A201" s="83"/>
      <c r="B201" s="83"/>
      <c r="C201" s="83"/>
      <c r="D201" s="87"/>
      <c r="E201" s="84"/>
      <c r="F201" s="84"/>
      <c r="G201" s="83"/>
      <c r="H201" s="84"/>
      <c r="I201" s="84"/>
      <c r="J201" s="84"/>
      <c r="K201" s="88"/>
      <c r="L201" s="84"/>
      <c r="M201" s="88"/>
      <c r="N201" s="84"/>
      <c r="O201" s="88"/>
      <c r="P201" s="85"/>
      <c r="Q201" s="75"/>
      <c r="R201" s="75"/>
      <c r="S201" s="75"/>
      <c r="T201" s="75"/>
      <c r="U201" s="86"/>
      <c r="V201" s="84"/>
      <c r="W201" s="87"/>
      <c r="X201" s="84"/>
      <c r="Y201" s="84"/>
      <c r="Z201" s="84"/>
    </row>
    <row r="202" spans="1:26" ht="15.75" customHeight="1">
      <c r="A202" s="83"/>
      <c r="B202" s="83"/>
      <c r="C202" s="83"/>
      <c r="D202" s="87"/>
      <c r="E202" s="84"/>
      <c r="F202" s="84"/>
      <c r="G202" s="83"/>
      <c r="H202" s="84"/>
      <c r="I202" s="84"/>
      <c r="J202" s="84"/>
      <c r="K202" s="88"/>
      <c r="L202" s="84"/>
      <c r="M202" s="88"/>
      <c r="N202" s="84"/>
      <c r="O202" s="88"/>
      <c r="P202" s="85"/>
      <c r="Q202" s="75"/>
      <c r="R202" s="75"/>
      <c r="S202" s="75"/>
      <c r="T202" s="75"/>
      <c r="U202" s="86"/>
      <c r="V202" s="84"/>
      <c r="W202" s="87"/>
      <c r="X202" s="84"/>
      <c r="Y202" s="84"/>
      <c r="Z202" s="84"/>
    </row>
    <row r="203" spans="1:26" ht="15.75" customHeight="1">
      <c r="A203" s="83"/>
      <c r="B203" s="83"/>
      <c r="C203" s="83"/>
      <c r="D203" s="87"/>
      <c r="E203" s="84"/>
      <c r="F203" s="84"/>
      <c r="G203" s="83"/>
      <c r="H203" s="84"/>
      <c r="I203" s="84"/>
      <c r="J203" s="84"/>
      <c r="K203" s="88"/>
      <c r="L203" s="84"/>
      <c r="M203" s="88"/>
      <c r="N203" s="84"/>
      <c r="O203" s="88"/>
      <c r="P203" s="85"/>
      <c r="Q203" s="75"/>
      <c r="R203" s="75"/>
      <c r="S203" s="75"/>
      <c r="T203" s="75"/>
      <c r="U203" s="86"/>
      <c r="V203" s="84"/>
      <c r="W203" s="87"/>
      <c r="X203" s="84"/>
      <c r="Y203" s="84"/>
      <c r="Z203" s="84"/>
    </row>
    <row r="204" spans="1:26" ht="15.75" customHeight="1">
      <c r="A204" s="83"/>
      <c r="B204" s="83"/>
      <c r="C204" s="83"/>
      <c r="D204" s="87"/>
      <c r="E204" s="84"/>
      <c r="F204" s="84"/>
      <c r="G204" s="83"/>
      <c r="H204" s="84"/>
      <c r="I204" s="84"/>
      <c r="J204" s="84"/>
      <c r="K204" s="88"/>
      <c r="L204" s="84"/>
      <c r="M204" s="88"/>
      <c r="N204" s="84"/>
      <c r="O204" s="88"/>
      <c r="P204" s="85"/>
      <c r="Q204" s="75"/>
      <c r="R204" s="75"/>
      <c r="S204" s="75"/>
      <c r="T204" s="75"/>
      <c r="U204" s="86"/>
      <c r="V204" s="84"/>
      <c r="W204" s="87"/>
      <c r="X204" s="84"/>
      <c r="Y204" s="84"/>
      <c r="Z204" s="84"/>
    </row>
    <row r="205" spans="1:26" ht="15.75" customHeight="1">
      <c r="A205" s="83"/>
      <c r="B205" s="83"/>
      <c r="C205" s="83"/>
      <c r="D205" s="87"/>
      <c r="E205" s="84"/>
      <c r="F205" s="84"/>
      <c r="G205" s="83"/>
      <c r="H205" s="84"/>
      <c r="I205" s="84"/>
      <c r="J205" s="84"/>
      <c r="K205" s="88"/>
      <c r="L205" s="84"/>
      <c r="M205" s="88"/>
      <c r="N205" s="84"/>
      <c r="O205" s="88"/>
      <c r="P205" s="85"/>
      <c r="Q205" s="75"/>
      <c r="R205" s="75"/>
      <c r="S205" s="75"/>
      <c r="T205" s="75"/>
      <c r="U205" s="86"/>
      <c r="V205" s="84"/>
      <c r="W205" s="87"/>
      <c r="X205" s="84"/>
      <c r="Y205" s="84"/>
      <c r="Z205" s="84"/>
    </row>
    <row r="206" spans="1:26" ht="15.75" customHeight="1">
      <c r="A206" s="83"/>
      <c r="B206" s="83"/>
      <c r="C206" s="83"/>
      <c r="D206" s="87"/>
      <c r="E206" s="84"/>
      <c r="F206" s="84"/>
      <c r="G206" s="83"/>
      <c r="H206" s="84"/>
      <c r="I206" s="84"/>
      <c r="J206" s="84"/>
      <c r="K206" s="88"/>
      <c r="L206" s="84"/>
      <c r="M206" s="88"/>
      <c r="N206" s="84"/>
      <c r="O206" s="88"/>
      <c r="P206" s="85"/>
      <c r="Q206" s="75"/>
      <c r="R206" s="75"/>
      <c r="S206" s="75"/>
      <c r="T206" s="75"/>
      <c r="U206" s="86"/>
      <c r="V206" s="84"/>
      <c r="W206" s="87"/>
      <c r="X206" s="84"/>
      <c r="Y206" s="84"/>
      <c r="Z206" s="84"/>
    </row>
    <row r="207" spans="1:26" ht="15.75" customHeight="1">
      <c r="A207" s="83"/>
      <c r="B207" s="83"/>
      <c r="C207" s="83"/>
      <c r="D207" s="87"/>
      <c r="E207" s="84"/>
      <c r="F207" s="84"/>
      <c r="G207" s="83"/>
      <c r="H207" s="84"/>
      <c r="I207" s="84"/>
      <c r="J207" s="84"/>
      <c r="K207" s="88"/>
      <c r="L207" s="84"/>
      <c r="M207" s="88"/>
      <c r="N207" s="84"/>
      <c r="O207" s="88"/>
      <c r="P207" s="85"/>
      <c r="Q207" s="75"/>
      <c r="R207" s="75"/>
      <c r="S207" s="75"/>
      <c r="T207" s="75"/>
      <c r="U207" s="86"/>
      <c r="V207" s="84"/>
      <c r="W207" s="87"/>
      <c r="X207" s="84"/>
      <c r="Y207" s="84"/>
      <c r="Z207" s="84"/>
    </row>
    <row r="208" spans="1:26" ht="15.75" customHeight="1">
      <c r="A208" s="83"/>
      <c r="B208" s="83"/>
      <c r="C208" s="83"/>
      <c r="D208" s="87"/>
      <c r="E208" s="84"/>
      <c r="F208" s="84"/>
      <c r="G208" s="83"/>
      <c r="H208" s="84"/>
      <c r="I208" s="84"/>
      <c r="J208" s="84"/>
      <c r="K208" s="88"/>
      <c r="L208" s="84"/>
      <c r="M208" s="88"/>
      <c r="N208" s="84"/>
      <c r="O208" s="88"/>
      <c r="P208" s="85"/>
      <c r="Q208" s="75"/>
      <c r="R208" s="75"/>
      <c r="S208" s="75"/>
      <c r="T208" s="75"/>
      <c r="U208" s="86"/>
      <c r="V208" s="84"/>
      <c r="W208" s="87"/>
      <c r="X208" s="84"/>
      <c r="Y208" s="84"/>
      <c r="Z208" s="84"/>
    </row>
    <row r="209" spans="1:26" ht="15.75" customHeight="1">
      <c r="A209" s="83"/>
      <c r="B209" s="83"/>
      <c r="C209" s="83"/>
      <c r="D209" s="87"/>
      <c r="E209" s="84"/>
      <c r="F209" s="84"/>
      <c r="G209" s="83"/>
      <c r="H209" s="84"/>
      <c r="I209" s="84"/>
      <c r="J209" s="84"/>
      <c r="K209" s="88"/>
      <c r="L209" s="84"/>
      <c r="M209" s="88"/>
      <c r="N209" s="84"/>
      <c r="O209" s="88"/>
      <c r="P209" s="85"/>
      <c r="Q209" s="75"/>
      <c r="R209" s="75"/>
      <c r="S209" s="75"/>
      <c r="T209" s="75"/>
      <c r="U209" s="86"/>
      <c r="V209" s="84"/>
      <c r="W209" s="87"/>
      <c r="X209" s="84"/>
      <c r="Y209" s="84"/>
      <c r="Z209" s="84"/>
    </row>
    <row r="210" spans="1:26" ht="15.75" customHeight="1">
      <c r="A210" s="83"/>
      <c r="B210" s="83"/>
      <c r="C210" s="83"/>
      <c r="D210" s="87"/>
      <c r="E210" s="84"/>
      <c r="F210" s="84"/>
      <c r="G210" s="83"/>
      <c r="H210" s="84"/>
      <c r="I210" s="84"/>
      <c r="J210" s="84"/>
      <c r="K210" s="88"/>
      <c r="L210" s="84"/>
      <c r="M210" s="88"/>
      <c r="N210" s="84"/>
      <c r="O210" s="88"/>
      <c r="P210" s="85"/>
      <c r="Q210" s="75"/>
      <c r="R210" s="75"/>
      <c r="S210" s="75"/>
      <c r="T210" s="75"/>
      <c r="U210" s="86"/>
      <c r="V210" s="84"/>
      <c r="W210" s="87"/>
      <c r="X210" s="84"/>
      <c r="Y210" s="84"/>
      <c r="Z210" s="84"/>
    </row>
    <row r="211" spans="1:26" ht="15.75" customHeight="1">
      <c r="A211" s="83"/>
      <c r="B211" s="83"/>
      <c r="C211" s="83"/>
      <c r="D211" s="87"/>
      <c r="E211" s="84"/>
      <c r="F211" s="84"/>
      <c r="G211" s="83"/>
      <c r="H211" s="84"/>
      <c r="I211" s="84"/>
      <c r="J211" s="84"/>
      <c r="K211" s="88"/>
      <c r="L211" s="84"/>
      <c r="M211" s="88"/>
      <c r="N211" s="84"/>
      <c r="O211" s="88"/>
      <c r="P211" s="85"/>
      <c r="Q211" s="75"/>
      <c r="R211" s="75"/>
      <c r="S211" s="75"/>
      <c r="T211" s="75"/>
      <c r="U211" s="86"/>
      <c r="V211" s="84"/>
      <c r="W211" s="87"/>
      <c r="X211" s="84"/>
      <c r="Y211" s="84"/>
      <c r="Z211" s="84"/>
    </row>
    <row r="212" spans="1:26" ht="15.75" customHeight="1">
      <c r="A212" s="83"/>
      <c r="B212" s="83"/>
      <c r="C212" s="83"/>
      <c r="D212" s="87"/>
      <c r="E212" s="84"/>
      <c r="F212" s="84"/>
      <c r="G212" s="83"/>
      <c r="H212" s="84"/>
      <c r="I212" s="84"/>
      <c r="J212" s="84"/>
      <c r="K212" s="88"/>
      <c r="L212" s="84"/>
      <c r="M212" s="88"/>
      <c r="N212" s="84"/>
      <c r="O212" s="88"/>
      <c r="P212" s="85"/>
      <c r="Q212" s="75"/>
      <c r="R212" s="75"/>
      <c r="S212" s="75"/>
      <c r="T212" s="75"/>
      <c r="U212" s="86"/>
      <c r="V212" s="84"/>
      <c r="W212" s="87"/>
      <c r="X212" s="84"/>
      <c r="Y212" s="84"/>
      <c r="Z212" s="84"/>
    </row>
    <row r="213" spans="1:26" ht="15.75" customHeight="1">
      <c r="A213" s="83"/>
      <c r="B213" s="83"/>
      <c r="C213" s="83"/>
      <c r="D213" s="87"/>
      <c r="E213" s="84"/>
      <c r="F213" s="84"/>
      <c r="G213" s="83"/>
      <c r="H213" s="84"/>
      <c r="I213" s="84"/>
      <c r="J213" s="84"/>
      <c r="K213" s="88"/>
      <c r="L213" s="84"/>
      <c r="M213" s="88"/>
      <c r="N213" s="84"/>
      <c r="O213" s="88"/>
      <c r="P213" s="85"/>
      <c r="Q213" s="75"/>
      <c r="R213" s="75"/>
      <c r="S213" s="75"/>
      <c r="T213" s="75"/>
      <c r="U213" s="86"/>
      <c r="V213" s="84"/>
      <c r="W213" s="87"/>
      <c r="X213" s="84"/>
      <c r="Y213" s="84"/>
      <c r="Z213" s="84"/>
    </row>
    <row r="214" spans="1:26" ht="15.75" customHeight="1">
      <c r="A214" s="83"/>
      <c r="B214" s="83"/>
      <c r="C214" s="83"/>
      <c r="D214" s="87"/>
      <c r="E214" s="84"/>
      <c r="F214" s="84"/>
      <c r="G214" s="83"/>
      <c r="H214" s="84"/>
      <c r="I214" s="84"/>
      <c r="J214" s="84"/>
      <c r="K214" s="88"/>
      <c r="L214" s="84"/>
      <c r="M214" s="88"/>
      <c r="N214" s="84"/>
      <c r="O214" s="88"/>
      <c r="P214" s="85"/>
      <c r="Q214" s="75"/>
      <c r="R214" s="75"/>
      <c r="S214" s="75"/>
      <c r="T214" s="75"/>
      <c r="U214" s="86"/>
      <c r="V214" s="84"/>
      <c r="W214" s="87"/>
      <c r="X214" s="84"/>
      <c r="Y214" s="84"/>
      <c r="Z214" s="84"/>
    </row>
    <row r="215" spans="1:26" ht="15.75" customHeight="1">
      <c r="A215" s="83"/>
      <c r="B215" s="83"/>
      <c r="C215" s="83"/>
      <c r="D215" s="87"/>
      <c r="E215" s="84"/>
      <c r="F215" s="84"/>
      <c r="G215" s="83"/>
      <c r="H215" s="84"/>
      <c r="I215" s="84"/>
      <c r="J215" s="84"/>
      <c r="K215" s="88"/>
      <c r="L215" s="84"/>
      <c r="M215" s="88"/>
      <c r="N215" s="84"/>
      <c r="O215" s="88"/>
      <c r="P215" s="85"/>
      <c r="Q215" s="75"/>
      <c r="R215" s="75"/>
      <c r="S215" s="75"/>
      <c r="T215" s="75"/>
      <c r="U215" s="86"/>
      <c r="V215" s="84"/>
      <c r="W215" s="87"/>
      <c r="X215" s="84"/>
      <c r="Y215" s="84"/>
      <c r="Z215" s="84"/>
    </row>
    <row r="216" spans="1:26" ht="15.75" customHeight="1">
      <c r="A216" s="83"/>
      <c r="B216" s="83"/>
      <c r="C216" s="83"/>
      <c r="D216" s="87"/>
      <c r="E216" s="84"/>
      <c r="F216" s="84"/>
      <c r="G216" s="83"/>
      <c r="H216" s="84"/>
      <c r="I216" s="84"/>
      <c r="J216" s="84"/>
      <c r="K216" s="88"/>
      <c r="L216" s="84"/>
      <c r="M216" s="88"/>
      <c r="N216" s="84"/>
      <c r="O216" s="88"/>
      <c r="P216" s="85"/>
      <c r="Q216" s="75"/>
      <c r="R216" s="75"/>
      <c r="S216" s="75"/>
      <c r="T216" s="75"/>
      <c r="U216" s="86"/>
      <c r="V216" s="84"/>
      <c r="W216" s="87"/>
      <c r="X216" s="84"/>
      <c r="Y216" s="84"/>
      <c r="Z216" s="84"/>
    </row>
    <row r="217" spans="1:26" ht="15.75" customHeight="1">
      <c r="A217" s="83"/>
      <c r="B217" s="83"/>
      <c r="C217" s="83"/>
      <c r="D217" s="87"/>
      <c r="E217" s="84"/>
      <c r="F217" s="84"/>
      <c r="G217" s="83"/>
      <c r="H217" s="84"/>
      <c r="I217" s="84"/>
      <c r="J217" s="84"/>
      <c r="K217" s="88"/>
      <c r="L217" s="84"/>
      <c r="M217" s="88"/>
      <c r="N217" s="84"/>
      <c r="O217" s="88"/>
      <c r="P217" s="85"/>
      <c r="Q217" s="75"/>
      <c r="R217" s="75"/>
      <c r="S217" s="75"/>
      <c r="T217" s="75"/>
      <c r="U217" s="86"/>
      <c r="V217" s="84"/>
      <c r="W217" s="87"/>
      <c r="X217" s="84"/>
      <c r="Y217" s="84"/>
      <c r="Z217" s="84"/>
    </row>
    <row r="218" spans="1:26" ht="15.75" customHeight="1">
      <c r="A218" s="83"/>
      <c r="B218" s="83"/>
      <c r="C218" s="83"/>
      <c r="D218" s="87"/>
      <c r="E218" s="84"/>
      <c r="F218" s="84"/>
      <c r="G218" s="83"/>
      <c r="H218" s="84"/>
      <c r="I218" s="84"/>
      <c r="J218" s="84"/>
      <c r="K218" s="88"/>
      <c r="L218" s="84"/>
      <c r="M218" s="88"/>
      <c r="N218" s="84"/>
      <c r="O218" s="88"/>
      <c r="P218" s="85"/>
      <c r="Q218" s="75"/>
      <c r="R218" s="75"/>
      <c r="S218" s="75"/>
      <c r="T218" s="75"/>
      <c r="U218" s="86"/>
      <c r="V218" s="84"/>
      <c r="W218" s="87"/>
      <c r="X218" s="84"/>
      <c r="Y218" s="84"/>
      <c r="Z218" s="84"/>
    </row>
    <row r="219" spans="1:26" ht="15.75" customHeight="1">
      <c r="A219" s="83"/>
      <c r="B219" s="83"/>
      <c r="C219" s="83"/>
      <c r="D219" s="87"/>
      <c r="E219" s="84"/>
      <c r="F219" s="84"/>
      <c r="G219" s="83"/>
      <c r="H219" s="84"/>
      <c r="I219" s="84"/>
      <c r="J219" s="84"/>
      <c r="K219" s="88"/>
      <c r="L219" s="84"/>
      <c r="M219" s="88"/>
      <c r="N219" s="84"/>
      <c r="O219" s="88"/>
      <c r="P219" s="85"/>
      <c r="Q219" s="75"/>
      <c r="R219" s="75"/>
      <c r="S219" s="75"/>
      <c r="T219" s="75"/>
      <c r="U219" s="86"/>
      <c r="V219" s="84"/>
      <c r="W219" s="87"/>
      <c r="X219" s="84"/>
      <c r="Y219" s="84"/>
      <c r="Z219" s="84"/>
    </row>
    <row r="220" spans="1:26" ht="15.75" customHeight="1">
      <c r="A220" s="83"/>
      <c r="B220" s="83"/>
      <c r="C220" s="83"/>
      <c r="D220" s="87"/>
      <c r="E220" s="84"/>
      <c r="F220" s="84"/>
      <c r="G220" s="83"/>
      <c r="H220" s="84"/>
      <c r="I220" s="84"/>
      <c r="J220" s="84"/>
      <c r="K220" s="88"/>
      <c r="L220" s="84"/>
      <c r="M220" s="88"/>
      <c r="N220" s="84"/>
      <c r="O220" s="88"/>
      <c r="P220" s="85"/>
      <c r="Q220" s="75"/>
      <c r="R220" s="75"/>
      <c r="S220" s="75"/>
      <c r="T220" s="75"/>
      <c r="U220" s="86"/>
      <c r="V220" s="84"/>
      <c r="W220" s="87"/>
      <c r="X220" s="84"/>
      <c r="Y220" s="84"/>
      <c r="Z220" s="84"/>
    </row>
    <row r="221" spans="1:26" ht="15.75" customHeight="1">
      <c r="A221" s="83"/>
      <c r="B221" s="83"/>
      <c r="C221" s="83"/>
      <c r="D221" s="87"/>
      <c r="E221" s="84"/>
      <c r="F221" s="84"/>
      <c r="G221" s="83"/>
      <c r="H221" s="84"/>
      <c r="I221" s="84"/>
      <c r="J221" s="84"/>
      <c r="K221" s="88"/>
      <c r="L221" s="84"/>
      <c r="M221" s="88"/>
      <c r="N221" s="84"/>
      <c r="O221" s="88"/>
      <c r="P221" s="85"/>
      <c r="Q221" s="75"/>
      <c r="R221" s="75"/>
      <c r="S221" s="75"/>
      <c r="T221" s="75"/>
      <c r="U221" s="86"/>
      <c r="V221" s="84"/>
      <c r="W221" s="87"/>
      <c r="X221" s="84"/>
      <c r="Y221" s="84"/>
      <c r="Z221" s="84"/>
    </row>
    <row r="222" spans="1:26" ht="15.75" customHeight="1">
      <c r="A222" s="83"/>
      <c r="B222" s="83"/>
      <c r="C222" s="83"/>
      <c r="D222" s="87"/>
      <c r="E222" s="84"/>
      <c r="F222" s="84"/>
      <c r="G222" s="83"/>
      <c r="H222" s="84"/>
      <c r="I222" s="84"/>
      <c r="J222" s="84"/>
      <c r="K222" s="88"/>
      <c r="L222" s="84"/>
      <c r="M222" s="88"/>
      <c r="N222" s="84"/>
      <c r="O222" s="88"/>
      <c r="P222" s="85"/>
      <c r="Q222" s="75"/>
      <c r="R222" s="75"/>
      <c r="S222" s="75"/>
      <c r="T222" s="75"/>
      <c r="U222" s="86"/>
      <c r="V222" s="84"/>
      <c r="W222" s="87"/>
      <c r="X222" s="84"/>
      <c r="Y222" s="84"/>
      <c r="Z222" s="84"/>
    </row>
    <row r="223" spans="1:26" ht="15.75" customHeight="1">
      <c r="A223" s="83"/>
      <c r="B223" s="83"/>
      <c r="C223" s="83"/>
      <c r="D223" s="87"/>
      <c r="E223" s="84"/>
      <c r="F223" s="84"/>
      <c r="G223" s="83"/>
      <c r="H223" s="84"/>
      <c r="I223" s="84"/>
      <c r="J223" s="84"/>
      <c r="K223" s="88"/>
      <c r="L223" s="84"/>
      <c r="M223" s="88"/>
      <c r="N223" s="84"/>
      <c r="O223" s="88"/>
      <c r="P223" s="85"/>
      <c r="Q223" s="75"/>
      <c r="R223" s="75"/>
      <c r="S223" s="75"/>
      <c r="T223" s="75"/>
      <c r="U223" s="86"/>
      <c r="V223" s="84"/>
      <c r="W223" s="87"/>
      <c r="X223" s="84"/>
      <c r="Y223" s="84"/>
      <c r="Z223" s="84"/>
    </row>
    <row r="224" spans="1:26" ht="15.75" customHeight="1">
      <c r="A224" s="83"/>
      <c r="B224" s="83"/>
      <c r="C224" s="83"/>
      <c r="D224" s="87"/>
      <c r="E224" s="84"/>
      <c r="F224" s="84"/>
      <c r="G224" s="83"/>
      <c r="H224" s="84"/>
      <c r="I224" s="84"/>
      <c r="J224" s="84"/>
      <c r="K224" s="88"/>
      <c r="L224" s="84"/>
      <c r="M224" s="88"/>
      <c r="N224" s="84"/>
      <c r="O224" s="88"/>
      <c r="P224" s="85"/>
      <c r="Q224" s="75"/>
      <c r="R224" s="75"/>
      <c r="S224" s="75"/>
      <c r="T224" s="75"/>
      <c r="U224" s="86"/>
      <c r="V224" s="84"/>
      <c r="W224" s="87"/>
      <c r="X224" s="84"/>
      <c r="Y224" s="84"/>
      <c r="Z224" s="84"/>
    </row>
    <row r="225" spans="1:26" ht="15.75" customHeight="1">
      <c r="A225" s="83"/>
      <c r="B225" s="83"/>
      <c r="C225" s="83"/>
      <c r="D225" s="87"/>
      <c r="E225" s="84"/>
      <c r="F225" s="84"/>
      <c r="G225" s="83"/>
      <c r="H225" s="84"/>
      <c r="I225" s="84"/>
      <c r="J225" s="84"/>
      <c r="K225" s="88"/>
      <c r="L225" s="84"/>
      <c r="M225" s="88"/>
      <c r="N225" s="84"/>
      <c r="O225" s="88"/>
      <c r="P225" s="85"/>
      <c r="Q225" s="75"/>
      <c r="R225" s="75"/>
      <c r="S225" s="75"/>
      <c r="T225" s="75"/>
      <c r="U225" s="86"/>
      <c r="V225" s="84"/>
      <c r="W225" s="87"/>
      <c r="X225" s="84"/>
      <c r="Y225" s="84"/>
      <c r="Z225" s="84"/>
    </row>
    <row r="226" spans="1:26" ht="15.75" customHeight="1">
      <c r="A226" s="83"/>
      <c r="B226" s="83"/>
      <c r="C226" s="83"/>
      <c r="D226" s="87"/>
      <c r="E226" s="84"/>
      <c r="F226" s="84"/>
      <c r="G226" s="83"/>
      <c r="H226" s="84"/>
      <c r="I226" s="84"/>
      <c r="J226" s="84"/>
      <c r="K226" s="88"/>
      <c r="L226" s="84"/>
      <c r="M226" s="88"/>
      <c r="N226" s="84"/>
      <c r="O226" s="88"/>
      <c r="P226" s="85"/>
      <c r="Q226" s="75"/>
      <c r="R226" s="75"/>
      <c r="S226" s="75"/>
      <c r="T226" s="75"/>
      <c r="U226" s="86"/>
      <c r="V226" s="84"/>
      <c r="W226" s="87"/>
      <c r="X226" s="84"/>
      <c r="Y226" s="84"/>
      <c r="Z226" s="84"/>
    </row>
    <row r="227" spans="1:26" ht="15.75" customHeight="1">
      <c r="A227" s="83"/>
      <c r="B227" s="83"/>
      <c r="C227" s="83"/>
      <c r="D227" s="87"/>
      <c r="E227" s="84"/>
      <c r="F227" s="84"/>
      <c r="G227" s="83"/>
      <c r="H227" s="84"/>
      <c r="I227" s="84"/>
      <c r="J227" s="84"/>
      <c r="K227" s="88"/>
      <c r="L227" s="84"/>
      <c r="M227" s="88"/>
      <c r="N227" s="84"/>
      <c r="O227" s="88"/>
      <c r="P227" s="85"/>
      <c r="Q227" s="75"/>
      <c r="R227" s="75"/>
      <c r="S227" s="75"/>
      <c r="T227" s="75"/>
      <c r="U227" s="86"/>
      <c r="V227" s="84"/>
      <c r="W227" s="87"/>
      <c r="X227" s="84"/>
      <c r="Y227" s="84"/>
      <c r="Z227" s="84"/>
    </row>
    <row r="228" spans="1:26" ht="15.75" customHeight="1">
      <c r="A228" s="83"/>
      <c r="B228" s="83"/>
      <c r="C228" s="83"/>
      <c r="D228" s="87"/>
      <c r="E228" s="84"/>
      <c r="F228" s="84"/>
      <c r="G228" s="83"/>
      <c r="H228" s="84"/>
      <c r="I228" s="84"/>
      <c r="J228" s="84"/>
      <c r="K228" s="88"/>
      <c r="L228" s="84"/>
      <c r="M228" s="88"/>
      <c r="N228" s="84"/>
      <c r="O228" s="88"/>
      <c r="P228" s="85"/>
      <c r="Q228" s="75"/>
      <c r="R228" s="75"/>
      <c r="S228" s="75"/>
      <c r="T228" s="75"/>
      <c r="U228" s="86"/>
      <c r="V228" s="84"/>
      <c r="W228" s="87"/>
      <c r="X228" s="84"/>
      <c r="Y228" s="84"/>
      <c r="Z228" s="84"/>
    </row>
    <row r="229" spans="1:26" ht="15.75" customHeight="1">
      <c r="A229" s="83"/>
      <c r="B229" s="83"/>
      <c r="C229" s="83"/>
      <c r="D229" s="87"/>
      <c r="E229" s="84"/>
      <c r="F229" s="84"/>
      <c r="G229" s="83"/>
      <c r="H229" s="84"/>
      <c r="I229" s="84"/>
      <c r="J229" s="84"/>
      <c r="K229" s="88"/>
      <c r="L229" s="84"/>
      <c r="M229" s="88"/>
      <c r="N229" s="84"/>
      <c r="O229" s="88"/>
      <c r="P229" s="85"/>
      <c r="Q229" s="75"/>
      <c r="R229" s="75"/>
      <c r="S229" s="75"/>
      <c r="T229" s="75"/>
      <c r="U229" s="86"/>
      <c r="V229" s="84"/>
      <c r="W229" s="87"/>
      <c r="X229" s="84"/>
      <c r="Y229" s="84"/>
      <c r="Z229" s="84"/>
    </row>
    <row r="230" spans="1:26" ht="15.75" customHeight="1">
      <c r="A230" s="83"/>
      <c r="B230" s="83"/>
      <c r="C230" s="83"/>
      <c r="D230" s="87"/>
      <c r="E230" s="84"/>
      <c r="F230" s="84"/>
      <c r="G230" s="83"/>
      <c r="H230" s="84"/>
      <c r="I230" s="84"/>
      <c r="J230" s="84"/>
      <c r="K230" s="88"/>
      <c r="L230" s="84"/>
      <c r="M230" s="88"/>
      <c r="N230" s="84"/>
      <c r="O230" s="88"/>
      <c r="P230" s="85"/>
      <c r="Q230" s="75"/>
      <c r="R230" s="75"/>
      <c r="S230" s="75"/>
      <c r="T230" s="75"/>
      <c r="U230" s="86"/>
      <c r="V230" s="84"/>
      <c r="W230" s="87"/>
      <c r="X230" s="84"/>
      <c r="Y230" s="84"/>
      <c r="Z230" s="84"/>
    </row>
    <row r="231" spans="1:26" ht="15.75" customHeight="1">
      <c r="A231" s="83"/>
      <c r="B231" s="83"/>
      <c r="C231" s="83"/>
      <c r="D231" s="87"/>
      <c r="E231" s="84"/>
      <c r="F231" s="84"/>
      <c r="G231" s="83"/>
      <c r="H231" s="84"/>
      <c r="I231" s="84"/>
      <c r="J231" s="84"/>
      <c r="K231" s="88"/>
      <c r="L231" s="84"/>
      <c r="M231" s="88"/>
      <c r="N231" s="84"/>
      <c r="O231" s="88"/>
      <c r="P231" s="85"/>
      <c r="Q231" s="75"/>
      <c r="R231" s="75"/>
      <c r="S231" s="75"/>
      <c r="T231" s="75"/>
      <c r="U231" s="86"/>
      <c r="V231" s="84"/>
      <c r="W231" s="87"/>
      <c r="X231" s="84"/>
      <c r="Y231" s="84"/>
      <c r="Z231" s="84"/>
    </row>
    <row r="232" spans="1:26" ht="15.75" customHeight="1">
      <c r="A232" s="83"/>
      <c r="B232" s="83"/>
      <c r="C232" s="83"/>
      <c r="D232" s="87"/>
      <c r="E232" s="84"/>
      <c r="F232" s="84"/>
      <c r="G232" s="83"/>
      <c r="H232" s="84"/>
      <c r="I232" s="84"/>
      <c r="J232" s="84"/>
      <c r="K232" s="88"/>
      <c r="L232" s="84"/>
      <c r="M232" s="88"/>
      <c r="N232" s="84"/>
      <c r="O232" s="88"/>
      <c r="P232" s="85"/>
      <c r="Q232" s="75"/>
      <c r="R232" s="75"/>
      <c r="S232" s="75"/>
      <c r="T232" s="75"/>
      <c r="U232" s="86"/>
      <c r="V232" s="84"/>
      <c r="W232" s="87"/>
      <c r="X232" s="84"/>
      <c r="Y232" s="84"/>
      <c r="Z232" s="84"/>
    </row>
    <row r="233" spans="1:26" ht="15.75" customHeight="1">
      <c r="A233" s="83"/>
      <c r="B233" s="83"/>
      <c r="C233" s="83"/>
      <c r="D233" s="87"/>
      <c r="E233" s="84"/>
      <c r="F233" s="84"/>
      <c r="G233" s="83"/>
      <c r="H233" s="84"/>
      <c r="I233" s="84"/>
      <c r="J233" s="84"/>
      <c r="K233" s="88"/>
      <c r="L233" s="84"/>
      <c r="M233" s="88"/>
      <c r="N233" s="84"/>
      <c r="O233" s="88"/>
      <c r="P233" s="85"/>
      <c r="Q233" s="75"/>
      <c r="R233" s="75"/>
      <c r="S233" s="75"/>
      <c r="T233" s="75"/>
      <c r="U233" s="86"/>
      <c r="V233" s="84"/>
      <c r="W233" s="87"/>
      <c r="X233" s="84"/>
      <c r="Y233" s="84"/>
      <c r="Z233" s="84"/>
    </row>
    <row r="234" spans="1:26" ht="15.75" customHeight="1">
      <c r="A234" s="83"/>
      <c r="B234" s="83"/>
      <c r="C234" s="83"/>
      <c r="D234" s="87"/>
      <c r="E234" s="84"/>
      <c r="F234" s="84"/>
      <c r="G234" s="83"/>
      <c r="H234" s="84"/>
      <c r="I234" s="84"/>
      <c r="J234" s="84"/>
      <c r="K234" s="88"/>
      <c r="L234" s="84"/>
      <c r="M234" s="88"/>
      <c r="N234" s="84"/>
      <c r="O234" s="88"/>
      <c r="P234" s="85"/>
      <c r="Q234" s="75"/>
      <c r="R234" s="75"/>
      <c r="S234" s="75"/>
      <c r="T234" s="75"/>
      <c r="U234" s="86"/>
      <c r="V234" s="84"/>
      <c r="W234" s="87"/>
      <c r="X234" s="84"/>
      <c r="Y234" s="84"/>
      <c r="Z234" s="84"/>
    </row>
    <row r="235" spans="1:26" ht="15.75" customHeight="1">
      <c r="A235" s="83"/>
      <c r="B235" s="83"/>
      <c r="C235" s="83"/>
      <c r="D235" s="87"/>
      <c r="E235" s="84"/>
      <c r="F235" s="84"/>
      <c r="G235" s="83"/>
      <c r="H235" s="84"/>
      <c r="I235" s="84"/>
      <c r="J235" s="84"/>
      <c r="K235" s="88"/>
      <c r="L235" s="84"/>
      <c r="M235" s="88"/>
      <c r="N235" s="84"/>
      <c r="O235" s="88"/>
      <c r="P235" s="85"/>
      <c r="Q235" s="75"/>
      <c r="R235" s="75"/>
      <c r="S235" s="75"/>
      <c r="T235" s="75"/>
      <c r="U235" s="86"/>
      <c r="V235" s="84"/>
      <c r="W235" s="87"/>
      <c r="X235" s="84"/>
      <c r="Y235" s="84"/>
      <c r="Z235" s="84"/>
    </row>
    <row r="236" spans="1:26" ht="15.75" customHeight="1">
      <c r="A236" s="83"/>
      <c r="B236" s="83"/>
      <c r="C236" s="83"/>
      <c r="D236" s="87"/>
      <c r="E236" s="84"/>
      <c r="F236" s="84"/>
      <c r="G236" s="83"/>
      <c r="H236" s="84"/>
      <c r="I236" s="84"/>
      <c r="J236" s="84"/>
      <c r="K236" s="88"/>
      <c r="L236" s="84"/>
      <c r="M236" s="88"/>
      <c r="N236" s="84"/>
      <c r="O236" s="88"/>
      <c r="P236" s="85"/>
      <c r="Q236" s="75"/>
      <c r="R236" s="75"/>
      <c r="S236" s="75"/>
      <c r="T236" s="75"/>
      <c r="U236" s="86"/>
      <c r="V236" s="84"/>
      <c r="W236" s="87"/>
      <c r="X236" s="84"/>
      <c r="Y236" s="84"/>
      <c r="Z236" s="84"/>
    </row>
    <row r="237" spans="1:26" ht="15.75" customHeight="1">
      <c r="A237" s="83"/>
      <c r="B237" s="83"/>
      <c r="C237" s="83"/>
      <c r="D237" s="87"/>
      <c r="E237" s="84"/>
      <c r="F237" s="84"/>
      <c r="G237" s="83"/>
      <c r="H237" s="84"/>
      <c r="I237" s="84"/>
      <c r="J237" s="84"/>
      <c r="K237" s="88"/>
      <c r="L237" s="84"/>
      <c r="M237" s="88"/>
      <c r="N237" s="84"/>
      <c r="O237" s="88"/>
      <c r="P237" s="85"/>
      <c r="Q237" s="75"/>
      <c r="R237" s="75"/>
      <c r="S237" s="75"/>
      <c r="T237" s="75"/>
      <c r="U237" s="86"/>
      <c r="V237" s="84"/>
      <c r="W237" s="87"/>
      <c r="X237" s="84"/>
      <c r="Y237" s="84"/>
      <c r="Z237" s="84"/>
    </row>
    <row r="238" spans="1:26" ht="15.75" customHeight="1">
      <c r="A238" s="83"/>
      <c r="B238" s="83"/>
      <c r="C238" s="83"/>
      <c r="D238" s="87"/>
      <c r="E238" s="84"/>
      <c r="F238" s="84"/>
      <c r="G238" s="83"/>
      <c r="H238" s="84"/>
      <c r="I238" s="84"/>
      <c r="J238" s="84"/>
      <c r="K238" s="88"/>
      <c r="L238" s="84"/>
      <c r="M238" s="88"/>
      <c r="N238" s="84"/>
      <c r="O238" s="88"/>
      <c r="P238" s="85"/>
      <c r="Q238" s="75"/>
      <c r="R238" s="75"/>
      <c r="S238" s="75"/>
      <c r="T238" s="75"/>
      <c r="U238" s="86"/>
      <c r="V238" s="84"/>
      <c r="W238" s="87"/>
      <c r="X238" s="84"/>
      <c r="Y238" s="84"/>
      <c r="Z238" s="84"/>
    </row>
    <row r="239" spans="1:26" ht="15.75" customHeight="1">
      <c r="A239" s="83"/>
      <c r="B239" s="83"/>
      <c r="C239" s="83"/>
      <c r="D239" s="87"/>
      <c r="E239" s="84"/>
      <c r="F239" s="84"/>
      <c r="G239" s="83"/>
      <c r="H239" s="84"/>
      <c r="I239" s="84"/>
      <c r="J239" s="84"/>
      <c r="K239" s="88"/>
      <c r="L239" s="84"/>
      <c r="M239" s="88"/>
      <c r="N239" s="84"/>
      <c r="O239" s="88"/>
      <c r="P239" s="85"/>
      <c r="Q239" s="75"/>
      <c r="R239" s="75"/>
      <c r="S239" s="75"/>
      <c r="T239" s="75"/>
      <c r="U239" s="86"/>
      <c r="V239" s="84"/>
      <c r="W239" s="87"/>
      <c r="X239" s="84"/>
      <c r="Y239" s="84"/>
      <c r="Z239" s="84"/>
    </row>
    <row r="240" spans="1:26" ht="15.75" customHeight="1">
      <c r="A240" s="83"/>
      <c r="B240" s="83"/>
      <c r="C240" s="83"/>
      <c r="D240" s="87"/>
      <c r="E240" s="84"/>
      <c r="F240" s="84"/>
      <c r="G240" s="83"/>
      <c r="H240" s="84"/>
      <c r="I240" s="84"/>
      <c r="J240" s="84"/>
      <c r="K240" s="88"/>
      <c r="L240" s="84"/>
      <c r="M240" s="88"/>
      <c r="N240" s="84"/>
      <c r="O240" s="88"/>
      <c r="P240" s="85"/>
      <c r="Q240" s="75"/>
      <c r="R240" s="75"/>
      <c r="S240" s="75"/>
      <c r="T240" s="75"/>
      <c r="U240" s="86"/>
      <c r="V240" s="84"/>
      <c r="W240" s="87"/>
      <c r="X240" s="84"/>
      <c r="Y240" s="84"/>
      <c r="Z240" s="84"/>
    </row>
    <row r="241" spans="1:26" ht="15.75" customHeight="1">
      <c r="A241" s="83"/>
      <c r="B241" s="83"/>
      <c r="C241" s="83"/>
      <c r="D241" s="87"/>
      <c r="E241" s="84"/>
      <c r="F241" s="84"/>
      <c r="G241" s="83"/>
      <c r="H241" s="84"/>
      <c r="I241" s="84"/>
      <c r="J241" s="84"/>
      <c r="K241" s="88"/>
      <c r="L241" s="84"/>
      <c r="M241" s="88"/>
      <c r="N241" s="84"/>
      <c r="O241" s="88"/>
      <c r="P241" s="85"/>
      <c r="Q241" s="75"/>
      <c r="R241" s="75"/>
      <c r="S241" s="75"/>
      <c r="T241" s="75"/>
      <c r="U241" s="86"/>
      <c r="V241" s="84"/>
      <c r="W241" s="87"/>
      <c r="X241" s="84"/>
      <c r="Y241" s="84"/>
      <c r="Z241" s="84"/>
    </row>
    <row r="242" spans="1:26" ht="15.75" customHeight="1">
      <c r="A242" s="83"/>
      <c r="B242" s="83"/>
      <c r="C242" s="83"/>
      <c r="D242" s="87"/>
      <c r="E242" s="84"/>
      <c r="F242" s="84"/>
      <c r="G242" s="83"/>
      <c r="H242" s="84"/>
      <c r="I242" s="84"/>
      <c r="J242" s="84"/>
      <c r="K242" s="88"/>
      <c r="L242" s="84"/>
      <c r="M242" s="88"/>
      <c r="N242" s="84"/>
      <c r="O242" s="88"/>
      <c r="P242" s="85"/>
      <c r="Q242" s="75"/>
      <c r="R242" s="75"/>
      <c r="S242" s="75"/>
      <c r="T242" s="75"/>
      <c r="U242" s="86"/>
      <c r="V242" s="84"/>
      <c r="W242" s="87"/>
      <c r="X242" s="84"/>
      <c r="Y242" s="84"/>
      <c r="Z242" s="84"/>
    </row>
    <row r="243" spans="1:26" ht="15.75" customHeight="1">
      <c r="A243" s="83"/>
      <c r="B243" s="83"/>
      <c r="C243" s="83"/>
      <c r="D243" s="87"/>
      <c r="E243" s="84"/>
      <c r="F243" s="84"/>
      <c r="G243" s="83"/>
      <c r="H243" s="84"/>
      <c r="I243" s="84"/>
      <c r="J243" s="84"/>
      <c r="K243" s="88"/>
      <c r="L243" s="84"/>
      <c r="M243" s="88"/>
      <c r="N243" s="84"/>
      <c r="O243" s="88"/>
      <c r="P243" s="85"/>
      <c r="Q243" s="75"/>
      <c r="R243" s="75"/>
      <c r="S243" s="75"/>
      <c r="T243" s="75"/>
      <c r="U243" s="86"/>
      <c r="V243" s="84"/>
      <c r="W243" s="87"/>
      <c r="X243" s="84"/>
      <c r="Y243" s="84"/>
      <c r="Z243" s="84"/>
    </row>
    <row r="244" spans="1:26" ht="15.75" customHeight="1">
      <c r="A244" s="83"/>
      <c r="B244" s="83"/>
      <c r="C244" s="83"/>
      <c r="D244" s="87"/>
      <c r="E244" s="84"/>
      <c r="F244" s="84"/>
      <c r="G244" s="83"/>
      <c r="H244" s="84"/>
      <c r="I244" s="84"/>
      <c r="J244" s="84"/>
      <c r="K244" s="88"/>
      <c r="L244" s="84"/>
      <c r="M244" s="88"/>
      <c r="N244" s="84"/>
      <c r="O244" s="88"/>
      <c r="P244" s="85"/>
      <c r="Q244" s="75"/>
      <c r="R244" s="75"/>
      <c r="S244" s="75"/>
      <c r="T244" s="75"/>
      <c r="U244" s="86"/>
      <c r="V244" s="84"/>
      <c r="W244" s="87"/>
      <c r="X244" s="84"/>
      <c r="Y244" s="84"/>
      <c r="Z244" s="84"/>
    </row>
    <row r="245" spans="1:26" ht="15.75" customHeight="1">
      <c r="A245" s="83"/>
      <c r="B245" s="83"/>
      <c r="C245" s="83"/>
      <c r="D245" s="87"/>
      <c r="E245" s="84"/>
      <c r="F245" s="84"/>
      <c r="G245" s="83"/>
      <c r="H245" s="84"/>
      <c r="I245" s="84"/>
      <c r="J245" s="84"/>
      <c r="K245" s="88"/>
      <c r="L245" s="84"/>
      <c r="M245" s="88"/>
      <c r="N245" s="84"/>
      <c r="O245" s="88"/>
      <c r="P245" s="85"/>
      <c r="Q245" s="75"/>
      <c r="R245" s="75"/>
      <c r="S245" s="75"/>
      <c r="T245" s="75"/>
      <c r="U245" s="86"/>
      <c r="V245" s="84"/>
      <c r="W245" s="87"/>
      <c r="X245" s="84"/>
      <c r="Y245" s="84"/>
      <c r="Z245" s="84"/>
    </row>
    <row r="246" spans="1:26" ht="15.75" customHeight="1">
      <c r="A246" s="83"/>
      <c r="B246" s="83"/>
      <c r="C246" s="83"/>
      <c r="D246" s="87"/>
      <c r="E246" s="84"/>
      <c r="F246" s="84"/>
      <c r="G246" s="83"/>
      <c r="H246" s="84"/>
      <c r="I246" s="84"/>
      <c r="J246" s="84"/>
      <c r="K246" s="88"/>
      <c r="L246" s="84"/>
      <c r="M246" s="88"/>
      <c r="N246" s="84"/>
      <c r="O246" s="88"/>
      <c r="P246" s="85"/>
      <c r="Q246" s="75"/>
      <c r="R246" s="75"/>
      <c r="S246" s="75"/>
      <c r="T246" s="75"/>
      <c r="U246" s="86"/>
      <c r="V246" s="84"/>
      <c r="W246" s="87"/>
      <c r="X246" s="84"/>
      <c r="Y246" s="84"/>
      <c r="Z246" s="84"/>
    </row>
    <row r="247" spans="1:26" ht="15.75" customHeight="1">
      <c r="A247" s="83"/>
      <c r="B247" s="83"/>
      <c r="C247" s="83"/>
      <c r="D247" s="87"/>
      <c r="E247" s="84"/>
      <c r="F247" s="84"/>
      <c r="G247" s="83"/>
      <c r="H247" s="84"/>
      <c r="I247" s="84"/>
      <c r="J247" s="84"/>
      <c r="K247" s="88"/>
      <c r="L247" s="84"/>
      <c r="M247" s="88"/>
      <c r="N247" s="84"/>
      <c r="O247" s="88"/>
      <c r="P247" s="85"/>
      <c r="Q247" s="75"/>
      <c r="R247" s="75"/>
      <c r="S247" s="75"/>
      <c r="T247" s="75"/>
      <c r="U247" s="86"/>
      <c r="V247" s="84"/>
      <c r="W247" s="87"/>
      <c r="X247" s="84"/>
      <c r="Y247" s="84"/>
      <c r="Z247" s="84"/>
    </row>
    <row r="248" spans="1:26" ht="15.75" customHeight="1">
      <c r="A248" s="83"/>
      <c r="B248" s="83"/>
      <c r="C248" s="83"/>
      <c r="D248" s="87"/>
      <c r="E248" s="84"/>
      <c r="F248" s="84"/>
      <c r="G248" s="83"/>
      <c r="H248" s="84"/>
      <c r="I248" s="84"/>
      <c r="J248" s="84"/>
      <c r="K248" s="88"/>
      <c r="L248" s="84"/>
      <c r="M248" s="88"/>
      <c r="N248" s="84"/>
      <c r="O248" s="88"/>
      <c r="P248" s="85"/>
      <c r="Q248" s="75"/>
      <c r="R248" s="75"/>
      <c r="S248" s="75"/>
      <c r="T248" s="75"/>
      <c r="U248" s="86"/>
      <c r="V248" s="84"/>
      <c r="W248" s="87"/>
      <c r="X248" s="84"/>
      <c r="Y248" s="84"/>
      <c r="Z248" s="84"/>
    </row>
    <row r="249" spans="1:26" ht="15.75" customHeight="1">
      <c r="A249" s="83"/>
      <c r="B249" s="83"/>
      <c r="C249" s="83"/>
      <c r="D249" s="87"/>
      <c r="E249" s="84"/>
      <c r="F249" s="84"/>
      <c r="G249" s="83"/>
      <c r="H249" s="84"/>
      <c r="I249" s="84"/>
      <c r="J249" s="84"/>
      <c r="K249" s="88"/>
      <c r="L249" s="84"/>
      <c r="M249" s="88"/>
      <c r="N249" s="84"/>
      <c r="O249" s="88"/>
      <c r="P249" s="85"/>
      <c r="Q249" s="75"/>
      <c r="R249" s="75"/>
      <c r="S249" s="75"/>
      <c r="T249" s="75"/>
      <c r="U249" s="86"/>
      <c r="V249" s="84"/>
      <c r="W249" s="87"/>
      <c r="X249" s="84"/>
      <c r="Y249" s="84"/>
      <c r="Z249" s="84"/>
    </row>
    <row r="250" spans="1:26" ht="15.75" customHeight="1">
      <c r="A250" s="83"/>
      <c r="B250" s="83"/>
      <c r="C250" s="83"/>
      <c r="D250" s="87"/>
      <c r="E250" s="84"/>
      <c r="F250" s="84"/>
      <c r="G250" s="83"/>
      <c r="H250" s="84"/>
      <c r="I250" s="84"/>
      <c r="J250" s="84"/>
      <c r="K250" s="88"/>
      <c r="L250" s="84"/>
      <c r="M250" s="88"/>
      <c r="N250" s="84"/>
      <c r="O250" s="88"/>
      <c r="P250" s="85"/>
      <c r="Q250" s="75"/>
      <c r="R250" s="75"/>
      <c r="S250" s="75"/>
      <c r="T250" s="75"/>
      <c r="U250" s="86"/>
      <c r="V250" s="84"/>
      <c r="W250" s="87"/>
      <c r="X250" s="84"/>
      <c r="Y250" s="84"/>
      <c r="Z250" s="84"/>
    </row>
    <row r="251" spans="1:26" ht="15.75" customHeight="1">
      <c r="A251" s="83"/>
      <c r="B251" s="83"/>
      <c r="C251" s="83"/>
      <c r="D251" s="87"/>
      <c r="E251" s="84"/>
      <c r="F251" s="84"/>
      <c r="G251" s="83"/>
      <c r="H251" s="84"/>
      <c r="I251" s="84"/>
      <c r="J251" s="84"/>
      <c r="K251" s="88"/>
      <c r="L251" s="84"/>
      <c r="M251" s="88"/>
      <c r="N251" s="84"/>
      <c r="O251" s="88"/>
      <c r="P251" s="85"/>
      <c r="Q251" s="75"/>
      <c r="R251" s="75"/>
      <c r="S251" s="75"/>
      <c r="T251" s="75"/>
      <c r="U251" s="86"/>
      <c r="V251" s="84"/>
      <c r="W251" s="87"/>
      <c r="X251" s="84"/>
      <c r="Y251" s="84"/>
      <c r="Z251" s="84"/>
    </row>
    <row r="252" spans="1:26" ht="15.75" customHeight="1">
      <c r="A252" s="83"/>
      <c r="B252" s="83"/>
      <c r="C252" s="83"/>
      <c r="D252" s="87"/>
      <c r="E252" s="84"/>
      <c r="F252" s="84"/>
      <c r="G252" s="83"/>
      <c r="H252" s="84"/>
      <c r="I252" s="84"/>
      <c r="J252" s="84"/>
      <c r="K252" s="88"/>
      <c r="L252" s="84"/>
      <c r="M252" s="88"/>
      <c r="N252" s="84"/>
      <c r="O252" s="88"/>
      <c r="P252" s="85"/>
      <c r="Q252" s="75"/>
      <c r="R252" s="75"/>
      <c r="S252" s="75"/>
      <c r="T252" s="75"/>
      <c r="U252" s="86"/>
      <c r="V252" s="84"/>
      <c r="W252" s="87"/>
      <c r="X252" s="84"/>
      <c r="Y252" s="84"/>
      <c r="Z252" s="84"/>
    </row>
    <row r="253" spans="1:26" ht="15.75" customHeight="1">
      <c r="A253" s="83"/>
      <c r="B253" s="83"/>
      <c r="C253" s="83"/>
      <c r="D253" s="87"/>
      <c r="E253" s="84"/>
      <c r="F253" s="84"/>
      <c r="G253" s="83"/>
      <c r="H253" s="84"/>
      <c r="I253" s="84"/>
      <c r="J253" s="84"/>
      <c r="K253" s="88"/>
      <c r="L253" s="84"/>
      <c r="M253" s="88"/>
      <c r="N253" s="84"/>
      <c r="O253" s="88"/>
      <c r="P253" s="85"/>
      <c r="Q253" s="75"/>
      <c r="R253" s="75"/>
      <c r="S253" s="75"/>
      <c r="T253" s="75"/>
      <c r="U253" s="86"/>
      <c r="V253" s="84"/>
      <c r="W253" s="87"/>
      <c r="X253" s="84"/>
      <c r="Y253" s="84"/>
      <c r="Z253" s="84"/>
    </row>
    <row r="254" spans="1:26" ht="15.75" customHeight="1">
      <c r="A254" s="83"/>
      <c r="B254" s="83"/>
      <c r="C254" s="83"/>
      <c r="D254" s="87"/>
      <c r="E254" s="84"/>
      <c r="F254" s="84"/>
      <c r="G254" s="83"/>
      <c r="H254" s="84"/>
      <c r="I254" s="84"/>
      <c r="J254" s="84"/>
      <c r="K254" s="88"/>
      <c r="L254" s="84"/>
      <c r="M254" s="88"/>
      <c r="N254" s="84"/>
      <c r="O254" s="88"/>
      <c r="P254" s="85"/>
      <c r="Q254" s="75"/>
      <c r="R254" s="75"/>
      <c r="S254" s="75"/>
      <c r="T254" s="75"/>
      <c r="U254" s="86"/>
      <c r="V254" s="84"/>
      <c r="W254" s="87"/>
      <c r="X254" s="84"/>
      <c r="Y254" s="84"/>
      <c r="Z254" s="84"/>
    </row>
    <row r="255" spans="1:26" ht="15.75" customHeight="1">
      <c r="A255" s="83"/>
      <c r="B255" s="83"/>
      <c r="C255" s="83"/>
      <c r="D255" s="87"/>
      <c r="E255" s="84"/>
      <c r="F255" s="84"/>
      <c r="G255" s="83"/>
      <c r="H255" s="84"/>
      <c r="I255" s="84"/>
      <c r="J255" s="84"/>
      <c r="K255" s="88"/>
      <c r="L255" s="84"/>
      <c r="M255" s="88"/>
      <c r="N255" s="84"/>
      <c r="O255" s="88"/>
      <c r="P255" s="85"/>
      <c r="Q255" s="75"/>
      <c r="R255" s="75"/>
      <c r="S255" s="75"/>
      <c r="T255" s="75"/>
      <c r="U255" s="86"/>
      <c r="V255" s="84"/>
      <c r="W255" s="87"/>
      <c r="X255" s="84"/>
      <c r="Y255" s="84"/>
      <c r="Z255" s="84"/>
    </row>
    <row r="256" spans="1:26" ht="15.75" customHeight="1">
      <c r="A256" s="83"/>
      <c r="B256" s="83"/>
      <c r="C256" s="83"/>
      <c r="D256" s="87"/>
      <c r="E256" s="84"/>
      <c r="F256" s="84"/>
      <c r="G256" s="83"/>
      <c r="H256" s="84"/>
      <c r="I256" s="84"/>
      <c r="J256" s="84"/>
      <c r="K256" s="88"/>
      <c r="L256" s="84"/>
      <c r="M256" s="88"/>
      <c r="N256" s="84"/>
      <c r="O256" s="88"/>
      <c r="P256" s="85"/>
      <c r="Q256" s="75"/>
      <c r="R256" s="75"/>
      <c r="S256" s="75"/>
      <c r="T256" s="75"/>
      <c r="U256" s="86"/>
      <c r="V256" s="84"/>
      <c r="W256" s="87"/>
      <c r="X256" s="84"/>
      <c r="Y256" s="84"/>
      <c r="Z256" s="84"/>
    </row>
    <row r="257" spans="1:26" ht="15.75" customHeight="1">
      <c r="A257" s="83"/>
      <c r="B257" s="83"/>
      <c r="C257" s="83"/>
      <c r="D257" s="87"/>
      <c r="E257" s="84"/>
      <c r="F257" s="84"/>
      <c r="G257" s="83"/>
      <c r="H257" s="84"/>
      <c r="I257" s="84"/>
      <c r="J257" s="84"/>
      <c r="K257" s="88"/>
      <c r="L257" s="84"/>
      <c r="M257" s="88"/>
      <c r="N257" s="84"/>
      <c r="O257" s="88"/>
      <c r="P257" s="85"/>
      <c r="Q257" s="75"/>
      <c r="R257" s="75"/>
      <c r="S257" s="75"/>
      <c r="T257" s="75"/>
      <c r="U257" s="86"/>
      <c r="V257" s="84"/>
      <c r="W257" s="87"/>
      <c r="X257" s="84"/>
      <c r="Y257" s="84"/>
      <c r="Z257" s="84"/>
    </row>
    <row r="258" spans="1:26" ht="15.75" customHeight="1">
      <c r="A258" s="83"/>
      <c r="B258" s="83"/>
      <c r="C258" s="83"/>
      <c r="D258" s="87"/>
      <c r="E258" s="84"/>
      <c r="F258" s="84"/>
      <c r="G258" s="83"/>
      <c r="H258" s="84"/>
      <c r="I258" s="84"/>
      <c r="J258" s="84"/>
      <c r="K258" s="88"/>
      <c r="L258" s="84"/>
      <c r="M258" s="88"/>
      <c r="N258" s="84"/>
      <c r="O258" s="88"/>
      <c r="P258" s="85"/>
      <c r="Q258" s="75"/>
      <c r="R258" s="75"/>
      <c r="S258" s="75"/>
      <c r="T258" s="75"/>
      <c r="U258" s="86"/>
      <c r="V258" s="84"/>
      <c r="W258" s="87"/>
      <c r="X258" s="84"/>
      <c r="Y258" s="84"/>
      <c r="Z258" s="84"/>
    </row>
    <row r="259" spans="1:26" ht="15.75" customHeight="1">
      <c r="A259" s="83"/>
      <c r="B259" s="83"/>
      <c r="C259" s="83"/>
      <c r="D259" s="87"/>
      <c r="E259" s="84"/>
      <c r="F259" s="84"/>
      <c r="G259" s="83"/>
      <c r="H259" s="84"/>
      <c r="I259" s="84"/>
      <c r="J259" s="84"/>
      <c r="K259" s="88"/>
      <c r="L259" s="84"/>
      <c r="M259" s="88"/>
      <c r="N259" s="84"/>
      <c r="O259" s="88"/>
      <c r="P259" s="85"/>
      <c r="Q259" s="75"/>
      <c r="R259" s="75"/>
      <c r="S259" s="75"/>
      <c r="T259" s="75"/>
      <c r="U259" s="86"/>
      <c r="V259" s="84"/>
      <c r="W259" s="87"/>
      <c r="X259" s="84"/>
      <c r="Y259" s="84"/>
      <c r="Z259" s="84"/>
    </row>
    <row r="260" spans="1:26" ht="15.75" customHeight="1">
      <c r="A260" s="83"/>
      <c r="B260" s="83"/>
      <c r="C260" s="83"/>
      <c r="D260" s="87"/>
      <c r="E260" s="84"/>
      <c r="F260" s="84"/>
      <c r="G260" s="83"/>
      <c r="H260" s="84"/>
      <c r="I260" s="84"/>
      <c r="J260" s="84"/>
      <c r="K260" s="88"/>
      <c r="L260" s="84"/>
      <c r="M260" s="88"/>
      <c r="N260" s="84"/>
      <c r="O260" s="88"/>
      <c r="P260" s="85"/>
      <c r="Q260" s="75"/>
      <c r="R260" s="75"/>
      <c r="S260" s="75"/>
      <c r="T260" s="75"/>
      <c r="U260" s="86"/>
      <c r="V260" s="84"/>
      <c r="W260" s="87"/>
      <c r="X260" s="84"/>
      <c r="Y260" s="84"/>
      <c r="Z260" s="84"/>
    </row>
    <row r="261" spans="1:26" ht="15.75" customHeight="1">
      <c r="A261" s="83"/>
      <c r="B261" s="83"/>
      <c r="C261" s="83"/>
      <c r="D261" s="87"/>
      <c r="E261" s="84"/>
      <c r="F261" s="84"/>
      <c r="G261" s="83"/>
      <c r="H261" s="84"/>
      <c r="I261" s="84"/>
      <c r="J261" s="84"/>
      <c r="K261" s="88"/>
      <c r="L261" s="84"/>
      <c r="M261" s="88"/>
      <c r="N261" s="84"/>
      <c r="O261" s="88"/>
      <c r="P261" s="85"/>
      <c r="Q261" s="75"/>
      <c r="R261" s="75"/>
      <c r="S261" s="75"/>
      <c r="T261" s="75"/>
      <c r="U261" s="86"/>
      <c r="V261" s="84"/>
      <c r="W261" s="87"/>
      <c r="X261" s="84"/>
      <c r="Y261" s="84"/>
      <c r="Z261" s="84"/>
    </row>
    <row r="262" spans="1:26" ht="15.75" customHeight="1">
      <c r="A262" s="83"/>
      <c r="B262" s="83"/>
      <c r="C262" s="83"/>
      <c r="D262" s="87"/>
      <c r="E262" s="84"/>
      <c r="F262" s="84"/>
      <c r="G262" s="83"/>
      <c r="H262" s="84"/>
      <c r="I262" s="84"/>
      <c r="J262" s="84"/>
      <c r="K262" s="88"/>
      <c r="L262" s="84"/>
      <c r="M262" s="88"/>
      <c r="N262" s="84"/>
      <c r="O262" s="88"/>
      <c r="P262" s="85"/>
      <c r="Q262" s="75"/>
      <c r="R262" s="75"/>
      <c r="S262" s="75"/>
      <c r="T262" s="75"/>
      <c r="U262" s="86"/>
      <c r="V262" s="84"/>
      <c r="W262" s="87"/>
      <c r="X262" s="84"/>
      <c r="Y262" s="84"/>
      <c r="Z262" s="84"/>
    </row>
    <row r="263" spans="1:26" ht="15.75" customHeight="1">
      <c r="A263" s="83"/>
      <c r="B263" s="83"/>
      <c r="C263" s="83"/>
      <c r="D263" s="87"/>
      <c r="E263" s="84"/>
      <c r="F263" s="84"/>
      <c r="G263" s="83"/>
      <c r="H263" s="84"/>
      <c r="I263" s="84"/>
      <c r="J263" s="84"/>
      <c r="K263" s="88"/>
      <c r="L263" s="84"/>
      <c r="M263" s="88"/>
      <c r="N263" s="84"/>
      <c r="O263" s="88"/>
      <c r="P263" s="85"/>
      <c r="Q263" s="75"/>
      <c r="R263" s="75"/>
      <c r="S263" s="75"/>
      <c r="T263" s="75"/>
      <c r="U263" s="86"/>
      <c r="V263" s="84"/>
      <c r="W263" s="87"/>
      <c r="X263" s="84"/>
      <c r="Y263" s="84"/>
      <c r="Z263" s="84"/>
    </row>
    <row r="264" spans="1:26" ht="15.75" customHeight="1">
      <c r="A264" s="83"/>
      <c r="B264" s="83"/>
      <c r="C264" s="83"/>
      <c r="D264" s="87"/>
      <c r="E264" s="84"/>
      <c r="F264" s="84"/>
      <c r="G264" s="83"/>
      <c r="H264" s="84"/>
      <c r="I264" s="84"/>
      <c r="J264" s="84"/>
      <c r="K264" s="88"/>
      <c r="L264" s="84"/>
      <c r="M264" s="88"/>
      <c r="N264" s="84"/>
      <c r="O264" s="88"/>
      <c r="P264" s="85"/>
      <c r="Q264" s="75"/>
      <c r="R264" s="75"/>
      <c r="S264" s="75"/>
      <c r="T264" s="75"/>
      <c r="U264" s="86"/>
      <c r="V264" s="84"/>
      <c r="W264" s="87"/>
      <c r="X264" s="84"/>
      <c r="Y264" s="84"/>
      <c r="Z264" s="84"/>
    </row>
    <row r="265" spans="1:26" ht="15.75" customHeight="1">
      <c r="A265" s="83"/>
      <c r="B265" s="83"/>
      <c r="C265" s="83"/>
      <c r="D265" s="87"/>
      <c r="E265" s="84"/>
      <c r="F265" s="84"/>
      <c r="G265" s="83"/>
      <c r="H265" s="84"/>
      <c r="I265" s="84"/>
      <c r="J265" s="84"/>
      <c r="K265" s="88"/>
      <c r="L265" s="84"/>
      <c r="M265" s="88"/>
      <c r="N265" s="84"/>
      <c r="O265" s="88"/>
      <c r="P265" s="85"/>
      <c r="Q265" s="75"/>
      <c r="R265" s="75"/>
      <c r="S265" s="75"/>
      <c r="T265" s="75"/>
      <c r="U265" s="86"/>
      <c r="V265" s="84"/>
      <c r="W265" s="87"/>
      <c r="X265" s="84"/>
      <c r="Y265" s="84"/>
      <c r="Z265" s="84"/>
    </row>
    <row r="266" spans="1:26" ht="15.75" customHeight="1">
      <c r="A266" s="83"/>
      <c r="B266" s="83"/>
      <c r="C266" s="83"/>
      <c r="D266" s="87"/>
      <c r="E266" s="84"/>
      <c r="F266" s="84"/>
      <c r="G266" s="83"/>
      <c r="H266" s="84"/>
      <c r="I266" s="84"/>
      <c r="J266" s="84"/>
      <c r="K266" s="88"/>
      <c r="L266" s="84"/>
      <c r="M266" s="88"/>
      <c r="N266" s="84"/>
      <c r="O266" s="88"/>
      <c r="P266" s="85"/>
      <c r="Q266" s="75"/>
      <c r="R266" s="75"/>
      <c r="S266" s="75"/>
      <c r="T266" s="75"/>
      <c r="U266" s="86"/>
      <c r="V266" s="84"/>
      <c r="W266" s="87"/>
      <c r="X266" s="84"/>
      <c r="Y266" s="84"/>
      <c r="Z266" s="84"/>
    </row>
    <row r="267" spans="1:26" ht="15.75" customHeight="1">
      <c r="A267" s="83"/>
      <c r="B267" s="83"/>
      <c r="C267" s="83"/>
      <c r="D267" s="87"/>
      <c r="E267" s="84"/>
      <c r="F267" s="84"/>
      <c r="G267" s="83"/>
      <c r="H267" s="84"/>
      <c r="I267" s="84"/>
      <c r="J267" s="84"/>
      <c r="K267" s="88"/>
      <c r="L267" s="84"/>
      <c r="M267" s="88"/>
      <c r="N267" s="84"/>
      <c r="O267" s="88"/>
      <c r="P267" s="85"/>
      <c r="Q267" s="75"/>
      <c r="R267" s="75"/>
      <c r="S267" s="75"/>
      <c r="T267" s="75"/>
      <c r="U267" s="86"/>
      <c r="V267" s="84"/>
      <c r="W267" s="87"/>
      <c r="X267" s="84"/>
      <c r="Y267" s="84"/>
      <c r="Z267" s="84"/>
    </row>
    <row r="268" spans="1:26" ht="15.75" customHeight="1">
      <c r="A268" s="83"/>
      <c r="B268" s="83"/>
      <c r="C268" s="83"/>
      <c r="D268" s="87"/>
      <c r="E268" s="84"/>
      <c r="F268" s="84"/>
      <c r="G268" s="83"/>
      <c r="H268" s="84"/>
      <c r="I268" s="84"/>
      <c r="J268" s="84"/>
      <c r="K268" s="88"/>
      <c r="L268" s="84"/>
      <c r="M268" s="88"/>
      <c r="N268" s="84"/>
      <c r="O268" s="88"/>
      <c r="P268" s="85"/>
      <c r="Q268" s="75"/>
      <c r="R268" s="75"/>
      <c r="S268" s="75"/>
      <c r="T268" s="75"/>
      <c r="U268" s="86"/>
      <c r="V268" s="84"/>
      <c r="W268" s="87"/>
      <c r="X268" s="84"/>
      <c r="Y268" s="84"/>
      <c r="Z268" s="84"/>
    </row>
    <row r="269" spans="1:26" ht="15.75" customHeight="1">
      <c r="A269" s="83"/>
      <c r="B269" s="83"/>
      <c r="C269" s="83"/>
      <c r="D269" s="87"/>
      <c r="E269" s="84"/>
      <c r="F269" s="84"/>
      <c r="G269" s="83"/>
      <c r="H269" s="84"/>
      <c r="I269" s="84"/>
      <c r="J269" s="84"/>
      <c r="K269" s="88"/>
      <c r="L269" s="84"/>
      <c r="M269" s="88"/>
      <c r="N269" s="84"/>
      <c r="O269" s="88"/>
      <c r="P269" s="85"/>
      <c r="Q269" s="75"/>
      <c r="R269" s="75"/>
      <c r="S269" s="75"/>
      <c r="T269" s="75"/>
      <c r="U269" s="86"/>
      <c r="V269" s="84"/>
      <c r="W269" s="87"/>
      <c r="X269" s="84"/>
      <c r="Y269" s="84"/>
      <c r="Z269" s="84"/>
    </row>
    <row r="270" spans="1:26" ht="15.75" customHeight="1">
      <c r="A270" s="83"/>
      <c r="B270" s="83"/>
      <c r="C270" s="83"/>
      <c r="D270" s="87"/>
      <c r="E270" s="84"/>
      <c r="F270" s="84"/>
      <c r="G270" s="83"/>
      <c r="H270" s="84"/>
      <c r="I270" s="84"/>
      <c r="J270" s="84"/>
      <c r="K270" s="88"/>
      <c r="L270" s="84"/>
      <c r="M270" s="88"/>
      <c r="N270" s="84"/>
      <c r="O270" s="88"/>
      <c r="P270" s="85"/>
      <c r="Q270" s="75"/>
      <c r="R270" s="75"/>
      <c r="S270" s="75"/>
      <c r="T270" s="75"/>
      <c r="U270" s="86"/>
      <c r="V270" s="84"/>
      <c r="W270" s="87"/>
      <c r="X270" s="84"/>
      <c r="Y270" s="84"/>
      <c r="Z270" s="84"/>
    </row>
    <row r="271" spans="1:26" ht="15.75" customHeight="1">
      <c r="A271" s="83"/>
      <c r="B271" s="83"/>
      <c r="C271" s="83"/>
      <c r="D271" s="87"/>
      <c r="E271" s="84"/>
      <c r="F271" s="84"/>
      <c r="G271" s="83"/>
      <c r="H271" s="84"/>
      <c r="I271" s="84"/>
      <c r="J271" s="84"/>
      <c r="K271" s="88"/>
      <c r="L271" s="84"/>
      <c r="M271" s="88"/>
      <c r="N271" s="84"/>
      <c r="O271" s="88"/>
      <c r="P271" s="85"/>
      <c r="Q271" s="75"/>
      <c r="R271" s="75"/>
      <c r="S271" s="75"/>
      <c r="T271" s="75"/>
      <c r="U271" s="86"/>
      <c r="V271" s="84"/>
      <c r="W271" s="87"/>
      <c r="X271" s="84"/>
      <c r="Y271" s="84"/>
      <c r="Z271" s="84"/>
    </row>
    <row r="272" spans="1:26" ht="15.75" customHeight="1">
      <c r="A272" s="83"/>
      <c r="B272" s="83"/>
      <c r="C272" s="83"/>
      <c r="D272" s="87"/>
      <c r="E272" s="84"/>
      <c r="F272" s="84"/>
      <c r="G272" s="83"/>
      <c r="H272" s="84"/>
      <c r="I272" s="84"/>
      <c r="J272" s="84"/>
      <c r="K272" s="88"/>
      <c r="L272" s="84"/>
      <c r="M272" s="88"/>
      <c r="N272" s="84"/>
      <c r="O272" s="88"/>
      <c r="P272" s="85"/>
      <c r="Q272" s="75"/>
      <c r="R272" s="75"/>
      <c r="S272" s="75"/>
      <c r="T272" s="75"/>
      <c r="U272" s="86"/>
      <c r="V272" s="84"/>
      <c r="W272" s="87"/>
      <c r="X272" s="84"/>
      <c r="Y272" s="84"/>
      <c r="Z272" s="84"/>
    </row>
    <row r="273" spans="1:26" ht="15.75" customHeight="1">
      <c r="A273" s="83"/>
      <c r="B273" s="83"/>
      <c r="C273" s="83"/>
      <c r="D273" s="87"/>
      <c r="E273" s="84"/>
      <c r="F273" s="84"/>
      <c r="G273" s="83"/>
      <c r="H273" s="84"/>
      <c r="I273" s="84"/>
      <c r="J273" s="84"/>
      <c r="K273" s="88"/>
      <c r="L273" s="84"/>
      <c r="M273" s="88"/>
      <c r="N273" s="84"/>
      <c r="O273" s="88"/>
      <c r="P273" s="85"/>
      <c r="Q273" s="75"/>
      <c r="R273" s="75"/>
      <c r="S273" s="75"/>
      <c r="T273" s="75"/>
      <c r="U273" s="86"/>
      <c r="V273" s="84"/>
      <c r="W273" s="87"/>
      <c r="X273" s="84"/>
      <c r="Y273" s="84"/>
      <c r="Z273" s="84"/>
    </row>
    <row r="274" spans="1:26" ht="15.75" customHeight="1">
      <c r="A274" s="83"/>
      <c r="B274" s="83"/>
      <c r="C274" s="83"/>
      <c r="D274" s="87"/>
      <c r="E274" s="84"/>
      <c r="F274" s="84"/>
      <c r="G274" s="83"/>
      <c r="H274" s="84"/>
      <c r="I274" s="84"/>
      <c r="J274" s="84"/>
      <c r="K274" s="88"/>
      <c r="L274" s="84"/>
      <c r="M274" s="88"/>
      <c r="N274" s="84"/>
      <c r="O274" s="88"/>
      <c r="P274" s="85"/>
      <c r="Q274" s="75"/>
      <c r="R274" s="75"/>
      <c r="S274" s="75"/>
      <c r="T274" s="75"/>
      <c r="U274" s="86"/>
      <c r="V274" s="84"/>
      <c r="W274" s="87"/>
      <c r="X274" s="84"/>
      <c r="Y274" s="84"/>
      <c r="Z274" s="84"/>
    </row>
    <row r="275" spans="1:26" ht="15.75" customHeight="1">
      <c r="A275" s="83"/>
      <c r="B275" s="83"/>
      <c r="C275" s="83"/>
      <c r="D275" s="87"/>
      <c r="E275" s="84"/>
      <c r="F275" s="84"/>
      <c r="G275" s="83"/>
      <c r="H275" s="84"/>
      <c r="I275" s="84"/>
      <c r="J275" s="84"/>
      <c r="K275" s="88"/>
      <c r="L275" s="84"/>
      <c r="M275" s="88"/>
      <c r="N275" s="84"/>
      <c r="O275" s="88"/>
      <c r="P275" s="85"/>
      <c r="Q275" s="75"/>
      <c r="R275" s="75"/>
      <c r="S275" s="75"/>
      <c r="T275" s="75"/>
      <c r="U275" s="86"/>
      <c r="V275" s="84"/>
      <c r="W275" s="87"/>
      <c r="X275" s="84"/>
      <c r="Y275" s="84"/>
      <c r="Z275" s="84"/>
    </row>
    <row r="276" spans="1:26" ht="15.75" customHeight="1">
      <c r="A276" s="83"/>
      <c r="B276" s="83"/>
      <c r="C276" s="83"/>
      <c r="D276" s="87"/>
      <c r="E276" s="84"/>
      <c r="F276" s="84"/>
      <c r="G276" s="83"/>
      <c r="H276" s="84"/>
      <c r="I276" s="84"/>
      <c r="J276" s="84"/>
      <c r="K276" s="88"/>
      <c r="L276" s="84"/>
      <c r="M276" s="88"/>
      <c r="N276" s="84"/>
      <c r="O276" s="88"/>
      <c r="P276" s="85"/>
      <c r="Q276" s="75"/>
      <c r="R276" s="75"/>
      <c r="S276" s="75"/>
      <c r="T276" s="75"/>
      <c r="U276" s="86"/>
      <c r="V276" s="84"/>
      <c r="W276" s="87"/>
      <c r="X276" s="84"/>
      <c r="Y276" s="84"/>
      <c r="Z276" s="84"/>
    </row>
    <row r="277" spans="1:26" ht="15.75" customHeight="1">
      <c r="A277" s="83"/>
      <c r="B277" s="83"/>
      <c r="C277" s="83"/>
      <c r="D277" s="87"/>
      <c r="E277" s="84"/>
      <c r="F277" s="84"/>
      <c r="G277" s="83"/>
      <c r="H277" s="84"/>
      <c r="I277" s="84"/>
      <c r="J277" s="84"/>
      <c r="K277" s="88"/>
      <c r="L277" s="84"/>
      <c r="M277" s="88"/>
      <c r="N277" s="84"/>
      <c r="O277" s="88"/>
      <c r="P277" s="85"/>
      <c r="Q277" s="75"/>
      <c r="R277" s="75"/>
      <c r="S277" s="75"/>
      <c r="T277" s="75"/>
      <c r="U277" s="86"/>
      <c r="V277" s="84"/>
      <c r="W277" s="87"/>
      <c r="X277" s="84"/>
      <c r="Y277" s="84"/>
      <c r="Z277" s="84"/>
    </row>
    <row r="278" spans="1:26" ht="15.75" customHeight="1">
      <c r="A278" s="83"/>
      <c r="B278" s="83"/>
      <c r="C278" s="83"/>
      <c r="D278" s="87"/>
      <c r="E278" s="84"/>
      <c r="F278" s="84"/>
      <c r="G278" s="83"/>
      <c r="H278" s="84"/>
      <c r="I278" s="84"/>
      <c r="J278" s="84"/>
      <c r="K278" s="88"/>
      <c r="L278" s="84"/>
      <c r="M278" s="88"/>
      <c r="N278" s="84"/>
      <c r="O278" s="88"/>
      <c r="P278" s="85"/>
      <c r="Q278" s="75"/>
      <c r="R278" s="75"/>
      <c r="S278" s="75"/>
      <c r="T278" s="75"/>
      <c r="U278" s="86"/>
      <c r="V278" s="84"/>
      <c r="W278" s="87"/>
      <c r="X278" s="84"/>
      <c r="Y278" s="84"/>
      <c r="Z278" s="84"/>
    </row>
    <row r="279" spans="1:26" ht="15.75" customHeight="1">
      <c r="A279" s="83"/>
      <c r="B279" s="83"/>
      <c r="C279" s="83"/>
      <c r="D279" s="87"/>
      <c r="E279" s="84"/>
      <c r="F279" s="84"/>
      <c r="G279" s="83"/>
      <c r="H279" s="84"/>
      <c r="I279" s="84"/>
      <c r="J279" s="84"/>
      <c r="K279" s="88"/>
      <c r="L279" s="84"/>
      <c r="M279" s="88"/>
      <c r="N279" s="84"/>
      <c r="O279" s="88"/>
      <c r="P279" s="85"/>
      <c r="Q279" s="75"/>
      <c r="R279" s="75"/>
      <c r="S279" s="75"/>
      <c r="T279" s="75"/>
      <c r="U279" s="86"/>
      <c r="V279" s="84"/>
      <c r="W279" s="87"/>
      <c r="X279" s="84"/>
      <c r="Y279" s="84"/>
      <c r="Z279" s="84"/>
    </row>
    <row r="280" spans="1:26" ht="15.75" customHeight="1">
      <c r="A280" s="83"/>
      <c r="B280" s="83"/>
      <c r="C280" s="83"/>
      <c r="D280" s="87"/>
      <c r="E280" s="84"/>
      <c r="F280" s="84"/>
      <c r="G280" s="83"/>
      <c r="H280" s="84"/>
      <c r="I280" s="84"/>
      <c r="J280" s="84"/>
      <c r="K280" s="88"/>
      <c r="L280" s="84"/>
      <c r="M280" s="88"/>
      <c r="N280" s="84"/>
      <c r="O280" s="88"/>
      <c r="P280" s="85"/>
      <c r="Q280" s="75"/>
      <c r="R280" s="75"/>
      <c r="S280" s="75"/>
      <c r="T280" s="75"/>
      <c r="U280" s="86"/>
      <c r="V280" s="84"/>
      <c r="W280" s="87"/>
      <c r="X280" s="84"/>
      <c r="Y280" s="84"/>
      <c r="Z280" s="84"/>
    </row>
    <row r="281" spans="1:26" ht="15.75" customHeight="1">
      <c r="A281" s="83"/>
      <c r="B281" s="83"/>
      <c r="C281" s="83"/>
      <c r="D281" s="87"/>
      <c r="E281" s="84"/>
      <c r="F281" s="84"/>
      <c r="G281" s="83"/>
      <c r="H281" s="84"/>
      <c r="I281" s="84"/>
      <c r="J281" s="84"/>
      <c r="K281" s="88"/>
      <c r="L281" s="84"/>
      <c r="M281" s="88"/>
      <c r="N281" s="84"/>
      <c r="O281" s="88"/>
      <c r="P281" s="85"/>
      <c r="Q281" s="75"/>
      <c r="R281" s="75"/>
      <c r="S281" s="75"/>
      <c r="T281" s="75"/>
      <c r="U281" s="86"/>
      <c r="V281" s="84"/>
      <c r="W281" s="87"/>
      <c r="X281" s="84"/>
      <c r="Y281" s="84"/>
      <c r="Z281" s="84"/>
    </row>
    <row r="282" spans="1:26" ht="15.75" customHeight="1">
      <c r="A282" s="83"/>
      <c r="B282" s="83"/>
      <c r="C282" s="83"/>
      <c r="D282" s="87"/>
      <c r="E282" s="84"/>
      <c r="F282" s="84"/>
      <c r="G282" s="83"/>
      <c r="H282" s="84"/>
      <c r="I282" s="84"/>
      <c r="J282" s="84"/>
      <c r="K282" s="88"/>
      <c r="L282" s="84"/>
      <c r="M282" s="88"/>
      <c r="N282" s="84"/>
      <c r="O282" s="88"/>
      <c r="P282" s="85"/>
      <c r="Q282" s="75"/>
      <c r="R282" s="75"/>
      <c r="S282" s="75"/>
      <c r="T282" s="75"/>
      <c r="U282" s="86"/>
      <c r="V282" s="84"/>
      <c r="W282" s="87"/>
      <c r="X282" s="84"/>
      <c r="Y282" s="84"/>
      <c r="Z282" s="84"/>
    </row>
    <row r="283" spans="1:26" ht="15.75" customHeight="1">
      <c r="A283" s="83"/>
      <c r="B283" s="83"/>
      <c r="C283" s="83"/>
      <c r="D283" s="87"/>
      <c r="E283" s="84"/>
      <c r="F283" s="84"/>
      <c r="G283" s="83"/>
      <c r="H283" s="84"/>
      <c r="I283" s="84"/>
      <c r="J283" s="84"/>
      <c r="K283" s="88"/>
      <c r="L283" s="84"/>
      <c r="M283" s="88"/>
      <c r="N283" s="84"/>
      <c r="O283" s="88"/>
      <c r="P283" s="85"/>
      <c r="Q283" s="75"/>
      <c r="R283" s="75"/>
      <c r="S283" s="75"/>
      <c r="T283" s="75"/>
      <c r="U283" s="86"/>
      <c r="V283" s="84"/>
      <c r="W283" s="87"/>
      <c r="X283" s="84"/>
      <c r="Y283" s="84"/>
      <c r="Z283" s="84"/>
    </row>
    <row r="284" spans="1:26" ht="15.75" customHeight="1">
      <c r="A284" s="83"/>
      <c r="B284" s="83"/>
      <c r="C284" s="83"/>
      <c r="D284" s="87"/>
      <c r="E284" s="84"/>
      <c r="F284" s="84"/>
      <c r="G284" s="83"/>
      <c r="H284" s="84"/>
      <c r="I284" s="84"/>
      <c r="J284" s="84"/>
      <c r="K284" s="88"/>
      <c r="L284" s="84"/>
      <c r="M284" s="88"/>
      <c r="N284" s="84"/>
      <c r="O284" s="88"/>
      <c r="P284" s="85"/>
      <c r="Q284" s="75"/>
      <c r="R284" s="75"/>
      <c r="S284" s="75"/>
      <c r="T284" s="75"/>
      <c r="U284" s="86"/>
      <c r="V284" s="84"/>
      <c r="W284" s="87"/>
      <c r="X284" s="84"/>
      <c r="Y284" s="84"/>
      <c r="Z284" s="84"/>
    </row>
    <row r="285" spans="1:26" ht="15.75" customHeight="1">
      <c r="A285" s="83"/>
      <c r="B285" s="83"/>
      <c r="C285" s="83"/>
      <c r="D285" s="87"/>
      <c r="E285" s="84"/>
      <c r="F285" s="84"/>
      <c r="G285" s="83"/>
      <c r="H285" s="84"/>
      <c r="I285" s="84"/>
      <c r="J285" s="84"/>
      <c r="K285" s="88"/>
      <c r="L285" s="84"/>
      <c r="M285" s="88"/>
      <c r="N285" s="84"/>
      <c r="O285" s="88"/>
      <c r="P285" s="85"/>
      <c r="Q285" s="75"/>
      <c r="R285" s="75"/>
      <c r="S285" s="75"/>
      <c r="T285" s="75"/>
      <c r="U285" s="86"/>
      <c r="V285" s="84"/>
      <c r="W285" s="87"/>
      <c r="X285" s="84"/>
      <c r="Y285" s="84"/>
      <c r="Z285" s="84"/>
    </row>
    <row r="286" spans="1:26" ht="15.75" customHeight="1">
      <c r="A286" s="83"/>
      <c r="B286" s="83"/>
      <c r="C286" s="83"/>
      <c r="D286" s="87"/>
      <c r="E286" s="84"/>
      <c r="F286" s="84"/>
      <c r="G286" s="83"/>
      <c r="H286" s="84"/>
      <c r="I286" s="84"/>
      <c r="J286" s="84"/>
      <c r="K286" s="88"/>
      <c r="L286" s="84"/>
      <c r="M286" s="88"/>
      <c r="N286" s="84"/>
      <c r="O286" s="88"/>
      <c r="P286" s="85"/>
      <c r="Q286" s="75"/>
      <c r="R286" s="75"/>
      <c r="S286" s="75"/>
      <c r="T286" s="75"/>
      <c r="U286" s="86"/>
      <c r="V286" s="84"/>
      <c r="W286" s="87"/>
      <c r="X286" s="84"/>
      <c r="Y286" s="84"/>
      <c r="Z286" s="84"/>
    </row>
    <row r="287" spans="1:26" ht="15.75" customHeight="1">
      <c r="A287" s="83"/>
      <c r="B287" s="83"/>
      <c r="C287" s="83"/>
      <c r="D287" s="87"/>
      <c r="E287" s="84"/>
      <c r="F287" s="84"/>
      <c r="G287" s="83"/>
      <c r="H287" s="84"/>
      <c r="I287" s="84"/>
      <c r="J287" s="84"/>
      <c r="K287" s="88"/>
      <c r="L287" s="84"/>
      <c r="M287" s="88"/>
      <c r="N287" s="84"/>
      <c r="O287" s="88"/>
      <c r="P287" s="85"/>
      <c r="Q287" s="75"/>
      <c r="R287" s="75"/>
      <c r="S287" s="75"/>
      <c r="T287" s="75"/>
      <c r="U287" s="86"/>
      <c r="V287" s="84"/>
      <c r="W287" s="87"/>
      <c r="X287" s="84"/>
      <c r="Y287" s="84"/>
      <c r="Z287" s="84"/>
    </row>
    <row r="288" spans="1:26" ht="15.75" customHeight="1">
      <c r="A288" s="83"/>
      <c r="B288" s="83"/>
      <c r="C288" s="83"/>
      <c r="D288" s="87"/>
      <c r="E288" s="84"/>
      <c r="F288" s="84"/>
      <c r="G288" s="83"/>
      <c r="H288" s="84"/>
      <c r="I288" s="84"/>
      <c r="J288" s="84"/>
      <c r="K288" s="88"/>
      <c r="L288" s="84"/>
      <c r="M288" s="88"/>
      <c r="N288" s="84"/>
      <c r="O288" s="88"/>
      <c r="P288" s="85"/>
      <c r="Q288" s="75"/>
      <c r="R288" s="75"/>
      <c r="S288" s="75"/>
      <c r="T288" s="75"/>
      <c r="U288" s="86"/>
      <c r="V288" s="84"/>
      <c r="W288" s="87"/>
      <c r="X288" s="84"/>
      <c r="Y288" s="84"/>
      <c r="Z288" s="84"/>
    </row>
    <row r="289" spans="1:26" ht="15.75" customHeight="1">
      <c r="A289" s="83"/>
      <c r="B289" s="83"/>
      <c r="C289" s="83"/>
      <c r="D289" s="87"/>
      <c r="E289" s="84"/>
      <c r="F289" s="84"/>
      <c r="G289" s="83"/>
      <c r="H289" s="84"/>
      <c r="I289" s="84"/>
      <c r="J289" s="84"/>
      <c r="K289" s="88"/>
      <c r="L289" s="84"/>
      <c r="M289" s="88"/>
      <c r="N289" s="84"/>
      <c r="O289" s="88"/>
      <c r="P289" s="85"/>
      <c r="Q289" s="75"/>
      <c r="R289" s="75"/>
      <c r="S289" s="75"/>
      <c r="T289" s="75"/>
      <c r="U289" s="86"/>
      <c r="V289" s="84"/>
      <c r="W289" s="87"/>
      <c r="X289" s="84"/>
      <c r="Y289" s="84"/>
      <c r="Z289" s="84"/>
    </row>
    <row r="290" spans="1:26" ht="15.75" customHeight="1">
      <c r="A290" s="83"/>
      <c r="B290" s="83"/>
      <c r="C290" s="83"/>
      <c r="D290" s="87"/>
      <c r="E290" s="84"/>
      <c r="F290" s="84"/>
      <c r="G290" s="83"/>
      <c r="H290" s="84"/>
      <c r="I290" s="84"/>
      <c r="J290" s="84"/>
      <c r="K290" s="88"/>
      <c r="L290" s="84"/>
      <c r="M290" s="88"/>
      <c r="N290" s="84"/>
      <c r="O290" s="88"/>
      <c r="P290" s="85"/>
      <c r="Q290" s="75"/>
      <c r="R290" s="75"/>
      <c r="S290" s="75"/>
      <c r="T290" s="75"/>
      <c r="U290" s="86"/>
      <c r="V290" s="84"/>
      <c r="W290" s="87"/>
      <c r="X290" s="84"/>
      <c r="Y290" s="84"/>
      <c r="Z290" s="84"/>
    </row>
    <row r="291" spans="1:26" ht="15.75" customHeight="1">
      <c r="A291" s="83"/>
      <c r="B291" s="83"/>
      <c r="C291" s="83"/>
      <c r="D291" s="87"/>
      <c r="E291" s="84"/>
      <c r="F291" s="84"/>
      <c r="G291" s="83"/>
      <c r="H291" s="84"/>
      <c r="I291" s="84"/>
      <c r="J291" s="84"/>
      <c r="K291" s="88"/>
      <c r="L291" s="84"/>
      <c r="M291" s="88"/>
      <c r="N291" s="84"/>
      <c r="O291" s="88"/>
      <c r="P291" s="85"/>
      <c r="Q291" s="75"/>
      <c r="R291" s="75"/>
      <c r="S291" s="75"/>
      <c r="T291" s="75"/>
      <c r="U291" s="86"/>
      <c r="V291" s="84"/>
      <c r="W291" s="87"/>
      <c r="X291" s="84"/>
      <c r="Y291" s="84"/>
      <c r="Z291" s="84"/>
    </row>
    <row r="292" spans="1:26" ht="15.75" customHeight="1">
      <c r="A292" s="83"/>
      <c r="B292" s="83"/>
      <c r="C292" s="83"/>
      <c r="D292" s="87"/>
      <c r="E292" s="84"/>
      <c r="F292" s="84"/>
      <c r="G292" s="83"/>
      <c r="H292" s="84"/>
      <c r="I292" s="84"/>
      <c r="J292" s="84"/>
      <c r="K292" s="88"/>
      <c r="L292" s="84"/>
      <c r="M292" s="88"/>
      <c r="N292" s="84"/>
      <c r="O292" s="88"/>
      <c r="P292" s="85"/>
      <c r="Q292" s="75"/>
      <c r="R292" s="75"/>
      <c r="S292" s="75"/>
      <c r="T292" s="75"/>
      <c r="U292" s="86"/>
      <c r="V292" s="84"/>
      <c r="W292" s="87"/>
      <c r="X292" s="84"/>
      <c r="Y292" s="84"/>
      <c r="Z292" s="84"/>
    </row>
    <row r="293" spans="1:26" ht="15.75" customHeight="1">
      <c r="A293" s="83"/>
      <c r="B293" s="83"/>
      <c r="C293" s="83"/>
      <c r="D293" s="87"/>
      <c r="E293" s="84"/>
      <c r="F293" s="84"/>
      <c r="G293" s="83"/>
      <c r="H293" s="84"/>
      <c r="I293" s="84"/>
      <c r="J293" s="84"/>
      <c r="K293" s="88"/>
      <c r="L293" s="84"/>
      <c r="M293" s="88"/>
      <c r="N293" s="84"/>
      <c r="O293" s="88"/>
      <c r="P293" s="85"/>
      <c r="Q293" s="75"/>
      <c r="R293" s="75"/>
      <c r="S293" s="75"/>
      <c r="T293" s="75"/>
      <c r="U293" s="86"/>
      <c r="V293" s="84"/>
      <c r="W293" s="87"/>
      <c r="X293" s="84"/>
      <c r="Y293" s="84"/>
      <c r="Z293" s="84"/>
    </row>
    <row r="294" spans="1:26" ht="15.75" customHeight="1">
      <c r="A294" s="83"/>
      <c r="B294" s="83"/>
      <c r="C294" s="83"/>
      <c r="D294" s="87"/>
      <c r="E294" s="84"/>
      <c r="F294" s="84"/>
      <c r="G294" s="83"/>
      <c r="H294" s="84"/>
      <c r="I294" s="84"/>
      <c r="J294" s="84"/>
      <c r="K294" s="88"/>
      <c r="L294" s="84"/>
      <c r="M294" s="88"/>
      <c r="N294" s="84"/>
      <c r="O294" s="88"/>
      <c r="P294" s="85"/>
      <c r="Q294" s="75"/>
      <c r="R294" s="75"/>
      <c r="S294" s="75"/>
      <c r="T294" s="75"/>
      <c r="U294" s="86"/>
      <c r="V294" s="84"/>
      <c r="W294" s="87"/>
      <c r="X294" s="84"/>
      <c r="Y294" s="84"/>
      <c r="Z294" s="84"/>
    </row>
    <row r="295" spans="1:26" ht="15.75" customHeight="1">
      <c r="A295" s="83"/>
      <c r="B295" s="83"/>
      <c r="C295" s="83"/>
      <c r="D295" s="87"/>
      <c r="E295" s="84"/>
      <c r="F295" s="84"/>
      <c r="G295" s="83"/>
      <c r="H295" s="84"/>
      <c r="I295" s="84"/>
      <c r="J295" s="84"/>
      <c r="K295" s="88"/>
      <c r="L295" s="84"/>
      <c r="M295" s="88"/>
      <c r="N295" s="84"/>
      <c r="O295" s="88"/>
      <c r="P295" s="85"/>
      <c r="Q295" s="75"/>
      <c r="R295" s="75"/>
      <c r="S295" s="75"/>
      <c r="T295" s="75"/>
      <c r="U295" s="86"/>
      <c r="V295" s="84"/>
      <c r="W295" s="87"/>
      <c r="X295" s="84"/>
      <c r="Y295" s="84"/>
      <c r="Z295" s="84"/>
    </row>
    <row r="296" spans="1:26" ht="15.75" customHeight="1">
      <c r="A296" s="83"/>
      <c r="B296" s="83"/>
      <c r="C296" s="83"/>
      <c r="D296" s="87"/>
      <c r="E296" s="84"/>
      <c r="F296" s="84"/>
      <c r="G296" s="83"/>
      <c r="H296" s="84"/>
      <c r="I296" s="84"/>
      <c r="J296" s="84"/>
      <c r="K296" s="88"/>
      <c r="L296" s="84"/>
      <c r="M296" s="88"/>
      <c r="N296" s="84"/>
      <c r="O296" s="88"/>
      <c r="P296" s="85"/>
      <c r="Q296" s="75"/>
      <c r="R296" s="75"/>
      <c r="S296" s="75"/>
      <c r="T296" s="75"/>
      <c r="U296" s="86"/>
      <c r="V296" s="84"/>
      <c r="W296" s="87"/>
      <c r="X296" s="84"/>
      <c r="Y296" s="84"/>
      <c r="Z296" s="84"/>
    </row>
    <row r="297" spans="1:26" ht="15.75" customHeight="1">
      <c r="A297" s="83"/>
      <c r="B297" s="83"/>
      <c r="C297" s="83"/>
      <c r="D297" s="87"/>
      <c r="E297" s="84"/>
      <c r="F297" s="84"/>
      <c r="G297" s="83"/>
      <c r="H297" s="84"/>
      <c r="I297" s="84"/>
      <c r="J297" s="84"/>
      <c r="K297" s="88"/>
      <c r="L297" s="84"/>
      <c r="M297" s="88"/>
      <c r="N297" s="84"/>
      <c r="O297" s="88"/>
      <c r="P297" s="85"/>
      <c r="Q297" s="75"/>
      <c r="R297" s="75"/>
      <c r="S297" s="75"/>
      <c r="T297" s="75"/>
      <c r="U297" s="86"/>
      <c r="V297" s="84"/>
      <c r="W297" s="87"/>
      <c r="X297" s="84"/>
      <c r="Y297" s="84"/>
      <c r="Z297" s="84"/>
    </row>
    <row r="298" spans="1:26" ht="15.75" customHeight="1">
      <c r="A298" s="83"/>
      <c r="B298" s="83"/>
      <c r="C298" s="83"/>
      <c r="D298" s="87"/>
      <c r="E298" s="84"/>
      <c r="F298" s="84"/>
      <c r="G298" s="83"/>
      <c r="H298" s="84"/>
      <c r="I298" s="84"/>
      <c r="J298" s="84"/>
      <c r="K298" s="88"/>
      <c r="L298" s="84"/>
      <c r="M298" s="88"/>
      <c r="N298" s="84"/>
      <c r="O298" s="88"/>
      <c r="P298" s="85"/>
      <c r="Q298" s="75"/>
      <c r="R298" s="75"/>
      <c r="S298" s="75"/>
      <c r="T298" s="75"/>
      <c r="U298" s="86"/>
      <c r="V298" s="84"/>
      <c r="W298" s="87"/>
      <c r="X298" s="84"/>
      <c r="Y298" s="84"/>
      <c r="Z298" s="84"/>
    </row>
    <row r="299" spans="1:26" ht="15.75" customHeight="1">
      <c r="A299" s="83"/>
      <c r="B299" s="83"/>
      <c r="C299" s="83"/>
      <c r="D299" s="87"/>
      <c r="E299" s="84"/>
      <c r="F299" s="84"/>
      <c r="G299" s="83"/>
      <c r="H299" s="84"/>
      <c r="I299" s="84"/>
      <c r="J299" s="84"/>
      <c r="K299" s="88"/>
      <c r="L299" s="84"/>
      <c r="M299" s="88"/>
      <c r="N299" s="84"/>
      <c r="O299" s="88"/>
      <c r="P299" s="85"/>
      <c r="Q299" s="75"/>
      <c r="R299" s="75"/>
      <c r="S299" s="75"/>
      <c r="T299" s="75"/>
      <c r="U299" s="86"/>
      <c r="V299" s="84"/>
      <c r="W299" s="87"/>
      <c r="X299" s="84"/>
      <c r="Y299" s="84"/>
      <c r="Z299" s="84"/>
    </row>
    <row r="300" spans="1:26" ht="15.75" customHeight="1">
      <c r="A300" s="83"/>
      <c r="B300" s="83"/>
      <c r="C300" s="83"/>
      <c r="D300" s="87"/>
      <c r="E300" s="84"/>
      <c r="F300" s="84"/>
      <c r="G300" s="83"/>
      <c r="H300" s="84"/>
      <c r="I300" s="84"/>
      <c r="J300" s="84"/>
      <c r="K300" s="88"/>
      <c r="L300" s="84"/>
      <c r="M300" s="88"/>
      <c r="N300" s="84"/>
      <c r="O300" s="88"/>
      <c r="P300" s="85"/>
      <c r="Q300" s="75"/>
      <c r="R300" s="75"/>
      <c r="S300" s="75"/>
      <c r="T300" s="75"/>
      <c r="U300" s="86"/>
      <c r="V300" s="84"/>
      <c r="W300" s="87"/>
      <c r="X300" s="84"/>
      <c r="Y300" s="84"/>
      <c r="Z300" s="84"/>
    </row>
    <row r="301" spans="1:26" ht="15.75" customHeight="1">
      <c r="A301" s="83"/>
      <c r="B301" s="83"/>
      <c r="C301" s="83"/>
      <c r="D301" s="87"/>
      <c r="E301" s="84"/>
      <c r="F301" s="84"/>
      <c r="G301" s="83"/>
      <c r="H301" s="84"/>
      <c r="I301" s="84"/>
      <c r="J301" s="84"/>
      <c r="K301" s="88"/>
      <c r="L301" s="84"/>
      <c r="M301" s="88"/>
      <c r="N301" s="84"/>
      <c r="O301" s="88"/>
      <c r="P301" s="85"/>
      <c r="Q301" s="75"/>
      <c r="R301" s="75"/>
      <c r="S301" s="75"/>
      <c r="T301" s="75"/>
      <c r="U301" s="86"/>
      <c r="V301" s="84"/>
      <c r="W301" s="87"/>
      <c r="X301" s="84"/>
      <c r="Y301" s="84"/>
      <c r="Z301" s="84"/>
    </row>
    <row r="302" spans="1:26" ht="15.75" customHeight="1">
      <c r="A302" s="83"/>
      <c r="B302" s="83"/>
      <c r="C302" s="83"/>
      <c r="D302" s="87"/>
      <c r="E302" s="84"/>
      <c r="F302" s="84"/>
      <c r="G302" s="83"/>
      <c r="H302" s="84"/>
      <c r="I302" s="84"/>
      <c r="J302" s="84"/>
      <c r="K302" s="88"/>
      <c r="L302" s="84"/>
      <c r="M302" s="88"/>
      <c r="N302" s="84"/>
      <c r="O302" s="88"/>
      <c r="P302" s="85"/>
      <c r="Q302" s="75"/>
      <c r="R302" s="75"/>
      <c r="S302" s="75"/>
      <c r="T302" s="75"/>
      <c r="U302" s="86"/>
      <c r="V302" s="84"/>
      <c r="W302" s="87"/>
      <c r="X302" s="84"/>
      <c r="Y302" s="84"/>
      <c r="Z302" s="84"/>
    </row>
    <row r="303" spans="1:26" ht="15.75" customHeight="1">
      <c r="A303" s="83"/>
      <c r="B303" s="83"/>
      <c r="C303" s="83"/>
      <c r="D303" s="87"/>
      <c r="E303" s="84"/>
      <c r="F303" s="84"/>
      <c r="G303" s="83"/>
      <c r="H303" s="84"/>
      <c r="I303" s="84"/>
      <c r="J303" s="84"/>
      <c r="K303" s="88"/>
      <c r="L303" s="84"/>
      <c r="M303" s="88"/>
      <c r="N303" s="84"/>
      <c r="O303" s="88"/>
      <c r="P303" s="85"/>
      <c r="Q303" s="75"/>
      <c r="R303" s="75"/>
      <c r="S303" s="75"/>
      <c r="T303" s="75"/>
      <c r="U303" s="86"/>
      <c r="V303" s="84"/>
      <c r="W303" s="87"/>
      <c r="X303" s="84"/>
      <c r="Y303" s="84"/>
      <c r="Z303" s="84"/>
    </row>
    <row r="304" spans="1:26" ht="15.75" customHeight="1">
      <c r="A304" s="83"/>
      <c r="B304" s="83"/>
      <c r="C304" s="83"/>
      <c r="D304" s="87"/>
      <c r="E304" s="84"/>
      <c r="F304" s="84"/>
      <c r="G304" s="83"/>
      <c r="H304" s="84"/>
      <c r="I304" s="84"/>
      <c r="J304" s="84"/>
      <c r="K304" s="88"/>
      <c r="L304" s="84"/>
      <c r="M304" s="88"/>
      <c r="N304" s="84"/>
      <c r="O304" s="88"/>
      <c r="P304" s="85"/>
      <c r="Q304" s="75"/>
      <c r="R304" s="75"/>
      <c r="S304" s="75"/>
      <c r="T304" s="75"/>
      <c r="U304" s="86"/>
      <c r="V304" s="84"/>
      <c r="W304" s="87"/>
      <c r="X304" s="84"/>
      <c r="Y304" s="84"/>
      <c r="Z304" s="84"/>
    </row>
    <row r="305" spans="1:26" ht="15.75" customHeight="1">
      <c r="A305" s="83"/>
      <c r="B305" s="83"/>
      <c r="C305" s="83"/>
      <c r="D305" s="87"/>
      <c r="E305" s="84"/>
      <c r="F305" s="84"/>
      <c r="G305" s="83"/>
      <c r="H305" s="84"/>
      <c r="I305" s="84"/>
      <c r="J305" s="84"/>
      <c r="K305" s="88"/>
      <c r="L305" s="84"/>
      <c r="M305" s="88"/>
      <c r="N305" s="84"/>
      <c r="O305" s="88"/>
      <c r="P305" s="85"/>
      <c r="Q305" s="75"/>
      <c r="R305" s="75"/>
      <c r="S305" s="75"/>
      <c r="T305" s="75"/>
      <c r="U305" s="86"/>
      <c r="V305" s="84"/>
      <c r="W305" s="87"/>
      <c r="X305" s="84"/>
      <c r="Y305" s="84"/>
      <c r="Z305" s="84"/>
    </row>
    <row r="306" spans="1:26" ht="15.75" customHeight="1">
      <c r="A306" s="83"/>
      <c r="B306" s="83"/>
      <c r="C306" s="83"/>
      <c r="D306" s="87"/>
      <c r="E306" s="84"/>
      <c r="F306" s="84"/>
      <c r="G306" s="83"/>
      <c r="H306" s="84"/>
      <c r="I306" s="84"/>
      <c r="J306" s="84"/>
      <c r="K306" s="88"/>
      <c r="L306" s="84"/>
      <c r="M306" s="88"/>
      <c r="N306" s="84"/>
      <c r="O306" s="88"/>
      <c r="P306" s="85"/>
      <c r="Q306" s="75"/>
      <c r="R306" s="75"/>
      <c r="S306" s="75"/>
      <c r="T306" s="75"/>
      <c r="U306" s="86"/>
      <c r="V306" s="84"/>
      <c r="W306" s="87"/>
      <c r="X306" s="84"/>
      <c r="Y306" s="84"/>
      <c r="Z306" s="84"/>
    </row>
    <row r="307" spans="1:26" ht="15.75" customHeight="1">
      <c r="A307" s="83"/>
      <c r="B307" s="83"/>
      <c r="C307" s="83"/>
      <c r="D307" s="87"/>
      <c r="E307" s="84"/>
      <c r="F307" s="84"/>
      <c r="G307" s="83"/>
      <c r="H307" s="84"/>
      <c r="I307" s="84"/>
      <c r="J307" s="84"/>
      <c r="K307" s="88"/>
      <c r="L307" s="84"/>
      <c r="M307" s="88"/>
      <c r="N307" s="84"/>
      <c r="O307" s="88"/>
      <c r="P307" s="85"/>
      <c r="Q307" s="75"/>
      <c r="R307" s="75"/>
      <c r="S307" s="75"/>
      <c r="T307" s="75"/>
      <c r="U307" s="86"/>
      <c r="V307" s="84"/>
      <c r="W307" s="87"/>
      <c r="X307" s="84"/>
      <c r="Y307" s="84"/>
      <c r="Z307" s="84"/>
    </row>
    <row r="308" spans="1:26" ht="15.75" customHeight="1">
      <c r="A308" s="83"/>
      <c r="B308" s="83"/>
      <c r="C308" s="83"/>
      <c r="D308" s="87"/>
      <c r="E308" s="84"/>
      <c r="F308" s="84"/>
      <c r="G308" s="83"/>
      <c r="H308" s="84"/>
      <c r="I308" s="84"/>
      <c r="J308" s="84"/>
      <c r="K308" s="88"/>
      <c r="L308" s="84"/>
      <c r="M308" s="88"/>
      <c r="N308" s="84"/>
      <c r="O308" s="88"/>
      <c r="P308" s="85"/>
      <c r="Q308" s="75"/>
      <c r="R308" s="75"/>
      <c r="S308" s="75"/>
      <c r="T308" s="75"/>
      <c r="U308" s="86"/>
      <c r="V308" s="84"/>
      <c r="W308" s="87"/>
      <c r="X308" s="84"/>
      <c r="Y308" s="84"/>
      <c r="Z308" s="84"/>
    </row>
    <row r="309" spans="1:26" ht="15.75" customHeight="1">
      <c r="A309" s="83"/>
      <c r="B309" s="83"/>
      <c r="C309" s="83"/>
      <c r="D309" s="87"/>
      <c r="E309" s="84"/>
      <c r="F309" s="84"/>
      <c r="G309" s="83"/>
      <c r="H309" s="84"/>
      <c r="I309" s="84"/>
      <c r="J309" s="84"/>
      <c r="K309" s="88"/>
      <c r="L309" s="84"/>
      <c r="M309" s="88"/>
      <c r="N309" s="84"/>
      <c r="O309" s="88"/>
      <c r="P309" s="85"/>
      <c r="Q309" s="75"/>
      <c r="R309" s="75"/>
      <c r="S309" s="75"/>
      <c r="T309" s="75"/>
      <c r="U309" s="86"/>
      <c r="V309" s="84"/>
      <c r="W309" s="87"/>
      <c r="X309" s="84"/>
      <c r="Y309" s="84"/>
      <c r="Z309" s="84"/>
    </row>
    <row r="310" spans="1:26" ht="15.75" customHeight="1">
      <c r="A310" s="83"/>
      <c r="B310" s="83"/>
      <c r="C310" s="83"/>
      <c r="D310" s="87"/>
      <c r="E310" s="84"/>
      <c r="F310" s="84"/>
      <c r="G310" s="83"/>
      <c r="H310" s="84"/>
      <c r="I310" s="84"/>
      <c r="J310" s="84"/>
      <c r="K310" s="88"/>
      <c r="L310" s="84"/>
      <c r="M310" s="88"/>
      <c r="N310" s="84"/>
      <c r="O310" s="88"/>
      <c r="P310" s="85"/>
      <c r="Q310" s="75"/>
      <c r="R310" s="75"/>
      <c r="S310" s="75"/>
      <c r="T310" s="75"/>
      <c r="U310" s="86"/>
      <c r="V310" s="84"/>
      <c r="W310" s="87"/>
      <c r="X310" s="84"/>
      <c r="Y310" s="84"/>
      <c r="Z310" s="84"/>
    </row>
    <row r="311" spans="1:26" ht="15.75" customHeight="1">
      <c r="A311" s="83"/>
      <c r="B311" s="83"/>
      <c r="C311" s="83"/>
      <c r="D311" s="87"/>
      <c r="E311" s="84"/>
      <c r="F311" s="84"/>
      <c r="G311" s="83"/>
      <c r="H311" s="84"/>
      <c r="I311" s="84"/>
      <c r="J311" s="84"/>
      <c r="K311" s="88"/>
      <c r="L311" s="84"/>
      <c r="M311" s="88"/>
      <c r="N311" s="84"/>
      <c r="O311" s="88"/>
      <c r="P311" s="85"/>
      <c r="Q311" s="75"/>
      <c r="R311" s="75"/>
      <c r="S311" s="75"/>
      <c r="T311" s="75"/>
      <c r="U311" s="86"/>
      <c r="V311" s="84"/>
      <c r="W311" s="87"/>
      <c r="X311" s="84"/>
      <c r="Y311" s="84"/>
      <c r="Z311" s="84"/>
    </row>
    <row r="312" spans="1:26" ht="15.75" customHeight="1">
      <c r="A312" s="83"/>
      <c r="B312" s="83"/>
      <c r="C312" s="83"/>
      <c r="D312" s="87"/>
      <c r="E312" s="84"/>
      <c r="F312" s="84"/>
      <c r="G312" s="83"/>
      <c r="H312" s="84"/>
      <c r="I312" s="84"/>
      <c r="J312" s="84"/>
      <c r="K312" s="88"/>
      <c r="L312" s="84"/>
      <c r="M312" s="88"/>
      <c r="N312" s="84"/>
      <c r="O312" s="88"/>
      <c r="P312" s="85"/>
      <c r="Q312" s="75"/>
      <c r="R312" s="75"/>
      <c r="S312" s="75"/>
      <c r="T312" s="75"/>
      <c r="U312" s="86"/>
      <c r="V312" s="84"/>
      <c r="W312" s="87"/>
      <c r="X312" s="84"/>
      <c r="Y312" s="84"/>
      <c r="Z312" s="84"/>
    </row>
    <row r="313" spans="1:26" ht="15.75" customHeight="1">
      <c r="A313" s="83"/>
      <c r="B313" s="83"/>
      <c r="C313" s="83"/>
      <c r="D313" s="87"/>
      <c r="E313" s="84"/>
      <c r="F313" s="84"/>
      <c r="G313" s="83"/>
      <c r="H313" s="84"/>
      <c r="I313" s="84"/>
      <c r="J313" s="84"/>
      <c r="K313" s="88"/>
      <c r="L313" s="84"/>
      <c r="M313" s="88"/>
      <c r="N313" s="84"/>
      <c r="O313" s="88"/>
      <c r="P313" s="85"/>
      <c r="Q313" s="75"/>
      <c r="R313" s="75"/>
      <c r="S313" s="75"/>
      <c r="T313" s="75"/>
      <c r="U313" s="86"/>
      <c r="V313" s="84"/>
      <c r="W313" s="87"/>
      <c r="X313" s="84"/>
      <c r="Y313" s="84"/>
      <c r="Z313" s="84"/>
    </row>
    <row r="314" spans="1:26" ht="15.75" customHeight="1">
      <c r="A314" s="83"/>
      <c r="B314" s="83"/>
      <c r="C314" s="83"/>
      <c r="D314" s="87"/>
      <c r="E314" s="84"/>
      <c r="F314" s="84"/>
      <c r="G314" s="83"/>
      <c r="H314" s="84"/>
      <c r="I314" s="84"/>
      <c r="J314" s="84"/>
      <c r="K314" s="88"/>
      <c r="L314" s="84"/>
      <c r="M314" s="88"/>
      <c r="N314" s="84"/>
      <c r="O314" s="88"/>
      <c r="P314" s="85"/>
      <c r="Q314" s="75"/>
      <c r="R314" s="75"/>
      <c r="S314" s="75"/>
      <c r="T314" s="75"/>
      <c r="U314" s="86"/>
      <c r="V314" s="84"/>
      <c r="W314" s="87"/>
      <c r="X314" s="84"/>
      <c r="Y314" s="84"/>
      <c r="Z314" s="84"/>
    </row>
    <row r="315" spans="1:26" ht="15.75" customHeight="1">
      <c r="A315" s="83"/>
      <c r="B315" s="83"/>
      <c r="C315" s="83"/>
      <c r="D315" s="87"/>
      <c r="E315" s="84"/>
      <c r="F315" s="84"/>
      <c r="G315" s="83"/>
      <c r="H315" s="84"/>
      <c r="I315" s="84"/>
      <c r="J315" s="84"/>
      <c r="K315" s="88"/>
      <c r="L315" s="84"/>
      <c r="M315" s="88"/>
      <c r="N315" s="84"/>
      <c r="O315" s="88"/>
      <c r="P315" s="85"/>
      <c r="Q315" s="75"/>
      <c r="R315" s="75"/>
      <c r="S315" s="75"/>
      <c r="T315" s="75"/>
      <c r="U315" s="86"/>
      <c r="V315" s="84"/>
      <c r="W315" s="87"/>
      <c r="X315" s="84"/>
      <c r="Y315" s="84"/>
      <c r="Z315" s="84"/>
    </row>
    <row r="316" spans="1:26" ht="15.75" customHeight="1">
      <c r="A316" s="83"/>
      <c r="B316" s="83"/>
      <c r="C316" s="83"/>
      <c r="D316" s="87"/>
      <c r="E316" s="84"/>
      <c r="F316" s="84"/>
      <c r="G316" s="83"/>
      <c r="H316" s="84"/>
      <c r="I316" s="84"/>
      <c r="J316" s="84"/>
      <c r="K316" s="88"/>
      <c r="L316" s="84"/>
      <c r="M316" s="88"/>
      <c r="N316" s="84"/>
      <c r="O316" s="88"/>
      <c r="P316" s="85"/>
      <c r="Q316" s="75"/>
      <c r="R316" s="75"/>
      <c r="S316" s="75"/>
      <c r="T316" s="75"/>
      <c r="U316" s="86"/>
      <c r="V316" s="84"/>
      <c r="W316" s="87"/>
      <c r="X316" s="84"/>
      <c r="Y316" s="84"/>
      <c r="Z316" s="84"/>
    </row>
    <row r="317" spans="1:26" ht="15.75" customHeight="1">
      <c r="A317" s="83"/>
      <c r="B317" s="83"/>
      <c r="C317" s="83"/>
      <c r="D317" s="87"/>
      <c r="E317" s="84"/>
      <c r="F317" s="84"/>
      <c r="G317" s="83"/>
      <c r="H317" s="84"/>
      <c r="I317" s="84"/>
      <c r="J317" s="84"/>
      <c r="K317" s="88"/>
      <c r="L317" s="84"/>
      <c r="M317" s="88"/>
      <c r="N317" s="84"/>
      <c r="O317" s="88"/>
      <c r="P317" s="85"/>
      <c r="Q317" s="75"/>
      <c r="R317" s="75"/>
      <c r="S317" s="75"/>
      <c r="T317" s="75"/>
      <c r="U317" s="86"/>
      <c r="V317" s="84"/>
      <c r="W317" s="87"/>
      <c r="X317" s="84"/>
      <c r="Y317" s="84"/>
      <c r="Z317" s="84"/>
    </row>
    <row r="318" spans="1:26" ht="15.75" customHeight="1">
      <c r="A318" s="83"/>
      <c r="B318" s="83"/>
      <c r="C318" s="83"/>
      <c r="D318" s="87"/>
      <c r="E318" s="84"/>
      <c r="F318" s="84"/>
      <c r="G318" s="83"/>
      <c r="H318" s="84"/>
      <c r="I318" s="84"/>
      <c r="J318" s="84"/>
      <c r="K318" s="88"/>
      <c r="L318" s="84"/>
      <c r="M318" s="88"/>
      <c r="N318" s="84"/>
      <c r="O318" s="88"/>
      <c r="P318" s="85"/>
      <c r="Q318" s="75"/>
      <c r="R318" s="75"/>
      <c r="S318" s="75"/>
      <c r="T318" s="75"/>
      <c r="U318" s="86"/>
      <c r="V318" s="84"/>
      <c r="W318" s="87"/>
      <c r="X318" s="84"/>
      <c r="Y318" s="84"/>
      <c r="Z318" s="84"/>
    </row>
    <row r="319" spans="1:26" ht="15.75" customHeight="1">
      <c r="A319" s="83"/>
      <c r="B319" s="83"/>
      <c r="C319" s="83"/>
      <c r="D319" s="87"/>
      <c r="E319" s="84"/>
      <c r="F319" s="84"/>
      <c r="G319" s="83"/>
      <c r="H319" s="84"/>
      <c r="I319" s="84"/>
      <c r="J319" s="84"/>
      <c r="K319" s="88"/>
      <c r="L319" s="84"/>
      <c r="M319" s="88"/>
      <c r="N319" s="84"/>
      <c r="O319" s="88"/>
      <c r="P319" s="85"/>
      <c r="Q319" s="75"/>
      <c r="R319" s="75"/>
      <c r="S319" s="75"/>
      <c r="T319" s="75"/>
      <c r="U319" s="86"/>
      <c r="V319" s="84"/>
      <c r="W319" s="87"/>
      <c r="X319" s="84"/>
      <c r="Y319" s="84"/>
      <c r="Z319" s="84"/>
    </row>
    <row r="320" spans="1:26" ht="15.75" customHeight="1">
      <c r="A320" s="83"/>
      <c r="B320" s="83"/>
      <c r="C320" s="83"/>
      <c r="D320" s="87"/>
      <c r="E320" s="84"/>
      <c r="F320" s="84"/>
      <c r="G320" s="83"/>
      <c r="H320" s="84"/>
      <c r="I320" s="84"/>
      <c r="J320" s="84"/>
      <c r="K320" s="88"/>
      <c r="L320" s="84"/>
      <c r="M320" s="88"/>
      <c r="N320" s="84"/>
      <c r="O320" s="88"/>
      <c r="P320" s="85"/>
      <c r="Q320" s="75"/>
      <c r="R320" s="75"/>
      <c r="S320" s="75"/>
      <c r="T320" s="75"/>
      <c r="U320" s="86"/>
      <c r="V320" s="84"/>
      <c r="W320" s="87"/>
      <c r="X320" s="84"/>
      <c r="Y320" s="84"/>
      <c r="Z320" s="84"/>
    </row>
    <row r="321" spans="1:26" ht="15.75" customHeight="1">
      <c r="A321" s="83"/>
      <c r="B321" s="83"/>
      <c r="C321" s="83"/>
      <c r="D321" s="87"/>
      <c r="E321" s="84"/>
      <c r="F321" s="84"/>
      <c r="G321" s="83"/>
      <c r="H321" s="84"/>
      <c r="I321" s="84"/>
      <c r="J321" s="84"/>
      <c r="K321" s="88"/>
      <c r="L321" s="84"/>
      <c r="M321" s="88"/>
      <c r="N321" s="84"/>
      <c r="O321" s="88"/>
      <c r="P321" s="85"/>
      <c r="Q321" s="75"/>
      <c r="R321" s="75"/>
      <c r="S321" s="75"/>
      <c r="T321" s="75"/>
      <c r="U321" s="86"/>
      <c r="V321" s="84"/>
      <c r="W321" s="87"/>
      <c r="X321" s="84"/>
      <c r="Y321" s="84"/>
      <c r="Z321" s="84"/>
    </row>
    <row r="322" spans="1:26" ht="15.75" customHeight="1">
      <c r="A322" s="83"/>
      <c r="B322" s="83"/>
      <c r="C322" s="83"/>
      <c r="D322" s="87"/>
      <c r="E322" s="84"/>
      <c r="F322" s="84"/>
      <c r="G322" s="83"/>
      <c r="H322" s="84"/>
      <c r="I322" s="84"/>
      <c r="J322" s="84"/>
      <c r="K322" s="88"/>
      <c r="L322" s="84"/>
      <c r="M322" s="88"/>
      <c r="N322" s="84"/>
      <c r="O322" s="88"/>
      <c r="P322" s="85"/>
      <c r="Q322" s="75"/>
      <c r="R322" s="75"/>
      <c r="S322" s="75"/>
      <c r="T322" s="75"/>
      <c r="U322" s="86"/>
      <c r="V322" s="84"/>
      <c r="W322" s="87"/>
      <c r="X322" s="84"/>
      <c r="Y322" s="84"/>
      <c r="Z322" s="84"/>
    </row>
    <row r="323" spans="1:26" ht="15.75" customHeight="1">
      <c r="A323" s="83"/>
      <c r="B323" s="83"/>
      <c r="C323" s="83"/>
      <c r="D323" s="87"/>
      <c r="E323" s="84"/>
      <c r="F323" s="84"/>
      <c r="G323" s="83"/>
      <c r="H323" s="84"/>
      <c r="I323" s="84"/>
      <c r="J323" s="84"/>
      <c r="K323" s="88"/>
      <c r="L323" s="84"/>
      <c r="M323" s="88"/>
      <c r="N323" s="84"/>
      <c r="O323" s="88"/>
      <c r="P323" s="85"/>
      <c r="Q323" s="75"/>
      <c r="R323" s="75"/>
      <c r="S323" s="75"/>
      <c r="T323" s="75"/>
      <c r="U323" s="86"/>
      <c r="V323" s="84"/>
      <c r="W323" s="87"/>
      <c r="X323" s="84"/>
      <c r="Y323" s="84"/>
      <c r="Z323" s="84"/>
    </row>
    <row r="324" spans="1:26" ht="15.75" customHeight="1">
      <c r="A324" s="83"/>
      <c r="B324" s="83"/>
      <c r="C324" s="83"/>
      <c r="D324" s="87"/>
      <c r="E324" s="84"/>
      <c r="F324" s="84"/>
      <c r="G324" s="83"/>
      <c r="H324" s="84"/>
      <c r="I324" s="84"/>
      <c r="J324" s="84"/>
      <c r="K324" s="88"/>
      <c r="L324" s="84"/>
      <c r="M324" s="88"/>
      <c r="N324" s="84"/>
      <c r="O324" s="88"/>
      <c r="P324" s="85"/>
      <c r="Q324" s="75"/>
      <c r="R324" s="75"/>
      <c r="S324" s="75"/>
      <c r="T324" s="75"/>
      <c r="U324" s="86"/>
      <c r="V324" s="84"/>
      <c r="W324" s="87"/>
      <c r="X324" s="84"/>
      <c r="Y324" s="84"/>
      <c r="Z324" s="84"/>
    </row>
    <row r="325" spans="1:26" ht="15.75" customHeight="1">
      <c r="A325" s="83"/>
      <c r="B325" s="83"/>
      <c r="C325" s="83"/>
      <c r="D325" s="87"/>
      <c r="E325" s="84"/>
      <c r="F325" s="84"/>
      <c r="G325" s="83"/>
      <c r="H325" s="84"/>
      <c r="I325" s="84"/>
      <c r="J325" s="84"/>
      <c r="K325" s="88"/>
      <c r="L325" s="84"/>
      <c r="M325" s="88"/>
      <c r="N325" s="84"/>
      <c r="O325" s="88"/>
      <c r="P325" s="85"/>
      <c r="Q325" s="75"/>
      <c r="R325" s="75"/>
      <c r="S325" s="75"/>
      <c r="T325" s="75"/>
      <c r="U325" s="86"/>
      <c r="V325" s="84"/>
      <c r="W325" s="87"/>
      <c r="X325" s="84"/>
      <c r="Y325" s="84"/>
      <c r="Z325" s="84"/>
    </row>
    <row r="326" spans="1:26" ht="15.75" customHeight="1">
      <c r="A326" s="83"/>
      <c r="B326" s="83"/>
      <c r="C326" s="83"/>
      <c r="D326" s="87"/>
      <c r="E326" s="84"/>
      <c r="F326" s="84"/>
      <c r="G326" s="83"/>
      <c r="H326" s="84"/>
      <c r="I326" s="84"/>
      <c r="J326" s="84"/>
      <c r="K326" s="88"/>
      <c r="L326" s="84"/>
      <c r="M326" s="88"/>
      <c r="N326" s="84"/>
      <c r="O326" s="88"/>
      <c r="P326" s="85"/>
      <c r="Q326" s="75"/>
      <c r="R326" s="75"/>
      <c r="S326" s="75"/>
      <c r="T326" s="75"/>
      <c r="U326" s="86"/>
      <c r="V326" s="84"/>
      <c r="W326" s="87"/>
      <c r="X326" s="84"/>
      <c r="Y326" s="84"/>
      <c r="Z326" s="84"/>
    </row>
    <row r="327" spans="1:26" ht="15.75" customHeight="1">
      <c r="A327" s="83"/>
      <c r="B327" s="83"/>
      <c r="C327" s="83"/>
      <c r="D327" s="87"/>
      <c r="E327" s="84"/>
      <c r="F327" s="84"/>
      <c r="G327" s="83"/>
      <c r="H327" s="84"/>
      <c r="I327" s="84"/>
      <c r="J327" s="84"/>
      <c r="K327" s="88"/>
      <c r="L327" s="84"/>
      <c r="M327" s="88"/>
      <c r="N327" s="84"/>
      <c r="O327" s="88"/>
      <c r="P327" s="85"/>
      <c r="Q327" s="75"/>
      <c r="R327" s="75"/>
      <c r="S327" s="75"/>
      <c r="T327" s="75"/>
      <c r="U327" s="86"/>
      <c r="V327" s="84"/>
      <c r="W327" s="87"/>
      <c r="X327" s="84"/>
      <c r="Y327" s="84"/>
      <c r="Z327" s="84"/>
    </row>
    <row r="328" spans="1:26" ht="15.75" customHeight="1">
      <c r="A328" s="83"/>
      <c r="B328" s="83"/>
      <c r="C328" s="83"/>
      <c r="D328" s="87"/>
      <c r="E328" s="84"/>
      <c r="F328" s="84"/>
      <c r="G328" s="83"/>
      <c r="H328" s="84"/>
      <c r="I328" s="84"/>
      <c r="J328" s="84"/>
      <c r="K328" s="88"/>
      <c r="L328" s="84"/>
      <c r="M328" s="88"/>
      <c r="N328" s="84"/>
      <c r="O328" s="88"/>
      <c r="P328" s="85"/>
      <c r="Q328" s="75"/>
      <c r="R328" s="75"/>
      <c r="S328" s="75"/>
      <c r="T328" s="75"/>
      <c r="U328" s="86"/>
      <c r="V328" s="84"/>
      <c r="W328" s="87"/>
      <c r="X328" s="84"/>
      <c r="Y328" s="84"/>
      <c r="Z328" s="84"/>
    </row>
    <row r="329" spans="1:26" ht="15.75" customHeight="1">
      <c r="A329" s="83"/>
      <c r="B329" s="83"/>
      <c r="C329" s="83"/>
      <c r="D329" s="87"/>
      <c r="E329" s="84"/>
      <c r="F329" s="84"/>
      <c r="G329" s="83"/>
      <c r="H329" s="84"/>
      <c r="I329" s="84"/>
      <c r="J329" s="84"/>
      <c r="K329" s="88"/>
      <c r="L329" s="84"/>
      <c r="M329" s="88"/>
      <c r="N329" s="84"/>
      <c r="O329" s="88"/>
      <c r="P329" s="85"/>
      <c r="Q329" s="75"/>
      <c r="R329" s="75"/>
      <c r="S329" s="75"/>
      <c r="T329" s="75"/>
      <c r="U329" s="86"/>
      <c r="V329" s="84"/>
      <c r="W329" s="87"/>
      <c r="X329" s="84"/>
      <c r="Y329" s="84"/>
      <c r="Z329" s="84"/>
    </row>
    <row r="330" spans="1:26" ht="15.75" customHeight="1">
      <c r="A330" s="83"/>
      <c r="B330" s="83"/>
      <c r="C330" s="83"/>
      <c r="D330" s="87"/>
      <c r="E330" s="84"/>
      <c r="F330" s="84"/>
      <c r="G330" s="83"/>
      <c r="H330" s="84"/>
      <c r="I330" s="84"/>
      <c r="J330" s="84"/>
      <c r="K330" s="88"/>
      <c r="L330" s="84"/>
      <c r="M330" s="88"/>
      <c r="N330" s="84"/>
      <c r="O330" s="88"/>
      <c r="P330" s="85"/>
      <c r="Q330" s="75"/>
      <c r="R330" s="75"/>
      <c r="S330" s="75"/>
      <c r="T330" s="75"/>
      <c r="U330" s="86"/>
      <c r="V330" s="84"/>
      <c r="W330" s="87"/>
      <c r="X330" s="84"/>
      <c r="Y330" s="84"/>
      <c r="Z330" s="84"/>
    </row>
    <row r="331" spans="1:26" ht="15.75" customHeight="1">
      <c r="A331" s="83"/>
      <c r="B331" s="83"/>
      <c r="C331" s="83"/>
      <c r="D331" s="87"/>
      <c r="E331" s="84"/>
      <c r="F331" s="84"/>
      <c r="G331" s="83"/>
      <c r="H331" s="84"/>
      <c r="I331" s="84"/>
      <c r="J331" s="84"/>
      <c r="K331" s="88"/>
      <c r="L331" s="84"/>
      <c r="M331" s="88"/>
      <c r="N331" s="84"/>
      <c r="O331" s="88"/>
      <c r="P331" s="85"/>
      <c r="Q331" s="75"/>
      <c r="R331" s="75"/>
      <c r="S331" s="75"/>
      <c r="T331" s="75"/>
      <c r="U331" s="86"/>
      <c r="V331" s="84"/>
      <c r="W331" s="87"/>
      <c r="X331" s="84"/>
      <c r="Y331" s="84"/>
      <c r="Z331" s="84"/>
    </row>
    <row r="332" spans="1:26" ht="15.75" customHeight="1">
      <c r="A332" s="83"/>
      <c r="B332" s="83"/>
      <c r="C332" s="83"/>
      <c r="D332" s="87"/>
      <c r="E332" s="84"/>
      <c r="F332" s="84"/>
      <c r="G332" s="83"/>
      <c r="H332" s="84"/>
      <c r="I332" s="84"/>
      <c r="J332" s="84"/>
      <c r="K332" s="88"/>
      <c r="L332" s="84"/>
      <c r="M332" s="88"/>
      <c r="N332" s="84"/>
      <c r="O332" s="88"/>
      <c r="P332" s="85"/>
      <c r="Q332" s="75"/>
      <c r="R332" s="75"/>
      <c r="S332" s="75"/>
      <c r="T332" s="75"/>
      <c r="U332" s="86"/>
      <c r="V332" s="84"/>
      <c r="W332" s="87"/>
      <c r="X332" s="84"/>
      <c r="Y332" s="84"/>
      <c r="Z332" s="84"/>
    </row>
    <row r="333" spans="1:26" ht="15.75" customHeight="1">
      <c r="A333" s="83"/>
      <c r="B333" s="83"/>
      <c r="C333" s="83"/>
      <c r="D333" s="87"/>
      <c r="E333" s="84"/>
      <c r="F333" s="84"/>
      <c r="G333" s="83"/>
      <c r="H333" s="84"/>
      <c r="I333" s="84"/>
      <c r="J333" s="84"/>
      <c r="K333" s="88"/>
      <c r="L333" s="84"/>
      <c r="M333" s="88"/>
      <c r="N333" s="84"/>
      <c r="O333" s="88"/>
      <c r="P333" s="85"/>
      <c r="Q333" s="75"/>
      <c r="R333" s="75"/>
      <c r="S333" s="75"/>
      <c r="T333" s="75"/>
      <c r="U333" s="86"/>
      <c r="V333" s="84"/>
      <c r="W333" s="87"/>
      <c r="X333" s="84"/>
      <c r="Y333" s="84"/>
      <c r="Z333" s="84"/>
    </row>
    <row r="334" spans="1:26" ht="15.75" customHeight="1">
      <c r="A334" s="83"/>
      <c r="B334" s="83"/>
      <c r="C334" s="83"/>
      <c r="D334" s="87"/>
      <c r="E334" s="84"/>
      <c r="F334" s="84"/>
      <c r="G334" s="83"/>
      <c r="H334" s="84"/>
      <c r="I334" s="84"/>
      <c r="J334" s="84"/>
      <c r="K334" s="88"/>
      <c r="L334" s="84"/>
      <c r="M334" s="88"/>
      <c r="N334" s="84"/>
      <c r="O334" s="88"/>
      <c r="P334" s="85"/>
      <c r="Q334" s="75"/>
      <c r="R334" s="75"/>
      <c r="S334" s="75"/>
      <c r="T334" s="75"/>
      <c r="U334" s="86"/>
      <c r="V334" s="84"/>
      <c r="W334" s="87"/>
      <c r="X334" s="84"/>
      <c r="Y334" s="84"/>
      <c r="Z334" s="84"/>
    </row>
    <row r="335" spans="1:26" ht="15.75" customHeight="1">
      <c r="A335" s="83"/>
      <c r="B335" s="83"/>
      <c r="C335" s="83"/>
      <c r="D335" s="87"/>
      <c r="E335" s="84"/>
      <c r="F335" s="84"/>
      <c r="G335" s="83"/>
      <c r="H335" s="84"/>
      <c r="I335" s="84"/>
      <c r="J335" s="84"/>
      <c r="K335" s="88"/>
      <c r="L335" s="84"/>
      <c r="M335" s="88"/>
      <c r="N335" s="84"/>
      <c r="O335" s="88"/>
      <c r="P335" s="85"/>
      <c r="Q335" s="75"/>
      <c r="R335" s="75"/>
      <c r="S335" s="75"/>
      <c r="T335" s="75"/>
      <c r="U335" s="86"/>
      <c r="V335" s="84"/>
      <c r="W335" s="87"/>
      <c r="X335" s="84"/>
      <c r="Y335" s="84"/>
      <c r="Z335" s="84"/>
    </row>
    <row r="336" spans="1:26" ht="15.75" customHeight="1">
      <c r="A336" s="83"/>
      <c r="B336" s="83"/>
      <c r="C336" s="83"/>
      <c r="D336" s="87"/>
      <c r="E336" s="84"/>
      <c r="F336" s="84"/>
      <c r="G336" s="83"/>
      <c r="H336" s="84"/>
      <c r="I336" s="84"/>
      <c r="J336" s="84"/>
      <c r="K336" s="88"/>
      <c r="L336" s="84"/>
      <c r="M336" s="88"/>
      <c r="N336" s="84"/>
      <c r="O336" s="88"/>
      <c r="P336" s="85"/>
      <c r="Q336" s="75"/>
      <c r="R336" s="75"/>
      <c r="S336" s="75"/>
      <c r="T336" s="75"/>
      <c r="U336" s="86"/>
      <c r="V336" s="84"/>
      <c r="W336" s="87"/>
      <c r="X336" s="84"/>
      <c r="Y336" s="84"/>
      <c r="Z336" s="84"/>
    </row>
    <row r="337" spans="1:26" ht="15.75" customHeight="1">
      <c r="A337" s="83"/>
      <c r="B337" s="83"/>
      <c r="C337" s="83"/>
      <c r="D337" s="87"/>
      <c r="E337" s="84"/>
      <c r="F337" s="84"/>
      <c r="G337" s="83"/>
      <c r="H337" s="84"/>
      <c r="I337" s="84"/>
      <c r="J337" s="84"/>
      <c r="K337" s="88"/>
      <c r="L337" s="84"/>
      <c r="M337" s="88"/>
      <c r="N337" s="84"/>
      <c r="O337" s="88"/>
      <c r="P337" s="85"/>
      <c r="Q337" s="75"/>
      <c r="R337" s="75"/>
      <c r="S337" s="75"/>
      <c r="T337" s="75"/>
      <c r="U337" s="86"/>
      <c r="V337" s="84"/>
      <c r="W337" s="87"/>
      <c r="X337" s="84"/>
      <c r="Y337" s="84"/>
      <c r="Z337" s="84"/>
    </row>
    <row r="338" spans="1:26" ht="15.75" customHeight="1">
      <c r="A338" s="83"/>
      <c r="B338" s="83"/>
      <c r="C338" s="83"/>
      <c r="D338" s="87"/>
      <c r="E338" s="84"/>
      <c r="F338" s="84"/>
      <c r="G338" s="83"/>
      <c r="H338" s="84"/>
      <c r="I338" s="84"/>
      <c r="J338" s="84"/>
      <c r="K338" s="88"/>
      <c r="L338" s="84"/>
      <c r="M338" s="88"/>
      <c r="N338" s="84"/>
      <c r="O338" s="88"/>
      <c r="P338" s="85"/>
      <c r="Q338" s="75"/>
      <c r="R338" s="75"/>
      <c r="S338" s="75"/>
      <c r="T338" s="75"/>
      <c r="U338" s="86"/>
      <c r="V338" s="84"/>
      <c r="W338" s="87"/>
      <c r="X338" s="84"/>
      <c r="Y338" s="84"/>
      <c r="Z338" s="84"/>
    </row>
    <row r="339" spans="1:26" ht="15.75" customHeight="1">
      <c r="A339" s="83"/>
      <c r="B339" s="83"/>
      <c r="C339" s="83"/>
      <c r="D339" s="87"/>
      <c r="E339" s="84"/>
      <c r="F339" s="84"/>
      <c r="G339" s="83"/>
      <c r="H339" s="84"/>
      <c r="I339" s="84"/>
      <c r="J339" s="84"/>
      <c r="K339" s="88"/>
      <c r="L339" s="84"/>
      <c r="M339" s="88"/>
      <c r="N339" s="84"/>
      <c r="O339" s="88"/>
      <c r="P339" s="85"/>
      <c r="Q339" s="75"/>
      <c r="R339" s="75"/>
      <c r="S339" s="75"/>
      <c r="T339" s="75"/>
      <c r="U339" s="86"/>
      <c r="V339" s="84"/>
      <c r="W339" s="87"/>
      <c r="X339" s="84"/>
      <c r="Y339" s="84"/>
      <c r="Z339" s="84"/>
    </row>
    <row r="340" spans="1:26" ht="15.75" customHeight="1">
      <c r="A340" s="83"/>
      <c r="B340" s="83"/>
      <c r="C340" s="83"/>
      <c r="D340" s="87"/>
      <c r="E340" s="84"/>
      <c r="F340" s="84"/>
      <c r="G340" s="83"/>
      <c r="H340" s="84"/>
      <c r="I340" s="84"/>
      <c r="J340" s="84"/>
      <c r="K340" s="88"/>
      <c r="L340" s="84"/>
      <c r="M340" s="88"/>
      <c r="N340" s="84"/>
      <c r="O340" s="88"/>
      <c r="P340" s="85"/>
      <c r="Q340" s="75"/>
      <c r="R340" s="75"/>
      <c r="S340" s="75"/>
      <c r="T340" s="75"/>
      <c r="U340" s="86"/>
      <c r="V340" s="84"/>
      <c r="W340" s="87"/>
      <c r="X340" s="84"/>
      <c r="Y340" s="84"/>
      <c r="Z340" s="84"/>
    </row>
    <row r="341" spans="1:26" ht="15.75" customHeight="1">
      <c r="A341" s="83"/>
      <c r="B341" s="83"/>
      <c r="C341" s="83"/>
      <c r="D341" s="87"/>
      <c r="E341" s="84"/>
      <c r="F341" s="84"/>
      <c r="G341" s="83"/>
      <c r="H341" s="84"/>
      <c r="I341" s="84"/>
      <c r="J341" s="84"/>
      <c r="K341" s="88"/>
      <c r="L341" s="84"/>
      <c r="M341" s="88"/>
      <c r="N341" s="84"/>
      <c r="O341" s="88"/>
      <c r="P341" s="85"/>
      <c r="Q341" s="75"/>
      <c r="R341" s="75"/>
      <c r="S341" s="75"/>
      <c r="T341" s="75"/>
      <c r="U341" s="86"/>
      <c r="V341" s="84"/>
      <c r="W341" s="87"/>
      <c r="X341" s="84"/>
      <c r="Y341" s="84"/>
      <c r="Z341" s="84"/>
    </row>
    <row r="342" spans="1:26" ht="15.75" customHeight="1">
      <c r="A342" s="83"/>
      <c r="B342" s="83"/>
      <c r="C342" s="83"/>
      <c r="D342" s="87"/>
      <c r="E342" s="84"/>
      <c r="F342" s="84"/>
      <c r="G342" s="83"/>
      <c r="H342" s="84"/>
      <c r="I342" s="84"/>
      <c r="J342" s="84"/>
      <c r="K342" s="88"/>
      <c r="L342" s="84"/>
      <c r="M342" s="88"/>
      <c r="N342" s="84"/>
      <c r="O342" s="88"/>
      <c r="P342" s="85"/>
      <c r="Q342" s="75"/>
      <c r="R342" s="75"/>
      <c r="S342" s="75"/>
      <c r="T342" s="75"/>
      <c r="U342" s="86"/>
      <c r="V342" s="84"/>
      <c r="W342" s="87"/>
      <c r="X342" s="84"/>
      <c r="Y342" s="84"/>
      <c r="Z342" s="84"/>
    </row>
    <row r="343" spans="1:26" ht="15.75" customHeight="1">
      <c r="A343" s="83"/>
      <c r="B343" s="83"/>
      <c r="C343" s="83"/>
      <c r="D343" s="87"/>
      <c r="E343" s="84"/>
      <c r="F343" s="84"/>
      <c r="G343" s="83"/>
      <c r="H343" s="84"/>
      <c r="I343" s="84"/>
      <c r="J343" s="84"/>
      <c r="K343" s="88"/>
      <c r="L343" s="84"/>
      <c r="M343" s="88"/>
      <c r="N343" s="84"/>
      <c r="O343" s="88"/>
      <c r="P343" s="85"/>
      <c r="Q343" s="75"/>
      <c r="R343" s="75"/>
      <c r="S343" s="75"/>
      <c r="T343" s="75"/>
      <c r="U343" s="86"/>
      <c r="V343" s="84"/>
      <c r="W343" s="87"/>
      <c r="X343" s="84"/>
      <c r="Y343" s="84"/>
      <c r="Z343" s="84"/>
    </row>
    <row r="344" spans="1:26" ht="15.75" customHeight="1">
      <c r="A344" s="83"/>
      <c r="B344" s="83"/>
      <c r="C344" s="83"/>
      <c r="D344" s="87"/>
      <c r="E344" s="84"/>
      <c r="F344" s="84"/>
      <c r="G344" s="83"/>
      <c r="H344" s="84"/>
      <c r="I344" s="84"/>
      <c r="J344" s="84"/>
      <c r="K344" s="88"/>
      <c r="L344" s="84"/>
      <c r="M344" s="88"/>
      <c r="N344" s="84"/>
      <c r="O344" s="88"/>
      <c r="P344" s="85"/>
      <c r="Q344" s="75"/>
      <c r="R344" s="75"/>
      <c r="S344" s="75"/>
      <c r="T344" s="75"/>
      <c r="U344" s="86"/>
      <c r="V344" s="84"/>
      <c r="W344" s="87"/>
      <c r="X344" s="84"/>
      <c r="Y344" s="84"/>
      <c r="Z344" s="84"/>
    </row>
    <row r="345" spans="1:26" ht="15.75" customHeight="1">
      <c r="A345" s="83"/>
      <c r="B345" s="83"/>
      <c r="C345" s="83"/>
      <c r="D345" s="87"/>
      <c r="E345" s="84"/>
      <c r="F345" s="84"/>
      <c r="G345" s="83"/>
      <c r="H345" s="84"/>
      <c r="I345" s="84"/>
      <c r="J345" s="84"/>
      <c r="K345" s="88"/>
      <c r="L345" s="84"/>
      <c r="M345" s="88"/>
      <c r="N345" s="84"/>
      <c r="O345" s="88"/>
      <c r="P345" s="85"/>
      <c r="Q345" s="75"/>
      <c r="R345" s="75"/>
      <c r="S345" s="75"/>
      <c r="T345" s="75"/>
      <c r="U345" s="86"/>
      <c r="V345" s="84"/>
      <c r="W345" s="87"/>
      <c r="X345" s="84"/>
      <c r="Y345" s="84"/>
      <c r="Z345" s="84"/>
    </row>
    <row r="346" spans="1:26" ht="15.75" customHeight="1">
      <c r="A346" s="83"/>
      <c r="B346" s="83"/>
      <c r="C346" s="83"/>
      <c r="D346" s="87"/>
      <c r="E346" s="84"/>
      <c r="F346" s="84"/>
      <c r="G346" s="83"/>
      <c r="H346" s="84"/>
      <c r="I346" s="84"/>
      <c r="J346" s="84"/>
      <c r="K346" s="88"/>
      <c r="L346" s="84"/>
      <c r="M346" s="88"/>
      <c r="N346" s="84"/>
      <c r="O346" s="88"/>
      <c r="P346" s="85"/>
      <c r="Q346" s="75"/>
      <c r="R346" s="75"/>
      <c r="S346" s="75"/>
      <c r="T346" s="75"/>
      <c r="U346" s="86"/>
      <c r="V346" s="84"/>
      <c r="W346" s="87"/>
      <c r="X346" s="84"/>
      <c r="Y346" s="84"/>
      <c r="Z346" s="84"/>
    </row>
    <row r="347" spans="1:26" ht="15.75" customHeight="1">
      <c r="A347" s="83"/>
      <c r="B347" s="83"/>
      <c r="C347" s="83"/>
      <c r="D347" s="87"/>
      <c r="E347" s="84"/>
      <c r="F347" s="84"/>
      <c r="G347" s="83"/>
      <c r="H347" s="84"/>
      <c r="I347" s="84"/>
      <c r="J347" s="84"/>
      <c r="K347" s="88"/>
      <c r="L347" s="84"/>
      <c r="M347" s="88"/>
      <c r="N347" s="84"/>
      <c r="O347" s="88"/>
      <c r="P347" s="85"/>
      <c r="Q347" s="75"/>
      <c r="R347" s="75"/>
      <c r="S347" s="75"/>
      <c r="T347" s="75"/>
      <c r="U347" s="86"/>
      <c r="V347" s="84"/>
      <c r="W347" s="87"/>
      <c r="X347" s="84"/>
      <c r="Y347" s="84"/>
      <c r="Z347" s="84"/>
    </row>
    <row r="348" spans="1:26" ht="15.75" customHeight="1">
      <c r="A348" s="83"/>
      <c r="B348" s="83"/>
      <c r="C348" s="83"/>
      <c r="D348" s="87"/>
      <c r="E348" s="84"/>
      <c r="F348" s="84"/>
      <c r="G348" s="83"/>
      <c r="H348" s="84"/>
      <c r="I348" s="84"/>
      <c r="J348" s="84"/>
      <c r="K348" s="88"/>
      <c r="L348" s="84"/>
      <c r="M348" s="88"/>
      <c r="N348" s="84"/>
      <c r="O348" s="88"/>
      <c r="P348" s="85"/>
      <c r="Q348" s="75"/>
      <c r="R348" s="75"/>
      <c r="S348" s="75"/>
      <c r="T348" s="75"/>
      <c r="U348" s="86"/>
      <c r="V348" s="84"/>
      <c r="W348" s="87"/>
      <c r="X348" s="84"/>
      <c r="Y348" s="84"/>
      <c r="Z348" s="84"/>
    </row>
    <row r="349" spans="1:26" ht="15.75" customHeight="1">
      <c r="A349" s="83"/>
      <c r="B349" s="83"/>
      <c r="C349" s="83"/>
      <c r="D349" s="87"/>
      <c r="E349" s="84"/>
      <c r="F349" s="84"/>
      <c r="G349" s="83"/>
      <c r="H349" s="84"/>
      <c r="I349" s="84"/>
      <c r="J349" s="84"/>
      <c r="K349" s="88"/>
      <c r="L349" s="84"/>
      <c r="M349" s="88"/>
      <c r="N349" s="84"/>
      <c r="O349" s="88"/>
      <c r="P349" s="85"/>
      <c r="Q349" s="75"/>
      <c r="R349" s="75"/>
      <c r="S349" s="75"/>
      <c r="T349" s="75"/>
      <c r="U349" s="86"/>
      <c r="V349" s="84"/>
      <c r="W349" s="87"/>
      <c r="X349" s="84"/>
      <c r="Y349" s="84"/>
      <c r="Z349" s="84"/>
    </row>
    <row r="350" spans="1:26" ht="15.75" customHeight="1">
      <c r="A350" s="83"/>
      <c r="B350" s="83"/>
      <c r="C350" s="83"/>
      <c r="D350" s="87"/>
      <c r="E350" s="84"/>
      <c r="F350" s="84"/>
      <c r="G350" s="83"/>
      <c r="H350" s="84"/>
      <c r="I350" s="84"/>
      <c r="J350" s="84"/>
      <c r="K350" s="88"/>
      <c r="L350" s="84"/>
      <c r="M350" s="88"/>
      <c r="N350" s="84"/>
      <c r="O350" s="88"/>
      <c r="P350" s="85"/>
      <c r="Q350" s="75"/>
      <c r="R350" s="75"/>
      <c r="S350" s="75"/>
      <c r="T350" s="75"/>
      <c r="U350" s="86"/>
      <c r="V350" s="84"/>
      <c r="W350" s="87"/>
      <c r="X350" s="84"/>
      <c r="Y350" s="84"/>
      <c r="Z350" s="84"/>
    </row>
    <row r="351" spans="1:26" ht="15.75" customHeight="1">
      <c r="A351" s="83"/>
      <c r="B351" s="83"/>
      <c r="C351" s="83"/>
      <c r="D351" s="87"/>
      <c r="E351" s="84"/>
      <c r="F351" s="84"/>
      <c r="G351" s="83"/>
      <c r="H351" s="84"/>
      <c r="I351" s="84"/>
      <c r="J351" s="84"/>
      <c r="K351" s="88"/>
      <c r="L351" s="84"/>
      <c r="M351" s="88"/>
      <c r="N351" s="84"/>
      <c r="O351" s="88"/>
      <c r="P351" s="85"/>
      <c r="Q351" s="75"/>
      <c r="R351" s="75"/>
      <c r="S351" s="75"/>
      <c r="T351" s="75"/>
      <c r="U351" s="86"/>
      <c r="V351" s="84"/>
      <c r="W351" s="87"/>
      <c r="X351" s="84"/>
      <c r="Y351" s="84"/>
      <c r="Z351" s="84"/>
    </row>
    <row r="352" spans="1:26" ht="15.75" customHeight="1">
      <c r="A352" s="83"/>
      <c r="B352" s="83"/>
      <c r="C352" s="83"/>
      <c r="D352" s="87"/>
      <c r="E352" s="84"/>
      <c r="F352" s="84"/>
      <c r="G352" s="83"/>
      <c r="H352" s="84"/>
      <c r="I352" s="84"/>
      <c r="J352" s="84"/>
      <c r="K352" s="88"/>
      <c r="L352" s="84"/>
      <c r="M352" s="88"/>
      <c r="N352" s="84"/>
      <c r="O352" s="88"/>
      <c r="P352" s="85"/>
      <c r="Q352" s="75"/>
      <c r="R352" s="75"/>
      <c r="S352" s="75"/>
      <c r="T352" s="75"/>
      <c r="U352" s="86"/>
      <c r="V352" s="84"/>
      <c r="W352" s="87"/>
      <c r="X352" s="84"/>
      <c r="Y352" s="84"/>
      <c r="Z352" s="84"/>
    </row>
    <row r="353" spans="1:26" ht="15.75" customHeight="1">
      <c r="A353" s="83"/>
      <c r="B353" s="83"/>
      <c r="C353" s="83"/>
      <c r="D353" s="87"/>
      <c r="E353" s="84"/>
      <c r="F353" s="84"/>
      <c r="G353" s="83"/>
      <c r="H353" s="84"/>
      <c r="I353" s="84"/>
      <c r="J353" s="84"/>
      <c r="K353" s="88"/>
      <c r="L353" s="84"/>
      <c r="M353" s="88"/>
      <c r="N353" s="84"/>
      <c r="O353" s="88"/>
      <c r="P353" s="85"/>
      <c r="Q353" s="75"/>
      <c r="R353" s="75"/>
      <c r="S353" s="75"/>
      <c r="T353" s="75"/>
      <c r="U353" s="86"/>
      <c r="V353" s="84"/>
      <c r="W353" s="87"/>
      <c r="X353" s="84"/>
      <c r="Y353" s="84"/>
      <c r="Z353" s="84"/>
    </row>
    <row r="354" spans="1:26" ht="15.75" customHeight="1">
      <c r="A354" s="83"/>
      <c r="B354" s="83"/>
      <c r="C354" s="83"/>
      <c r="D354" s="87"/>
      <c r="E354" s="84"/>
      <c r="F354" s="84"/>
      <c r="G354" s="83"/>
      <c r="H354" s="84"/>
      <c r="I354" s="84"/>
      <c r="J354" s="84"/>
      <c r="K354" s="88"/>
      <c r="L354" s="84"/>
      <c r="M354" s="88"/>
      <c r="N354" s="84"/>
      <c r="O354" s="88"/>
      <c r="P354" s="85"/>
      <c r="Q354" s="75"/>
      <c r="R354" s="75"/>
      <c r="S354" s="75"/>
      <c r="T354" s="75"/>
      <c r="U354" s="86"/>
      <c r="V354" s="84"/>
      <c r="W354" s="87"/>
      <c r="X354" s="84"/>
      <c r="Y354" s="84"/>
      <c r="Z354" s="84"/>
    </row>
    <row r="355" spans="1:26" ht="15.75" customHeight="1">
      <c r="A355" s="83"/>
      <c r="B355" s="83"/>
      <c r="C355" s="83"/>
      <c r="D355" s="87"/>
      <c r="E355" s="84"/>
      <c r="F355" s="84"/>
      <c r="G355" s="83"/>
      <c r="H355" s="84"/>
      <c r="I355" s="84"/>
      <c r="J355" s="84"/>
      <c r="K355" s="88"/>
      <c r="L355" s="84"/>
      <c r="M355" s="88"/>
      <c r="N355" s="84"/>
      <c r="O355" s="88"/>
      <c r="P355" s="85"/>
      <c r="Q355" s="75"/>
      <c r="R355" s="75"/>
      <c r="S355" s="75"/>
      <c r="T355" s="75"/>
      <c r="U355" s="86"/>
      <c r="V355" s="84"/>
      <c r="W355" s="87"/>
      <c r="X355" s="84"/>
      <c r="Y355" s="84"/>
      <c r="Z355" s="84"/>
    </row>
    <row r="356" spans="1:26" ht="15.75" customHeight="1">
      <c r="A356" s="83"/>
      <c r="B356" s="83"/>
      <c r="C356" s="83"/>
      <c r="D356" s="87"/>
      <c r="E356" s="84"/>
      <c r="F356" s="84"/>
      <c r="G356" s="83"/>
      <c r="H356" s="84"/>
      <c r="I356" s="84"/>
      <c r="J356" s="84"/>
      <c r="K356" s="88"/>
      <c r="L356" s="84"/>
      <c r="M356" s="88"/>
      <c r="N356" s="84"/>
      <c r="O356" s="88"/>
      <c r="P356" s="85"/>
      <c r="Q356" s="75"/>
      <c r="R356" s="75"/>
      <c r="S356" s="75"/>
      <c r="T356" s="75"/>
      <c r="U356" s="86"/>
      <c r="V356" s="84"/>
      <c r="W356" s="87"/>
      <c r="X356" s="84"/>
      <c r="Y356" s="84"/>
      <c r="Z356" s="84"/>
    </row>
    <row r="357" spans="1:26" ht="15.75" customHeight="1">
      <c r="A357" s="83"/>
      <c r="B357" s="83"/>
      <c r="C357" s="83"/>
      <c r="D357" s="87"/>
      <c r="E357" s="84"/>
      <c r="F357" s="84"/>
      <c r="G357" s="83"/>
      <c r="H357" s="84"/>
      <c r="I357" s="84"/>
      <c r="J357" s="84"/>
      <c r="K357" s="88"/>
      <c r="L357" s="84"/>
      <c r="M357" s="88"/>
      <c r="N357" s="84"/>
      <c r="O357" s="88"/>
      <c r="P357" s="85"/>
      <c r="Q357" s="75"/>
      <c r="R357" s="75"/>
      <c r="S357" s="75"/>
      <c r="T357" s="75"/>
      <c r="U357" s="86"/>
      <c r="V357" s="84"/>
      <c r="W357" s="87"/>
      <c r="X357" s="84"/>
      <c r="Y357" s="84"/>
      <c r="Z357" s="84"/>
    </row>
    <row r="358" spans="1:26" ht="15.75" customHeight="1">
      <c r="A358" s="83"/>
      <c r="B358" s="83"/>
      <c r="C358" s="83"/>
      <c r="D358" s="87"/>
      <c r="E358" s="84"/>
      <c r="F358" s="84"/>
      <c r="G358" s="83"/>
      <c r="H358" s="84"/>
      <c r="I358" s="84"/>
      <c r="J358" s="84"/>
      <c r="K358" s="88"/>
      <c r="L358" s="84"/>
      <c r="M358" s="88"/>
      <c r="N358" s="84"/>
      <c r="O358" s="88"/>
      <c r="P358" s="85"/>
      <c r="Q358" s="75"/>
      <c r="R358" s="75"/>
      <c r="S358" s="75"/>
      <c r="T358" s="75"/>
      <c r="U358" s="86"/>
      <c r="V358" s="84"/>
      <c r="W358" s="87"/>
      <c r="X358" s="84"/>
      <c r="Y358" s="84"/>
      <c r="Z358" s="84"/>
    </row>
    <row r="359" spans="1:26" ht="15.75" customHeight="1">
      <c r="A359" s="83"/>
      <c r="B359" s="83"/>
      <c r="C359" s="83"/>
      <c r="D359" s="87"/>
      <c r="E359" s="84"/>
      <c r="F359" s="84"/>
      <c r="G359" s="83"/>
      <c r="H359" s="84"/>
      <c r="I359" s="84"/>
      <c r="J359" s="84"/>
      <c r="K359" s="88"/>
      <c r="L359" s="84"/>
      <c r="M359" s="88"/>
      <c r="N359" s="84"/>
      <c r="O359" s="88"/>
      <c r="P359" s="85"/>
      <c r="Q359" s="75"/>
      <c r="R359" s="75"/>
      <c r="S359" s="75"/>
      <c r="T359" s="75"/>
      <c r="U359" s="86"/>
      <c r="V359" s="84"/>
      <c r="W359" s="87"/>
      <c r="X359" s="84"/>
      <c r="Y359" s="84"/>
      <c r="Z359" s="84"/>
    </row>
    <row r="360" spans="1:26" ht="15.75" customHeight="1">
      <c r="A360" s="83"/>
      <c r="B360" s="83"/>
      <c r="C360" s="83"/>
      <c r="D360" s="87"/>
      <c r="E360" s="84"/>
      <c r="F360" s="84"/>
      <c r="G360" s="83"/>
      <c r="H360" s="84"/>
      <c r="I360" s="84"/>
      <c r="J360" s="84"/>
      <c r="K360" s="88"/>
      <c r="L360" s="84"/>
      <c r="M360" s="88"/>
      <c r="N360" s="84"/>
      <c r="O360" s="88"/>
      <c r="P360" s="85"/>
      <c r="Q360" s="75"/>
      <c r="R360" s="75"/>
      <c r="S360" s="75"/>
      <c r="T360" s="75"/>
      <c r="U360" s="86"/>
      <c r="V360" s="84"/>
      <c r="W360" s="87"/>
      <c r="X360" s="84"/>
      <c r="Y360" s="84"/>
      <c r="Z360" s="84"/>
    </row>
    <row r="361" spans="1:26" ht="15.75" customHeight="1">
      <c r="A361" s="83"/>
      <c r="B361" s="83"/>
      <c r="C361" s="83"/>
      <c r="D361" s="87"/>
      <c r="E361" s="84"/>
      <c r="F361" s="84"/>
      <c r="G361" s="83"/>
      <c r="H361" s="84"/>
      <c r="I361" s="84"/>
      <c r="J361" s="84"/>
      <c r="K361" s="88"/>
      <c r="L361" s="84"/>
      <c r="M361" s="88"/>
      <c r="N361" s="84"/>
      <c r="O361" s="88"/>
      <c r="P361" s="85"/>
      <c r="Q361" s="75"/>
      <c r="R361" s="75"/>
      <c r="S361" s="75"/>
      <c r="T361" s="75"/>
      <c r="U361" s="86"/>
      <c r="V361" s="84"/>
      <c r="W361" s="87"/>
      <c r="X361" s="84"/>
      <c r="Y361" s="84"/>
      <c r="Z361" s="84"/>
    </row>
    <row r="362" spans="1:26" ht="15.75" customHeight="1">
      <c r="A362" s="83"/>
      <c r="B362" s="83"/>
      <c r="C362" s="83"/>
      <c r="D362" s="87"/>
      <c r="E362" s="84"/>
      <c r="F362" s="84"/>
      <c r="G362" s="83"/>
      <c r="H362" s="84"/>
      <c r="I362" s="84"/>
      <c r="J362" s="84"/>
      <c r="K362" s="88"/>
      <c r="L362" s="84"/>
      <c r="M362" s="88"/>
      <c r="N362" s="84"/>
      <c r="O362" s="88"/>
      <c r="P362" s="85"/>
      <c r="Q362" s="75"/>
      <c r="R362" s="75"/>
      <c r="S362" s="75"/>
      <c r="T362" s="75"/>
      <c r="U362" s="86"/>
      <c r="V362" s="84"/>
      <c r="W362" s="87"/>
      <c r="X362" s="84"/>
      <c r="Y362" s="84"/>
      <c r="Z362" s="84"/>
    </row>
    <row r="363" spans="1:26" ht="15.75" customHeight="1">
      <c r="A363" s="83"/>
      <c r="B363" s="83"/>
      <c r="C363" s="83"/>
      <c r="D363" s="87"/>
      <c r="E363" s="84"/>
      <c r="F363" s="84"/>
      <c r="G363" s="83"/>
      <c r="H363" s="84"/>
      <c r="I363" s="84"/>
      <c r="J363" s="84"/>
      <c r="K363" s="88"/>
      <c r="L363" s="84"/>
      <c r="M363" s="88"/>
      <c r="N363" s="84"/>
      <c r="O363" s="88"/>
      <c r="P363" s="85"/>
      <c r="Q363" s="75"/>
      <c r="R363" s="75"/>
      <c r="S363" s="75"/>
      <c r="T363" s="75"/>
      <c r="U363" s="86"/>
      <c r="V363" s="84"/>
      <c r="W363" s="87"/>
      <c r="X363" s="84"/>
      <c r="Y363" s="84"/>
      <c r="Z363" s="84"/>
    </row>
    <row r="364" spans="1:26" ht="15.75" customHeight="1">
      <c r="A364" s="83"/>
      <c r="B364" s="83"/>
      <c r="C364" s="83"/>
      <c r="D364" s="87"/>
      <c r="E364" s="84"/>
      <c r="F364" s="84"/>
      <c r="G364" s="83"/>
      <c r="H364" s="84"/>
      <c r="I364" s="84"/>
      <c r="J364" s="84"/>
      <c r="K364" s="88"/>
      <c r="L364" s="84"/>
      <c r="M364" s="88"/>
      <c r="N364" s="84"/>
      <c r="O364" s="88"/>
      <c r="P364" s="85"/>
      <c r="Q364" s="75"/>
      <c r="R364" s="75"/>
      <c r="S364" s="75"/>
      <c r="T364" s="75"/>
      <c r="U364" s="86"/>
      <c r="V364" s="84"/>
      <c r="W364" s="87"/>
      <c r="X364" s="84"/>
      <c r="Y364" s="84"/>
      <c r="Z364" s="84"/>
    </row>
    <row r="365" spans="1:26" ht="15.75" customHeight="1">
      <c r="A365" s="83"/>
      <c r="B365" s="83"/>
      <c r="C365" s="83"/>
      <c r="D365" s="87"/>
      <c r="E365" s="84"/>
      <c r="F365" s="84"/>
      <c r="G365" s="83"/>
      <c r="H365" s="84"/>
      <c r="I365" s="84"/>
      <c r="J365" s="84"/>
      <c r="K365" s="88"/>
      <c r="L365" s="84"/>
      <c r="M365" s="88"/>
      <c r="N365" s="84"/>
      <c r="O365" s="88"/>
      <c r="P365" s="85"/>
      <c r="Q365" s="75"/>
      <c r="R365" s="75"/>
      <c r="S365" s="75"/>
      <c r="T365" s="75"/>
      <c r="U365" s="86"/>
      <c r="V365" s="84"/>
      <c r="W365" s="87"/>
      <c r="X365" s="84"/>
      <c r="Y365" s="84"/>
      <c r="Z365" s="84"/>
    </row>
    <row r="366" spans="1:26" ht="15.75" customHeight="1">
      <c r="A366" s="83"/>
      <c r="B366" s="83"/>
      <c r="C366" s="83"/>
      <c r="D366" s="87"/>
      <c r="E366" s="84"/>
      <c r="F366" s="84"/>
      <c r="G366" s="83"/>
      <c r="H366" s="84"/>
      <c r="I366" s="84"/>
      <c r="J366" s="84"/>
      <c r="K366" s="88"/>
      <c r="L366" s="84"/>
      <c r="M366" s="88"/>
      <c r="N366" s="84"/>
      <c r="O366" s="88"/>
      <c r="P366" s="85"/>
      <c r="Q366" s="75"/>
      <c r="R366" s="75"/>
      <c r="S366" s="75"/>
      <c r="T366" s="75"/>
      <c r="U366" s="86"/>
      <c r="V366" s="84"/>
      <c r="W366" s="87"/>
      <c r="X366" s="84"/>
      <c r="Y366" s="84"/>
      <c r="Z366" s="84"/>
    </row>
    <row r="367" spans="1:26" ht="15.75" customHeight="1">
      <c r="A367" s="83"/>
      <c r="B367" s="83"/>
      <c r="C367" s="83"/>
      <c r="D367" s="87"/>
      <c r="E367" s="84"/>
      <c r="F367" s="84"/>
      <c r="G367" s="83"/>
      <c r="H367" s="84"/>
      <c r="I367" s="84"/>
      <c r="J367" s="84"/>
      <c r="K367" s="88"/>
      <c r="L367" s="84"/>
      <c r="M367" s="88"/>
      <c r="N367" s="84"/>
      <c r="O367" s="88"/>
      <c r="P367" s="85"/>
      <c r="Q367" s="75"/>
      <c r="R367" s="75"/>
      <c r="S367" s="75"/>
      <c r="T367" s="75"/>
      <c r="U367" s="86"/>
      <c r="V367" s="84"/>
      <c r="W367" s="87"/>
      <c r="X367" s="84"/>
      <c r="Y367" s="84"/>
      <c r="Z367" s="84"/>
    </row>
    <row r="368" spans="1:26" ht="15.75" customHeight="1">
      <c r="A368" s="83"/>
      <c r="B368" s="83"/>
      <c r="C368" s="83"/>
      <c r="D368" s="87"/>
      <c r="E368" s="84"/>
      <c r="F368" s="84"/>
      <c r="G368" s="83"/>
      <c r="H368" s="84"/>
      <c r="I368" s="84"/>
      <c r="J368" s="84"/>
      <c r="K368" s="88"/>
      <c r="L368" s="84"/>
      <c r="M368" s="88"/>
      <c r="N368" s="84"/>
      <c r="O368" s="88"/>
      <c r="P368" s="85"/>
      <c r="Q368" s="75"/>
      <c r="R368" s="75"/>
      <c r="S368" s="75"/>
      <c r="T368" s="75"/>
      <c r="U368" s="86"/>
      <c r="V368" s="84"/>
      <c r="W368" s="87"/>
      <c r="X368" s="84"/>
      <c r="Y368" s="84"/>
      <c r="Z368" s="84"/>
    </row>
    <row r="369" spans="1:26" ht="15.75" customHeight="1">
      <c r="A369" s="83"/>
      <c r="B369" s="83"/>
      <c r="C369" s="83"/>
      <c r="D369" s="87"/>
      <c r="E369" s="84"/>
      <c r="F369" s="84"/>
      <c r="G369" s="83"/>
      <c r="H369" s="84"/>
      <c r="I369" s="84"/>
      <c r="J369" s="84"/>
      <c r="K369" s="88"/>
      <c r="L369" s="84"/>
      <c r="M369" s="88"/>
      <c r="N369" s="84"/>
      <c r="O369" s="88"/>
      <c r="P369" s="85"/>
      <c r="Q369" s="75"/>
      <c r="R369" s="75"/>
      <c r="S369" s="75"/>
      <c r="T369" s="75"/>
      <c r="U369" s="86"/>
      <c r="V369" s="84"/>
      <c r="W369" s="87"/>
      <c r="X369" s="84"/>
      <c r="Y369" s="84"/>
      <c r="Z369" s="84"/>
    </row>
    <row r="370" spans="1:26" ht="15.75" customHeight="1">
      <c r="A370" s="83"/>
      <c r="B370" s="83"/>
      <c r="C370" s="83"/>
      <c r="D370" s="87"/>
      <c r="E370" s="84"/>
      <c r="F370" s="84"/>
      <c r="G370" s="83"/>
      <c r="H370" s="84"/>
      <c r="I370" s="84"/>
      <c r="J370" s="84"/>
      <c r="K370" s="88"/>
      <c r="L370" s="84"/>
      <c r="M370" s="88"/>
      <c r="N370" s="84"/>
      <c r="O370" s="88"/>
      <c r="P370" s="85"/>
      <c r="Q370" s="75"/>
      <c r="R370" s="75"/>
      <c r="S370" s="75"/>
      <c r="T370" s="75"/>
      <c r="U370" s="86"/>
      <c r="V370" s="84"/>
      <c r="W370" s="87"/>
      <c r="X370" s="84"/>
      <c r="Y370" s="84"/>
      <c r="Z370" s="84"/>
    </row>
    <row r="371" spans="1:26" ht="15.75" customHeight="1">
      <c r="A371" s="83"/>
      <c r="B371" s="83"/>
      <c r="C371" s="83"/>
      <c r="D371" s="84"/>
      <c r="E371" s="84"/>
      <c r="F371" s="84"/>
      <c r="G371" s="83"/>
      <c r="H371" s="84"/>
      <c r="I371" s="84"/>
      <c r="J371" s="84"/>
      <c r="K371" s="84"/>
      <c r="L371" s="84"/>
      <c r="M371" s="84"/>
      <c r="N371" s="84"/>
      <c r="O371" s="84"/>
      <c r="P371" s="85"/>
      <c r="Q371" s="75"/>
      <c r="R371" s="75"/>
      <c r="S371" s="75"/>
      <c r="T371" s="75"/>
      <c r="U371" s="89"/>
      <c r="V371" s="84"/>
      <c r="W371" s="84"/>
      <c r="X371" s="84"/>
      <c r="Y371" s="84"/>
      <c r="Z371" s="84"/>
    </row>
    <row r="372" spans="1:26" ht="15.75" customHeight="1">
      <c r="A372" s="83"/>
      <c r="B372" s="83"/>
      <c r="C372" s="83"/>
      <c r="D372" s="84"/>
      <c r="E372" s="84"/>
      <c r="F372" s="84"/>
      <c r="G372" s="83"/>
      <c r="H372" s="84"/>
      <c r="I372" s="84"/>
      <c r="J372" s="84"/>
      <c r="K372" s="84"/>
      <c r="L372" s="84"/>
      <c r="M372" s="84"/>
      <c r="N372" s="84"/>
      <c r="O372" s="84"/>
      <c r="P372" s="85"/>
      <c r="Q372" s="75"/>
      <c r="R372" s="75"/>
      <c r="S372" s="75"/>
      <c r="T372" s="75"/>
      <c r="U372" s="89"/>
      <c r="V372" s="84"/>
      <c r="W372" s="84"/>
      <c r="X372" s="84"/>
      <c r="Y372" s="84"/>
      <c r="Z372" s="84"/>
    </row>
    <row r="373" spans="1:26" ht="15.75" customHeight="1">
      <c r="A373" s="83"/>
      <c r="B373" s="83"/>
      <c r="C373" s="83"/>
      <c r="D373" s="84"/>
      <c r="E373" s="84"/>
      <c r="F373" s="84"/>
      <c r="G373" s="83"/>
      <c r="H373" s="84"/>
      <c r="I373" s="84"/>
      <c r="J373" s="84"/>
      <c r="K373" s="84"/>
      <c r="L373" s="84"/>
      <c r="M373" s="84"/>
      <c r="N373" s="84"/>
      <c r="O373" s="84"/>
      <c r="P373" s="85"/>
      <c r="Q373" s="75"/>
      <c r="R373" s="75"/>
      <c r="S373" s="75"/>
      <c r="T373" s="75"/>
      <c r="U373" s="89"/>
      <c r="V373" s="84"/>
      <c r="W373" s="84"/>
      <c r="X373" s="84"/>
      <c r="Y373" s="84"/>
      <c r="Z373" s="84"/>
    </row>
    <row r="374" spans="1:26" ht="15.75" customHeight="1">
      <c r="A374" s="83"/>
      <c r="B374" s="83"/>
      <c r="C374" s="83"/>
      <c r="D374" s="84"/>
      <c r="E374" s="84"/>
      <c r="F374" s="84"/>
      <c r="G374" s="83"/>
      <c r="H374" s="84"/>
      <c r="I374" s="84"/>
      <c r="J374" s="84"/>
      <c r="K374" s="84"/>
      <c r="L374" s="84"/>
      <c r="M374" s="84"/>
      <c r="N374" s="84"/>
      <c r="O374" s="84"/>
      <c r="P374" s="85"/>
      <c r="Q374" s="75"/>
      <c r="R374" s="75"/>
      <c r="S374" s="75"/>
      <c r="T374" s="75"/>
      <c r="U374" s="89"/>
      <c r="V374" s="84"/>
      <c r="W374" s="84"/>
      <c r="X374" s="84"/>
      <c r="Y374" s="84"/>
      <c r="Z374" s="84"/>
    </row>
    <row r="375" spans="1:26" ht="15.75" customHeight="1">
      <c r="A375" s="83"/>
      <c r="B375" s="83"/>
      <c r="C375" s="83"/>
      <c r="D375" s="84"/>
      <c r="E375" s="84"/>
      <c r="F375" s="84"/>
      <c r="G375" s="83"/>
      <c r="H375" s="84"/>
      <c r="I375" s="84"/>
      <c r="J375" s="84"/>
      <c r="K375" s="84"/>
      <c r="L375" s="84"/>
      <c r="M375" s="84"/>
      <c r="N375" s="84"/>
      <c r="O375" s="84"/>
      <c r="P375" s="85"/>
      <c r="Q375" s="75"/>
      <c r="R375" s="75"/>
      <c r="S375" s="75"/>
      <c r="T375" s="75"/>
      <c r="U375" s="89"/>
      <c r="V375" s="84"/>
      <c r="W375" s="84"/>
      <c r="X375" s="84"/>
      <c r="Y375" s="84"/>
      <c r="Z375" s="84"/>
    </row>
    <row r="376" spans="1:26" ht="15.75" customHeight="1">
      <c r="A376" s="83"/>
      <c r="B376" s="83"/>
      <c r="C376" s="83"/>
      <c r="D376" s="84"/>
      <c r="E376" s="84"/>
      <c r="F376" s="84"/>
      <c r="G376" s="83"/>
      <c r="H376" s="84"/>
      <c r="I376" s="84"/>
      <c r="J376" s="84"/>
      <c r="K376" s="84"/>
      <c r="L376" s="84"/>
      <c r="M376" s="84"/>
      <c r="N376" s="84"/>
      <c r="O376" s="84"/>
      <c r="P376" s="85"/>
      <c r="Q376" s="75"/>
      <c r="R376" s="75"/>
      <c r="S376" s="75"/>
      <c r="T376" s="75"/>
      <c r="U376" s="89"/>
      <c r="V376" s="84"/>
      <c r="W376" s="84"/>
      <c r="X376" s="84"/>
      <c r="Y376" s="84"/>
      <c r="Z376" s="84"/>
    </row>
    <row r="377" spans="1:26" ht="15.75" customHeight="1">
      <c r="A377" s="83"/>
      <c r="B377" s="83"/>
      <c r="C377" s="83"/>
      <c r="D377" s="84"/>
      <c r="E377" s="84"/>
      <c r="F377" s="84"/>
      <c r="G377" s="83"/>
      <c r="H377" s="84"/>
      <c r="I377" s="84"/>
      <c r="J377" s="84"/>
      <c r="K377" s="84"/>
      <c r="L377" s="84"/>
      <c r="M377" s="84"/>
      <c r="N377" s="84"/>
      <c r="O377" s="84"/>
      <c r="P377" s="85"/>
      <c r="Q377" s="75"/>
      <c r="R377" s="75"/>
      <c r="S377" s="75"/>
      <c r="T377" s="75"/>
      <c r="U377" s="89"/>
      <c r="V377" s="84"/>
      <c r="W377" s="84"/>
      <c r="X377" s="84"/>
      <c r="Y377" s="84"/>
      <c r="Z377" s="84"/>
    </row>
    <row r="378" spans="1:26" ht="15.75" customHeight="1">
      <c r="A378" s="83"/>
      <c r="B378" s="83"/>
      <c r="C378" s="83"/>
      <c r="D378" s="84"/>
      <c r="E378" s="84"/>
      <c r="F378" s="84"/>
      <c r="G378" s="83"/>
      <c r="H378" s="84"/>
      <c r="I378" s="84"/>
      <c r="J378" s="84"/>
      <c r="K378" s="84"/>
      <c r="L378" s="84"/>
      <c r="M378" s="84"/>
      <c r="N378" s="84"/>
      <c r="O378" s="84"/>
      <c r="P378" s="85"/>
      <c r="Q378" s="75"/>
      <c r="R378" s="75"/>
      <c r="S378" s="75"/>
      <c r="T378" s="75"/>
      <c r="U378" s="89"/>
      <c r="V378" s="84"/>
      <c r="W378" s="84"/>
      <c r="X378" s="84"/>
      <c r="Y378" s="84"/>
      <c r="Z378" s="84"/>
    </row>
    <row r="379" spans="1:26" ht="15.75" customHeight="1">
      <c r="A379" s="83"/>
      <c r="B379" s="83"/>
      <c r="C379" s="83"/>
      <c r="D379" s="84"/>
      <c r="E379" s="84"/>
      <c r="F379" s="84"/>
      <c r="G379" s="83"/>
      <c r="H379" s="84"/>
      <c r="I379" s="84"/>
      <c r="J379" s="84"/>
      <c r="K379" s="84"/>
      <c r="L379" s="84"/>
      <c r="M379" s="84"/>
      <c r="N379" s="84"/>
      <c r="O379" s="84"/>
      <c r="P379" s="85"/>
      <c r="Q379" s="75"/>
      <c r="R379" s="75"/>
      <c r="S379" s="75"/>
      <c r="T379" s="75"/>
      <c r="U379" s="89"/>
      <c r="V379" s="84"/>
      <c r="W379" s="84"/>
      <c r="X379" s="84"/>
      <c r="Y379" s="84"/>
      <c r="Z379" s="84"/>
    </row>
    <row r="380" spans="1:26" ht="15.75" customHeight="1">
      <c r="A380" s="83"/>
      <c r="B380" s="83"/>
      <c r="C380" s="83"/>
      <c r="D380" s="84"/>
      <c r="E380" s="84"/>
      <c r="F380" s="84"/>
      <c r="G380" s="83"/>
      <c r="H380" s="84"/>
      <c r="I380" s="84"/>
      <c r="J380" s="84"/>
      <c r="K380" s="84"/>
      <c r="L380" s="84"/>
      <c r="M380" s="84"/>
      <c r="N380" s="84"/>
      <c r="O380" s="84"/>
      <c r="P380" s="85"/>
      <c r="Q380" s="75"/>
      <c r="R380" s="75"/>
      <c r="S380" s="75"/>
      <c r="T380" s="75"/>
      <c r="U380" s="89"/>
      <c r="V380" s="84"/>
      <c r="W380" s="84"/>
      <c r="X380" s="84"/>
      <c r="Y380" s="84"/>
      <c r="Z380" s="84"/>
    </row>
    <row r="381" spans="1:26" ht="15.75" customHeight="1">
      <c r="A381" s="83"/>
      <c r="B381" s="83"/>
      <c r="C381" s="83"/>
      <c r="D381" s="84"/>
      <c r="E381" s="84"/>
      <c r="F381" s="84"/>
      <c r="G381" s="83"/>
      <c r="H381" s="84"/>
      <c r="I381" s="84"/>
      <c r="J381" s="84"/>
      <c r="K381" s="84"/>
      <c r="L381" s="84"/>
      <c r="M381" s="84"/>
      <c r="N381" s="84"/>
      <c r="O381" s="84"/>
      <c r="P381" s="85"/>
      <c r="Q381" s="75"/>
      <c r="R381" s="75"/>
      <c r="S381" s="75"/>
      <c r="T381" s="75"/>
      <c r="U381" s="89"/>
      <c r="V381" s="84"/>
      <c r="W381" s="84"/>
      <c r="X381" s="84"/>
      <c r="Y381" s="84"/>
      <c r="Z381" s="84"/>
    </row>
    <row r="382" spans="1:26" ht="15.75" customHeight="1">
      <c r="A382" s="83"/>
      <c r="B382" s="83"/>
      <c r="C382" s="83"/>
      <c r="D382" s="84"/>
      <c r="E382" s="84"/>
      <c r="F382" s="84"/>
      <c r="G382" s="83"/>
      <c r="H382" s="84"/>
      <c r="I382" s="84"/>
      <c r="J382" s="84"/>
      <c r="K382" s="84"/>
      <c r="L382" s="84"/>
      <c r="M382" s="84"/>
      <c r="N382" s="84"/>
      <c r="O382" s="84"/>
      <c r="P382" s="85"/>
      <c r="Q382" s="75"/>
      <c r="R382" s="75"/>
      <c r="S382" s="75"/>
      <c r="T382" s="75"/>
      <c r="U382" s="89"/>
      <c r="V382" s="84"/>
      <c r="W382" s="84"/>
      <c r="X382" s="84"/>
      <c r="Y382" s="84"/>
      <c r="Z382" s="84"/>
    </row>
    <row r="383" spans="1:26" ht="15.75" customHeight="1">
      <c r="A383" s="83"/>
      <c r="B383" s="83"/>
      <c r="C383" s="83"/>
      <c r="D383" s="84"/>
      <c r="E383" s="84"/>
      <c r="F383" s="84"/>
      <c r="G383" s="83"/>
      <c r="H383" s="84"/>
      <c r="I383" s="84"/>
      <c r="J383" s="84"/>
      <c r="K383" s="84"/>
      <c r="L383" s="84"/>
      <c r="M383" s="84"/>
      <c r="N383" s="84"/>
      <c r="O383" s="84"/>
      <c r="P383" s="85"/>
      <c r="Q383" s="75"/>
      <c r="R383" s="75"/>
      <c r="S383" s="75"/>
      <c r="T383" s="75"/>
      <c r="U383" s="89"/>
      <c r="V383" s="84"/>
      <c r="W383" s="84"/>
      <c r="X383" s="84"/>
      <c r="Y383" s="84"/>
      <c r="Z383" s="84"/>
    </row>
    <row r="384" spans="1:26" ht="15.75" customHeight="1">
      <c r="A384" s="83"/>
      <c r="B384" s="83"/>
      <c r="C384" s="83"/>
      <c r="D384" s="84"/>
      <c r="E384" s="84"/>
      <c r="F384" s="84"/>
      <c r="G384" s="83"/>
      <c r="H384" s="84"/>
      <c r="I384" s="84"/>
      <c r="J384" s="84"/>
      <c r="K384" s="84"/>
      <c r="L384" s="84"/>
      <c r="M384" s="84"/>
      <c r="N384" s="84"/>
      <c r="O384" s="84"/>
      <c r="P384" s="85"/>
      <c r="Q384" s="75"/>
      <c r="R384" s="75"/>
      <c r="S384" s="75"/>
      <c r="T384" s="75"/>
      <c r="U384" s="89"/>
      <c r="V384" s="84"/>
      <c r="W384" s="84"/>
      <c r="X384" s="84"/>
      <c r="Y384" s="84"/>
      <c r="Z384" s="84"/>
    </row>
    <row r="385" spans="1:26" ht="15.75" customHeight="1">
      <c r="A385" s="83"/>
      <c r="B385" s="83"/>
      <c r="C385" s="83"/>
      <c r="D385" s="84"/>
      <c r="E385" s="84"/>
      <c r="F385" s="84"/>
      <c r="G385" s="83"/>
      <c r="H385" s="84"/>
      <c r="I385" s="84"/>
      <c r="J385" s="84"/>
      <c r="K385" s="84"/>
      <c r="L385" s="84"/>
      <c r="M385" s="84"/>
      <c r="N385" s="84"/>
      <c r="O385" s="84"/>
      <c r="P385" s="85"/>
      <c r="Q385" s="75"/>
      <c r="R385" s="75"/>
      <c r="S385" s="75"/>
      <c r="T385" s="75"/>
      <c r="U385" s="89"/>
      <c r="V385" s="84"/>
      <c r="W385" s="84"/>
      <c r="X385" s="84"/>
      <c r="Y385" s="84"/>
      <c r="Z385" s="84"/>
    </row>
    <row r="386" spans="1:26" ht="15.75" customHeight="1">
      <c r="A386" s="83"/>
      <c r="B386" s="83"/>
      <c r="C386" s="83"/>
      <c r="D386" s="84"/>
      <c r="E386" s="84"/>
      <c r="F386" s="84"/>
      <c r="G386" s="83"/>
      <c r="H386" s="84"/>
      <c r="I386" s="84"/>
      <c r="J386" s="84"/>
      <c r="K386" s="84"/>
      <c r="L386" s="84"/>
      <c r="M386" s="84"/>
      <c r="N386" s="84"/>
      <c r="O386" s="84"/>
      <c r="P386" s="85"/>
      <c r="Q386" s="75"/>
      <c r="R386" s="75"/>
      <c r="S386" s="75"/>
      <c r="T386" s="75"/>
      <c r="U386" s="89"/>
      <c r="V386" s="84"/>
      <c r="W386" s="84"/>
      <c r="X386" s="84"/>
      <c r="Y386" s="84"/>
      <c r="Z386" s="84"/>
    </row>
    <row r="387" spans="1:26" ht="15.75" customHeight="1">
      <c r="A387" s="83"/>
      <c r="B387" s="83"/>
      <c r="C387" s="83"/>
      <c r="D387" s="84"/>
      <c r="E387" s="84"/>
      <c r="F387" s="84"/>
      <c r="G387" s="83"/>
      <c r="H387" s="84"/>
      <c r="I387" s="84"/>
      <c r="J387" s="84"/>
      <c r="K387" s="84"/>
      <c r="L387" s="84"/>
      <c r="M387" s="84"/>
      <c r="N387" s="84"/>
      <c r="O387" s="84"/>
      <c r="P387" s="85"/>
      <c r="Q387" s="75"/>
      <c r="R387" s="75"/>
      <c r="S387" s="75"/>
      <c r="T387" s="75"/>
      <c r="U387" s="89"/>
      <c r="V387" s="84"/>
      <c r="W387" s="84"/>
      <c r="X387" s="84"/>
      <c r="Y387" s="84"/>
      <c r="Z387" s="84"/>
    </row>
    <row r="388" spans="1:26" ht="15.75" customHeight="1">
      <c r="A388" s="83"/>
      <c r="B388" s="83"/>
      <c r="C388" s="83"/>
      <c r="D388" s="84"/>
      <c r="E388" s="84"/>
      <c r="F388" s="84"/>
      <c r="G388" s="83"/>
      <c r="H388" s="84"/>
      <c r="I388" s="84"/>
      <c r="J388" s="84"/>
      <c r="K388" s="84"/>
      <c r="L388" s="84"/>
      <c r="M388" s="84"/>
      <c r="N388" s="84"/>
      <c r="O388" s="84"/>
      <c r="P388" s="85"/>
      <c r="Q388" s="75"/>
      <c r="R388" s="75"/>
      <c r="S388" s="75"/>
      <c r="T388" s="75"/>
      <c r="U388" s="89"/>
      <c r="V388" s="84"/>
      <c r="W388" s="84"/>
      <c r="X388" s="84"/>
      <c r="Y388" s="84"/>
      <c r="Z388" s="84"/>
    </row>
    <row r="389" spans="1:26" ht="15.75" customHeight="1">
      <c r="A389" s="83"/>
      <c r="B389" s="83"/>
      <c r="C389" s="83"/>
      <c r="D389" s="84"/>
      <c r="E389" s="84"/>
      <c r="F389" s="84"/>
      <c r="G389" s="83"/>
      <c r="H389" s="84"/>
      <c r="I389" s="84"/>
      <c r="J389" s="84"/>
      <c r="K389" s="84"/>
      <c r="L389" s="84"/>
      <c r="M389" s="84"/>
      <c r="N389" s="84"/>
      <c r="O389" s="84"/>
      <c r="P389" s="85"/>
      <c r="Q389" s="75"/>
      <c r="R389" s="75"/>
      <c r="S389" s="75"/>
      <c r="T389" s="75"/>
      <c r="U389" s="89"/>
      <c r="V389" s="84"/>
      <c r="W389" s="84"/>
      <c r="X389" s="84"/>
      <c r="Y389" s="84"/>
      <c r="Z389" s="84"/>
    </row>
    <row r="390" spans="1:26" ht="15.75" customHeight="1">
      <c r="A390" s="83"/>
      <c r="B390" s="83"/>
      <c r="C390" s="83"/>
      <c r="D390" s="84"/>
      <c r="E390" s="84"/>
      <c r="F390" s="84"/>
      <c r="G390" s="83"/>
      <c r="H390" s="84"/>
      <c r="I390" s="84"/>
      <c r="J390" s="84"/>
      <c r="K390" s="84"/>
      <c r="L390" s="84"/>
      <c r="M390" s="84"/>
      <c r="N390" s="84"/>
      <c r="O390" s="84"/>
      <c r="P390" s="85"/>
      <c r="Q390" s="75"/>
      <c r="R390" s="75"/>
      <c r="S390" s="75"/>
      <c r="T390" s="75"/>
      <c r="U390" s="89"/>
      <c r="V390" s="84"/>
      <c r="W390" s="84"/>
      <c r="X390" s="84"/>
      <c r="Y390" s="84"/>
      <c r="Z390" s="84"/>
    </row>
    <row r="391" spans="1:26" ht="15.75" customHeight="1">
      <c r="A391" s="83"/>
      <c r="B391" s="83"/>
      <c r="C391" s="83"/>
      <c r="D391" s="84"/>
      <c r="E391" s="84"/>
      <c r="F391" s="84"/>
      <c r="G391" s="83"/>
      <c r="H391" s="84"/>
      <c r="I391" s="84"/>
      <c r="J391" s="84"/>
      <c r="K391" s="84"/>
      <c r="L391" s="84"/>
      <c r="M391" s="84"/>
      <c r="N391" s="84"/>
      <c r="O391" s="84"/>
      <c r="P391" s="85"/>
      <c r="Q391" s="75"/>
      <c r="R391" s="75"/>
      <c r="S391" s="75"/>
      <c r="T391" s="75"/>
      <c r="U391" s="89"/>
      <c r="V391" s="84"/>
      <c r="W391" s="84"/>
      <c r="X391" s="84"/>
      <c r="Y391" s="84"/>
      <c r="Z391" s="84"/>
    </row>
    <row r="392" spans="1:26" ht="15.75" customHeight="1">
      <c r="A392" s="83"/>
      <c r="B392" s="83"/>
      <c r="C392" s="83"/>
      <c r="D392" s="84"/>
      <c r="E392" s="84"/>
      <c r="F392" s="84"/>
      <c r="G392" s="83"/>
      <c r="H392" s="84"/>
      <c r="I392" s="84"/>
      <c r="J392" s="84"/>
      <c r="K392" s="84"/>
      <c r="L392" s="84"/>
      <c r="M392" s="84"/>
      <c r="N392" s="84"/>
      <c r="O392" s="84"/>
      <c r="P392" s="85"/>
      <c r="Q392" s="75"/>
      <c r="R392" s="75"/>
      <c r="S392" s="75"/>
      <c r="T392" s="75"/>
      <c r="U392" s="89"/>
      <c r="V392" s="84"/>
      <c r="W392" s="84"/>
      <c r="X392" s="84"/>
      <c r="Y392" s="84"/>
      <c r="Z392" s="84"/>
    </row>
    <row r="393" spans="1:26" ht="15.75" customHeight="1">
      <c r="A393" s="83"/>
      <c r="B393" s="83"/>
      <c r="C393" s="83"/>
      <c r="D393" s="84"/>
      <c r="E393" s="84"/>
      <c r="F393" s="84"/>
      <c r="G393" s="83"/>
      <c r="H393" s="84"/>
      <c r="I393" s="84"/>
      <c r="J393" s="84"/>
      <c r="K393" s="84"/>
      <c r="L393" s="84"/>
      <c r="M393" s="84"/>
      <c r="N393" s="84"/>
      <c r="O393" s="84"/>
      <c r="P393" s="85"/>
      <c r="Q393" s="75"/>
      <c r="R393" s="75"/>
      <c r="S393" s="75"/>
      <c r="T393" s="75"/>
      <c r="U393" s="89"/>
      <c r="V393" s="84"/>
      <c r="W393" s="84"/>
      <c r="X393" s="84"/>
      <c r="Y393" s="84"/>
      <c r="Z393" s="84"/>
    </row>
    <row r="394" spans="1:26" ht="15.75" customHeight="1">
      <c r="A394" s="83"/>
      <c r="B394" s="83"/>
      <c r="C394" s="83"/>
      <c r="D394" s="84"/>
      <c r="E394" s="84"/>
      <c r="F394" s="84"/>
      <c r="G394" s="83"/>
      <c r="H394" s="84"/>
      <c r="I394" s="84"/>
      <c r="J394" s="84"/>
      <c r="K394" s="84"/>
      <c r="L394" s="84"/>
      <c r="M394" s="84"/>
      <c r="N394" s="84"/>
      <c r="O394" s="84"/>
      <c r="P394" s="85"/>
      <c r="Q394" s="75"/>
      <c r="R394" s="75"/>
      <c r="S394" s="75"/>
      <c r="T394" s="75"/>
      <c r="U394" s="89"/>
      <c r="V394" s="84"/>
      <c r="W394" s="84"/>
      <c r="X394" s="84"/>
      <c r="Y394" s="84"/>
      <c r="Z394" s="84"/>
    </row>
    <row r="395" spans="1:26" ht="15.75" customHeight="1">
      <c r="A395" s="83"/>
      <c r="B395" s="83"/>
      <c r="C395" s="83"/>
      <c r="D395" s="84"/>
      <c r="E395" s="84"/>
      <c r="F395" s="84"/>
      <c r="G395" s="83"/>
      <c r="H395" s="84"/>
      <c r="I395" s="84"/>
      <c r="J395" s="84"/>
      <c r="K395" s="84"/>
      <c r="L395" s="84"/>
      <c r="M395" s="84"/>
      <c r="N395" s="84"/>
      <c r="O395" s="84"/>
      <c r="P395" s="85"/>
      <c r="Q395" s="75"/>
      <c r="R395" s="75"/>
      <c r="S395" s="75"/>
      <c r="T395" s="75"/>
      <c r="U395" s="89"/>
      <c r="V395" s="84"/>
      <c r="W395" s="84"/>
      <c r="X395" s="84"/>
      <c r="Y395" s="84"/>
      <c r="Z395" s="84"/>
    </row>
    <row r="396" spans="1:26" ht="15.75" customHeight="1">
      <c r="A396" s="83"/>
      <c r="B396" s="83"/>
      <c r="C396" s="83"/>
      <c r="D396" s="84"/>
      <c r="E396" s="84"/>
      <c r="F396" s="84"/>
      <c r="G396" s="83"/>
      <c r="H396" s="84"/>
      <c r="I396" s="84"/>
      <c r="J396" s="84"/>
      <c r="K396" s="84"/>
      <c r="L396" s="84"/>
      <c r="M396" s="84"/>
      <c r="N396" s="84"/>
      <c r="O396" s="84"/>
      <c r="P396" s="85"/>
      <c r="Q396" s="75"/>
      <c r="R396" s="75"/>
      <c r="S396" s="75"/>
      <c r="T396" s="75"/>
      <c r="U396" s="89"/>
      <c r="V396" s="84"/>
      <c r="W396" s="84"/>
      <c r="X396" s="84"/>
      <c r="Y396" s="84"/>
      <c r="Z396" s="84"/>
    </row>
    <row r="397" spans="1:26" ht="15.75" customHeight="1">
      <c r="A397" s="83"/>
      <c r="B397" s="83"/>
      <c r="C397" s="83"/>
      <c r="D397" s="84"/>
      <c r="E397" s="84"/>
      <c r="F397" s="84"/>
      <c r="G397" s="83"/>
      <c r="H397" s="84"/>
      <c r="I397" s="84"/>
      <c r="J397" s="84"/>
      <c r="K397" s="84"/>
      <c r="L397" s="84"/>
      <c r="M397" s="84"/>
      <c r="N397" s="84"/>
      <c r="O397" s="84"/>
      <c r="P397" s="85"/>
      <c r="Q397" s="75"/>
      <c r="R397" s="75"/>
      <c r="S397" s="75"/>
      <c r="T397" s="75"/>
      <c r="U397" s="89"/>
      <c r="V397" s="84"/>
      <c r="W397" s="84"/>
      <c r="X397" s="84"/>
      <c r="Y397" s="84"/>
      <c r="Z397" s="84"/>
    </row>
    <row r="398" spans="1:26" ht="15.75" customHeight="1">
      <c r="A398" s="83"/>
      <c r="B398" s="83"/>
      <c r="C398" s="83"/>
      <c r="D398" s="84"/>
      <c r="E398" s="84"/>
      <c r="F398" s="84"/>
      <c r="G398" s="83"/>
      <c r="H398" s="84"/>
      <c r="I398" s="84"/>
      <c r="J398" s="84"/>
      <c r="K398" s="84"/>
      <c r="L398" s="84"/>
      <c r="M398" s="84"/>
      <c r="N398" s="84"/>
      <c r="O398" s="84"/>
      <c r="P398" s="85"/>
      <c r="Q398" s="75"/>
      <c r="R398" s="75"/>
      <c r="S398" s="75"/>
      <c r="T398" s="75"/>
      <c r="U398" s="89"/>
      <c r="V398" s="84"/>
      <c r="W398" s="84"/>
      <c r="X398" s="84"/>
      <c r="Y398" s="84"/>
      <c r="Z398" s="84"/>
    </row>
    <row r="399" spans="1:26" ht="15.75" customHeight="1">
      <c r="A399" s="83"/>
      <c r="B399" s="83"/>
      <c r="C399" s="83"/>
      <c r="D399" s="84"/>
      <c r="E399" s="84"/>
      <c r="F399" s="84"/>
      <c r="G399" s="83"/>
      <c r="H399" s="84"/>
      <c r="I399" s="84"/>
      <c r="J399" s="84"/>
      <c r="K399" s="84"/>
      <c r="L399" s="84"/>
      <c r="M399" s="84"/>
      <c r="N399" s="84"/>
      <c r="O399" s="84"/>
      <c r="P399" s="85"/>
      <c r="Q399" s="75"/>
      <c r="R399" s="75"/>
      <c r="S399" s="75"/>
      <c r="T399" s="75"/>
      <c r="U399" s="89"/>
      <c r="V399" s="84"/>
      <c r="W399" s="84"/>
      <c r="X399" s="84"/>
      <c r="Y399" s="84"/>
      <c r="Z399" s="84"/>
    </row>
    <row r="400" spans="1:26" ht="15.75" customHeight="1">
      <c r="A400" s="83"/>
      <c r="B400" s="83"/>
      <c r="C400" s="83"/>
      <c r="D400" s="84"/>
      <c r="E400" s="84"/>
      <c r="F400" s="84"/>
      <c r="G400" s="83"/>
      <c r="H400" s="84"/>
      <c r="I400" s="84"/>
      <c r="J400" s="84"/>
      <c r="K400" s="84"/>
      <c r="L400" s="84"/>
      <c r="M400" s="84"/>
      <c r="N400" s="84"/>
      <c r="O400" s="84"/>
      <c r="P400" s="85"/>
      <c r="Q400" s="75"/>
      <c r="R400" s="75"/>
      <c r="S400" s="75"/>
      <c r="T400" s="75"/>
      <c r="U400" s="89"/>
      <c r="V400" s="84"/>
      <c r="W400" s="84"/>
      <c r="X400" s="84"/>
      <c r="Y400" s="84"/>
      <c r="Z400" s="84"/>
    </row>
    <row r="401" spans="1:26" ht="15.75" customHeight="1">
      <c r="A401" s="83"/>
      <c r="B401" s="83"/>
      <c r="C401" s="83"/>
      <c r="D401" s="84"/>
      <c r="E401" s="84"/>
      <c r="F401" s="84"/>
      <c r="G401" s="83"/>
      <c r="H401" s="84"/>
      <c r="I401" s="84"/>
      <c r="J401" s="84"/>
      <c r="K401" s="84"/>
      <c r="L401" s="84"/>
      <c r="M401" s="84"/>
      <c r="N401" s="84"/>
      <c r="O401" s="84"/>
      <c r="P401" s="85"/>
      <c r="Q401" s="75"/>
      <c r="R401" s="75"/>
      <c r="S401" s="75"/>
      <c r="T401" s="75"/>
      <c r="U401" s="89"/>
      <c r="V401" s="84"/>
      <c r="W401" s="84"/>
      <c r="X401" s="84"/>
      <c r="Y401" s="84"/>
      <c r="Z401" s="84"/>
    </row>
    <row r="402" spans="1:26" ht="15.75" customHeight="1">
      <c r="A402" s="83"/>
      <c r="B402" s="83"/>
      <c r="C402" s="83"/>
      <c r="D402" s="84"/>
      <c r="E402" s="84"/>
      <c r="F402" s="84"/>
      <c r="G402" s="83"/>
      <c r="H402" s="84"/>
      <c r="I402" s="84"/>
      <c r="J402" s="84"/>
      <c r="K402" s="84"/>
      <c r="L402" s="84"/>
      <c r="M402" s="84"/>
      <c r="N402" s="84"/>
      <c r="O402" s="84"/>
      <c r="P402" s="85"/>
      <c r="Q402" s="75"/>
      <c r="R402" s="75"/>
      <c r="S402" s="75"/>
      <c r="T402" s="75"/>
      <c r="U402" s="89"/>
      <c r="V402" s="84"/>
      <c r="W402" s="84"/>
      <c r="X402" s="84"/>
      <c r="Y402" s="84"/>
      <c r="Z402" s="84"/>
    </row>
    <row r="403" spans="1:26" ht="15.75" customHeight="1">
      <c r="A403" s="83"/>
      <c r="B403" s="83"/>
      <c r="C403" s="83"/>
      <c r="D403" s="84"/>
      <c r="E403" s="84"/>
      <c r="F403" s="84"/>
      <c r="G403" s="83"/>
      <c r="H403" s="84"/>
      <c r="I403" s="84"/>
      <c r="J403" s="84"/>
      <c r="K403" s="84"/>
      <c r="L403" s="84"/>
      <c r="M403" s="84"/>
      <c r="N403" s="84"/>
      <c r="O403" s="84"/>
      <c r="P403" s="85"/>
      <c r="Q403" s="75"/>
      <c r="R403" s="75"/>
      <c r="S403" s="75"/>
      <c r="T403" s="75"/>
      <c r="U403" s="89"/>
      <c r="V403" s="84"/>
      <c r="W403" s="84"/>
      <c r="X403" s="84"/>
      <c r="Y403" s="84"/>
      <c r="Z403" s="84"/>
    </row>
    <row r="404" spans="1:26" ht="15.75" customHeight="1">
      <c r="A404" s="83"/>
      <c r="B404" s="83"/>
      <c r="C404" s="83"/>
      <c r="D404" s="84"/>
      <c r="E404" s="84"/>
      <c r="F404" s="84"/>
      <c r="G404" s="83"/>
      <c r="H404" s="84"/>
      <c r="I404" s="84"/>
      <c r="J404" s="84"/>
      <c r="K404" s="84"/>
      <c r="L404" s="84"/>
      <c r="M404" s="84"/>
      <c r="N404" s="84"/>
      <c r="O404" s="84"/>
      <c r="P404" s="85"/>
      <c r="Q404" s="75"/>
      <c r="R404" s="75"/>
      <c r="S404" s="75"/>
      <c r="T404" s="75"/>
      <c r="U404" s="89"/>
      <c r="V404" s="84"/>
      <c r="W404" s="84"/>
      <c r="X404" s="84"/>
      <c r="Y404" s="84"/>
      <c r="Z404" s="84"/>
    </row>
    <row r="405" spans="1:26" ht="15.75" customHeight="1">
      <c r="A405" s="83"/>
      <c r="B405" s="83"/>
      <c r="C405" s="83"/>
      <c r="D405" s="84"/>
      <c r="E405" s="84"/>
      <c r="F405" s="84"/>
      <c r="G405" s="83"/>
      <c r="H405" s="84"/>
      <c r="I405" s="84"/>
      <c r="J405" s="84"/>
      <c r="K405" s="84"/>
      <c r="L405" s="84"/>
      <c r="M405" s="84"/>
      <c r="N405" s="84"/>
      <c r="O405" s="84"/>
      <c r="P405" s="85"/>
      <c r="Q405" s="75"/>
      <c r="R405" s="75"/>
      <c r="S405" s="75"/>
      <c r="T405" s="75"/>
      <c r="U405" s="89"/>
      <c r="V405" s="84"/>
      <c r="W405" s="84"/>
      <c r="X405" s="84"/>
      <c r="Y405" s="84"/>
      <c r="Z405" s="84"/>
    </row>
    <row r="406" spans="1:26" ht="15.75" customHeight="1">
      <c r="A406" s="83"/>
      <c r="B406" s="83"/>
      <c r="C406" s="83"/>
      <c r="D406" s="84"/>
      <c r="E406" s="84"/>
      <c r="F406" s="84"/>
      <c r="G406" s="83"/>
      <c r="H406" s="84"/>
      <c r="I406" s="84"/>
      <c r="J406" s="84"/>
      <c r="K406" s="84"/>
      <c r="L406" s="84"/>
      <c r="M406" s="84"/>
      <c r="N406" s="84"/>
      <c r="O406" s="84"/>
      <c r="P406" s="85"/>
      <c r="Q406" s="75"/>
      <c r="R406" s="75"/>
      <c r="S406" s="75"/>
      <c r="T406" s="75"/>
      <c r="U406" s="89"/>
      <c r="V406" s="84"/>
      <c r="W406" s="84"/>
      <c r="X406" s="84"/>
      <c r="Y406" s="84"/>
      <c r="Z406" s="84"/>
    </row>
    <row r="407" spans="1:26" ht="15.75" customHeight="1">
      <c r="A407" s="83"/>
      <c r="B407" s="83"/>
      <c r="C407" s="83"/>
      <c r="D407" s="84"/>
      <c r="E407" s="84"/>
      <c r="F407" s="84"/>
      <c r="G407" s="83"/>
      <c r="H407" s="84"/>
      <c r="I407" s="84"/>
      <c r="J407" s="84"/>
      <c r="K407" s="84"/>
      <c r="L407" s="84"/>
      <c r="M407" s="84"/>
      <c r="N407" s="84"/>
      <c r="O407" s="84"/>
      <c r="P407" s="85"/>
      <c r="Q407" s="75"/>
      <c r="R407" s="75"/>
      <c r="S407" s="75"/>
      <c r="T407" s="75"/>
      <c r="U407" s="89"/>
      <c r="V407" s="84"/>
      <c r="W407" s="84"/>
      <c r="X407" s="84"/>
      <c r="Y407" s="84"/>
      <c r="Z407" s="84"/>
    </row>
    <row r="408" spans="1:26" ht="15.75" customHeight="1">
      <c r="A408" s="83"/>
      <c r="B408" s="83"/>
      <c r="C408" s="83"/>
      <c r="D408" s="84"/>
      <c r="E408" s="84"/>
      <c r="F408" s="84"/>
      <c r="G408" s="83"/>
      <c r="H408" s="84"/>
      <c r="I408" s="84"/>
      <c r="J408" s="84"/>
      <c r="K408" s="84"/>
      <c r="L408" s="84"/>
      <c r="M408" s="84"/>
      <c r="N408" s="84"/>
      <c r="O408" s="84"/>
      <c r="P408" s="85"/>
      <c r="Q408" s="75"/>
      <c r="R408" s="75"/>
      <c r="S408" s="75"/>
      <c r="T408" s="75"/>
      <c r="U408" s="89"/>
      <c r="V408" s="84"/>
      <c r="W408" s="84"/>
      <c r="X408" s="84"/>
      <c r="Y408" s="84"/>
      <c r="Z408" s="84"/>
    </row>
    <row r="409" spans="1:26" ht="15.75" customHeight="1">
      <c r="A409" s="83"/>
      <c r="B409" s="83"/>
      <c r="C409" s="83"/>
      <c r="D409" s="84"/>
      <c r="E409" s="84"/>
      <c r="F409" s="84"/>
      <c r="G409" s="83"/>
      <c r="H409" s="84"/>
      <c r="I409" s="84"/>
      <c r="J409" s="84"/>
      <c r="K409" s="84"/>
      <c r="L409" s="84"/>
      <c r="M409" s="84"/>
      <c r="N409" s="84"/>
      <c r="O409" s="84"/>
      <c r="P409" s="85"/>
      <c r="Q409" s="75"/>
      <c r="R409" s="75"/>
      <c r="S409" s="75"/>
      <c r="T409" s="75"/>
      <c r="U409" s="89"/>
      <c r="V409" s="84"/>
      <c r="W409" s="84"/>
      <c r="X409" s="84"/>
      <c r="Y409" s="84"/>
      <c r="Z409" s="84"/>
    </row>
    <row r="410" spans="1:26" ht="15.75" customHeight="1">
      <c r="A410" s="83"/>
      <c r="B410" s="83"/>
      <c r="C410" s="83"/>
      <c r="D410" s="84"/>
      <c r="E410" s="84"/>
      <c r="F410" s="84"/>
      <c r="G410" s="83"/>
      <c r="H410" s="84"/>
      <c r="I410" s="84"/>
      <c r="J410" s="84"/>
      <c r="K410" s="84"/>
      <c r="L410" s="84"/>
      <c r="M410" s="84"/>
      <c r="N410" s="84"/>
      <c r="O410" s="84"/>
      <c r="P410" s="85"/>
      <c r="Q410" s="75"/>
      <c r="R410" s="75"/>
      <c r="S410" s="75"/>
      <c r="T410" s="75"/>
      <c r="U410" s="89"/>
      <c r="V410" s="84"/>
      <c r="W410" s="84"/>
      <c r="X410" s="84"/>
      <c r="Y410" s="84"/>
      <c r="Z410" s="84"/>
    </row>
    <row r="411" spans="1:26" ht="15.75" customHeight="1">
      <c r="A411" s="83"/>
      <c r="B411" s="83"/>
      <c r="C411" s="83"/>
      <c r="D411" s="84"/>
      <c r="E411" s="84"/>
      <c r="F411" s="84"/>
      <c r="G411" s="83"/>
      <c r="H411" s="84"/>
      <c r="I411" s="84"/>
      <c r="J411" s="84"/>
      <c r="K411" s="84"/>
      <c r="L411" s="84"/>
      <c r="M411" s="84"/>
      <c r="N411" s="84"/>
      <c r="O411" s="84"/>
      <c r="P411" s="85"/>
      <c r="Q411" s="75"/>
      <c r="R411" s="75"/>
      <c r="S411" s="75"/>
      <c r="T411" s="75"/>
      <c r="U411" s="89"/>
      <c r="V411" s="84"/>
      <c r="W411" s="84"/>
      <c r="X411" s="84"/>
      <c r="Y411" s="84"/>
      <c r="Z411" s="84"/>
    </row>
    <row r="412" spans="1:26" ht="15.75" customHeight="1">
      <c r="A412" s="83"/>
      <c r="B412" s="83"/>
      <c r="C412" s="83"/>
      <c r="D412" s="84"/>
      <c r="E412" s="84"/>
      <c r="F412" s="84"/>
      <c r="G412" s="83"/>
      <c r="H412" s="84"/>
      <c r="I412" s="84"/>
      <c r="J412" s="84"/>
      <c r="K412" s="84"/>
      <c r="L412" s="84"/>
      <c r="M412" s="84"/>
      <c r="N412" s="84"/>
      <c r="O412" s="84"/>
      <c r="P412" s="85"/>
      <c r="Q412" s="75"/>
      <c r="R412" s="75"/>
      <c r="S412" s="75"/>
      <c r="T412" s="75"/>
      <c r="U412" s="89"/>
      <c r="V412" s="84"/>
      <c r="W412" s="84"/>
      <c r="X412" s="84"/>
      <c r="Y412" s="84"/>
      <c r="Z412" s="84"/>
    </row>
    <row r="413" spans="1:26" ht="15.75" customHeight="1">
      <c r="A413" s="83"/>
      <c r="B413" s="83"/>
      <c r="C413" s="83"/>
      <c r="D413" s="84"/>
      <c r="E413" s="84"/>
      <c r="F413" s="84"/>
      <c r="G413" s="83"/>
      <c r="H413" s="84"/>
      <c r="I413" s="84"/>
      <c r="J413" s="84"/>
      <c r="K413" s="84"/>
      <c r="L413" s="84"/>
      <c r="M413" s="84"/>
      <c r="N413" s="84"/>
      <c r="O413" s="84"/>
      <c r="P413" s="85"/>
      <c r="Q413" s="75"/>
      <c r="R413" s="75"/>
      <c r="S413" s="75"/>
      <c r="T413" s="75"/>
      <c r="U413" s="89"/>
      <c r="V413" s="84"/>
      <c r="W413" s="84"/>
      <c r="X413" s="84"/>
      <c r="Y413" s="84"/>
      <c r="Z413" s="84"/>
    </row>
    <row r="414" spans="1:26" ht="15.75" customHeight="1">
      <c r="A414" s="83"/>
      <c r="B414" s="83"/>
      <c r="C414" s="83"/>
      <c r="D414" s="84"/>
      <c r="E414" s="84"/>
      <c r="F414" s="84"/>
      <c r="G414" s="83"/>
      <c r="H414" s="84"/>
      <c r="I414" s="84"/>
      <c r="J414" s="84"/>
      <c r="K414" s="84"/>
      <c r="L414" s="84"/>
      <c r="M414" s="84"/>
      <c r="N414" s="84"/>
      <c r="O414" s="84"/>
      <c r="P414" s="85"/>
      <c r="Q414" s="75"/>
      <c r="R414" s="75"/>
      <c r="S414" s="75"/>
      <c r="T414" s="75"/>
      <c r="U414" s="89"/>
      <c r="V414" s="84"/>
      <c r="W414" s="84"/>
      <c r="X414" s="84"/>
      <c r="Y414" s="84"/>
      <c r="Z414" s="84"/>
    </row>
    <row r="415" spans="1:26" ht="15.75" customHeight="1">
      <c r="A415" s="83"/>
      <c r="B415" s="83"/>
      <c r="C415" s="83"/>
      <c r="D415" s="84"/>
      <c r="E415" s="84"/>
      <c r="F415" s="84"/>
      <c r="G415" s="83"/>
      <c r="H415" s="84"/>
      <c r="I415" s="84"/>
      <c r="J415" s="84"/>
      <c r="K415" s="84"/>
      <c r="L415" s="84"/>
      <c r="M415" s="84"/>
      <c r="N415" s="84"/>
      <c r="O415" s="84"/>
      <c r="P415" s="85"/>
      <c r="Q415" s="75"/>
      <c r="R415" s="75"/>
      <c r="S415" s="75"/>
      <c r="T415" s="75"/>
      <c r="U415" s="89"/>
      <c r="V415" s="84"/>
      <c r="W415" s="84"/>
      <c r="X415" s="84"/>
      <c r="Y415" s="84"/>
      <c r="Z415" s="84"/>
    </row>
    <row r="416" spans="1:26" ht="15.75" customHeight="1">
      <c r="A416" s="83"/>
      <c r="B416" s="83"/>
      <c r="C416" s="83"/>
      <c r="D416" s="84"/>
      <c r="E416" s="84"/>
      <c r="F416" s="84"/>
      <c r="G416" s="83"/>
      <c r="H416" s="84"/>
      <c r="I416" s="84"/>
      <c r="J416" s="84"/>
      <c r="K416" s="84"/>
      <c r="L416" s="84"/>
      <c r="M416" s="84"/>
      <c r="N416" s="84"/>
      <c r="O416" s="84"/>
      <c r="P416" s="85"/>
      <c r="Q416" s="75"/>
      <c r="R416" s="75"/>
      <c r="S416" s="75"/>
      <c r="T416" s="75"/>
      <c r="U416" s="89"/>
      <c r="V416" s="84"/>
      <c r="W416" s="84"/>
      <c r="X416" s="84"/>
      <c r="Y416" s="84"/>
      <c r="Z416" s="84"/>
    </row>
    <row r="417" spans="1:26" ht="15.75" customHeight="1">
      <c r="A417" s="83"/>
      <c r="B417" s="83"/>
      <c r="C417" s="83"/>
      <c r="D417" s="84"/>
      <c r="E417" s="84"/>
      <c r="F417" s="84"/>
      <c r="G417" s="83"/>
      <c r="H417" s="84"/>
      <c r="I417" s="84"/>
      <c r="J417" s="84"/>
      <c r="K417" s="84"/>
      <c r="L417" s="84"/>
      <c r="M417" s="84"/>
      <c r="N417" s="84"/>
      <c r="O417" s="84"/>
      <c r="P417" s="85"/>
      <c r="Q417" s="75"/>
      <c r="R417" s="75"/>
      <c r="S417" s="75"/>
      <c r="T417" s="75"/>
      <c r="U417" s="89"/>
      <c r="V417" s="84"/>
      <c r="W417" s="84"/>
      <c r="X417" s="84"/>
      <c r="Y417" s="84"/>
      <c r="Z417" s="84"/>
    </row>
    <row r="418" spans="1:26" ht="15.75" customHeight="1">
      <c r="A418" s="83"/>
      <c r="B418" s="83"/>
      <c r="C418" s="83"/>
      <c r="D418" s="84"/>
      <c r="E418" s="84"/>
      <c r="F418" s="84"/>
      <c r="G418" s="83"/>
      <c r="H418" s="84"/>
      <c r="I418" s="84"/>
      <c r="J418" s="84"/>
      <c r="K418" s="84"/>
      <c r="L418" s="84"/>
      <c r="M418" s="84"/>
      <c r="N418" s="84"/>
      <c r="O418" s="84"/>
      <c r="P418" s="85"/>
      <c r="Q418" s="75"/>
      <c r="R418" s="75"/>
      <c r="S418" s="75"/>
      <c r="T418" s="75"/>
      <c r="U418" s="89"/>
      <c r="V418" s="84"/>
      <c r="W418" s="84"/>
      <c r="X418" s="84"/>
      <c r="Y418" s="84"/>
      <c r="Z418" s="84"/>
    </row>
    <row r="419" spans="1:26" ht="15.75" customHeight="1">
      <c r="A419" s="83"/>
      <c r="B419" s="83"/>
      <c r="C419" s="83"/>
      <c r="D419" s="84"/>
      <c r="E419" s="84"/>
      <c r="F419" s="84"/>
      <c r="G419" s="83"/>
      <c r="H419" s="84"/>
      <c r="I419" s="84"/>
      <c r="J419" s="84"/>
      <c r="K419" s="84"/>
      <c r="L419" s="84"/>
      <c r="M419" s="84"/>
      <c r="N419" s="84"/>
      <c r="O419" s="84"/>
      <c r="P419" s="85"/>
      <c r="Q419" s="75"/>
      <c r="R419" s="75"/>
      <c r="S419" s="75"/>
      <c r="T419" s="75"/>
      <c r="U419" s="89"/>
      <c r="V419" s="84"/>
      <c r="W419" s="84"/>
      <c r="X419" s="84"/>
      <c r="Y419" s="84"/>
      <c r="Z419" s="84"/>
    </row>
    <row r="420" spans="1:26" ht="15.75" customHeight="1">
      <c r="A420" s="83"/>
      <c r="B420" s="83"/>
      <c r="C420" s="83"/>
      <c r="D420" s="84"/>
      <c r="E420" s="84"/>
      <c r="F420" s="84"/>
      <c r="G420" s="83"/>
      <c r="H420" s="84"/>
      <c r="I420" s="84"/>
      <c r="J420" s="84"/>
      <c r="K420" s="84"/>
      <c r="L420" s="84"/>
      <c r="M420" s="84"/>
      <c r="N420" s="84"/>
      <c r="O420" s="84"/>
      <c r="P420" s="85"/>
      <c r="Q420" s="75"/>
      <c r="R420" s="75"/>
      <c r="S420" s="75"/>
      <c r="T420" s="75"/>
      <c r="U420" s="89"/>
      <c r="V420" s="84"/>
      <c r="W420" s="84"/>
      <c r="X420" s="84"/>
      <c r="Y420" s="84"/>
      <c r="Z420" s="84"/>
    </row>
    <row r="421" spans="1:26" ht="15.75" customHeight="1">
      <c r="A421" s="83"/>
      <c r="B421" s="83"/>
      <c r="C421" s="83"/>
      <c r="D421" s="84"/>
      <c r="E421" s="84"/>
      <c r="F421" s="84"/>
      <c r="G421" s="83"/>
      <c r="H421" s="84"/>
      <c r="I421" s="84"/>
      <c r="J421" s="84"/>
      <c r="K421" s="84"/>
      <c r="L421" s="84"/>
      <c r="M421" s="84"/>
      <c r="N421" s="84"/>
      <c r="O421" s="84"/>
      <c r="P421" s="85"/>
      <c r="Q421" s="75"/>
      <c r="R421" s="75"/>
      <c r="S421" s="75"/>
      <c r="T421" s="75"/>
      <c r="U421" s="89"/>
      <c r="V421" s="84"/>
      <c r="W421" s="84"/>
      <c r="X421" s="84"/>
      <c r="Y421" s="84"/>
      <c r="Z421" s="84"/>
    </row>
    <row r="422" spans="1:26" ht="15.75" customHeight="1">
      <c r="A422" s="83"/>
      <c r="B422" s="83"/>
      <c r="C422" s="83"/>
      <c r="D422" s="84"/>
      <c r="E422" s="84"/>
      <c r="F422" s="84"/>
      <c r="G422" s="83"/>
      <c r="H422" s="84"/>
      <c r="I422" s="84"/>
      <c r="J422" s="84"/>
      <c r="K422" s="84"/>
      <c r="L422" s="84"/>
      <c r="M422" s="84"/>
      <c r="N422" s="84"/>
      <c r="O422" s="84"/>
      <c r="P422" s="85"/>
      <c r="Q422" s="75"/>
      <c r="R422" s="75"/>
      <c r="S422" s="75"/>
      <c r="T422" s="75"/>
      <c r="U422" s="89"/>
      <c r="V422" s="84"/>
      <c r="W422" s="84"/>
      <c r="X422" s="84"/>
      <c r="Y422" s="84"/>
      <c r="Z422" s="84"/>
    </row>
    <row r="423" spans="1:26" ht="15.75" customHeight="1">
      <c r="A423" s="83"/>
      <c r="B423" s="83"/>
      <c r="C423" s="83"/>
      <c r="D423" s="84"/>
      <c r="E423" s="84"/>
      <c r="F423" s="84"/>
      <c r="G423" s="83"/>
      <c r="H423" s="84"/>
      <c r="I423" s="84"/>
      <c r="J423" s="84"/>
      <c r="K423" s="84"/>
      <c r="L423" s="84"/>
      <c r="M423" s="84"/>
      <c r="N423" s="84"/>
      <c r="O423" s="84"/>
      <c r="P423" s="85"/>
      <c r="Q423" s="75"/>
      <c r="R423" s="75"/>
      <c r="S423" s="75"/>
      <c r="T423" s="75"/>
      <c r="U423" s="89"/>
      <c r="V423" s="84"/>
      <c r="W423" s="84"/>
      <c r="X423" s="84"/>
      <c r="Y423" s="84"/>
      <c r="Z423" s="84"/>
    </row>
    <row r="424" spans="1:26" ht="15.75" customHeight="1">
      <c r="A424" s="83"/>
      <c r="B424" s="83"/>
      <c r="C424" s="83"/>
      <c r="D424" s="84"/>
      <c r="E424" s="84"/>
      <c r="F424" s="84"/>
      <c r="G424" s="83"/>
      <c r="H424" s="84"/>
      <c r="I424" s="84"/>
      <c r="J424" s="84"/>
      <c r="K424" s="84"/>
      <c r="L424" s="84"/>
      <c r="M424" s="84"/>
      <c r="N424" s="84"/>
      <c r="O424" s="84"/>
      <c r="P424" s="85"/>
      <c r="Q424" s="75"/>
      <c r="R424" s="75"/>
      <c r="S424" s="75"/>
      <c r="T424" s="75"/>
      <c r="U424" s="89"/>
      <c r="V424" s="84"/>
      <c r="W424" s="84"/>
      <c r="X424" s="84"/>
      <c r="Y424" s="84"/>
      <c r="Z424" s="84"/>
    </row>
    <row r="425" spans="1:26" ht="15.75" customHeight="1">
      <c r="A425" s="83"/>
      <c r="B425" s="83"/>
      <c r="C425" s="83"/>
      <c r="D425" s="84"/>
      <c r="E425" s="84"/>
      <c r="F425" s="84"/>
      <c r="G425" s="83"/>
      <c r="H425" s="84"/>
      <c r="I425" s="84"/>
      <c r="J425" s="84"/>
      <c r="K425" s="84"/>
      <c r="L425" s="84"/>
      <c r="M425" s="84"/>
      <c r="N425" s="84"/>
      <c r="O425" s="84"/>
      <c r="P425" s="85"/>
      <c r="Q425" s="75"/>
      <c r="R425" s="75"/>
      <c r="S425" s="75"/>
      <c r="T425" s="75"/>
      <c r="U425" s="89"/>
      <c r="V425" s="84"/>
      <c r="W425" s="84"/>
      <c r="X425" s="84"/>
      <c r="Y425" s="84"/>
      <c r="Z425" s="84"/>
    </row>
    <row r="426" spans="1:26" ht="15.75" customHeight="1">
      <c r="A426" s="83"/>
      <c r="B426" s="83"/>
      <c r="C426" s="83"/>
      <c r="D426" s="84"/>
      <c r="E426" s="84"/>
      <c r="F426" s="84"/>
      <c r="G426" s="83"/>
      <c r="H426" s="84"/>
      <c r="I426" s="84"/>
      <c r="J426" s="84"/>
      <c r="K426" s="84"/>
      <c r="L426" s="84"/>
      <c r="M426" s="84"/>
      <c r="N426" s="84"/>
      <c r="O426" s="84"/>
      <c r="P426" s="85"/>
      <c r="Q426" s="75"/>
      <c r="R426" s="75"/>
      <c r="S426" s="75"/>
      <c r="T426" s="75"/>
      <c r="U426" s="89"/>
      <c r="V426" s="84"/>
      <c r="W426" s="84"/>
      <c r="X426" s="84"/>
      <c r="Y426" s="84"/>
      <c r="Z426" s="84"/>
    </row>
    <row r="427" spans="1:26" ht="15.75" customHeight="1">
      <c r="A427" s="83"/>
      <c r="B427" s="83"/>
      <c r="C427" s="83"/>
      <c r="D427" s="84"/>
      <c r="E427" s="84"/>
      <c r="F427" s="84"/>
      <c r="G427" s="83"/>
      <c r="H427" s="84"/>
      <c r="I427" s="84"/>
      <c r="J427" s="84"/>
      <c r="K427" s="84"/>
      <c r="L427" s="84"/>
      <c r="M427" s="84"/>
      <c r="N427" s="84"/>
      <c r="O427" s="84"/>
      <c r="P427" s="85"/>
      <c r="Q427" s="75"/>
      <c r="R427" s="75"/>
      <c r="S427" s="75"/>
      <c r="T427" s="75"/>
      <c r="U427" s="89"/>
      <c r="V427" s="84"/>
      <c r="W427" s="84"/>
      <c r="X427" s="84"/>
      <c r="Y427" s="84"/>
      <c r="Z427" s="84"/>
    </row>
    <row r="428" spans="1:26" ht="15.75" customHeight="1">
      <c r="A428" s="83"/>
      <c r="B428" s="83"/>
      <c r="C428" s="83"/>
      <c r="D428" s="84"/>
      <c r="E428" s="84"/>
      <c r="F428" s="84"/>
      <c r="G428" s="83"/>
      <c r="H428" s="84"/>
      <c r="I428" s="84"/>
      <c r="J428" s="84"/>
      <c r="K428" s="84"/>
      <c r="L428" s="84"/>
      <c r="M428" s="84"/>
      <c r="N428" s="84"/>
      <c r="O428" s="84"/>
      <c r="P428" s="85"/>
      <c r="Q428" s="75"/>
      <c r="R428" s="75"/>
      <c r="S428" s="75"/>
      <c r="T428" s="75"/>
      <c r="U428" s="89"/>
      <c r="V428" s="84"/>
      <c r="W428" s="84"/>
      <c r="X428" s="84"/>
      <c r="Y428" s="84"/>
      <c r="Z428" s="84"/>
    </row>
    <row r="429" spans="1:26" ht="15.75" customHeight="1">
      <c r="A429" s="83"/>
      <c r="B429" s="83"/>
      <c r="C429" s="83"/>
      <c r="D429" s="84"/>
      <c r="E429" s="84"/>
      <c r="F429" s="84"/>
      <c r="G429" s="83"/>
      <c r="H429" s="84"/>
      <c r="I429" s="84"/>
      <c r="J429" s="84"/>
      <c r="K429" s="84"/>
      <c r="L429" s="84"/>
      <c r="M429" s="84"/>
      <c r="N429" s="84"/>
      <c r="O429" s="84"/>
      <c r="P429" s="85"/>
      <c r="Q429" s="75"/>
      <c r="R429" s="75"/>
      <c r="S429" s="75"/>
      <c r="T429" s="75"/>
      <c r="U429" s="89"/>
      <c r="V429" s="84"/>
      <c r="W429" s="84"/>
      <c r="X429" s="84"/>
      <c r="Y429" s="84"/>
      <c r="Z429" s="84"/>
    </row>
    <row r="430" spans="1:26" ht="15.75" customHeight="1">
      <c r="A430" s="83"/>
      <c r="B430" s="83"/>
      <c r="C430" s="83"/>
      <c r="D430" s="84"/>
      <c r="E430" s="84"/>
      <c r="F430" s="84"/>
      <c r="G430" s="83"/>
      <c r="H430" s="84"/>
      <c r="I430" s="84"/>
      <c r="J430" s="84"/>
      <c r="K430" s="84"/>
      <c r="L430" s="84"/>
      <c r="M430" s="84"/>
      <c r="N430" s="84"/>
      <c r="O430" s="84"/>
      <c r="P430" s="85"/>
      <c r="Q430" s="75"/>
      <c r="R430" s="75"/>
      <c r="S430" s="75"/>
      <c r="T430" s="75"/>
      <c r="U430" s="89"/>
      <c r="V430" s="84"/>
      <c r="W430" s="84"/>
      <c r="X430" s="84"/>
      <c r="Y430" s="84"/>
      <c r="Z430" s="84"/>
    </row>
    <row r="431" spans="1:26" ht="15.75" customHeight="1">
      <c r="A431" s="83"/>
      <c r="B431" s="83"/>
      <c r="C431" s="83"/>
      <c r="D431" s="84"/>
      <c r="E431" s="84"/>
      <c r="F431" s="84"/>
      <c r="G431" s="83"/>
      <c r="H431" s="84"/>
      <c r="I431" s="84"/>
      <c r="J431" s="84"/>
      <c r="K431" s="84"/>
      <c r="L431" s="84"/>
      <c r="M431" s="84"/>
      <c r="N431" s="84"/>
      <c r="O431" s="84"/>
      <c r="P431" s="85"/>
      <c r="Q431" s="75"/>
      <c r="R431" s="75"/>
      <c r="S431" s="75"/>
      <c r="T431" s="75"/>
      <c r="U431" s="89"/>
      <c r="V431" s="84"/>
      <c r="W431" s="84"/>
      <c r="X431" s="84"/>
      <c r="Y431" s="84"/>
      <c r="Z431" s="84"/>
    </row>
    <row r="432" spans="1:26" ht="15.75" customHeight="1">
      <c r="A432" s="83"/>
      <c r="B432" s="83"/>
      <c r="C432" s="83"/>
      <c r="D432" s="84"/>
      <c r="E432" s="84"/>
      <c r="F432" s="84"/>
      <c r="G432" s="83"/>
      <c r="H432" s="84"/>
      <c r="I432" s="84"/>
      <c r="J432" s="84"/>
      <c r="K432" s="84"/>
      <c r="L432" s="84"/>
      <c r="M432" s="84"/>
      <c r="N432" s="84"/>
      <c r="O432" s="84"/>
      <c r="P432" s="85"/>
      <c r="Q432" s="75"/>
      <c r="R432" s="75"/>
      <c r="S432" s="75"/>
      <c r="T432" s="75"/>
      <c r="U432" s="89"/>
      <c r="V432" s="84"/>
      <c r="W432" s="84"/>
      <c r="X432" s="84"/>
      <c r="Y432" s="84"/>
      <c r="Z432" s="84"/>
    </row>
    <row r="433" spans="1:26" ht="15.75" customHeight="1">
      <c r="A433" s="83"/>
      <c r="B433" s="83"/>
      <c r="C433" s="83"/>
      <c r="D433" s="84"/>
      <c r="E433" s="84"/>
      <c r="F433" s="84"/>
      <c r="G433" s="83"/>
      <c r="H433" s="84"/>
      <c r="I433" s="84"/>
      <c r="J433" s="84"/>
      <c r="K433" s="84"/>
      <c r="L433" s="84"/>
      <c r="M433" s="84"/>
      <c r="N433" s="84"/>
      <c r="O433" s="84"/>
      <c r="P433" s="85"/>
      <c r="Q433" s="75"/>
      <c r="R433" s="75"/>
      <c r="S433" s="75"/>
      <c r="T433" s="75"/>
      <c r="U433" s="89"/>
      <c r="V433" s="84"/>
      <c r="W433" s="84"/>
      <c r="X433" s="84"/>
      <c r="Y433" s="84"/>
      <c r="Z433" s="84"/>
    </row>
    <row r="434" spans="1:26" ht="15.75" customHeight="1">
      <c r="A434" s="83"/>
      <c r="B434" s="83"/>
      <c r="C434" s="83"/>
      <c r="D434" s="84"/>
      <c r="E434" s="84"/>
      <c r="F434" s="84"/>
      <c r="G434" s="83"/>
      <c r="H434" s="84"/>
      <c r="I434" s="84"/>
      <c r="J434" s="84"/>
      <c r="K434" s="84"/>
      <c r="L434" s="84"/>
      <c r="M434" s="84"/>
      <c r="N434" s="84"/>
      <c r="O434" s="84"/>
      <c r="P434" s="85"/>
      <c r="Q434" s="75"/>
      <c r="R434" s="75"/>
      <c r="S434" s="75"/>
      <c r="T434" s="75"/>
      <c r="U434" s="89"/>
      <c r="V434" s="84"/>
      <c r="W434" s="84"/>
      <c r="X434" s="84"/>
      <c r="Y434" s="84"/>
      <c r="Z434" s="84"/>
    </row>
    <row r="435" spans="1:26" ht="15.75" customHeight="1">
      <c r="A435" s="83"/>
      <c r="B435" s="83"/>
      <c r="C435" s="83"/>
      <c r="D435" s="84"/>
      <c r="E435" s="84"/>
      <c r="F435" s="84"/>
      <c r="G435" s="83"/>
      <c r="H435" s="84"/>
      <c r="I435" s="84"/>
      <c r="J435" s="84"/>
      <c r="K435" s="84"/>
      <c r="L435" s="84"/>
      <c r="M435" s="84"/>
      <c r="N435" s="84"/>
      <c r="O435" s="84"/>
      <c r="P435" s="85"/>
      <c r="Q435" s="75"/>
      <c r="R435" s="75"/>
      <c r="S435" s="75"/>
      <c r="T435" s="75"/>
      <c r="U435" s="89"/>
      <c r="V435" s="84"/>
      <c r="W435" s="84"/>
      <c r="X435" s="84"/>
      <c r="Y435" s="84"/>
      <c r="Z435" s="84"/>
    </row>
    <row r="436" spans="1:26" ht="15.75" customHeight="1">
      <c r="A436" s="83"/>
      <c r="B436" s="83"/>
      <c r="C436" s="83"/>
      <c r="D436" s="84"/>
      <c r="E436" s="84"/>
      <c r="F436" s="84"/>
      <c r="G436" s="83"/>
      <c r="H436" s="84"/>
      <c r="I436" s="84"/>
      <c r="J436" s="84"/>
      <c r="K436" s="84"/>
      <c r="L436" s="84"/>
      <c r="M436" s="84"/>
      <c r="N436" s="84"/>
      <c r="O436" s="84"/>
      <c r="P436" s="85"/>
      <c r="Q436" s="75"/>
      <c r="R436" s="75"/>
      <c r="S436" s="75"/>
      <c r="T436" s="75"/>
      <c r="U436" s="89"/>
      <c r="V436" s="84"/>
      <c r="W436" s="84"/>
      <c r="X436" s="84"/>
      <c r="Y436" s="84"/>
      <c r="Z436" s="84"/>
    </row>
    <row r="437" spans="1:26" ht="15.75" customHeight="1">
      <c r="A437" s="83"/>
      <c r="B437" s="83"/>
      <c r="C437" s="83"/>
      <c r="D437" s="84"/>
      <c r="E437" s="84"/>
      <c r="F437" s="84"/>
      <c r="G437" s="83"/>
      <c r="H437" s="84"/>
      <c r="I437" s="84"/>
      <c r="J437" s="84"/>
      <c r="K437" s="84"/>
      <c r="L437" s="84"/>
      <c r="M437" s="84"/>
      <c r="N437" s="84"/>
      <c r="O437" s="84"/>
      <c r="P437" s="85"/>
      <c r="Q437" s="75"/>
      <c r="R437" s="75"/>
      <c r="S437" s="75"/>
      <c r="T437" s="75"/>
      <c r="U437" s="89"/>
      <c r="V437" s="84"/>
      <c r="W437" s="84"/>
      <c r="X437" s="84"/>
      <c r="Y437" s="84"/>
      <c r="Z437" s="84"/>
    </row>
    <row r="438" spans="1:26" ht="15.75" customHeight="1">
      <c r="A438" s="83"/>
      <c r="B438" s="83"/>
      <c r="C438" s="83"/>
      <c r="D438" s="84"/>
      <c r="E438" s="84"/>
      <c r="F438" s="84"/>
      <c r="G438" s="83"/>
      <c r="H438" s="84"/>
      <c r="I438" s="84"/>
      <c r="J438" s="84"/>
      <c r="K438" s="84"/>
      <c r="L438" s="84"/>
      <c r="M438" s="84"/>
      <c r="N438" s="84"/>
      <c r="O438" s="84"/>
      <c r="P438" s="85"/>
      <c r="Q438" s="75"/>
      <c r="R438" s="75"/>
      <c r="S438" s="75"/>
      <c r="T438" s="75"/>
      <c r="U438" s="89"/>
      <c r="V438" s="84"/>
      <c r="W438" s="84"/>
      <c r="X438" s="84"/>
      <c r="Y438" s="84"/>
      <c r="Z438" s="84"/>
    </row>
    <row r="439" spans="1:26" ht="15.75" customHeight="1">
      <c r="A439" s="83"/>
      <c r="B439" s="83"/>
      <c r="C439" s="83"/>
      <c r="D439" s="84"/>
      <c r="E439" s="84"/>
      <c r="F439" s="84"/>
      <c r="G439" s="83"/>
      <c r="H439" s="84"/>
      <c r="I439" s="84"/>
      <c r="J439" s="84"/>
      <c r="K439" s="84"/>
      <c r="L439" s="84"/>
      <c r="M439" s="84"/>
      <c r="N439" s="84"/>
      <c r="O439" s="84"/>
      <c r="P439" s="85"/>
      <c r="Q439" s="75"/>
      <c r="R439" s="75"/>
      <c r="S439" s="75"/>
      <c r="T439" s="75"/>
      <c r="U439" s="89"/>
      <c r="V439" s="84"/>
      <c r="W439" s="84"/>
      <c r="X439" s="84"/>
      <c r="Y439" s="84"/>
      <c r="Z439" s="84"/>
    </row>
    <row r="440" spans="1:26" ht="15.75" customHeight="1">
      <c r="A440" s="83"/>
      <c r="B440" s="83"/>
      <c r="C440" s="83"/>
      <c r="D440" s="84"/>
      <c r="E440" s="84"/>
      <c r="F440" s="84"/>
      <c r="G440" s="83"/>
      <c r="H440" s="84"/>
      <c r="I440" s="84"/>
      <c r="J440" s="84"/>
      <c r="K440" s="84"/>
      <c r="L440" s="84"/>
      <c r="M440" s="84"/>
      <c r="N440" s="84"/>
      <c r="O440" s="84"/>
      <c r="P440" s="85"/>
      <c r="Q440" s="75"/>
      <c r="R440" s="75"/>
      <c r="S440" s="75"/>
      <c r="T440" s="75"/>
      <c r="U440" s="89"/>
      <c r="V440" s="84"/>
      <c r="W440" s="84"/>
      <c r="X440" s="84"/>
      <c r="Y440" s="84"/>
      <c r="Z440" s="84"/>
    </row>
    <row r="441" spans="1:26" ht="15.75" customHeight="1">
      <c r="A441" s="83"/>
      <c r="B441" s="83"/>
      <c r="C441" s="83"/>
      <c r="D441" s="84"/>
      <c r="E441" s="84"/>
      <c r="F441" s="84"/>
      <c r="G441" s="83"/>
      <c r="H441" s="84"/>
      <c r="I441" s="84"/>
      <c r="J441" s="84"/>
      <c r="K441" s="84"/>
      <c r="L441" s="84"/>
      <c r="M441" s="84"/>
      <c r="N441" s="84"/>
      <c r="O441" s="84"/>
      <c r="P441" s="85"/>
      <c r="Q441" s="75"/>
      <c r="R441" s="75"/>
      <c r="S441" s="75"/>
      <c r="T441" s="75"/>
      <c r="U441" s="89"/>
      <c r="V441" s="84"/>
      <c r="W441" s="84"/>
      <c r="X441" s="84"/>
      <c r="Y441" s="84"/>
      <c r="Z441" s="84"/>
    </row>
    <row r="442" spans="1:26" ht="15.75" customHeight="1">
      <c r="A442" s="83"/>
      <c r="B442" s="83"/>
      <c r="C442" s="83"/>
      <c r="D442" s="84"/>
      <c r="E442" s="84"/>
      <c r="F442" s="84"/>
      <c r="G442" s="83"/>
      <c r="H442" s="84"/>
      <c r="I442" s="84"/>
      <c r="J442" s="84"/>
      <c r="K442" s="84"/>
      <c r="L442" s="84"/>
      <c r="M442" s="84"/>
      <c r="N442" s="84"/>
      <c r="O442" s="84"/>
      <c r="P442" s="85"/>
      <c r="Q442" s="75"/>
      <c r="R442" s="75"/>
      <c r="S442" s="75"/>
      <c r="T442" s="75"/>
      <c r="U442" s="89"/>
      <c r="V442" s="84"/>
      <c r="W442" s="84"/>
      <c r="X442" s="84"/>
      <c r="Y442" s="84"/>
      <c r="Z442" s="84"/>
    </row>
    <row r="443" spans="1:26" ht="15.75" customHeight="1">
      <c r="A443" s="83"/>
      <c r="B443" s="83"/>
      <c r="C443" s="83"/>
      <c r="D443" s="84"/>
      <c r="E443" s="84"/>
      <c r="F443" s="84"/>
      <c r="G443" s="83"/>
      <c r="H443" s="84"/>
      <c r="I443" s="84"/>
      <c r="J443" s="84"/>
      <c r="K443" s="84"/>
      <c r="L443" s="84"/>
      <c r="M443" s="84"/>
      <c r="N443" s="84"/>
      <c r="O443" s="84"/>
      <c r="P443" s="85"/>
      <c r="Q443" s="75"/>
      <c r="R443" s="75"/>
      <c r="S443" s="75"/>
      <c r="T443" s="75"/>
      <c r="U443" s="89"/>
      <c r="V443" s="84"/>
      <c r="W443" s="84"/>
      <c r="X443" s="84"/>
      <c r="Y443" s="84"/>
      <c r="Z443" s="84"/>
    </row>
    <row r="444" spans="1:26" ht="15.75" customHeight="1">
      <c r="A444" s="83"/>
      <c r="B444" s="83"/>
      <c r="C444" s="83"/>
      <c r="D444" s="84"/>
      <c r="E444" s="84"/>
      <c r="F444" s="84"/>
      <c r="G444" s="83"/>
      <c r="H444" s="84"/>
      <c r="I444" s="84"/>
      <c r="J444" s="84"/>
      <c r="K444" s="84"/>
      <c r="L444" s="84"/>
      <c r="M444" s="84"/>
      <c r="N444" s="84"/>
      <c r="O444" s="84"/>
      <c r="P444" s="85"/>
      <c r="Q444" s="75"/>
      <c r="R444" s="75"/>
      <c r="S444" s="75"/>
      <c r="T444" s="75"/>
      <c r="U444" s="89"/>
      <c r="V444" s="84"/>
      <c r="W444" s="84"/>
      <c r="X444" s="84"/>
      <c r="Y444" s="84"/>
      <c r="Z444" s="84"/>
    </row>
    <row r="445" spans="1:26" ht="15.75" customHeight="1">
      <c r="A445" s="83"/>
      <c r="B445" s="83"/>
      <c r="C445" s="83"/>
      <c r="D445" s="84"/>
      <c r="E445" s="84"/>
      <c r="F445" s="84"/>
      <c r="G445" s="83"/>
      <c r="H445" s="84"/>
      <c r="I445" s="84"/>
      <c r="J445" s="84"/>
      <c r="K445" s="84"/>
      <c r="L445" s="84"/>
      <c r="M445" s="84"/>
      <c r="N445" s="84"/>
      <c r="O445" s="84"/>
      <c r="P445" s="85"/>
      <c r="Q445" s="75"/>
      <c r="R445" s="75"/>
      <c r="S445" s="75"/>
      <c r="T445" s="75"/>
      <c r="U445" s="89"/>
      <c r="V445" s="84"/>
      <c r="W445" s="84"/>
      <c r="X445" s="84"/>
      <c r="Y445" s="84"/>
      <c r="Z445" s="84"/>
    </row>
    <row r="446" spans="1:26" ht="15.75" customHeight="1">
      <c r="A446" s="83"/>
      <c r="B446" s="83"/>
      <c r="C446" s="83"/>
      <c r="D446" s="84"/>
      <c r="E446" s="84"/>
      <c r="F446" s="84"/>
      <c r="G446" s="83"/>
      <c r="H446" s="84"/>
      <c r="I446" s="84"/>
      <c r="J446" s="84"/>
      <c r="K446" s="84"/>
      <c r="L446" s="84"/>
      <c r="M446" s="84"/>
      <c r="N446" s="84"/>
      <c r="O446" s="84"/>
      <c r="P446" s="85"/>
      <c r="Q446" s="75"/>
      <c r="R446" s="75"/>
      <c r="S446" s="75"/>
      <c r="T446" s="75"/>
      <c r="U446" s="89"/>
      <c r="V446" s="84"/>
      <c r="W446" s="84"/>
      <c r="X446" s="84"/>
      <c r="Y446" s="84"/>
      <c r="Z446" s="84"/>
    </row>
    <row r="447" spans="1:26" ht="15.75" customHeight="1">
      <c r="A447" s="83"/>
      <c r="B447" s="83"/>
      <c r="C447" s="83"/>
      <c r="D447" s="84"/>
      <c r="E447" s="84"/>
      <c r="F447" s="84"/>
      <c r="G447" s="83"/>
      <c r="H447" s="84"/>
      <c r="I447" s="84"/>
      <c r="J447" s="84"/>
      <c r="K447" s="84"/>
      <c r="L447" s="84"/>
      <c r="M447" s="84"/>
      <c r="N447" s="84"/>
      <c r="O447" s="84"/>
      <c r="P447" s="85"/>
      <c r="Q447" s="75"/>
      <c r="R447" s="75"/>
      <c r="S447" s="75"/>
      <c r="T447" s="75"/>
      <c r="U447" s="89"/>
      <c r="V447" s="84"/>
      <c r="W447" s="84"/>
      <c r="X447" s="84"/>
      <c r="Y447" s="84"/>
      <c r="Z447" s="84"/>
    </row>
    <row r="448" spans="1:26" ht="15.75" customHeight="1">
      <c r="A448" s="83"/>
      <c r="B448" s="83"/>
      <c r="C448" s="83"/>
      <c r="D448" s="84"/>
      <c r="E448" s="84"/>
      <c r="F448" s="84"/>
      <c r="G448" s="83"/>
      <c r="H448" s="84"/>
      <c r="I448" s="84"/>
      <c r="J448" s="84"/>
      <c r="K448" s="84"/>
      <c r="L448" s="84"/>
      <c r="M448" s="84"/>
      <c r="N448" s="84"/>
      <c r="O448" s="84"/>
      <c r="P448" s="85"/>
      <c r="Q448" s="75"/>
      <c r="R448" s="75"/>
      <c r="S448" s="75"/>
      <c r="T448" s="75"/>
      <c r="U448" s="89"/>
      <c r="V448" s="84"/>
      <c r="W448" s="84"/>
      <c r="X448" s="84"/>
      <c r="Y448" s="84"/>
      <c r="Z448" s="84"/>
    </row>
    <row r="449" spans="1:26" ht="15.75" customHeight="1">
      <c r="A449" s="83"/>
      <c r="B449" s="83"/>
      <c r="C449" s="83"/>
      <c r="D449" s="84"/>
      <c r="E449" s="84"/>
      <c r="F449" s="84"/>
      <c r="G449" s="83"/>
      <c r="H449" s="84"/>
      <c r="I449" s="84"/>
      <c r="J449" s="84"/>
      <c r="K449" s="84"/>
      <c r="L449" s="84"/>
      <c r="M449" s="84"/>
      <c r="N449" s="84"/>
      <c r="O449" s="84"/>
      <c r="P449" s="85"/>
      <c r="Q449" s="75"/>
      <c r="R449" s="75"/>
      <c r="S449" s="75"/>
      <c r="T449" s="75"/>
      <c r="U449" s="89"/>
      <c r="V449" s="84"/>
      <c r="W449" s="84"/>
      <c r="X449" s="84"/>
      <c r="Y449" s="84"/>
      <c r="Z449" s="84"/>
    </row>
    <row r="450" spans="1:26" ht="15.75" customHeight="1">
      <c r="A450" s="83"/>
      <c r="B450" s="83"/>
      <c r="C450" s="83"/>
      <c r="D450" s="84"/>
      <c r="E450" s="84"/>
      <c r="F450" s="84"/>
      <c r="G450" s="83"/>
      <c r="H450" s="84"/>
      <c r="I450" s="84"/>
      <c r="J450" s="84"/>
      <c r="K450" s="84"/>
      <c r="L450" s="84"/>
      <c r="M450" s="84"/>
      <c r="N450" s="84"/>
      <c r="O450" s="84"/>
      <c r="P450" s="85"/>
      <c r="Q450" s="75"/>
      <c r="R450" s="75"/>
      <c r="S450" s="75"/>
      <c r="T450" s="75"/>
      <c r="U450" s="89"/>
      <c r="V450" s="84"/>
      <c r="W450" s="84"/>
      <c r="X450" s="84"/>
      <c r="Y450" s="84"/>
      <c r="Z450" s="84"/>
    </row>
    <row r="451" spans="1:26" ht="15.75" customHeight="1">
      <c r="A451" s="83"/>
      <c r="B451" s="83"/>
      <c r="C451" s="83"/>
      <c r="D451" s="84"/>
      <c r="E451" s="84"/>
      <c r="F451" s="84"/>
      <c r="G451" s="83"/>
      <c r="H451" s="84"/>
      <c r="I451" s="84"/>
      <c r="J451" s="84"/>
      <c r="K451" s="84"/>
      <c r="L451" s="84"/>
      <c r="M451" s="84"/>
      <c r="N451" s="84"/>
      <c r="O451" s="84"/>
      <c r="P451" s="85"/>
      <c r="Q451" s="75"/>
      <c r="R451" s="75"/>
      <c r="S451" s="75"/>
      <c r="T451" s="75"/>
      <c r="U451" s="89"/>
      <c r="V451" s="84"/>
      <c r="W451" s="84"/>
      <c r="X451" s="84"/>
      <c r="Y451" s="84"/>
      <c r="Z451" s="84"/>
    </row>
    <row r="452" spans="1:26" ht="15.75" customHeight="1">
      <c r="A452" s="83"/>
      <c r="B452" s="83"/>
      <c r="C452" s="83"/>
      <c r="D452" s="84"/>
      <c r="E452" s="84"/>
      <c r="F452" s="84"/>
      <c r="G452" s="83"/>
      <c r="H452" s="84"/>
      <c r="I452" s="84"/>
      <c r="J452" s="84"/>
      <c r="K452" s="84"/>
      <c r="L452" s="84"/>
      <c r="M452" s="84"/>
      <c r="N452" s="84"/>
      <c r="O452" s="84"/>
      <c r="P452" s="85"/>
      <c r="Q452" s="75"/>
      <c r="R452" s="75"/>
      <c r="S452" s="75"/>
      <c r="T452" s="75"/>
      <c r="U452" s="89"/>
      <c r="V452" s="84"/>
      <c r="W452" s="84"/>
      <c r="X452" s="84"/>
      <c r="Y452" s="84"/>
      <c r="Z452" s="84"/>
    </row>
    <row r="453" spans="1:26" ht="15.75" customHeight="1">
      <c r="A453" s="83"/>
      <c r="B453" s="83"/>
      <c r="C453" s="83"/>
      <c r="D453" s="84"/>
      <c r="E453" s="84"/>
      <c r="F453" s="84"/>
      <c r="G453" s="83"/>
      <c r="H453" s="84"/>
      <c r="I453" s="84"/>
      <c r="J453" s="84"/>
      <c r="K453" s="84"/>
      <c r="L453" s="84"/>
      <c r="M453" s="84"/>
      <c r="N453" s="84"/>
      <c r="O453" s="84"/>
      <c r="P453" s="85"/>
      <c r="Q453" s="75"/>
      <c r="R453" s="75"/>
      <c r="S453" s="75"/>
      <c r="T453" s="75"/>
      <c r="U453" s="89"/>
      <c r="V453" s="84"/>
      <c r="W453" s="84"/>
      <c r="X453" s="84"/>
      <c r="Y453" s="84"/>
      <c r="Z453" s="84"/>
    </row>
    <row r="454" spans="1:26" ht="15.75" customHeight="1">
      <c r="A454" s="83"/>
      <c r="B454" s="83"/>
      <c r="C454" s="83"/>
      <c r="D454" s="84"/>
      <c r="E454" s="84"/>
      <c r="F454" s="84"/>
      <c r="G454" s="83"/>
      <c r="H454" s="84"/>
      <c r="I454" s="84"/>
      <c r="J454" s="84"/>
      <c r="K454" s="84"/>
      <c r="L454" s="84"/>
      <c r="M454" s="84"/>
      <c r="N454" s="84"/>
      <c r="O454" s="84"/>
      <c r="P454" s="85"/>
      <c r="Q454" s="75"/>
      <c r="R454" s="75"/>
      <c r="S454" s="75"/>
      <c r="T454" s="75"/>
      <c r="U454" s="89"/>
      <c r="V454" s="84"/>
      <c r="W454" s="84"/>
      <c r="X454" s="84"/>
      <c r="Y454" s="84"/>
      <c r="Z454" s="84"/>
    </row>
    <row r="455" spans="1:26" ht="15.75" customHeight="1">
      <c r="A455" s="83"/>
      <c r="B455" s="83"/>
      <c r="C455" s="83"/>
      <c r="D455" s="84"/>
      <c r="E455" s="84"/>
      <c r="F455" s="84"/>
      <c r="G455" s="83"/>
      <c r="H455" s="84"/>
      <c r="I455" s="84"/>
      <c r="J455" s="84"/>
      <c r="K455" s="84"/>
      <c r="L455" s="84"/>
      <c r="M455" s="84"/>
      <c r="N455" s="84"/>
      <c r="O455" s="84"/>
      <c r="P455" s="85"/>
      <c r="Q455" s="75"/>
      <c r="R455" s="75"/>
      <c r="S455" s="75"/>
      <c r="T455" s="75"/>
      <c r="U455" s="89"/>
      <c r="V455" s="84"/>
      <c r="W455" s="84"/>
      <c r="X455" s="84"/>
      <c r="Y455" s="84"/>
      <c r="Z455" s="84"/>
    </row>
    <row r="456" spans="1:26" ht="15.75" customHeight="1">
      <c r="A456" s="83"/>
      <c r="B456" s="83"/>
      <c r="C456" s="83"/>
      <c r="D456" s="84"/>
      <c r="E456" s="84"/>
      <c r="F456" s="84"/>
      <c r="G456" s="83"/>
      <c r="H456" s="84"/>
      <c r="I456" s="84"/>
      <c r="J456" s="84"/>
      <c r="K456" s="84"/>
      <c r="L456" s="84"/>
      <c r="M456" s="84"/>
      <c r="N456" s="84"/>
      <c r="O456" s="84"/>
      <c r="P456" s="85"/>
      <c r="Q456" s="75"/>
      <c r="R456" s="75"/>
      <c r="S456" s="75"/>
      <c r="T456" s="75"/>
      <c r="U456" s="89"/>
      <c r="V456" s="84"/>
      <c r="W456" s="84"/>
      <c r="X456" s="84"/>
      <c r="Y456" s="84"/>
      <c r="Z456" s="84"/>
    </row>
    <row r="457" spans="1:26" ht="15.75" customHeight="1">
      <c r="A457" s="83"/>
      <c r="B457" s="83"/>
      <c r="C457" s="83"/>
      <c r="D457" s="84"/>
      <c r="E457" s="84"/>
      <c r="F457" s="84"/>
      <c r="G457" s="83"/>
      <c r="H457" s="84"/>
      <c r="I457" s="84"/>
      <c r="J457" s="84"/>
      <c r="K457" s="84"/>
      <c r="L457" s="84"/>
      <c r="M457" s="84"/>
      <c r="N457" s="84"/>
      <c r="O457" s="84"/>
      <c r="P457" s="85"/>
      <c r="Q457" s="75"/>
      <c r="R457" s="75"/>
      <c r="S457" s="75"/>
      <c r="T457" s="75"/>
      <c r="U457" s="89"/>
      <c r="V457" s="84"/>
      <c r="W457" s="84"/>
      <c r="X457" s="84"/>
      <c r="Y457" s="84"/>
      <c r="Z457" s="84"/>
    </row>
    <row r="458" spans="1:26" ht="15.75" customHeight="1">
      <c r="A458" s="83"/>
      <c r="B458" s="83"/>
      <c r="C458" s="83"/>
      <c r="D458" s="84"/>
      <c r="E458" s="84"/>
      <c r="F458" s="84"/>
      <c r="G458" s="83"/>
      <c r="H458" s="84"/>
      <c r="I458" s="84"/>
      <c r="J458" s="84"/>
      <c r="K458" s="84"/>
      <c r="L458" s="84"/>
      <c r="M458" s="84"/>
      <c r="N458" s="84"/>
      <c r="O458" s="84"/>
      <c r="P458" s="85"/>
      <c r="Q458" s="75"/>
      <c r="R458" s="75"/>
      <c r="S458" s="75"/>
      <c r="T458" s="75"/>
      <c r="U458" s="89"/>
      <c r="V458" s="84"/>
      <c r="W458" s="84"/>
      <c r="X458" s="84"/>
      <c r="Y458" s="84"/>
      <c r="Z458" s="84"/>
    </row>
    <row r="459" spans="1:26" ht="15.75" customHeight="1">
      <c r="A459" s="83"/>
      <c r="B459" s="83"/>
      <c r="C459" s="83"/>
      <c r="D459" s="84"/>
      <c r="E459" s="84"/>
      <c r="F459" s="84"/>
      <c r="G459" s="83"/>
      <c r="H459" s="84"/>
      <c r="I459" s="84"/>
      <c r="J459" s="84"/>
      <c r="K459" s="84"/>
      <c r="L459" s="84"/>
      <c r="M459" s="84"/>
      <c r="N459" s="84"/>
      <c r="O459" s="84"/>
      <c r="P459" s="85"/>
      <c r="Q459" s="75"/>
      <c r="R459" s="75"/>
      <c r="S459" s="75"/>
      <c r="T459" s="75"/>
      <c r="U459" s="89"/>
      <c r="V459" s="84"/>
      <c r="W459" s="84"/>
      <c r="X459" s="84"/>
      <c r="Y459" s="84"/>
      <c r="Z459" s="84"/>
    </row>
    <row r="460" spans="1:26" ht="15.75" customHeight="1">
      <c r="A460" s="83"/>
      <c r="B460" s="83"/>
      <c r="C460" s="83"/>
      <c r="D460" s="84"/>
      <c r="E460" s="84"/>
      <c r="F460" s="84"/>
      <c r="G460" s="83"/>
      <c r="H460" s="84"/>
      <c r="I460" s="84"/>
      <c r="J460" s="84"/>
      <c r="K460" s="84"/>
      <c r="L460" s="84"/>
      <c r="M460" s="84"/>
      <c r="N460" s="84"/>
      <c r="O460" s="84"/>
      <c r="P460" s="85"/>
      <c r="Q460" s="75"/>
      <c r="R460" s="75"/>
      <c r="S460" s="75"/>
      <c r="T460" s="75"/>
      <c r="U460" s="89"/>
      <c r="V460" s="84"/>
      <c r="W460" s="84"/>
      <c r="X460" s="84"/>
      <c r="Y460" s="84"/>
      <c r="Z460" s="84"/>
    </row>
    <row r="461" spans="1:26" ht="15.75" customHeight="1">
      <c r="A461" s="83"/>
      <c r="B461" s="83"/>
      <c r="C461" s="83"/>
      <c r="D461" s="84"/>
      <c r="E461" s="84"/>
      <c r="F461" s="84"/>
      <c r="G461" s="83"/>
      <c r="H461" s="84"/>
      <c r="I461" s="84"/>
      <c r="J461" s="84"/>
      <c r="K461" s="84"/>
      <c r="L461" s="84"/>
      <c r="M461" s="84"/>
      <c r="N461" s="84"/>
      <c r="O461" s="84"/>
      <c r="P461" s="85"/>
      <c r="Q461" s="75"/>
      <c r="R461" s="75"/>
      <c r="S461" s="75"/>
      <c r="T461" s="75"/>
      <c r="U461" s="89"/>
      <c r="V461" s="84"/>
      <c r="W461" s="84"/>
      <c r="X461" s="84"/>
      <c r="Y461" s="84"/>
      <c r="Z461" s="84"/>
    </row>
    <row r="462" spans="1:26" ht="15.75" customHeight="1">
      <c r="A462" s="83"/>
      <c r="B462" s="83"/>
      <c r="C462" s="83"/>
      <c r="D462" s="84"/>
      <c r="E462" s="84"/>
      <c r="F462" s="84"/>
      <c r="G462" s="83"/>
      <c r="H462" s="84"/>
      <c r="I462" s="84"/>
      <c r="J462" s="84"/>
      <c r="K462" s="84"/>
      <c r="L462" s="84"/>
      <c r="M462" s="84"/>
      <c r="N462" s="84"/>
      <c r="O462" s="84"/>
      <c r="P462" s="85"/>
      <c r="Q462" s="75"/>
      <c r="R462" s="75"/>
      <c r="S462" s="75"/>
      <c r="T462" s="75"/>
      <c r="U462" s="89"/>
      <c r="V462" s="84"/>
      <c r="W462" s="84"/>
      <c r="X462" s="84"/>
      <c r="Y462" s="84"/>
      <c r="Z462" s="84"/>
    </row>
    <row r="463" spans="1:26" ht="15.75" customHeight="1">
      <c r="A463" s="83"/>
      <c r="B463" s="83"/>
      <c r="C463" s="83"/>
      <c r="D463" s="84"/>
      <c r="E463" s="84"/>
      <c r="F463" s="84"/>
      <c r="G463" s="83"/>
      <c r="H463" s="84"/>
      <c r="I463" s="84"/>
      <c r="J463" s="84"/>
      <c r="K463" s="84"/>
      <c r="L463" s="84"/>
      <c r="M463" s="84"/>
      <c r="N463" s="84"/>
      <c r="O463" s="84"/>
      <c r="P463" s="85"/>
      <c r="Q463" s="75"/>
      <c r="R463" s="75"/>
      <c r="S463" s="75"/>
      <c r="T463" s="75"/>
      <c r="U463" s="89"/>
      <c r="V463" s="84"/>
      <c r="W463" s="84"/>
      <c r="X463" s="84"/>
      <c r="Y463" s="84"/>
      <c r="Z463" s="84"/>
    </row>
    <row r="464" spans="1:26" ht="15.75" customHeight="1">
      <c r="A464" s="83"/>
      <c r="B464" s="83"/>
      <c r="C464" s="83"/>
      <c r="D464" s="84"/>
      <c r="E464" s="84"/>
      <c r="F464" s="84"/>
      <c r="G464" s="83"/>
      <c r="H464" s="84"/>
      <c r="I464" s="84"/>
      <c r="J464" s="84"/>
      <c r="K464" s="84"/>
      <c r="L464" s="84"/>
      <c r="M464" s="84"/>
      <c r="N464" s="84"/>
      <c r="O464" s="84"/>
      <c r="P464" s="85"/>
      <c r="Q464" s="75"/>
      <c r="R464" s="75"/>
      <c r="S464" s="75"/>
      <c r="T464" s="75"/>
      <c r="U464" s="89"/>
      <c r="V464" s="84"/>
      <c r="W464" s="84"/>
      <c r="X464" s="84"/>
      <c r="Y464" s="84"/>
      <c r="Z464" s="84"/>
    </row>
    <row r="465" spans="1:26" ht="15.75" customHeight="1">
      <c r="A465" s="83"/>
      <c r="B465" s="83"/>
      <c r="C465" s="83"/>
      <c r="D465" s="84"/>
      <c r="E465" s="84"/>
      <c r="F465" s="84"/>
      <c r="G465" s="83"/>
      <c r="H465" s="84"/>
      <c r="I465" s="84"/>
      <c r="J465" s="84"/>
      <c r="K465" s="84"/>
      <c r="L465" s="84"/>
      <c r="M465" s="84"/>
      <c r="N465" s="84"/>
      <c r="O465" s="84"/>
      <c r="P465" s="85"/>
      <c r="Q465" s="75"/>
      <c r="R465" s="75"/>
      <c r="S465" s="75"/>
      <c r="T465" s="75"/>
      <c r="U465" s="89"/>
      <c r="V465" s="84"/>
      <c r="W465" s="84"/>
      <c r="X465" s="84"/>
      <c r="Y465" s="84"/>
      <c r="Z465" s="84"/>
    </row>
    <row r="466" spans="1:26" ht="15.75" customHeight="1">
      <c r="A466" s="83"/>
      <c r="B466" s="83"/>
      <c r="C466" s="83"/>
      <c r="D466" s="84"/>
      <c r="E466" s="84"/>
      <c r="F466" s="84"/>
      <c r="G466" s="83"/>
      <c r="H466" s="84"/>
      <c r="I466" s="84"/>
      <c r="J466" s="84"/>
      <c r="K466" s="84"/>
      <c r="L466" s="84"/>
      <c r="M466" s="84"/>
      <c r="N466" s="84"/>
      <c r="O466" s="84"/>
      <c r="P466" s="85"/>
      <c r="Q466" s="75"/>
      <c r="R466" s="75"/>
      <c r="S466" s="75"/>
      <c r="T466" s="75"/>
      <c r="U466" s="89"/>
      <c r="V466" s="84"/>
      <c r="W466" s="84"/>
      <c r="X466" s="84"/>
      <c r="Y466" s="84"/>
      <c r="Z466" s="84"/>
    </row>
    <row r="467" spans="1:26" ht="15.75" customHeight="1">
      <c r="A467" s="83"/>
      <c r="B467" s="83"/>
      <c r="C467" s="83"/>
      <c r="D467" s="84"/>
      <c r="E467" s="84"/>
      <c r="F467" s="84"/>
      <c r="G467" s="83"/>
      <c r="H467" s="84"/>
      <c r="I467" s="84"/>
      <c r="J467" s="84"/>
      <c r="K467" s="84"/>
      <c r="L467" s="84"/>
      <c r="M467" s="84"/>
      <c r="N467" s="84"/>
      <c r="O467" s="84"/>
      <c r="P467" s="85"/>
      <c r="Q467" s="75"/>
      <c r="R467" s="75"/>
      <c r="S467" s="75"/>
      <c r="T467" s="75"/>
      <c r="U467" s="89"/>
      <c r="V467" s="84"/>
      <c r="W467" s="84"/>
      <c r="X467" s="84"/>
      <c r="Y467" s="84"/>
      <c r="Z467" s="84"/>
    </row>
    <row r="468" spans="1:26" ht="15.75" customHeight="1">
      <c r="A468" s="83"/>
      <c r="B468" s="83"/>
      <c r="C468" s="83"/>
      <c r="D468" s="84"/>
      <c r="E468" s="84"/>
      <c r="F468" s="84"/>
      <c r="G468" s="83"/>
      <c r="H468" s="84"/>
      <c r="I468" s="84"/>
      <c r="J468" s="84"/>
      <c r="K468" s="84"/>
      <c r="L468" s="84"/>
      <c r="M468" s="84"/>
      <c r="N468" s="84"/>
      <c r="O468" s="84"/>
      <c r="P468" s="85"/>
      <c r="Q468" s="75"/>
      <c r="R468" s="75"/>
      <c r="S468" s="75"/>
      <c r="T468" s="75"/>
      <c r="U468" s="89"/>
      <c r="V468" s="84"/>
      <c r="W468" s="84"/>
      <c r="X468" s="84"/>
      <c r="Y468" s="84"/>
      <c r="Z468" s="84"/>
    </row>
    <row r="469" spans="1:26" ht="15.75" customHeight="1">
      <c r="A469" s="83"/>
      <c r="B469" s="83"/>
      <c r="C469" s="83"/>
      <c r="D469" s="84"/>
      <c r="E469" s="84"/>
      <c r="F469" s="84"/>
      <c r="G469" s="83"/>
      <c r="H469" s="84"/>
      <c r="I469" s="84"/>
      <c r="J469" s="84"/>
      <c r="K469" s="84"/>
      <c r="L469" s="84"/>
      <c r="M469" s="84"/>
      <c r="N469" s="84"/>
      <c r="O469" s="84"/>
      <c r="P469" s="85"/>
      <c r="Q469" s="75"/>
      <c r="R469" s="75"/>
      <c r="S469" s="75"/>
      <c r="T469" s="75"/>
      <c r="U469" s="89"/>
      <c r="V469" s="84"/>
      <c r="W469" s="84"/>
      <c r="X469" s="84"/>
      <c r="Y469" s="84"/>
      <c r="Z469" s="84"/>
    </row>
    <row r="470" spans="1:26" ht="15.75" customHeight="1">
      <c r="A470" s="83"/>
      <c r="B470" s="83"/>
      <c r="C470" s="83"/>
      <c r="D470" s="84"/>
      <c r="E470" s="84"/>
      <c r="F470" s="84"/>
      <c r="G470" s="83"/>
      <c r="H470" s="84"/>
      <c r="I470" s="84"/>
      <c r="J470" s="84"/>
      <c r="K470" s="84"/>
      <c r="L470" s="84"/>
      <c r="M470" s="84"/>
      <c r="N470" s="84"/>
      <c r="O470" s="84"/>
      <c r="P470" s="85"/>
      <c r="Q470" s="75"/>
      <c r="R470" s="75"/>
      <c r="S470" s="75"/>
      <c r="T470" s="75"/>
      <c r="U470" s="89"/>
      <c r="V470" s="84"/>
      <c r="W470" s="84"/>
      <c r="X470" s="84"/>
      <c r="Y470" s="84"/>
      <c r="Z470" s="84"/>
    </row>
    <row r="471" spans="1:26" ht="15.75" customHeight="1">
      <c r="A471" s="83"/>
      <c r="B471" s="83"/>
      <c r="C471" s="83"/>
      <c r="D471" s="84"/>
      <c r="E471" s="84"/>
      <c r="F471" s="84"/>
      <c r="G471" s="83"/>
      <c r="H471" s="84"/>
      <c r="I471" s="84"/>
      <c r="J471" s="84"/>
      <c r="K471" s="84"/>
      <c r="L471" s="84"/>
      <c r="M471" s="84"/>
      <c r="N471" s="84"/>
      <c r="O471" s="84"/>
      <c r="P471" s="85"/>
      <c r="Q471" s="75"/>
      <c r="R471" s="75"/>
      <c r="S471" s="75"/>
      <c r="T471" s="75"/>
      <c r="U471" s="89"/>
      <c r="V471" s="84"/>
      <c r="W471" s="84"/>
      <c r="X471" s="84"/>
      <c r="Y471" s="84"/>
      <c r="Z471" s="84"/>
    </row>
    <row r="472" spans="1:26" ht="15.75" customHeight="1">
      <c r="A472" s="83"/>
      <c r="B472" s="83"/>
      <c r="C472" s="83"/>
      <c r="D472" s="84"/>
      <c r="E472" s="84"/>
      <c r="F472" s="84"/>
      <c r="G472" s="83"/>
      <c r="H472" s="84"/>
      <c r="I472" s="84"/>
      <c r="J472" s="84"/>
      <c r="K472" s="84"/>
      <c r="L472" s="84"/>
      <c r="M472" s="84"/>
      <c r="N472" s="84"/>
      <c r="O472" s="84"/>
      <c r="P472" s="85"/>
      <c r="Q472" s="75"/>
      <c r="R472" s="75"/>
      <c r="S472" s="75"/>
      <c r="T472" s="75"/>
      <c r="U472" s="89"/>
      <c r="V472" s="84"/>
      <c r="W472" s="84"/>
      <c r="X472" s="84"/>
      <c r="Y472" s="84"/>
      <c r="Z472" s="84"/>
    </row>
    <row r="473" spans="1:26" ht="15.75" customHeight="1">
      <c r="A473" s="83"/>
      <c r="B473" s="83"/>
      <c r="C473" s="83"/>
      <c r="D473" s="84"/>
      <c r="E473" s="84"/>
      <c r="F473" s="84"/>
      <c r="G473" s="83"/>
      <c r="H473" s="84"/>
      <c r="I473" s="84"/>
      <c r="J473" s="84"/>
      <c r="K473" s="84"/>
      <c r="L473" s="84"/>
      <c r="M473" s="84"/>
      <c r="N473" s="84"/>
      <c r="O473" s="84"/>
      <c r="P473" s="85"/>
      <c r="Q473" s="75"/>
      <c r="R473" s="75"/>
      <c r="S473" s="75"/>
      <c r="T473" s="75"/>
      <c r="U473" s="89"/>
      <c r="V473" s="84"/>
      <c r="W473" s="84"/>
      <c r="X473" s="84"/>
      <c r="Y473" s="84"/>
      <c r="Z473" s="84"/>
    </row>
    <row r="474" spans="1:26" ht="15.75" customHeight="1">
      <c r="A474" s="83"/>
      <c r="B474" s="83"/>
      <c r="C474" s="83"/>
      <c r="D474" s="84"/>
      <c r="E474" s="84"/>
      <c r="F474" s="84"/>
      <c r="G474" s="83"/>
      <c r="H474" s="84"/>
      <c r="I474" s="84"/>
      <c r="J474" s="84"/>
      <c r="K474" s="84"/>
      <c r="L474" s="84"/>
      <c r="M474" s="84"/>
      <c r="N474" s="84"/>
      <c r="O474" s="84"/>
      <c r="P474" s="85"/>
      <c r="Q474" s="75"/>
      <c r="R474" s="75"/>
      <c r="S474" s="75"/>
      <c r="T474" s="75"/>
      <c r="U474" s="89"/>
      <c r="V474" s="84"/>
      <c r="W474" s="84"/>
      <c r="X474" s="84"/>
      <c r="Y474" s="84"/>
      <c r="Z474" s="84"/>
    </row>
    <row r="475" spans="1:26" ht="15.75" customHeight="1">
      <c r="A475" s="83"/>
      <c r="B475" s="83"/>
      <c r="C475" s="83"/>
      <c r="D475" s="84"/>
      <c r="E475" s="84"/>
      <c r="F475" s="84"/>
      <c r="G475" s="83"/>
      <c r="H475" s="84"/>
      <c r="I475" s="84"/>
      <c r="J475" s="84"/>
      <c r="K475" s="84"/>
      <c r="L475" s="84"/>
      <c r="M475" s="84"/>
      <c r="N475" s="84"/>
      <c r="O475" s="84"/>
      <c r="P475" s="85"/>
      <c r="Q475" s="75"/>
      <c r="R475" s="75"/>
      <c r="S475" s="75"/>
      <c r="T475" s="75"/>
      <c r="U475" s="89"/>
      <c r="V475" s="84"/>
      <c r="W475" s="84"/>
      <c r="X475" s="84"/>
      <c r="Y475" s="84"/>
      <c r="Z475" s="84"/>
    </row>
    <row r="476" spans="1:26" ht="15.75" customHeight="1">
      <c r="A476" s="83"/>
      <c r="B476" s="83"/>
      <c r="C476" s="83"/>
      <c r="D476" s="84"/>
      <c r="E476" s="84"/>
      <c r="F476" s="84"/>
      <c r="G476" s="83"/>
      <c r="H476" s="84"/>
      <c r="I476" s="84"/>
      <c r="J476" s="84"/>
      <c r="K476" s="84"/>
      <c r="L476" s="84"/>
      <c r="M476" s="84"/>
      <c r="N476" s="84"/>
      <c r="O476" s="84"/>
      <c r="P476" s="85"/>
      <c r="Q476" s="75"/>
      <c r="R476" s="75"/>
      <c r="S476" s="75"/>
      <c r="T476" s="75"/>
      <c r="U476" s="89"/>
      <c r="V476" s="84"/>
      <c r="W476" s="84"/>
      <c r="X476" s="84"/>
      <c r="Y476" s="84"/>
      <c r="Z476" s="84"/>
    </row>
    <row r="477" spans="1:26" ht="15.75" customHeight="1">
      <c r="A477" s="83"/>
      <c r="B477" s="83"/>
      <c r="C477" s="83"/>
      <c r="D477" s="84"/>
      <c r="E477" s="84"/>
      <c r="F477" s="84"/>
      <c r="G477" s="83"/>
      <c r="H477" s="84"/>
      <c r="I477" s="84"/>
      <c r="J477" s="84"/>
      <c r="K477" s="84"/>
      <c r="L477" s="84"/>
      <c r="M477" s="84"/>
      <c r="N477" s="84"/>
      <c r="O477" s="84"/>
      <c r="P477" s="85"/>
      <c r="Q477" s="75"/>
      <c r="R477" s="75"/>
      <c r="S477" s="75"/>
      <c r="T477" s="75"/>
      <c r="U477" s="89"/>
      <c r="V477" s="84"/>
      <c r="W477" s="84"/>
      <c r="X477" s="84"/>
      <c r="Y477" s="84"/>
      <c r="Z477" s="84"/>
    </row>
    <row r="478" spans="1:26" ht="15.75" customHeight="1">
      <c r="A478" s="83"/>
      <c r="B478" s="83"/>
      <c r="C478" s="83"/>
      <c r="D478" s="84"/>
      <c r="E478" s="84"/>
      <c r="F478" s="84"/>
      <c r="G478" s="83"/>
      <c r="H478" s="84"/>
      <c r="I478" s="84"/>
      <c r="J478" s="84"/>
      <c r="K478" s="84"/>
      <c r="L478" s="84"/>
      <c r="M478" s="84"/>
      <c r="N478" s="84"/>
      <c r="O478" s="84"/>
      <c r="P478" s="85"/>
      <c r="Q478" s="75"/>
      <c r="R478" s="75"/>
      <c r="S478" s="75"/>
      <c r="T478" s="75"/>
      <c r="U478" s="89"/>
      <c r="V478" s="84"/>
      <c r="W478" s="84"/>
      <c r="X478" s="84"/>
      <c r="Y478" s="84"/>
      <c r="Z478" s="84"/>
    </row>
    <row r="479" spans="1:26" ht="15.75" customHeight="1">
      <c r="A479" s="83"/>
      <c r="B479" s="83"/>
      <c r="C479" s="83"/>
      <c r="D479" s="84"/>
      <c r="E479" s="84"/>
      <c r="F479" s="84"/>
      <c r="G479" s="83"/>
      <c r="H479" s="84"/>
      <c r="I479" s="84"/>
      <c r="J479" s="84"/>
      <c r="K479" s="84"/>
      <c r="L479" s="84"/>
      <c r="M479" s="84"/>
      <c r="N479" s="84"/>
      <c r="O479" s="84"/>
      <c r="P479" s="85"/>
      <c r="Q479" s="75"/>
      <c r="R479" s="75"/>
      <c r="S479" s="75"/>
      <c r="T479" s="75"/>
      <c r="U479" s="89"/>
      <c r="V479" s="84"/>
      <c r="W479" s="84"/>
      <c r="X479" s="84"/>
      <c r="Y479" s="84"/>
      <c r="Z479" s="84"/>
    </row>
    <row r="480" spans="1:26" ht="15.75" customHeight="1">
      <c r="A480" s="83"/>
      <c r="B480" s="83"/>
      <c r="C480" s="83"/>
      <c r="D480" s="84"/>
      <c r="E480" s="84"/>
      <c r="F480" s="84"/>
      <c r="G480" s="83"/>
      <c r="H480" s="84"/>
      <c r="I480" s="84"/>
      <c r="J480" s="84"/>
      <c r="K480" s="84"/>
      <c r="L480" s="84"/>
      <c r="M480" s="84"/>
      <c r="N480" s="84"/>
      <c r="O480" s="84"/>
      <c r="P480" s="85"/>
      <c r="Q480" s="75"/>
      <c r="R480" s="75"/>
      <c r="S480" s="75"/>
      <c r="T480" s="75"/>
      <c r="U480" s="89"/>
      <c r="V480" s="84"/>
      <c r="W480" s="84"/>
      <c r="X480" s="84"/>
      <c r="Y480" s="84"/>
      <c r="Z480" s="84"/>
    </row>
    <row r="481" spans="1:26" ht="15.75" customHeight="1">
      <c r="A481" s="83"/>
      <c r="B481" s="83"/>
      <c r="C481" s="83"/>
      <c r="D481" s="84"/>
      <c r="E481" s="84"/>
      <c r="F481" s="84"/>
      <c r="G481" s="83"/>
      <c r="H481" s="84"/>
      <c r="I481" s="84"/>
      <c r="J481" s="84"/>
      <c r="K481" s="84"/>
      <c r="L481" s="84"/>
      <c r="M481" s="84"/>
      <c r="N481" s="84"/>
      <c r="O481" s="84"/>
      <c r="P481" s="85"/>
      <c r="Q481" s="75"/>
      <c r="R481" s="75"/>
      <c r="S481" s="75"/>
      <c r="T481" s="75"/>
      <c r="U481" s="89"/>
      <c r="V481" s="84"/>
      <c r="W481" s="84"/>
      <c r="X481" s="84"/>
      <c r="Y481" s="84"/>
      <c r="Z481" s="84"/>
    </row>
    <row r="482" spans="1:26" ht="15.75" customHeight="1">
      <c r="A482" s="83"/>
      <c r="B482" s="83"/>
      <c r="C482" s="83"/>
      <c r="D482" s="84"/>
      <c r="E482" s="84"/>
      <c r="F482" s="84"/>
      <c r="G482" s="83"/>
      <c r="H482" s="84"/>
      <c r="I482" s="84"/>
      <c r="J482" s="84"/>
      <c r="K482" s="84"/>
      <c r="L482" s="84"/>
      <c r="M482" s="84"/>
      <c r="N482" s="84"/>
      <c r="O482" s="84"/>
      <c r="P482" s="85"/>
      <c r="Q482" s="75"/>
      <c r="R482" s="75"/>
      <c r="S482" s="75"/>
      <c r="T482" s="75"/>
      <c r="U482" s="89"/>
      <c r="V482" s="84"/>
      <c r="W482" s="84"/>
      <c r="X482" s="84"/>
      <c r="Y482" s="84"/>
      <c r="Z482" s="84"/>
    </row>
    <row r="483" spans="1:26" ht="15.75" customHeight="1">
      <c r="A483" s="83"/>
      <c r="B483" s="83"/>
      <c r="C483" s="83"/>
      <c r="D483" s="84"/>
      <c r="E483" s="84"/>
      <c r="F483" s="84"/>
      <c r="G483" s="83"/>
      <c r="H483" s="84"/>
      <c r="I483" s="84"/>
      <c r="J483" s="84"/>
      <c r="K483" s="84"/>
      <c r="L483" s="84"/>
      <c r="M483" s="84"/>
      <c r="N483" s="84"/>
      <c r="O483" s="84"/>
      <c r="P483" s="85"/>
      <c r="Q483" s="75"/>
      <c r="R483" s="75"/>
      <c r="S483" s="75"/>
      <c r="T483" s="75"/>
      <c r="U483" s="89"/>
      <c r="V483" s="84"/>
      <c r="W483" s="84"/>
      <c r="X483" s="84"/>
      <c r="Y483" s="84"/>
      <c r="Z483" s="84"/>
    </row>
    <row r="484" spans="1:26" ht="15.75" customHeight="1">
      <c r="A484" s="83"/>
      <c r="B484" s="83"/>
      <c r="C484" s="83"/>
      <c r="D484" s="84"/>
      <c r="E484" s="84"/>
      <c r="F484" s="84"/>
      <c r="G484" s="83"/>
      <c r="H484" s="84"/>
      <c r="I484" s="84"/>
      <c r="J484" s="84"/>
      <c r="K484" s="84"/>
      <c r="L484" s="84"/>
      <c r="M484" s="84"/>
      <c r="N484" s="84"/>
      <c r="O484" s="84"/>
      <c r="P484" s="85"/>
      <c r="Q484" s="75"/>
      <c r="R484" s="75"/>
      <c r="S484" s="75"/>
      <c r="T484" s="75"/>
      <c r="U484" s="89"/>
      <c r="V484" s="84"/>
      <c r="W484" s="84"/>
      <c r="X484" s="84"/>
      <c r="Y484" s="84"/>
      <c r="Z484" s="84"/>
    </row>
    <row r="485" spans="1:26" ht="15.75" customHeight="1">
      <c r="A485" s="83"/>
      <c r="B485" s="83"/>
      <c r="C485" s="83"/>
      <c r="D485" s="84"/>
      <c r="E485" s="84"/>
      <c r="F485" s="84"/>
      <c r="G485" s="83"/>
      <c r="H485" s="84"/>
      <c r="I485" s="84"/>
      <c r="J485" s="84"/>
      <c r="K485" s="84"/>
      <c r="L485" s="84"/>
      <c r="M485" s="84"/>
      <c r="N485" s="84"/>
      <c r="O485" s="84"/>
      <c r="P485" s="85"/>
      <c r="Q485" s="75"/>
      <c r="R485" s="75"/>
      <c r="S485" s="75"/>
      <c r="T485" s="75"/>
      <c r="U485" s="89"/>
      <c r="V485" s="84"/>
      <c r="W485" s="84"/>
      <c r="X485" s="84"/>
      <c r="Y485" s="84"/>
      <c r="Z485" s="84"/>
    </row>
    <row r="486" spans="1:26" ht="15.75" customHeight="1">
      <c r="A486" s="83"/>
      <c r="B486" s="83"/>
      <c r="C486" s="83"/>
      <c r="D486" s="84"/>
      <c r="E486" s="84"/>
      <c r="F486" s="84"/>
      <c r="G486" s="83"/>
      <c r="H486" s="84"/>
      <c r="I486" s="84"/>
      <c r="J486" s="84"/>
      <c r="K486" s="84"/>
      <c r="L486" s="84"/>
      <c r="M486" s="84"/>
      <c r="N486" s="84"/>
      <c r="O486" s="84"/>
      <c r="P486" s="85"/>
      <c r="Q486" s="75"/>
      <c r="R486" s="75"/>
      <c r="S486" s="75"/>
      <c r="T486" s="75"/>
      <c r="U486" s="89"/>
      <c r="V486" s="84"/>
      <c r="W486" s="84"/>
      <c r="X486" s="84"/>
      <c r="Y486" s="84"/>
      <c r="Z486" s="84"/>
    </row>
    <row r="487" spans="1:26" ht="15.75" customHeight="1">
      <c r="A487" s="83"/>
      <c r="B487" s="83"/>
      <c r="C487" s="83"/>
      <c r="D487" s="84"/>
      <c r="E487" s="84"/>
      <c r="F487" s="84"/>
      <c r="G487" s="83"/>
      <c r="H487" s="84"/>
      <c r="I487" s="84"/>
      <c r="J487" s="84"/>
      <c r="K487" s="84"/>
      <c r="L487" s="84"/>
      <c r="M487" s="84"/>
      <c r="N487" s="84"/>
      <c r="O487" s="84"/>
      <c r="P487" s="85"/>
      <c r="Q487" s="75"/>
      <c r="R487" s="75"/>
      <c r="S487" s="75"/>
      <c r="T487" s="75"/>
      <c r="U487" s="89"/>
      <c r="V487" s="84"/>
      <c r="W487" s="84"/>
      <c r="X487" s="84"/>
      <c r="Y487" s="84"/>
      <c r="Z487" s="84"/>
    </row>
    <row r="488" spans="1:26" ht="15.75" customHeight="1">
      <c r="A488" s="83"/>
      <c r="B488" s="83"/>
      <c r="C488" s="83"/>
      <c r="D488" s="84"/>
      <c r="E488" s="84"/>
      <c r="F488" s="84"/>
      <c r="G488" s="83"/>
      <c r="H488" s="84"/>
      <c r="I488" s="84"/>
      <c r="J488" s="84"/>
      <c r="K488" s="84"/>
      <c r="L488" s="84"/>
      <c r="M488" s="84"/>
      <c r="N488" s="84"/>
      <c r="O488" s="84"/>
      <c r="P488" s="85"/>
      <c r="Q488" s="75"/>
      <c r="R488" s="75"/>
      <c r="S488" s="75"/>
      <c r="T488" s="75"/>
      <c r="U488" s="89"/>
      <c r="V488" s="84"/>
      <c r="W488" s="84"/>
      <c r="X488" s="84"/>
      <c r="Y488" s="84"/>
      <c r="Z488" s="84"/>
    </row>
    <row r="489" spans="1:26" ht="15.75" customHeight="1">
      <c r="A489" s="83"/>
      <c r="B489" s="83"/>
      <c r="C489" s="83"/>
      <c r="D489" s="84"/>
      <c r="E489" s="84"/>
      <c r="F489" s="84"/>
      <c r="G489" s="83"/>
      <c r="H489" s="84"/>
      <c r="I489" s="84"/>
      <c r="J489" s="84"/>
      <c r="K489" s="84"/>
      <c r="L489" s="84"/>
      <c r="M489" s="84"/>
      <c r="N489" s="84"/>
      <c r="O489" s="84"/>
      <c r="P489" s="85"/>
      <c r="Q489" s="75"/>
      <c r="R489" s="75"/>
      <c r="S489" s="75"/>
      <c r="T489" s="75"/>
      <c r="U489" s="89"/>
      <c r="V489" s="84"/>
      <c r="W489" s="84"/>
      <c r="X489" s="84"/>
      <c r="Y489" s="84"/>
      <c r="Z489" s="84"/>
    </row>
    <row r="490" spans="1:26" ht="15.75" customHeight="1">
      <c r="A490" s="83"/>
      <c r="B490" s="83"/>
      <c r="C490" s="83"/>
      <c r="D490" s="84"/>
      <c r="E490" s="84"/>
      <c r="F490" s="84"/>
      <c r="G490" s="83"/>
      <c r="H490" s="84"/>
      <c r="I490" s="84"/>
      <c r="J490" s="84"/>
      <c r="K490" s="84"/>
      <c r="L490" s="84"/>
      <c r="M490" s="84"/>
      <c r="N490" s="84"/>
      <c r="O490" s="84"/>
      <c r="P490" s="85"/>
      <c r="Q490" s="75"/>
      <c r="R490" s="75"/>
      <c r="S490" s="75"/>
      <c r="T490" s="75"/>
      <c r="U490" s="89"/>
      <c r="V490" s="84"/>
      <c r="W490" s="84"/>
      <c r="X490" s="84"/>
      <c r="Y490" s="84"/>
      <c r="Z490" s="84"/>
    </row>
    <row r="491" spans="1:26" ht="15.75" customHeight="1">
      <c r="A491" s="83"/>
      <c r="B491" s="83"/>
      <c r="C491" s="83"/>
      <c r="D491" s="84"/>
      <c r="E491" s="84"/>
      <c r="F491" s="84"/>
      <c r="G491" s="83"/>
      <c r="H491" s="84"/>
      <c r="I491" s="84"/>
      <c r="J491" s="84"/>
      <c r="K491" s="84"/>
      <c r="L491" s="84"/>
      <c r="M491" s="84"/>
      <c r="N491" s="84"/>
      <c r="O491" s="84"/>
      <c r="P491" s="85"/>
      <c r="Q491" s="75"/>
      <c r="R491" s="75"/>
      <c r="S491" s="75"/>
      <c r="T491" s="75"/>
      <c r="U491" s="89"/>
      <c r="V491" s="84"/>
      <c r="W491" s="84"/>
      <c r="X491" s="84"/>
      <c r="Y491" s="84"/>
      <c r="Z491" s="84"/>
    </row>
    <row r="492" spans="1:26" ht="15.75" customHeight="1">
      <c r="A492" s="83"/>
      <c r="B492" s="83"/>
      <c r="C492" s="83"/>
      <c r="D492" s="84"/>
      <c r="E492" s="84"/>
      <c r="F492" s="84"/>
      <c r="G492" s="83"/>
      <c r="H492" s="84"/>
      <c r="I492" s="84"/>
      <c r="J492" s="84"/>
      <c r="K492" s="84"/>
      <c r="L492" s="84"/>
      <c r="M492" s="84"/>
      <c r="N492" s="84"/>
      <c r="O492" s="84"/>
      <c r="P492" s="85"/>
      <c r="Q492" s="75"/>
      <c r="R492" s="75"/>
      <c r="S492" s="75"/>
      <c r="T492" s="75"/>
      <c r="U492" s="89"/>
      <c r="V492" s="84"/>
      <c r="W492" s="84"/>
      <c r="X492" s="84"/>
      <c r="Y492" s="84"/>
      <c r="Z492" s="84"/>
    </row>
    <row r="493" spans="1:26" ht="15.75" customHeight="1">
      <c r="A493" s="83"/>
      <c r="B493" s="83"/>
      <c r="C493" s="83"/>
      <c r="D493" s="84"/>
      <c r="E493" s="84"/>
      <c r="F493" s="84"/>
      <c r="G493" s="83"/>
      <c r="H493" s="84"/>
      <c r="I493" s="84"/>
      <c r="J493" s="84"/>
      <c r="K493" s="84"/>
      <c r="L493" s="84"/>
      <c r="M493" s="84"/>
      <c r="N493" s="84"/>
      <c r="O493" s="84"/>
      <c r="P493" s="85"/>
      <c r="Q493" s="75"/>
      <c r="R493" s="75"/>
      <c r="S493" s="75"/>
      <c r="T493" s="75"/>
      <c r="U493" s="89"/>
      <c r="V493" s="84"/>
      <c r="W493" s="84"/>
      <c r="X493" s="84"/>
      <c r="Y493" s="84"/>
      <c r="Z493" s="84"/>
    </row>
    <row r="494" spans="1:26" ht="15.75" customHeight="1">
      <c r="A494" s="83"/>
      <c r="B494" s="83"/>
      <c r="C494" s="83"/>
      <c r="D494" s="84"/>
      <c r="E494" s="84"/>
      <c r="F494" s="84"/>
      <c r="G494" s="83"/>
      <c r="H494" s="84"/>
      <c r="I494" s="84"/>
      <c r="J494" s="84"/>
      <c r="K494" s="84"/>
      <c r="L494" s="84"/>
      <c r="M494" s="84"/>
      <c r="N494" s="84"/>
      <c r="O494" s="84"/>
      <c r="P494" s="85"/>
      <c r="Q494" s="75"/>
      <c r="R494" s="75"/>
      <c r="S494" s="75"/>
      <c r="T494" s="75"/>
      <c r="U494" s="89"/>
      <c r="V494" s="84"/>
      <c r="W494" s="84"/>
      <c r="X494" s="84"/>
      <c r="Y494" s="84"/>
      <c r="Z494" s="84"/>
    </row>
    <row r="495" spans="1:26" ht="15.75" customHeight="1">
      <c r="A495" s="83"/>
      <c r="B495" s="83"/>
      <c r="C495" s="83"/>
      <c r="D495" s="84"/>
      <c r="E495" s="84"/>
      <c r="F495" s="84"/>
      <c r="G495" s="83"/>
      <c r="H495" s="84"/>
      <c r="I495" s="84"/>
      <c r="J495" s="84"/>
      <c r="K495" s="84"/>
      <c r="L495" s="84"/>
      <c r="M495" s="84"/>
      <c r="N495" s="84"/>
      <c r="O495" s="84"/>
      <c r="P495" s="85"/>
      <c r="Q495" s="75"/>
      <c r="R495" s="75"/>
      <c r="S495" s="75"/>
      <c r="T495" s="75"/>
      <c r="U495" s="89"/>
      <c r="V495" s="84"/>
      <c r="W495" s="84"/>
      <c r="X495" s="84"/>
      <c r="Y495" s="84"/>
      <c r="Z495" s="84"/>
    </row>
    <row r="496" spans="1:26" ht="15.75" customHeight="1">
      <c r="A496" s="83"/>
      <c r="B496" s="83"/>
      <c r="C496" s="83"/>
      <c r="D496" s="84"/>
      <c r="E496" s="84"/>
      <c r="F496" s="84"/>
      <c r="G496" s="83"/>
      <c r="H496" s="84"/>
      <c r="I496" s="84"/>
      <c r="J496" s="84"/>
      <c r="K496" s="84"/>
      <c r="L496" s="84"/>
      <c r="M496" s="84"/>
      <c r="N496" s="84"/>
      <c r="O496" s="84"/>
      <c r="P496" s="85"/>
      <c r="Q496" s="75"/>
      <c r="R496" s="75"/>
      <c r="S496" s="75"/>
      <c r="T496" s="75"/>
      <c r="U496" s="89"/>
      <c r="V496" s="84"/>
      <c r="W496" s="84"/>
      <c r="X496" s="84"/>
      <c r="Y496" s="84"/>
      <c r="Z496" s="84"/>
    </row>
    <row r="497" spans="1:26" ht="15.75" customHeight="1">
      <c r="A497" s="83"/>
      <c r="B497" s="83"/>
      <c r="C497" s="83"/>
      <c r="D497" s="84"/>
      <c r="E497" s="84"/>
      <c r="F497" s="84"/>
      <c r="G497" s="83"/>
      <c r="H497" s="84"/>
      <c r="I497" s="84"/>
      <c r="J497" s="84"/>
      <c r="K497" s="84"/>
      <c r="L497" s="84"/>
      <c r="M497" s="84"/>
      <c r="N497" s="84"/>
      <c r="O497" s="84"/>
      <c r="P497" s="85"/>
      <c r="Q497" s="75"/>
      <c r="R497" s="75"/>
      <c r="S497" s="75"/>
      <c r="T497" s="75"/>
      <c r="U497" s="89"/>
      <c r="V497" s="84"/>
      <c r="W497" s="84"/>
      <c r="X497" s="84"/>
      <c r="Y497" s="84"/>
      <c r="Z497" s="84"/>
    </row>
    <row r="498" spans="1:26" ht="15.75" customHeight="1">
      <c r="A498" s="83"/>
      <c r="B498" s="83"/>
      <c r="C498" s="83"/>
      <c r="D498" s="84"/>
      <c r="E498" s="84"/>
      <c r="F498" s="84"/>
      <c r="G498" s="83"/>
      <c r="H498" s="84"/>
      <c r="I498" s="84"/>
      <c r="J498" s="84"/>
      <c r="K498" s="84"/>
      <c r="L498" s="84"/>
      <c r="M498" s="84"/>
      <c r="N498" s="84"/>
      <c r="O498" s="84"/>
      <c r="P498" s="85"/>
      <c r="Q498" s="75"/>
      <c r="R498" s="75"/>
      <c r="S498" s="75"/>
      <c r="T498" s="75"/>
      <c r="U498" s="89"/>
      <c r="V498" s="84"/>
      <c r="W498" s="84"/>
      <c r="X498" s="84"/>
      <c r="Y498" s="84"/>
      <c r="Z498" s="84"/>
    </row>
    <row r="499" spans="1:26" ht="15.75" customHeight="1">
      <c r="A499" s="83"/>
      <c r="B499" s="83"/>
      <c r="C499" s="83"/>
      <c r="D499" s="84"/>
      <c r="E499" s="84"/>
      <c r="F499" s="84"/>
      <c r="G499" s="83"/>
      <c r="H499" s="84"/>
      <c r="I499" s="84"/>
      <c r="J499" s="84"/>
      <c r="K499" s="84"/>
      <c r="L499" s="84"/>
      <c r="M499" s="84"/>
      <c r="N499" s="84"/>
      <c r="O499" s="84"/>
      <c r="P499" s="85"/>
      <c r="Q499" s="75"/>
      <c r="R499" s="75"/>
      <c r="S499" s="75"/>
      <c r="T499" s="75"/>
      <c r="U499" s="89"/>
      <c r="V499" s="84"/>
      <c r="W499" s="84"/>
      <c r="X499" s="84"/>
      <c r="Y499" s="84"/>
      <c r="Z499" s="84"/>
    </row>
    <row r="500" spans="1:26" ht="15.75" customHeight="1">
      <c r="A500" s="83"/>
      <c r="B500" s="83"/>
      <c r="C500" s="83"/>
      <c r="D500" s="84"/>
      <c r="E500" s="84"/>
      <c r="F500" s="84"/>
      <c r="G500" s="83"/>
      <c r="H500" s="84"/>
      <c r="I500" s="84"/>
      <c r="J500" s="84"/>
      <c r="K500" s="84"/>
      <c r="L500" s="84"/>
      <c r="M500" s="84"/>
      <c r="N500" s="84"/>
      <c r="O500" s="84"/>
      <c r="P500" s="85"/>
      <c r="Q500" s="75"/>
      <c r="R500" s="75"/>
      <c r="S500" s="75"/>
      <c r="T500" s="75"/>
      <c r="U500" s="89"/>
      <c r="V500" s="84"/>
      <c r="W500" s="84"/>
      <c r="X500" s="84"/>
      <c r="Y500" s="84"/>
      <c r="Z500" s="84"/>
    </row>
    <row r="501" spans="1:26" ht="15.75" customHeight="1">
      <c r="A501" s="83"/>
      <c r="B501" s="83"/>
      <c r="C501" s="83"/>
      <c r="D501" s="84"/>
      <c r="E501" s="84"/>
      <c r="F501" s="84"/>
      <c r="G501" s="83"/>
      <c r="H501" s="84"/>
      <c r="I501" s="84"/>
      <c r="J501" s="84"/>
      <c r="K501" s="84"/>
      <c r="L501" s="84"/>
      <c r="M501" s="84"/>
      <c r="N501" s="84"/>
      <c r="O501" s="84"/>
      <c r="P501" s="85"/>
      <c r="Q501" s="75"/>
      <c r="R501" s="75"/>
      <c r="S501" s="75"/>
      <c r="T501" s="75"/>
      <c r="U501" s="89"/>
      <c r="V501" s="84"/>
      <c r="W501" s="84"/>
      <c r="X501" s="84"/>
      <c r="Y501" s="84"/>
      <c r="Z501" s="84"/>
    </row>
    <row r="502" spans="1:26" ht="15.75" customHeight="1">
      <c r="A502" s="83"/>
      <c r="B502" s="83"/>
      <c r="C502" s="83"/>
      <c r="D502" s="84"/>
      <c r="E502" s="84"/>
      <c r="F502" s="84"/>
      <c r="G502" s="83"/>
      <c r="H502" s="84"/>
      <c r="I502" s="84"/>
      <c r="J502" s="84"/>
      <c r="K502" s="84"/>
      <c r="L502" s="84"/>
      <c r="M502" s="84"/>
      <c r="N502" s="84"/>
      <c r="O502" s="84"/>
      <c r="P502" s="85"/>
      <c r="Q502" s="75"/>
      <c r="R502" s="75"/>
      <c r="S502" s="75"/>
      <c r="T502" s="75"/>
      <c r="U502" s="89"/>
      <c r="V502" s="84"/>
      <c r="W502" s="84"/>
      <c r="X502" s="84"/>
      <c r="Y502" s="84"/>
      <c r="Z502" s="84"/>
    </row>
    <row r="503" spans="1:26" ht="15.75" customHeight="1">
      <c r="A503" s="83"/>
      <c r="B503" s="83"/>
      <c r="C503" s="83"/>
      <c r="D503" s="84"/>
      <c r="E503" s="84"/>
      <c r="F503" s="84"/>
      <c r="G503" s="83"/>
      <c r="H503" s="84"/>
      <c r="I503" s="84"/>
      <c r="J503" s="84"/>
      <c r="K503" s="84"/>
      <c r="L503" s="84"/>
      <c r="M503" s="84"/>
      <c r="N503" s="84"/>
      <c r="O503" s="84"/>
      <c r="P503" s="85"/>
      <c r="Q503" s="75"/>
      <c r="R503" s="75"/>
      <c r="S503" s="75"/>
      <c r="T503" s="75"/>
      <c r="U503" s="89"/>
      <c r="V503" s="84"/>
      <c r="W503" s="84"/>
      <c r="X503" s="84"/>
      <c r="Y503" s="84"/>
      <c r="Z503" s="84"/>
    </row>
    <row r="504" spans="1:26" ht="15.75" customHeight="1">
      <c r="A504" s="83"/>
      <c r="B504" s="83"/>
      <c r="C504" s="83"/>
      <c r="D504" s="84"/>
      <c r="E504" s="84"/>
      <c r="F504" s="84"/>
      <c r="G504" s="83"/>
      <c r="H504" s="84"/>
      <c r="I504" s="84"/>
      <c r="J504" s="84"/>
      <c r="K504" s="84"/>
      <c r="L504" s="84"/>
      <c r="M504" s="84"/>
      <c r="N504" s="84"/>
      <c r="O504" s="84"/>
      <c r="P504" s="85"/>
      <c r="Q504" s="75"/>
      <c r="R504" s="75"/>
      <c r="S504" s="75"/>
      <c r="T504" s="75"/>
      <c r="U504" s="89"/>
      <c r="V504" s="84"/>
      <c r="W504" s="84"/>
      <c r="X504" s="84"/>
      <c r="Y504" s="84"/>
      <c r="Z504" s="84"/>
    </row>
    <row r="505" spans="1:26" ht="15.75" customHeight="1">
      <c r="A505" s="83"/>
      <c r="B505" s="83"/>
      <c r="C505" s="83"/>
      <c r="D505" s="84"/>
      <c r="E505" s="84"/>
      <c r="F505" s="84"/>
      <c r="G505" s="83"/>
      <c r="H505" s="84"/>
      <c r="I505" s="84"/>
      <c r="J505" s="84"/>
      <c r="K505" s="84"/>
      <c r="L505" s="84"/>
      <c r="M505" s="84"/>
      <c r="N505" s="84"/>
      <c r="O505" s="84"/>
      <c r="P505" s="85"/>
      <c r="Q505" s="75"/>
      <c r="R505" s="75"/>
      <c r="S505" s="75"/>
      <c r="T505" s="75"/>
      <c r="U505" s="89"/>
      <c r="V505" s="84"/>
      <c r="W505" s="84"/>
      <c r="X505" s="84"/>
      <c r="Y505" s="84"/>
      <c r="Z505" s="84"/>
    </row>
    <row r="506" spans="1:26" ht="15.75" customHeight="1">
      <c r="A506" s="83"/>
      <c r="B506" s="83"/>
      <c r="C506" s="83"/>
      <c r="D506" s="84"/>
      <c r="E506" s="84"/>
      <c r="F506" s="84"/>
      <c r="G506" s="83"/>
      <c r="H506" s="84"/>
      <c r="I506" s="84"/>
      <c r="J506" s="84"/>
      <c r="K506" s="84"/>
      <c r="L506" s="84"/>
      <c r="M506" s="84"/>
      <c r="N506" s="84"/>
      <c r="O506" s="84"/>
      <c r="P506" s="85"/>
      <c r="Q506" s="75"/>
      <c r="R506" s="75"/>
      <c r="S506" s="75"/>
      <c r="T506" s="75"/>
      <c r="U506" s="89"/>
      <c r="V506" s="84"/>
      <c r="W506" s="84"/>
      <c r="X506" s="84"/>
      <c r="Y506" s="84"/>
      <c r="Z506" s="84"/>
    </row>
    <row r="507" spans="1:26" ht="15.75" customHeight="1">
      <c r="A507" s="83"/>
      <c r="B507" s="83"/>
      <c r="C507" s="83"/>
      <c r="D507" s="84"/>
      <c r="E507" s="84"/>
      <c r="F507" s="84"/>
      <c r="G507" s="83"/>
      <c r="H507" s="84"/>
      <c r="I507" s="84"/>
      <c r="J507" s="84"/>
      <c r="K507" s="84"/>
      <c r="L507" s="84"/>
      <c r="M507" s="84"/>
      <c r="N507" s="84"/>
      <c r="O507" s="84"/>
      <c r="P507" s="85"/>
      <c r="Q507" s="75"/>
      <c r="R507" s="75"/>
      <c r="S507" s="75"/>
      <c r="T507" s="75"/>
      <c r="U507" s="89"/>
      <c r="V507" s="84"/>
      <c r="W507" s="84"/>
      <c r="X507" s="84"/>
      <c r="Y507" s="84"/>
      <c r="Z507" s="84"/>
    </row>
    <row r="508" spans="1:26" ht="15.75" customHeight="1">
      <c r="A508" s="83"/>
      <c r="B508" s="83"/>
      <c r="C508" s="83"/>
      <c r="D508" s="84"/>
      <c r="E508" s="84"/>
      <c r="F508" s="84"/>
      <c r="G508" s="83"/>
      <c r="H508" s="84"/>
      <c r="I508" s="84"/>
      <c r="J508" s="84"/>
      <c r="K508" s="84"/>
      <c r="L508" s="84"/>
      <c r="M508" s="84"/>
      <c r="N508" s="84"/>
      <c r="O508" s="84"/>
      <c r="P508" s="85"/>
      <c r="Q508" s="75"/>
      <c r="R508" s="75"/>
      <c r="S508" s="75"/>
      <c r="T508" s="75"/>
      <c r="U508" s="89"/>
      <c r="V508" s="84"/>
      <c r="W508" s="84"/>
      <c r="X508" s="84"/>
      <c r="Y508" s="84"/>
      <c r="Z508" s="84"/>
    </row>
    <row r="509" spans="1:26" ht="15.75" customHeight="1">
      <c r="A509" s="83"/>
      <c r="B509" s="83"/>
      <c r="C509" s="83"/>
      <c r="D509" s="84"/>
      <c r="E509" s="84"/>
      <c r="F509" s="84"/>
      <c r="G509" s="83"/>
      <c r="H509" s="84"/>
      <c r="I509" s="84"/>
      <c r="J509" s="84"/>
      <c r="K509" s="84"/>
      <c r="L509" s="84"/>
      <c r="M509" s="84"/>
      <c r="N509" s="84"/>
      <c r="O509" s="84"/>
      <c r="P509" s="85"/>
      <c r="Q509" s="75"/>
      <c r="R509" s="75"/>
      <c r="S509" s="75"/>
      <c r="T509" s="75"/>
      <c r="U509" s="89"/>
      <c r="V509" s="84"/>
      <c r="W509" s="84"/>
      <c r="X509" s="84"/>
      <c r="Y509" s="84"/>
      <c r="Z509" s="84"/>
    </row>
    <row r="510" spans="1:26" ht="15.75" customHeight="1">
      <c r="A510" s="83"/>
      <c r="B510" s="83"/>
      <c r="C510" s="83"/>
      <c r="D510" s="84"/>
      <c r="E510" s="84"/>
      <c r="F510" s="84"/>
      <c r="G510" s="83"/>
      <c r="H510" s="84"/>
      <c r="I510" s="84"/>
      <c r="J510" s="84"/>
      <c r="K510" s="84"/>
      <c r="L510" s="84"/>
      <c r="M510" s="84"/>
      <c r="N510" s="84"/>
      <c r="O510" s="84"/>
      <c r="P510" s="85"/>
      <c r="Q510" s="75"/>
      <c r="R510" s="75"/>
      <c r="S510" s="75"/>
      <c r="T510" s="75"/>
      <c r="U510" s="89"/>
      <c r="V510" s="84"/>
      <c r="W510" s="84"/>
      <c r="X510" s="84"/>
      <c r="Y510" s="84"/>
      <c r="Z510" s="84"/>
    </row>
    <row r="511" spans="1:26" ht="15.75" customHeight="1">
      <c r="A511" s="83"/>
      <c r="B511" s="83"/>
      <c r="C511" s="83"/>
      <c r="D511" s="84"/>
      <c r="E511" s="84"/>
      <c r="F511" s="84"/>
      <c r="G511" s="83"/>
      <c r="H511" s="84"/>
      <c r="I511" s="84"/>
      <c r="J511" s="84"/>
      <c r="K511" s="84"/>
      <c r="L511" s="84"/>
      <c r="M511" s="84"/>
      <c r="N511" s="84"/>
      <c r="O511" s="84"/>
      <c r="P511" s="85"/>
      <c r="Q511" s="75"/>
      <c r="R511" s="75"/>
      <c r="S511" s="75"/>
      <c r="T511" s="75"/>
      <c r="U511" s="89"/>
      <c r="V511" s="84"/>
      <c r="W511" s="84"/>
      <c r="X511" s="84"/>
      <c r="Y511" s="84"/>
      <c r="Z511" s="84"/>
    </row>
    <row r="512" spans="1:26" ht="15.75" customHeight="1">
      <c r="A512" s="83"/>
      <c r="B512" s="83"/>
      <c r="C512" s="83"/>
      <c r="D512" s="84"/>
      <c r="E512" s="84"/>
      <c r="F512" s="84"/>
      <c r="G512" s="83"/>
      <c r="H512" s="84"/>
      <c r="I512" s="84"/>
      <c r="J512" s="84"/>
      <c r="K512" s="84"/>
      <c r="L512" s="84"/>
      <c r="M512" s="84"/>
      <c r="N512" s="84"/>
      <c r="O512" s="84"/>
      <c r="P512" s="85"/>
      <c r="Q512" s="75"/>
      <c r="R512" s="75"/>
      <c r="S512" s="75"/>
      <c r="T512" s="75"/>
      <c r="U512" s="89"/>
      <c r="V512" s="84"/>
      <c r="W512" s="84"/>
      <c r="X512" s="84"/>
      <c r="Y512" s="84"/>
      <c r="Z512" s="84"/>
    </row>
    <row r="513" spans="1:26" ht="15.75" customHeight="1">
      <c r="A513" s="83"/>
      <c r="B513" s="83"/>
      <c r="C513" s="83"/>
      <c r="D513" s="84"/>
      <c r="E513" s="84"/>
      <c r="F513" s="84"/>
      <c r="G513" s="83"/>
      <c r="H513" s="84"/>
      <c r="I513" s="84"/>
      <c r="J513" s="84"/>
      <c r="K513" s="84"/>
      <c r="L513" s="84"/>
      <c r="M513" s="84"/>
      <c r="N513" s="84"/>
      <c r="O513" s="84"/>
      <c r="P513" s="85"/>
      <c r="Q513" s="75"/>
      <c r="R513" s="75"/>
      <c r="S513" s="75"/>
      <c r="T513" s="75"/>
      <c r="U513" s="89"/>
      <c r="V513" s="84"/>
      <c r="W513" s="84"/>
      <c r="X513" s="84"/>
      <c r="Y513" s="84"/>
      <c r="Z513" s="84"/>
    </row>
    <row r="514" spans="1:26" ht="15.75" customHeight="1">
      <c r="A514" s="83"/>
      <c r="B514" s="83"/>
      <c r="C514" s="83"/>
      <c r="D514" s="84"/>
      <c r="E514" s="84"/>
      <c r="F514" s="84"/>
      <c r="G514" s="83"/>
      <c r="H514" s="84"/>
      <c r="I514" s="84"/>
      <c r="J514" s="84"/>
      <c r="K514" s="84"/>
      <c r="L514" s="84"/>
      <c r="M514" s="84"/>
      <c r="N514" s="84"/>
      <c r="O514" s="84"/>
      <c r="P514" s="85"/>
      <c r="Q514" s="75"/>
      <c r="R514" s="75"/>
      <c r="S514" s="75"/>
      <c r="T514" s="75"/>
      <c r="U514" s="89"/>
      <c r="V514" s="84"/>
      <c r="W514" s="84"/>
      <c r="X514" s="84"/>
      <c r="Y514" s="84"/>
      <c r="Z514" s="84"/>
    </row>
    <row r="515" spans="1:26" ht="15.75" customHeight="1">
      <c r="A515" s="83"/>
      <c r="B515" s="83"/>
      <c r="C515" s="83"/>
      <c r="D515" s="84"/>
      <c r="E515" s="84"/>
      <c r="F515" s="84"/>
      <c r="G515" s="83"/>
      <c r="H515" s="84"/>
      <c r="I515" s="84"/>
      <c r="J515" s="84"/>
      <c r="K515" s="84"/>
      <c r="L515" s="84"/>
      <c r="M515" s="84"/>
      <c r="N515" s="84"/>
      <c r="O515" s="84"/>
      <c r="P515" s="85"/>
      <c r="Q515" s="75"/>
      <c r="R515" s="75"/>
      <c r="S515" s="75"/>
      <c r="T515" s="75"/>
      <c r="U515" s="89"/>
      <c r="V515" s="84"/>
      <c r="W515" s="84"/>
      <c r="X515" s="84"/>
      <c r="Y515" s="84"/>
      <c r="Z515" s="84"/>
    </row>
    <row r="516" spans="1:26" ht="15.75" customHeight="1">
      <c r="A516" s="83"/>
      <c r="B516" s="83"/>
      <c r="C516" s="83"/>
      <c r="D516" s="84"/>
      <c r="E516" s="84"/>
      <c r="F516" s="84"/>
      <c r="G516" s="83"/>
      <c r="H516" s="84"/>
      <c r="I516" s="84"/>
      <c r="J516" s="84"/>
      <c r="K516" s="84"/>
      <c r="L516" s="84"/>
      <c r="M516" s="84"/>
      <c r="N516" s="84"/>
      <c r="O516" s="84"/>
      <c r="P516" s="85"/>
      <c r="Q516" s="75"/>
      <c r="R516" s="75"/>
      <c r="S516" s="75"/>
      <c r="T516" s="75"/>
      <c r="U516" s="89"/>
      <c r="V516" s="84"/>
      <c r="W516" s="84"/>
      <c r="X516" s="84"/>
      <c r="Y516" s="84"/>
      <c r="Z516" s="84"/>
    </row>
    <row r="517" spans="1:26" ht="15.75" customHeight="1">
      <c r="A517" s="83"/>
      <c r="B517" s="83"/>
      <c r="C517" s="83"/>
      <c r="D517" s="84"/>
      <c r="E517" s="84"/>
      <c r="F517" s="84"/>
      <c r="G517" s="83"/>
      <c r="H517" s="84"/>
      <c r="I517" s="84"/>
      <c r="J517" s="84"/>
      <c r="K517" s="84"/>
      <c r="L517" s="84"/>
      <c r="M517" s="84"/>
      <c r="N517" s="84"/>
      <c r="O517" s="84"/>
      <c r="P517" s="85"/>
      <c r="Q517" s="75"/>
      <c r="R517" s="75"/>
      <c r="S517" s="75"/>
      <c r="T517" s="75"/>
      <c r="U517" s="89"/>
      <c r="V517" s="84"/>
      <c r="W517" s="84"/>
      <c r="X517" s="84"/>
      <c r="Y517" s="84"/>
      <c r="Z517" s="84"/>
    </row>
    <row r="518" spans="1:26" ht="15.75" customHeight="1">
      <c r="A518" s="83"/>
      <c r="B518" s="83"/>
      <c r="C518" s="83"/>
      <c r="D518" s="84"/>
      <c r="E518" s="84"/>
      <c r="F518" s="84"/>
      <c r="G518" s="83"/>
      <c r="H518" s="84"/>
      <c r="I518" s="84"/>
      <c r="J518" s="84"/>
      <c r="K518" s="84"/>
      <c r="L518" s="84"/>
      <c r="M518" s="84"/>
      <c r="N518" s="84"/>
      <c r="O518" s="84"/>
      <c r="P518" s="85"/>
      <c r="Q518" s="75"/>
      <c r="R518" s="75"/>
      <c r="S518" s="75"/>
      <c r="T518" s="75"/>
      <c r="U518" s="89"/>
      <c r="V518" s="84"/>
      <c r="W518" s="84"/>
      <c r="X518" s="84"/>
      <c r="Y518" s="84"/>
      <c r="Z518" s="84"/>
    </row>
    <row r="519" spans="1:26" ht="15.75" customHeight="1">
      <c r="A519" s="83"/>
      <c r="B519" s="83"/>
      <c r="C519" s="83"/>
      <c r="D519" s="84"/>
      <c r="E519" s="84"/>
      <c r="F519" s="84"/>
      <c r="G519" s="83"/>
      <c r="H519" s="84"/>
      <c r="I519" s="84"/>
      <c r="J519" s="84"/>
      <c r="K519" s="84"/>
      <c r="L519" s="84"/>
      <c r="M519" s="84"/>
      <c r="N519" s="84"/>
      <c r="O519" s="84"/>
      <c r="P519" s="85"/>
      <c r="Q519" s="75"/>
      <c r="R519" s="75"/>
      <c r="S519" s="75"/>
      <c r="T519" s="75"/>
      <c r="U519" s="89"/>
      <c r="V519" s="84"/>
      <c r="W519" s="84"/>
      <c r="X519" s="84"/>
      <c r="Y519" s="84"/>
      <c r="Z519" s="84"/>
    </row>
    <row r="520" spans="1:26" ht="15.75" customHeight="1">
      <c r="A520" s="83"/>
      <c r="B520" s="83"/>
      <c r="C520" s="83"/>
      <c r="D520" s="84"/>
      <c r="E520" s="84"/>
      <c r="F520" s="84"/>
      <c r="G520" s="83"/>
      <c r="H520" s="84"/>
      <c r="I520" s="84"/>
      <c r="J520" s="84"/>
      <c r="K520" s="84"/>
      <c r="L520" s="84"/>
      <c r="M520" s="84"/>
      <c r="N520" s="84"/>
      <c r="O520" s="84"/>
      <c r="P520" s="85"/>
      <c r="Q520" s="75"/>
      <c r="R520" s="75"/>
      <c r="S520" s="75"/>
      <c r="T520" s="75"/>
      <c r="U520" s="89"/>
      <c r="V520" s="84"/>
      <c r="W520" s="84"/>
      <c r="X520" s="84"/>
      <c r="Y520" s="84"/>
      <c r="Z520" s="84"/>
    </row>
    <row r="521" spans="1:26" ht="15.75" customHeight="1">
      <c r="A521" s="83"/>
      <c r="B521" s="83"/>
      <c r="C521" s="83"/>
      <c r="D521" s="84"/>
      <c r="E521" s="84"/>
      <c r="F521" s="84"/>
      <c r="G521" s="83"/>
      <c r="H521" s="84"/>
      <c r="I521" s="84"/>
      <c r="J521" s="84"/>
      <c r="K521" s="84"/>
      <c r="L521" s="84"/>
      <c r="M521" s="84"/>
      <c r="N521" s="84"/>
      <c r="O521" s="84"/>
      <c r="P521" s="85"/>
      <c r="Q521" s="75"/>
      <c r="R521" s="75"/>
      <c r="S521" s="75"/>
      <c r="T521" s="75"/>
      <c r="U521" s="89"/>
      <c r="V521" s="84"/>
      <c r="W521" s="84"/>
      <c r="X521" s="84"/>
      <c r="Y521" s="84"/>
      <c r="Z521" s="84"/>
    </row>
    <row r="522" spans="1:26" ht="15.75" customHeight="1">
      <c r="A522" s="83"/>
      <c r="B522" s="83"/>
      <c r="C522" s="83"/>
      <c r="D522" s="84"/>
      <c r="E522" s="84"/>
      <c r="F522" s="84"/>
      <c r="G522" s="83"/>
      <c r="H522" s="84"/>
      <c r="I522" s="84"/>
      <c r="J522" s="84"/>
      <c r="K522" s="84"/>
      <c r="L522" s="84"/>
      <c r="M522" s="84"/>
      <c r="N522" s="84"/>
      <c r="O522" s="84"/>
      <c r="P522" s="85"/>
      <c r="Q522" s="75"/>
      <c r="R522" s="75"/>
      <c r="S522" s="75"/>
      <c r="T522" s="75"/>
      <c r="U522" s="89"/>
      <c r="V522" s="84"/>
      <c r="W522" s="84"/>
      <c r="X522" s="84"/>
      <c r="Y522" s="84"/>
      <c r="Z522" s="84"/>
    </row>
    <row r="523" spans="1:26" ht="15.75" customHeight="1">
      <c r="A523" s="83"/>
      <c r="B523" s="83"/>
      <c r="C523" s="83"/>
      <c r="D523" s="84"/>
      <c r="E523" s="84"/>
      <c r="F523" s="84"/>
      <c r="G523" s="83"/>
      <c r="H523" s="84"/>
      <c r="I523" s="84"/>
      <c r="J523" s="84"/>
      <c r="K523" s="84"/>
      <c r="L523" s="84"/>
      <c r="M523" s="84"/>
      <c r="N523" s="84"/>
      <c r="O523" s="84"/>
      <c r="P523" s="85"/>
      <c r="Q523" s="75"/>
      <c r="R523" s="75"/>
      <c r="S523" s="75"/>
      <c r="T523" s="75"/>
      <c r="U523" s="89"/>
      <c r="V523" s="84"/>
      <c r="W523" s="84"/>
      <c r="X523" s="84"/>
      <c r="Y523" s="84"/>
      <c r="Z523" s="84"/>
    </row>
    <row r="524" spans="1:26" ht="15.75" customHeight="1">
      <c r="A524" s="83"/>
      <c r="B524" s="83"/>
      <c r="C524" s="83"/>
      <c r="D524" s="84"/>
      <c r="E524" s="84"/>
      <c r="F524" s="84"/>
      <c r="G524" s="83"/>
      <c r="H524" s="84"/>
      <c r="I524" s="84"/>
      <c r="J524" s="84"/>
      <c r="K524" s="84"/>
      <c r="L524" s="84"/>
      <c r="M524" s="84"/>
      <c r="N524" s="84"/>
      <c r="O524" s="84"/>
      <c r="P524" s="85"/>
      <c r="Q524" s="75"/>
      <c r="R524" s="75"/>
      <c r="S524" s="75"/>
      <c r="T524" s="75"/>
      <c r="U524" s="89"/>
      <c r="V524" s="84"/>
      <c r="W524" s="84"/>
      <c r="X524" s="84"/>
      <c r="Y524" s="84"/>
      <c r="Z524" s="84"/>
    </row>
    <row r="525" spans="1:26" ht="15.75" customHeight="1">
      <c r="A525" s="83"/>
      <c r="B525" s="83"/>
      <c r="C525" s="83"/>
      <c r="D525" s="84"/>
      <c r="E525" s="84"/>
      <c r="F525" s="84"/>
      <c r="G525" s="83"/>
      <c r="H525" s="84"/>
      <c r="I525" s="84"/>
      <c r="J525" s="84"/>
      <c r="K525" s="84"/>
      <c r="L525" s="84"/>
      <c r="M525" s="84"/>
      <c r="N525" s="84"/>
      <c r="O525" s="84"/>
      <c r="P525" s="85"/>
      <c r="Q525" s="75"/>
      <c r="R525" s="75"/>
      <c r="S525" s="75"/>
      <c r="T525" s="75"/>
      <c r="U525" s="89"/>
      <c r="V525" s="84"/>
      <c r="W525" s="84"/>
      <c r="X525" s="84"/>
      <c r="Y525" s="84"/>
      <c r="Z525" s="84"/>
    </row>
    <row r="526" spans="1:26" ht="15.75" customHeight="1">
      <c r="A526" s="83"/>
      <c r="B526" s="83"/>
      <c r="C526" s="83"/>
      <c r="D526" s="84"/>
      <c r="E526" s="84"/>
      <c r="F526" s="84"/>
      <c r="G526" s="83"/>
      <c r="H526" s="84"/>
      <c r="I526" s="84"/>
      <c r="J526" s="84"/>
      <c r="K526" s="84"/>
      <c r="L526" s="84"/>
      <c r="M526" s="84"/>
      <c r="N526" s="84"/>
      <c r="O526" s="84"/>
      <c r="P526" s="85"/>
      <c r="Q526" s="75"/>
      <c r="R526" s="75"/>
      <c r="S526" s="75"/>
      <c r="T526" s="75"/>
      <c r="U526" s="89"/>
      <c r="V526" s="84"/>
      <c r="W526" s="84"/>
      <c r="X526" s="84"/>
      <c r="Y526" s="84"/>
      <c r="Z526" s="84"/>
    </row>
    <row r="527" spans="1:26" ht="15.75" customHeight="1">
      <c r="A527" s="83"/>
      <c r="B527" s="83"/>
      <c r="C527" s="83"/>
      <c r="D527" s="84"/>
      <c r="E527" s="84"/>
      <c r="F527" s="84"/>
      <c r="G527" s="83"/>
      <c r="H527" s="84"/>
      <c r="I527" s="84"/>
      <c r="J527" s="84"/>
      <c r="K527" s="84"/>
      <c r="L527" s="84"/>
      <c r="M527" s="84"/>
      <c r="N527" s="84"/>
      <c r="O527" s="84"/>
      <c r="P527" s="85"/>
      <c r="Q527" s="75"/>
      <c r="R527" s="75"/>
      <c r="S527" s="75"/>
      <c r="T527" s="75"/>
      <c r="U527" s="89"/>
      <c r="V527" s="84"/>
      <c r="W527" s="84"/>
      <c r="X527" s="84"/>
      <c r="Y527" s="84"/>
      <c r="Z527" s="84"/>
    </row>
    <row r="528" spans="1:26" ht="15.75" customHeight="1">
      <c r="A528" s="83"/>
      <c r="B528" s="83"/>
      <c r="C528" s="83"/>
      <c r="D528" s="84"/>
      <c r="E528" s="84"/>
      <c r="F528" s="84"/>
      <c r="G528" s="83"/>
      <c r="H528" s="84"/>
      <c r="I528" s="84"/>
      <c r="J528" s="84"/>
      <c r="K528" s="84"/>
      <c r="L528" s="84"/>
      <c r="M528" s="84"/>
      <c r="N528" s="84"/>
      <c r="O528" s="84"/>
      <c r="P528" s="85"/>
      <c r="Q528" s="75"/>
      <c r="R528" s="75"/>
      <c r="S528" s="75"/>
      <c r="T528" s="75"/>
      <c r="U528" s="89"/>
      <c r="V528" s="84"/>
      <c r="W528" s="84"/>
      <c r="X528" s="84"/>
      <c r="Y528" s="84"/>
      <c r="Z528" s="84"/>
    </row>
    <row r="529" spans="1:26" ht="15.75" customHeight="1">
      <c r="A529" s="83"/>
      <c r="B529" s="83"/>
      <c r="C529" s="83"/>
      <c r="D529" s="84"/>
      <c r="E529" s="84"/>
      <c r="F529" s="84"/>
      <c r="G529" s="83"/>
      <c r="H529" s="84"/>
      <c r="I529" s="84"/>
      <c r="J529" s="84"/>
      <c r="K529" s="84"/>
      <c r="L529" s="84"/>
      <c r="M529" s="84"/>
      <c r="N529" s="84"/>
      <c r="O529" s="84"/>
      <c r="P529" s="85"/>
      <c r="Q529" s="75"/>
      <c r="R529" s="75"/>
      <c r="S529" s="75"/>
      <c r="T529" s="75"/>
      <c r="U529" s="89"/>
      <c r="V529" s="84"/>
      <c r="W529" s="84"/>
      <c r="X529" s="84"/>
      <c r="Y529" s="84"/>
      <c r="Z529" s="84"/>
    </row>
    <row r="530" spans="1:26" ht="15.75" customHeight="1">
      <c r="A530" s="83"/>
      <c r="B530" s="83"/>
      <c r="C530" s="83"/>
      <c r="D530" s="84"/>
      <c r="E530" s="84"/>
      <c r="F530" s="84"/>
      <c r="G530" s="83"/>
      <c r="H530" s="84"/>
      <c r="I530" s="84"/>
      <c r="J530" s="84"/>
      <c r="K530" s="84"/>
      <c r="L530" s="84"/>
      <c r="M530" s="84"/>
      <c r="N530" s="84"/>
      <c r="O530" s="84"/>
      <c r="P530" s="85"/>
      <c r="Q530" s="75"/>
      <c r="R530" s="75"/>
      <c r="S530" s="75"/>
      <c r="T530" s="75"/>
      <c r="U530" s="89"/>
      <c r="V530" s="84"/>
      <c r="W530" s="84"/>
      <c r="X530" s="84"/>
      <c r="Y530" s="84"/>
      <c r="Z530" s="84"/>
    </row>
    <row r="531" spans="1:26" ht="15.75" customHeight="1">
      <c r="A531" s="83"/>
      <c r="B531" s="83"/>
      <c r="C531" s="83"/>
      <c r="D531" s="84"/>
      <c r="E531" s="84"/>
      <c r="F531" s="84"/>
      <c r="G531" s="83"/>
      <c r="H531" s="84"/>
      <c r="I531" s="84"/>
      <c r="J531" s="84"/>
      <c r="K531" s="84"/>
      <c r="L531" s="84"/>
      <c r="M531" s="84"/>
      <c r="N531" s="84"/>
      <c r="O531" s="84"/>
      <c r="P531" s="85"/>
      <c r="Q531" s="75"/>
      <c r="R531" s="75"/>
      <c r="S531" s="75"/>
      <c r="T531" s="75"/>
      <c r="U531" s="89"/>
      <c r="V531" s="84"/>
      <c r="W531" s="84"/>
      <c r="X531" s="84"/>
      <c r="Y531" s="84"/>
      <c r="Z531" s="84"/>
    </row>
    <row r="532" spans="1:26" ht="15.75" customHeight="1">
      <c r="A532" s="83"/>
      <c r="B532" s="83"/>
      <c r="C532" s="83"/>
      <c r="D532" s="84"/>
      <c r="E532" s="84"/>
      <c r="F532" s="84"/>
      <c r="G532" s="83"/>
      <c r="H532" s="84"/>
      <c r="I532" s="84"/>
      <c r="J532" s="84"/>
      <c r="K532" s="84"/>
      <c r="L532" s="84"/>
      <c r="M532" s="84"/>
      <c r="N532" s="84"/>
      <c r="O532" s="84"/>
      <c r="P532" s="85"/>
      <c r="Q532" s="75"/>
      <c r="R532" s="75"/>
      <c r="S532" s="75"/>
      <c r="T532" s="75"/>
      <c r="U532" s="89"/>
      <c r="V532" s="84"/>
      <c r="W532" s="84"/>
      <c r="X532" s="84"/>
      <c r="Y532" s="84"/>
      <c r="Z532" s="84"/>
    </row>
    <row r="533" spans="1:26" ht="15.75" customHeight="1">
      <c r="A533" s="83"/>
      <c r="B533" s="83"/>
      <c r="C533" s="83"/>
      <c r="D533" s="84"/>
      <c r="E533" s="84"/>
      <c r="F533" s="84"/>
      <c r="G533" s="83"/>
      <c r="H533" s="84"/>
      <c r="I533" s="84"/>
      <c r="J533" s="84"/>
      <c r="K533" s="84"/>
      <c r="L533" s="84"/>
      <c r="M533" s="84"/>
      <c r="N533" s="84"/>
      <c r="O533" s="84"/>
      <c r="P533" s="85"/>
      <c r="Q533" s="75"/>
      <c r="R533" s="75"/>
      <c r="S533" s="75"/>
      <c r="T533" s="75"/>
      <c r="U533" s="89"/>
      <c r="V533" s="84"/>
      <c r="W533" s="84"/>
      <c r="X533" s="84"/>
      <c r="Y533" s="84"/>
      <c r="Z533" s="84"/>
    </row>
    <row r="534" spans="1:26" ht="15.75" customHeight="1">
      <c r="A534" s="83"/>
      <c r="B534" s="83"/>
      <c r="C534" s="83"/>
      <c r="D534" s="84"/>
      <c r="E534" s="84"/>
      <c r="F534" s="84"/>
      <c r="G534" s="83"/>
      <c r="H534" s="84"/>
      <c r="I534" s="84"/>
      <c r="J534" s="84"/>
      <c r="K534" s="84"/>
      <c r="L534" s="84"/>
      <c r="M534" s="84"/>
      <c r="N534" s="84"/>
      <c r="O534" s="84"/>
      <c r="P534" s="85"/>
      <c r="Q534" s="75"/>
      <c r="R534" s="75"/>
      <c r="S534" s="75"/>
      <c r="T534" s="75"/>
      <c r="U534" s="89"/>
      <c r="V534" s="84"/>
      <c r="W534" s="84"/>
      <c r="X534" s="84"/>
      <c r="Y534" s="84"/>
      <c r="Z534" s="84"/>
    </row>
    <row r="535" spans="1:26" ht="15.75" customHeight="1">
      <c r="A535" s="83"/>
      <c r="B535" s="83"/>
      <c r="C535" s="83"/>
      <c r="D535" s="84"/>
      <c r="E535" s="84"/>
      <c r="F535" s="84"/>
      <c r="G535" s="83"/>
      <c r="H535" s="84"/>
      <c r="I535" s="84"/>
      <c r="J535" s="84"/>
      <c r="K535" s="84"/>
      <c r="L535" s="84"/>
      <c r="M535" s="84"/>
      <c r="N535" s="84"/>
      <c r="O535" s="84"/>
      <c r="P535" s="85"/>
      <c r="Q535" s="75"/>
      <c r="R535" s="75"/>
      <c r="S535" s="75"/>
      <c r="T535" s="75"/>
      <c r="U535" s="89"/>
      <c r="V535" s="84"/>
      <c r="W535" s="84"/>
      <c r="X535" s="84"/>
      <c r="Y535" s="84"/>
      <c r="Z535" s="84"/>
    </row>
    <row r="536" spans="1:26" ht="15.75" customHeight="1">
      <c r="A536" s="83"/>
      <c r="B536" s="83"/>
      <c r="C536" s="83"/>
      <c r="D536" s="84"/>
      <c r="E536" s="84"/>
      <c r="F536" s="84"/>
      <c r="G536" s="83"/>
      <c r="H536" s="84"/>
      <c r="I536" s="84"/>
      <c r="J536" s="84"/>
      <c r="K536" s="84"/>
      <c r="L536" s="84"/>
      <c r="M536" s="84"/>
      <c r="N536" s="84"/>
      <c r="O536" s="84"/>
      <c r="P536" s="85"/>
      <c r="Q536" s="75"/>
      <c r="R536" s="75"/>
      <c r="S536" s="75"/>
      <c r="T536" s="75"/>
      <c r="U536" s="89"/>
      <c r="V536" s="84"/>
      <c r="W536" s="84"/>
      <c r="X536" s="84"/>
      <c r="Y536" s="84"/>
      <c r="Z536" s="84"/>
    </row>
    <row r="537" spans="1:26" ht="15.75" customHeight="1">
      <c r="A537" s="83"/>
      <c r="B537" s="83"/>
      <c r="C537" s="83"/>
      <c r="D537" s="84"/>
      <c r="E537" s="84"/>
      <c r="F537" s="84"/>
      <c r="G537" s="83"/>
      <c r="H537" s="84"/>
      <c r="I537" s="84"/>
      <c r="J537" s="84"/>
      <c r="K537" s="84"/>
      <c r="L537" s="84"/>
      <c r="M537" s="84"/>
      <c r="N537" s="84"/>
      <c r="O537" s="84"/>
      <c r="P537" s="85"/>
      <c r="Q537" s="75"/>
      <c r="R537" s="75"/>
      <c r="S537" s="75"/>
      <c r="T537" s="75"/>
      <c r="U537" s="89"/>
      <c r="V537" s="84"/>
      <c r="W537" s="84"/>
      <c r="X537" s="84"/>
      <c r="Y537" s="84"/>
      <c r="Z537" s="84"/>
    </row>
    <row r="538" spans="1:26" ht="15.75" customHeight="1">
      <c r="A538" s="83"/>
      <c r="B538" s="83"/>
      <c r="C538" s="83"/>
      <c r="D538" s="84"/>
      <c r="E538" s="84"/>
      <c r="F538" s="84"/>
      <c r="G538" s="83"/>
      <c r="H538" s="84"/>
      <c r="I538" s="84"/>
      <c r="J538" s="84"/>
      <c r="K538" s="84"/>
      <c r="L538" s="84"/>
      <c r="M538" s="84"/>
      <c r="N538" s="84"/>
      <c r="O538" s="84"/>
      <c r="P538" s="85"/>
      <c r="Q538" s="75"/>
      <c r="R538" s="75"/>
      <c r="S538" s="75"/>
      <c r="T538" s="75"/>
      <c r="U538" s="89"/>
      <c r="V538" s="84"/>
      <c r="W538" s="84"/>
      <c r="X538" s="84"/>
      <c r="Y538" s="84"/>
      <c r="Z538" s="84"/>
    </row>
    <row r="539" spans="1:26" ht="15.75" customHeight="1">
      <c r="A539" s="83"/>
      <c r="B539" s="83"/>
      <c r="C539" s="83"/>
      <c r="D539" s="84"/>
      <c r="E539" s="84"/>
      <c r="F539" s="84"/>
      <c r="G539" s="83"/>
      <c r="H539" s="84"/>
      <c r="I539" s="84"/>
      <c r="J539" s="84"/>
      <c r="K539" s="84"/>
      <c r="L539" s="84"/>
      <c r="M539" s="84"/>
      <c r="N539" s="84"/>
      <c r="O539" s="84"/>
      <c r="P539" s="85"/>
      <c r="Q539" s="75"/>
      <c r="R539" s="75"/>
      <c r="S539" s="75"/>
      <c r="T539" s="75"/>
      <c r="U539" s="89"/>
      <c r="V539" s="84"/>
      <c r="W539" s="84"/>
      <c r="X539" s="84"/>
      <c r="Y539" s="84"/>
      <c r="Z539" s="84"/>
    </row>
    <row r="540" spans="1:26" ht="15.75" customHeight="1">
      <c r="A540" s="83"/>
      <c r="B540" s="83"/>
      <c r="C540" s="83"/>
      <c r="D540" s="84"/>
      <c r="E540" s="84"/>
      <c r="F540" s="84"/>
      <c r="G540" s="83"/>
      <c r="H540" s="84"/>
      <c r="I540" s="84"/>
      <c r="J540" s="84"/>
      <c r="K540" s="84"/>
      <c r="L540" s="84"/>
      <c r="M540" s="84"/>
      <c r="N540" s="84"/>
      <c r="O540" s="84"/>
      <c r="P540" s="85"/>
      <c r="Q540" s="75"/>
      <c r="R540" s="75"/>
      <c r="S540" s="75"/>
      <c r="T540" s="75"/>
      <c r="U540" s="89"/>
      <c r="V540" s="84"/>
      <c r="W540" s="84"/>
      <c r="X540" s="84"/>
      <c r="Y540" s="84"/>
      <c r="Z540" s="84"/>
    </row>
    <row r="541" spans="1:26" ht="15.75" customHeight="1">
      <c r="A541" s="83"/>
      <c r="B541" s="83"/>
      <c r="C541" s="83"/>
      <c r="D541" s="84"/>
      <c r="E541" s="84"/>
      <c r="F541" s="84"/>
      <c r="G541" s="83"/>
      <c r="H541" s="84"/>
      <c r="I541" s="84"/>
      <c r="J541" s="84"/>
      <c r="K541" s="84"/>
      <c r="L541" s="84"/>
      <c r="M541" s="84"/>
      <c r="N541" s="84"/>
      <c r="O541" s="84"/>
      <c r="P541" s="85"/>
      <c r="Q541" s="75"/>
      <c r="R541" s="75"/>
      <c r="S541" s="75"/>
      <c r="T541" s="75"/>
      <c r="U541" s="89"/>
      <c r="V541" s="84"/>
      <c r="W541" s="84"/>
      <c r="X541" s="84"/>
      <c r="Y541" s="84"/>
      <c r="Z541" s="84"/>
    </row>
    <row r="542" spans="1:26" ht="15.75" customHeight="1">
      <c r="A542" s="83"/>
      <c r="B542" s="83"/>
      <c r="C542" s="83"/>
      <c r="D542" s="84"/>
      <c r="E542" s="84"/>
      <c r="F542" s="84"/>
      <c r="G542" s="83"/>
      <c r="H542" s="84"/>
      <c r="I542" s="84"/>
      <c r="J542" s="84"/>
      <c r="K542" s="84"/>
      <c r="L542" s="84"/>
      <c r="M542" s="84"/>
      <c r="N542" s="84"/>
      <c r="O542" s="84"/>
      <c r="P542" s="85"/>
      <c r="Q542" s="75"/>
      <c r="R542" s="75"/>
      <c r="S542" s="75"/>
      <c r="T542" s="75"/>
      <c r="U542" s="89"/>
      <c r="V542" s="84"/>
      <c r="W542" s="84"/>
      <c r="X542" s="84"/>
      <c r="Y542" s="84"/>
      <c r="Z542" s="84"/>
    </row>
    <row r="543" spans="1:26" ht="15.75" customHeight="1">
      <c r="A543" s="83"/>
      <c r="B543" s="83"/>
      <c r="C543" s="83"/>
      <c r="D543" s="84"/>
      <c r="E543" s="84"/>
      <c r="F543" s="84"/>
      <c r="G543" s="83"/>
      <c r="H543" s="84"/>
      <c r="I543" s="84"/>
      <c r="J543" s="84"/>
      <c r="K543" s="84"/>
      <c r="L543" s="84"/>
      <c r="M543" s="84"/>
      <c r="N543" s="84"/>
      <c r="O543" s="84"/>
      <c r="P543" s="85"/>
      <c r="Q543" s="75"/>
      <c r="R543" s="75"/>
      <c r="S543" s="75"/>
      <c r="T543" s="75"/>
      <c r="U543" s="89"/>
      <c r="V543" s="84"/>
      <c r="W543" s="84"/>
      <c r="X543" s="84"/>
      <c r="Y543" s="84"/>
      <c r="Z543" s="84"/>
    </row>
    <row r="544" spans="1:26" ht="15.75" customHeight="1">
      <c r="A544" s="83"/>
      <c r="B544" s="83"/>
      <c r="C544" s="83"/>
      <c r="D544" s="84"/>
      <c r="E544" s="84"/>
      <c r="F544" s="84"/>
      <c r="G544" s="83"/>
      <c r="H544" s="84"/>
      <c r="I544" s="84"/>
      <c r="J544" s="84"/>
      <c r="K544" s="84"/>
      <c r="L544" s="84"/>
      <c r="M544" s="84"/>
      <c r="N544" s="84"/>
      <c r="O544" s="84"/>
      <c r="P544" s="85"/>
      <c r="Q544" s="75"/>
      <c r="R544" s="75"/>
      <c r="S544" s="75"/>
      <c r="T544" s="75"/>
      <c r="U544" s="89"/>
      <c r="V544" s="84"/>
      <c r="W544" s="84"/>
      <c r="X544" s="84"/>
      <c r="Y544" s="84"/>
      <c r="Z544" s="84"/>
    </row>
    <row r="545" spans="1:26" ht="15.75" customHeight="1">
      <c r="A545" s="83"/>
      <c r="B545" s="83"/>
      <c r="C545" s="83"/>
      <c r="D545" s="84"/>
      <c r="E545" s="84"/>
      <c r="F545" s="84"/>
      <c r="G545" s="83"/>
      <c r="H545" s="84"/>
      <c r="I545" s="84"/>
      <c r="J545" s="84"/>
      <c r="K545" s="84"/>
      <c r="L545" s="84"/>
      <c r="M545" s="84"/>
      <c r="N545" s="84"/>
      <c r="O545" s="84"/>
      <c r="P545" s="85"/>
      <c r="Q545" s="75"/>
      <c r="R545" s="75"/>
      <c r="S545" s="75"/>
      <c r="T545" s="75"/>
      <c r="U545" s="89"/>
      <c r="V545" s="84"/>
      <c r="W545" s="84"/>
      <c r="X545" s="84"/>
      <c r="Y545" s="84"/>
      <c r="Z545" s="84"/>
    </row>
    <row r="546" spans="1:26" ht="15.75" customHeight="1">
      <c r="A546" s="83"/>
      <c r="B546" s="83"/>
      <c r="C546" s="83"/>
      <c r="D546" s="84"/>
      <c r="E546" s="84"/>
      <c r="F546" s="84"/>
      <c r="G546" s="83"/>
      <c r="H546" s="84"/>
      <c r="I546" s="84"/>
      <c r="J546" s="84"/>
      <c r="K546" s="84"/>
      <c r="L546" s="84"/>
      <c r="M546" s="84"/>
      <c r="N546" s="84"/>
      <c r="O546" s="84"/>
      <c r="P546" s="85"/>
      <c r="Q546" s="75"/>
      <c r="R546" s="75"/>
      <c r="S546" s="75"/>
      <c r="T546" s="75"/>
      <c r="U546" s="89"/>
      <c r="V546" s="84"/>
      <c r="W546" s="84"/>
      <c r="X546" s="84"/>
      <c r="Y546" s="84"/>
      <c r="Z546" s="84"/>
    </row>
    <row r="547" spans="1:26" ht="15.75" customHeight="1">
      <c r="A547" s="83"/>
      <c r="B547" s="83"/>
      <c r="C547" s="83"/>
      <c r="D547" s="84"/>
      <c r="E547" s="84"/>
      <c r="F547" s="84"/>
      <c r="G547" s="83"/>
      <c r="H547" s="84"/>
      <c r="I547" s="84"/>
      <c r="J547" s="84"/>
      <c r="K547" s="84"/>
      <c r="L547" s="84"/>
      <c r="M547" s="84"/>
      <c r="N547" s="84"/>
      <c r="O547" s="84"/>
      <c r="P547" s="85"/>
      <c r="Q547" s="75"/>
      <c r="R547" s="75"/>
      <c r="S547" s="75"/>
      <c r="T547" s="75"/>
      <c r="U547" s="89"/>
      <c r="V547" s="84"/>
      <c r="W547" s="84"/>
      <c r="X547" s="84"/>
      <c r="Y547" s="84"/>
      <c r="Z547" s="84"/>
    </row>
    <row r="548" spans="1:26" ht="15.75" customHeight="1">
      <c r="A548" s="83"/>
      <c r="B548" s="83"/>
      <c r="C548" s="83"/>
      <c r="D548" s="84"/>
      <c r="E548" s="84"/>
      <c r="F548" s="84"/>
      <c r="G548" s="83"/>
      <c r="H548" s="84"/>
      <c r="I548" s="84"/>
      <c r="J548" s="84"/>
      <c r="K548" s="84"/>
      <c r="L548" s="84"/>
      <c r="M548" s="84"/>
      <c r="N548" s="84"/>
      <c r="O548" s="84"/>
      <c r="P548" s="85"/>
      <c r="Q548" s="75"/>
      <c r="R548" s="75"/>
      <c r="S548" s="75"/>
      <c r="T548" s="75"/>
      <c r="U548" s="89"/>
      <c r="V548" s="84"/>
      <c r="W548" s="84"/>
      <c r="X548" s="84"/>
      <c r="Y548" s="84"/>
      <c r="Z548" s="84"/>
    </row>
    <row r="549" spans="1:26" ht="15.75" customHeight="1">
      <c r="A549" s="83"/>
      <c r="B549" s="83"/>
      <c r="C549" s="83"/>
      <c r="D549" s="84"/>
      <c r="E549" s="84"/>
      <c r="F549" s="84"/>
      <c r="G549" s="83"/>
      <c r="H549" s="84"/>
      <c r="I549" s="84"/>
      <c r="J549" s="84"/>
      <c r="K549" s="84"/>
      <c r="L549" s="84"/>
      <c r="M549" s="84"/>
      <c r="N549" s="84"/>
      <c r="O549" s="84"/>
      <c r="P549" s="85"/>
      <c r="Q549" s="75"/>
      <c r="R549" s="75"/>
      <c r="S549" s="75"/>
      <c r="T549" s="75"/>
      <c r="U549" s="89"/>
      <c r="V549" s="84"/>
      <c r="W549" s="84"/>
      <c r="X549" s="84"/>
      <c r="Y549" s="84"/>
      <c r="Z549" s="84"/>
    </row>
    <row r="550" spans="1:26" ht="15.75" customHeight="1">
      <c r="A550" s="83"/>
      <c r="B550" s="83"/>
      <c r="C550" s="83"/>
      <c r="D550" s="84"/>
      <c r="E550" s="84"/>
      <c r="F550" s="84"/>
      <c r="G550" s="83"/>
      <c r="H550" s="84"/>
      <c r="I550" s="84"/>
      <c r="J550" s="84"/>
      <c r="K550" s="84"/>
      <c r="L550" s="84"/>
      <c r="M550" s="84"/>
      <c r="N550" s="84"/>
      <c r="O550" s="84"/>
      <c r="P550" s="85"/>
      <c r="Q550" s="75"/>
      <c r="R550" s="75"/>
      <c r="S550" s="75"/>
      <c r="T550" s="75"/>
      <c r="U550" s="89"/>
      <c r="V550" s="84"/>
      <c r="W550" s="84"/>
      <c r="X550" s="84"/>
      <c r="Y550" s="84"/>
      <c r="Z550" s="84"/>
    </row>
    <row r="551" spans="1:26" ht="15.75" customHeight="1">
      <c r="A551" s="83"/>
      <c r="B551" s="83"/>
      <c r="C551" s="83"/>
      <c r="D551" s="84"/>
      <c r="E551" s="84"/>
      <c r="F551" s="84"/>
      <c r="G551" s="83"/>
      <c r="H551" s="84"/>
      <c r="I551" s="84"/>
      <c r="J551" s="84"/>
      <c r="K551" s="84"/>
      <c r="L551" s="84"/>
      <c r="M551" s="84"/>
      <c r="N551" s="84"/>
      <c r="O551" s="84"/>
      <c r="P551" s="85"/>
      <c r="Q551" s="75"/>
      <c r="R551" s="75"/>
      <c r="S551" s="75"/>
      <c r="T551" s="75"/>
      <c r="U551" s="89"/>
      <c r="V551" s="84"/>
      <c r="W551" s="84"/>
      <c r="X551" s="84"/>
      <c r="Y551" s="84"/>
      <c r="Z551" s="84"/>
    </row>
    <row r="552" spans="1:26" ht="15.75" customHeight="1">
      <c r="A552" s="83"/>
      <c r="B552" s="83"/>
      <c r="C552" s="83"/>
      <c r="D552" s="84"/>
      <c r="E552" s="84"/>
      <c r="F552" s="84"/>
      <c r="G552" s="83"/>
      <c r="H552" s="84"/>
      <c r="I552" s="84"/>
      <c r="J552" s="84"/>
      <c r="K552" s="84"/>
      <c r="L552" s="84"/>
      <c r="M552" s="84"/>
      <c r="N552" s="84"/>
      <c r="O552" s="84"/>
      <c r="P552" s="85"/>
      <c r="Q552" s="75"/>
      <c r="R552" s="75"/>
      <c r="S552" s="75"/>
      <c r="T552" s="75"/>
      <c r="U552" s="89"/>
      <c r="V552" s="84"/>
      <c r="W552" s="84"/>
      <c r="X552" s="84"/>
      <c r="Y552" s="84"/>
      <c r="Z552" s="84"/>
    </row>
    <row r="553" spans="1:26" ht="15.75" customHeight="1">
      <c r="A553" s="83"/>
      <c r="B553" s="83"/>
      <c r="C553" s="83"/>
      <c r="D553" s="84"/>
      <c r="E553" s="84"/>
      <c r="F553" s="84"/>
      <c r="G553" s="83"/>
      <c r="H553" s="84"/>
      <c r="I553" s="84"/>
      <c r="J553" s="84"/>
      <c r="K553" s="84"/>
      <c r="L553" s="84"/>
      <c r="M553" s="84"/>
      <c r="N553" s="84"/>
      <c r="O553" s="84"/>
      <c r="P553" s="85"/>
      <c r="Q553" s="75"/>
      <c r="R553" s="75"/>
      <c r="S553" s="75"/>
      <c r="T553" s="75"/>
      <c r="U553" s="89"/>
      <c r="V553" s="84"/>
      <c r="W553" s="84"/>
      <c r="X553" s="84"/>
      <c r="Y553" s="84"/>
      <c r="Z553" s="84"/>
    </row>
    <row r="554" spans="1:26" ht="15.75" customHeight="1">
      <c r="A554" s="83"/>
      <c r="B554" s="83"/>
      <c r="C554" s="83"/>
      <c r="D554" s="84"/>
      <c r="E554" s="84"/>
      <c r="F554" s="84"/>
      <c r="G554" s="83"/>
      <c r="H554" s="84"/>
      <c r="I554" s="84"/>
      <c r="J554" s="84"/>
      <c r="K554" s="84"/>
      <c r="L554" s="84"/>
      <c r="M554" s="84"/>
      <c r="N554" s="84"/>
      <c r="O554" s="84"/>
      <c r="P554" s="85"/>
      <c r="Q554" s="75"/>
      <c r="R554" s="75"/>
      <c r="S554" s="75"/>
      <c r="T554" s="75"/>
      <c r="U554" s="89"/>
      <c r="V554" s="84"/>
      <c r="W554" s="84"/>
      <c r="X554" s="84"/>
      <c r="Y554" s="84"/>
      <c r="Z554" s="84"/>
    </row>
    <row r="555" spans="1:26" ht="15.75" customHeight="1">
      <c r="A555" s="83"/>
      <c r="B555" s="83"/>
      <c r="C555" s="83"/>
      <c r="D555" s="84"/>
      <c r="E555" s="84"/>
      <c r="F555" s="84"/>
      <c r="G555" s="83"/>
      <c r="H555" s="84"/>
      <c r="I555" s="84"/>
      <c r="J555" s="84"/>
      <c r="K555" s="84"/>
      <c r="L555" s="84"/>
      <c r="M555" s="84"/>
      <c r="N555" s="84"/>
      <c r="O555" s="84"/>
      <c r="P555" s="85"/>
      <c r="Q555" s="75"/>
      <c r="R555" s="75"/>
      <c r="S555" s="75"/>
      <c r="T555" s="75"/>
      <c r="U555" s="89"/>
      <c r="V555" s="84"/>
      <c r="W555" s="84"/>
      <c r="X555" s="84"/>
      <c r="Y555" s="84"/>
      <c r="Z555" s="84"/>
    </row>
    <row r="556" spans="1:26" ht="15.75" customHeight="1">
      <c r="A556" s="83"/>
      <c r="B556" s="83"/>
      <c r="C556" s="83"/>
      <c r="D556" s="84"/>
      <c r="E556" s="84"/>
      <c r="F556" s="84"/>
      <c r="G556" s="83"/>
      <c r="H556" s="84"/>
      <c r="I556" s="84"/>
      <c r="J556" s="84"/>
      <c r="K556" s="84"/>
      <c r="L556" s="84"/>
      <c r="M556" s="84"/>
      <c r="N556" s="84"/>
      <c r="O556" s="84"/>
      <c r="P556" s="85"/>
      <c r="Q556" s="75"/>
      <c r="R556" s="75"/>
      <c r="S556" s="75"/>
      <c r="T556" s="75"/>
      <c r="U556" s="89"/>
      <c r="V556" s="84"/>
      <c r="W556" s="84"/>
      <c r="X556" s="84"/>
      <c r="Y556" s="84"/>
      <c r="Z556" s="84"/>
    </row>
    <row r="557" spans="1:26" ht="15.75" customHeight="1">
      <c r="A557" s="83"/>
      <c r="B557" s="83"/>
      <c r="C557" s="83"/>
      <c r="D557" s="84"/>
      <c r="E557" s="84"/>
      <c r="F557" s="84"/>
      <c r="G557" s="83"/>
      <c r="H557" s="84"/>
      <c r="I557" s="84"/>
      <c r="J557" s="84"/>
      <c r="K557" s="84"/>
      <c r="L557" s="84"/>
      <c r="M557" s="84"/>
      <c r="N557" s="84"/>
      <c r="O557" s="84"/>
      <c r="P557" s="85"/>
      <c r="Q557" s="75"/>
      <c r="R557" s="75"/>
      <c r="S557" s="75"/>
      <c r="T557" s="75"/>
      <c r="U557" s="89"/>
      <c r="V557" s="84"/>
      <c r="W557" s="84"/>
      <c r="X557" s="84"/>
      <c r="Y557" s="84"/>
      <c r="Z557" s="84"/>
    </row>
    <row r="558" spans="1:26" ht="15.75" customHeight="1">
      <c r="A558" s="83"/>
      <c r="B558" s="83"/>
      <c r="C558" s="83"/>
      <c r="D558" s="84"/>
      <c r="E558" s="84"/>
      <c r="F558" s="84"/>
      <c r="G558" s="83"/>
      <c r="H558" s="84"/>
      <c r="I558" s="84"/>
      <c r="J558" s="84"/>
      <c r="K558" s="84"/>
      <c r="L558" s="84"/>
      <c r="M558" s="84"/>
      <c r="N558" s="84"/>
      <c r="O558" s="84"/>
      <c r="P558" s="85"/>
      <c r="Q558" s="75"/>
      <c r="R558" s="75"/>
      <c r="S558" s="75"/>
      <c r="T558" s="75"/>
      <c r="U558" s="89"/>
      <c r="V558" s="84"/>
      <c r="W558" s="84"/>
      <c r="X558" s="84"/>
      <c r="Y558" s="84"/>
      <c r="Z558" s="84"/>
    </row>
    <row r="559" spans="1:26" ht="15.75" customHeight="1">
      <c r="A559" s="83"/>
      <c r="B559" s="83"/>
      <c r="C559" s="83"/>
      <c r="D559" s="84"/>
      <c r="E559" s="84"/>
      <c r="F559" s="84"/>
      <c r="G559" s="83"/>
      <c r="H559" s="84"/>
      <c r="I559" s="84"/>
      <c r="J559" s="84"/>
      <c r="K559" s="84"/>
      <c r="L559" s="84"/>
      <c r="M559" s="84"/>
      <c r="N559" s="84"/>
      <c r="O559" s="84"/>
      <c r="P559" s="85"/>
      <c r="Q559" s="75"/>
      <c r="R559" s="75"/>
      <c r="S559" s="75"/>
      <c r="T559" s="75"/>
      <c r="U559" s="89"/>
      <c r="V559" s="84"/>
      <c r="W559" s="84"/>
      <c r="X559" s="84"/>
      <c r="Y559" s="84"/>
      <c r="Z559" s="84"/>
    </row>
    <row r="560" spans="1:26" ht="15.75" customHeight="1">
      <c r="A560" s="83"/>
      <c r="B560" s="83"/>
      <c r="C560" s="83"/>
      <c r="D560" s="84"/>
      <c r="E560" s="84"/>
      <c r="F560" s="84"/>
      <c r="G560" s="83"/>
      <c r="H560" s="84"/>
      <c r="I560" s="84"/>
      <c r="J560" s="84"/>
      <c r="K560" s="84"/>
      <c r="L560" s="84"/>
      <c r="M560" s="84"/>
      <c r="N560" s="84"/>
      <c r="O560" s="84"/>
      <c r="P560" s="85"/>
      <c r="Q560" s="75"/>
      <c r="R560" s="75"/>
      <c r="S560" s="75"/>
      <c r="T560" s="75"/>
      <c r="U560" s="89"/>
      <c r="V560" s="84"/>
      <c r="W560" s="84"/>
      <c r="X560" s="84"/>
      <c r="Y560" s="84"/>
      <c r="Z560" s="84"/>
    </row>
    <row r="561" spans="1:26" ht="15.75" customHeight="1">
      <c r="A561" s="83"/>
      <c r="B561" s="83"/>
      <c r="C561" s="83"/>
      <c r="D561" s="84"/>
      <c r="E561" s="84"/>
      <c r="F561" s="84"/>
      <c r="G561" s="83"/>
      <c r="H561" s="84"/>
      <c r="I561" s="84"/>
      <c r="J561" s="84"/>
      <c r="K561" s="84"/>
      <c r="L561" s="84"/>
      <c r="M561" s="84"/>
      <c r="N561" s="84"/>
      <c r="O561" s="84"/>
      <c r="P561" s="85"/>
      <c r="Q561" s="75"/>
      <c r="R561" s="75"/>
      <c r="S561" s="75"/>
      <c r="T561" s="75"/>
      <c r="U561" s="89"/>
      <c r="V561" s="84"/>
      <c r="W561" s="84"/>
      <c r="X561" s="84"/>
      <c r="Y561" s="84"/>
      <c r="Z561" s="84"/>
    </row>
    <row r="562" spans="1:26" ht="15.75" customHeight="1">
      <c r="A562" s="83"/>
      <c r="B562" s="83"/>
      <c r="C562" s="83"/>
      <c r="D562" s="84"/>
      <c r="E562" s="84"/>
      <c r="F562" s="84"/>
      <c r="G562" s="83"/>
      <c r="H562" s="84"/>
      <c r="I562" s="84"/>
      <c r="J562" s="84"/>
      <c r="K562" s="84"/>
      <c r="L562" s="84"/>
      <c r="M562" s="84"/>
      <c r="N562" s="84"/>
      <c r="O562" s="84"/>
      <c r="P562" s="85"/>
      <c r="Q562" s="75"/>
      <c r="R562" s="75"/>
      <c r="S562" s="75"/>
      <c r="T562" s="75"/>
      <c r="U562" s="89"/>
      <c r="V562" s="84"/>
      <c r="W562" s="84"/>
      <c r="X562" s="84"/>
      <c r="Y562" s="84"/>
      <c r="Z562" s="84"/>
    </row>
    <row r="563" spans="1:26" ht="15.75" customHeight="1">
      <c r="A563" s="83"/>
      <c r="B563" s="83"/>
      <c r="C563" s="83"/>
      <c r="D563" s="84"/>
      <c r="E563" s="84"/>
      <c r="F563" s="84"/>
      <c r="G563" s="83"/>
      <c r="H563" s="84"/>
      <c r="I563" s="84"/>
      <c r="J563" s="84"/>
      <c r="K563" s="84"/>
      <c r="L563" s="84"/>
      <c r="M563" s="84"/>
      <c r="N563" s="84"/>
      <c r="O563" s="84"/>
      <c r="P563" s="85"/>
      <c r="Q563" s="75"/>
      <c r="R563" s="75"/>
      <c r="S563" s="75"/>
      <c r="T563" s="75"/>
      <c r="U563" s="89"/>
      <c r="V563" s="84"/>
      <c r="W563" s="84"/>
      <c r="X563" s="84"/>
      <c r="Y563" s="84"/>
      <c r="Z563" s="84"/>
    </row>
    <row r="564" spans="1:26" ht="15.75" customHeight="1">
      <c r="A564" s="83"/>
      <c r="B564" s="83"/>
      <c r="C564" s="83"/>
      <c r="D564" s="84"/>
      <c r="E564" s="84"/>
      <c r="F564" s="84"/>
      <c r="G564" s="83"/>
      <c r="H564" s="84"/>
      <c r="I564" s="84"/>
      <c r="J564" s="84"/>
      <c r="K564" s="84"/>
      <c r="L564" s="84"/>
      <c r="M564" s="84"/>
      <c r="N564" s="84"/>
      <c r="O564" s="84"/>
      <c r="P564" s="85"/>
      <c r="Q564" s="75"/>
      <c r="R564" s="75"/>
      <c r="S564" s="75"/>
      <c r="T564" s="75"/>
      <c r="U564" s="89"/>
      <c r="V564" s="84"/>
      <c r="W564" s="84"/>
      <c r="X564" s="84"/>
      <c r="Y564" s="84"/>
      <c r="Z564" s="84"/>
    </row>
    <row r="565" spans="1:26" ht="15.75" customHeight="1">
      <c r="A565" s="83"/>
      <c r="B565" s="83"/>
      <c r="C565" s="83"/>
      <c r="D565" s="84"/>
      <c r="E565" s="84"/>
      <c r="F565" s="84"/>
      <c r="G565" s="83"/>
      <c r="H565" s="84"/>
      <c r="I565" s="84"/>
      <c r="J565" s="84"/>
      <c r="K565" s="84"/>
      <c r="L565" s="84"/>
      <c r="M565" s="84"/>
      <c r="N565" s="84"/>
      <c r="O565" s="84"/>
      <c r="P565" s="85"/>
      <c r="Q565" s="75"/>
      <c r="R565" s="75"/>
      <c r="S565" s="75"/>
      <c r="T565" s="75"/>
      <c r="U565" s="89"/>
      <c r="V565" s="84"/>
      <c r="W565" s="84"/>
      <c r="X565" s="84"/>
      <c r="Y565" s="84"/>
      <c r="Z565" s="84"/>
    </row>
    <row r="566" spans="1:26" ht="15.75" customHeight="1">
      <c r="A566" s="83"/>
      <c r="B566" s="83"/>
      <c r="C566" s="83"/>
      <c r="D566" s="84"/>
      <c r="E566" s="84"/>
      <c r="F566" s="84"/>
      <c r="G566" s="83"/>
      <c r="H566" s="84"/>
      <c r="I566" s="84"/>
      <c r="J566" s="84"/>
      <c r="K566" s="84"/>
      <c r="L566" s="84"/>
      <c r="M566" s="84"/>
      <c r="N566" s="84"/>
      <c r="O566" s="84"/>
      <c r="P566" s="85"/>
      <c r="Q566" s="75"/>
      <c r="R566" s="75"/>
      <c r="S566" s="75"/>
      <c r="T566" s="75"/>
      <c r="U566" s="89"/>
      <c r="V566" s="84"/>
      <c r="W566" s="84"/>
      <c r="X566" s="84"/>
      <c r="Y566" s="84"/>
      <c r="Z566" s="84"/>
    </row>
    <row r="567" spans="1:26" ht="15.75" customHeight="1">
      <c r="A567" s="83"/>
      <c r="B567" s="83"/>
      <c r="C567" s="83"/>
      <c r="D567" s="84"/>
      <c r="E567" s="84"/>
      <c r="F567" s="84"/>
      <c r="G567" s="83"/>
      <c r="H567" s="84"/>
      <c r="I567" s="84"/>
      <c r="J567" s="84"/>
      <c r="K567" s="84"/>
      <c r="L567" s="84"/>
      <c r="M567" s="84"/>
      <c r="N567" s="84"/>
      <c r="O567" s="84"/>
      <c r="P567" s="85"/>
      <c r="Q567" s="75"/>
      <c r="R567" s="75"/>
      <c r="S567" s="75"/>
      <c r="T567" s="75"/>
      <c r="U567" s="89"/>
      <c r="V567" s="84"/>
      <c r="W567" s="84"/>
      <c r="X567" s="84"/>
      <c r="Y567" s="84"/>
      <c r="Z567" s="84"/>
    </row>
    <row r="568" spans="1:26" ht="15.75" customHeight="1">
      <c r="A568" s="83"/>
      <c r="B568" s="83"/>
      <c r="C568" s="83"/>
      <c r="D568" s="84"/>
      <c r="E568" s="84"/>
      <c r="F568" s="84"/>
      <c r="G568" s="83"/>
      <c r="H568" s="84"/>
      <c r="I568" s="84"/>
      <c r="J568" s="84"/>
      <c r="K568" s="84"/>
      <c r="L568" s="84"/>
      <c r="M568" s="84"/>
      <c r="N568" s="84"/>
      <c r="O568" s="84"/>
      <c r="P568" s="85"/>
      <c r="Q568" s="75"/>
      <c r="R568" s="75"/>
      <c r="S568" s="75"/>
      <c r="T568" s="75"/>
      <c r="U568" s="89"/>
      <c r="V568" s="84"/>
      <c r="W568" s="84"/>
      <c r="X568" s="84"/>
      <c r="Y568" s="84"/>
      <c r="Z568" s="84"/>
    </row>
    <row r="569" spans="1:26" ht="15.75" customHeight="1">
      <c r="A569" s="83"/>
      <c r="B569" s="83"/>
      <c r="C569" s="83"/>
      <c r="D569" s="84"/>
      <c r="E569" s="84"/>
      <c r="F569" s="84"/>
      <c r="G569" s="83"/>
      <c r="H569" s="84"/>
      <c r="I569" s="84"/>
      <c r="J569" s="84"/>
      <c r="K569" s="84"/>
      <c r="L569" s="84"/>
      <c r="M569" s="84"/>
      <c r="N569" s="84"/>
      <c r="O569" s="84"/>
      <c r="P569" s="85"/>
      <c r="Q569" s="75"/>
      <c r="R569" s="75"/>
      <c r="S569" s="75"/>
      <c r="T569" s="75"/>
      <c r="U569" s="89"/>
      <c r="V569" s="84"/>
      <c r="W569" s="84"/>
      <c r="X569" s="84"/>
      <c r="Y569" s="84"/>
      <c r="Z569" s="84"/>
    </row>
    <row r="570" spans="1:26" ht="15.75" customHeight="1">
      <c r="A570" s="83"/>
      <c r="B570" s="83"/>
      <c r="C570" s="83"/>
      <c r="D570" s="84"/>
      <c r="E570" s="84"/>
      <c r="F570" s="84"/>
      <c r="G570" s="83"/>
      <c r="H570" s="84"/>
      <c r="I570" s="84"/>
      <c r="J570" s="84"/>
      <c r="K570" s="84"/>
      <c r="L570" s="84"/>
      <c r="M570" s="84"/>
      <c r="N570" s="84"/>
      <c r="O570" s="84"/>
      <c r="P570" s="85"/>
      <c r="Q570" s="75"/>
      <c r="R570" s="75"/>
      <c r="S570" s="75"/>
      <c r="T570" s="75"/>
      <c r="U570" s="89"/>
      <c r="V570" s="84"/>
      <c r="W570" s="84"/>
      <c r="X570" s="84"/>
      <c r="Y570" s="84"/>
      <c r="Z570" s="84"/>
    </row>
    <row r="571" spans="1:26" ht="15.75" customHeight="1">
      <c r="A571" s="83"/>
      <c r="B571" s="83"/>
      <c r="C571" s="83"/>
      <c r="D571" s="84"/>
      <c r="E571" s="84"/>
      <c r="F571" s="84"/>
      <c r="G571" s="83"/>
      <c r="H571" s="84"/>
      <c r="I571" s="84"/>
      <c r="J571" s="84"/>
      <c r="K571" s="84"/>
      <c r="L571" s="84"/>
      <c r="M571" s="84"/>
      <c r="N571" s="84"/>
      <c r="O571" s="84"/>
      <c r="P571" s="85"/>
      <c r="Q571" s="75"/>
      <c r="R571" s="75"/>
      <c r="S571" s="75"/>
      <c r="T571" s="75"/>
      <c r="U571" s="89"/>
      <c r="V571" s="84"/>
      <c r="W571" s="84"/>
      <c r="X571" s="84"/>
      <c r="Y571" s="84"/>
      <c r="Z571" s="84"/>
    </row>
    <row r="572" spans="1:26" ht="15.75" customHeight="1">
      <c r="A572" s="83"/>
      <c r="B572" s="83"/>
      <c r="C572" s="83"/>
      <c r="D572" s="84"/>
      <c r="E572" s="84"/>
      <c r="F572" s="84"/>
      <c r="G572" s="83"/>
      <c r="H572" s="84"/>
      <c r="I572" s="84"/>
      <c r="J572" s="84"/>
      <c r="K572" s="84"/>
      <c r="L572" s="84"/>
      <c r="M572" s="84"/>
      <c r="N572" s="84"/>
      <c r="O572" s="84"/>
      <c r="P572" s="85"/>
      <c r="Q572" s="75"/>
      <c r="R572" s="75"/>
      <c r="S572" s="75"/>
      <c r="T572" s="75"/>
      <c r="U572" s="89"/>
      <c r="V572" s="84"/>
      <c r="W572" s="84"/>
      <c r="X572" s="84"/>
      <c r="Y572" s="84"/>
      <c r="Z572" s="84"/>
    </row>
    <row r="573" spans="1:26" ht="15.75" customHeight="1">
      <c r="A573" s="83"/>
      <c r="B573" s="83"/>
      <c r="C573" s="83"/>
      <c r="D573" s="84"/>
      <c r="E573" s="84"/>
      <c r="F573" s="84"/>
      <c r="G573" s="83"/>
      <c r="H573" s="84"/>
      <c r="I573" s="84"/>
      <c r="J573" s="84"/>
      <c r="K573" s="84"/>
      <c r="L573" s="84"/>
      <c r="M573" s="84"/>
      <c r="N573" s="84"/>
      <c r="O573" s="84"/>
      <c r="P573" s="85"/>
      <c r="Q573" s="75"/>
      <c r="R573" s="75"/>
      <c r="S573" s="75"/>
      <c r="T573" s="75"/>
      <c r="U573" s="89"/>
      <c r="V573" s="84"/>
      <c r="W573" s="84"/>
      <c r="X573" s="84"/>
      <c r="Y573" s="84"/>
      <c r="Z573" s="84"/>
    </row>
    <row r="574" spans="1:26" ht="15.75" customHeight="1">
      <c r="A574" s="83"/>
      <c r="B574" s="83"/>
      <c r="C574" s="83"/>
      <c r="D574" s="84"/>
      <c r="E574" s="84"/>
      <c r="F574" s="84"/>
      <c r="G574" s="83"/>
      <c r="H574" s="84"/>
      <c r="I574" s="84"/>
      <c r="J574" s="84"/>
      <c r="K574" s="84"/>
      <c r="L574" s="84"/>
      <c r="M574" s="84"/>
      <c r="N574" s="84"/>
      <c r="O574" s="84"/>
      <c r="P574" s="85"/>
      <c r="Q574" s="75"/>
      <c r="R574" s="75"/>
      <c r="S574" s="75"/>
      <c r="T574" s="75"/>
      <c r="U574" s="89"/>
      <c r="V574" s="84"/>
      <c r="W574" s="84"/>
      <c r="X574" s="84"/>
      <c r="Y574" s="84"/>
      <c r="Z574" s="84"/>
    </row>
    <row r="575" spans="1:26" ht="15.75" customHeight="1">
      <c r="A575" s="83"/>
      <c r="B575" s="83"/>
      <c r="C575" s="83"/>
      <c r="D575" s="84"/>
      <c r="E575" s="84"/>
      <c r="F575" s="84"/>
      <c r="G575" s="83"/>
      <c r="H575" s="84"/>
      <c r="I575" s="84"/>
      <c r="J575" s="84"/>
      <c r="K575" s="84"/>
      <c r="L575" s="84"/>
      <c r="M575" s="84"/>
      <c r="N575" s="84"/>
      <c r="O575" s="84"/>
      <c r="P575" s="85"/>
      <c r="Q575" s="75"/>
      <c r="R575" s="75"/>
      <c r="S575" s="75"/>
      <c r="T575" s="75"/>
      <c r="U575" s="89"/>
      <c r="V575" s="84"/>
      <c r="W575" s="84"/>
      <c r="X575" s="84"/>
      <c r="Y575" s="84"/>
      <c r="Z575" s="84"/>
    </row>
    <row r="576" spans="1:26" ht="15.75" customHeight="1">
      <c r="A576" s="83"/>
      <c r="B576" s="83"/>
      <c r="C576" s="83"/>
      <c r="D576" s="84"/>
      <c r="E576" s="84"/>
      <c r="F576" s="84"/>
      <c r="G576" s="83"/>
      <c r="H576" s="84"/>
      <c r="I576" s="84"/>
      <c r="J576" s="84"/>
      <c r="K576" s="84"/>
      <c r="L576" s="84"/>
      <c r="M576" s="84"/>
      <c r="N576" s="84"/>
      <c r="O576" s="84"/>
      <c r="P576" s="85"/>
      <c r="Q576" s="75"/>
      <c r="R576" s="75"/>
      <c r="S576" s="75"/>
      <c r="T576" s="75"/>
      <c r="U576" s="89"/>
      <c r="V576" s="84"/>
      <c r="W576" s="84"/>
      <c r="X576" s="84"/>
      <c r="Y576" s="84"/>
      <c r="Z576" s="84"/>
    </row>
    <row r="577" spans="1:26" ht="15.75" customHeight="1">
      <c r="A577" s="83"/>
      <c r="B577" s="83"/>
      <c r="C577" s="83"/>
      <c r="D577" s="84"/>
      <c r="E577" s="84"/>
      <c r="F577" s="84"/>
      <c r="G577" s="83"/>
      <c r="H577" s="84"/>
      <c r="I577" s="84"/>
      <c r="J577" s="84"/>
      <c r="K577" s="84"/>
      <c r="L577" s="84"/>
      <c r="M577" s="84"/>
      <c r="N577" s="84"/>
      <c r="O577" s="84"/>
      <c r="P577" s="85"/>
      <c r="Q577" s="75"/>
      <c r="R577" s="75"/>
      <c r="S577" s="75"/>
      <c r="T577" s="75"/>
      <c r="U577" s="89"/>
      <c r="V577" s="84"/>
      <c r="W577" s="84"/>
      <c r="X577" s="84"/>
      <c r="Y577" s="84"/>
      <c r="Z577" s="84"/>
    </row>
    <row r="578" spans="1:26" ht="15.75" customHeight="1">
      <c r="A578" s="83"/>
      <c r="B578" s="83"/>
      <c r="C578" s="83"/>
      <c r="D578" s="84"/>
      <c r="E578" s="84"/>
      <c r="F578" s="84"/>
      <c r="G578" s="83"/>
      <c r="H578" s="84"/>
      <c r="I578" s="84"/>
      <c r="J578" s="84"/>
      <c r="K578" s="84"/>
      <c r="L578" s="84"/>
      <c r="M578" s="84"/>
      <c r="N578" s="84"/>
      <c r="O578" s="84"/>
      <c r="P578" s="85"/>
      <c r="Q578" s="75"/>
      <c r="R578" s="75"/>
      <c r="S578" s="75"/>
      <c r="T578" s="75"/>
      <c r="U578" s="89"/>
      <c r="V578" s="84"/>
      <c r="W578" s="84"/>
      <c r="X578" s="84"/>
      <c r="Y578" s="84"/>
      <c r="Z578" s="84"/>
    </row>
    <row r="579" spans="1:26" ht="15.75" customHeight="1">
      <c r="A579" s="83"/>
      <c r="B579" s="83"/>
      <c r="C579" s="83"/>
      <c r="D579" s="84"/>
      <c r="E579" s="84"/>
      <c r="F579" s="84"/>
      <c r="G579" s="83"/>
      <c r="H579" s="84"/>
      <c r="I579" s="84"/>
      <c r="J579" s="84"/>
      <c r="K579" s="84"/>
      <c r="L579" s="84"/>
      <c r="M579" s="84"/>
      <c r="N579" s="84"/>
      <c r="O579" s="84"/>
      <c r="P579" s="85"/>
      <c r="Q579" s="75"/>
      <c r="R579" s="75"/>
      <c r="S579" s="75"/>
      <c r="T579" s="75"/>
      <c r="U579" s="89"/>
      <c r="V579" s="84"/>
      <c r="W579" s="84"/>
      <c r="X579" s="84"/>
      <c r="Y579" s="84"/>
      <c r="Z579" s="84"/>
    </row>
    <row r="580" spans="1:26" ht="15.75" customHeight="1">
      <c r="A580" s="83"/>
      <c r="B580" s="83"/>
      <c r="C580" s="83"/>
      <c r="D580" s="84"/>
      <c r="E580" s="84"/>
      <c r="F580" s="84"/>
      <c r="G580" s="83"/>
      <c r="H580" s="84"/>
      <c r="I580" s="84"/>
      <c r="J580" s="84"/>
      <c r="K580" s="84"/>
      <c r="L580" s="84"/>
      <c r="M580" s="84"/>
      <c r="N580" s="84"/>
      <c r="O580" s="84"/>
      <c r="P580" s="85"/>
      <c r="Q580" s="75"/>
      <c r="R580" s="75"/>
      <c r="S580" s="75"/>
      <c r="T580" s="75"/>
      <c r="U580" s="89"/>
      <c r="V580" s="84"/>
      <c r="W580" s="84"/>
      <c r="X580" s="84"/>
      <c r="Y580" s="84"/>
      <c r="Z580" s="84"/>
    </row>
    <row r="581" spans="1:26" ht="15.75" customHeight="1">
      <c r="A581" s="83"/>
      <c r="B581" s="83"/>
      <c r="C581" s="83"/>
      <c r="D581" s="84"/>
      <c r="E581" s="84"/>
      <c r="F581" s="84"/>
      <c r="G581" s="83"/>
      <c r="H581" s="84"/>
      <c r="I581" s="84"/>
      <c r="J581" s="84"/>
      <c r="K581" s="84"/>
      <c r="L581" s="84"/>
      <c r="M581" s="84"/>
      <c r="N581" s="84"/>
      <c r="O581" s="84"/>
      <c r="P581" s="85"/>
      <c r="Q581" s="75"/>
      <c r="R581" s="75"/>
      <c r="S581" s="75"/>
      <c r="T581" s="75"/>
      <c r="U581" s="89"/>
      <c r="V581" s="84"/>
      <c r="W581" s="84"/>
      <c r="X581" s="84"/>
      <c r="Y581" s="84"/>
      <c r="Z581" s="84"/>
    </row>
    <row r="582" spans="1:26" ht="15.75" customHeight="1">
      <c r="A582" s="83"/>
      <c r="B582" s="83"/>
      <c r="C582" s="83"/>
      <c r="D582" s="84"/>
      <c r="E582" s="84"/>
      <c r="F582" s="84"/>
      <c r="G582" s="83"/>
      <c r="H582" s="84"/>
      <c r="I582" s="84"/>
      <c r="J582" s="84"/>
      <c r="K582" s="84"/>
      <c r="L582" s="84"/>
      <c r="M582" s="84"/>
      <c r="N582" s="84"/>
      <c r="O582" s="84"/>
      <c r="P582" s="85"/>
      <c r="Q582" s="75"/>
      <c r="R582" s="75"/>
      <c r="S582" s="75"/>
      <c r="T582" s="75"/>
      <c r="U582" s="89"/>
      <c r="V582" s="84"/>
      <c r="W582" s="84"/>
      <c r="X582" s="84"/>
      <c r="Y582" s="84"/>
      <c r="Z582" s="84"/>
    </row>
    <row r="583" spans="1:26" ht="15.75" customHeight="1">
      <c r="A583" s="83"/>
      <c r="B583" s="83"/>
      <c r="C583" s="83"/>
      <c r="D583" s="84"/>
      <c r="E583" s="84"/>
      <c r="F583" s="84"/>
      <c r="G583" s="83"/>
      <c r="H583" s="84"/>
      <c r="I583" s="84"/>
      <c r="J583" s="84"/>
      <c r="K583" s="84"/>
      <c r="L583" s="84"/>
      <c r="M583" s="84"/>
      <c r="N583" s="84"/>
      <c r="O583" s="84"/>
      <c r="P583" s="85"/>
      <c r="Q583" s="75"/>
      <c r="R583" s="75"/>
      <c r="S583" s="75"/>
      <c r="T583" s="75"/>
      <c r="U583" s="89"/>
      <c r="V583" s="84"/>
      <c r="W583" s="84"/>
      <c r="X583" s="84"/>
      <c r="Y583" s="84"/>
      <c r="Z583" s="84"/>
    </row>
    <row r="584" spans="1:26" ht="15.75" customHeight="1">
      <c r="A584" s="83"/>
      <c r="B584" s="83"/>
      <c r="C584" s="83"/>
      <c r="D584" s="84"/>
      <c r="E584" s="84"/>
      <c r="F584" s="84"/>
      <c r="G584" s="83"/>
      <c r="H584" s="84"/>
      <c r="I584" s="84"/>
      <c r="J584" s="84"/>
      <c r="K584" s="84"/>
      <c r="L584" s="84"/>
      <c r="M584" s="84"/>
      <c r="N584" s="84"/>
      <c r="O584" s="84"/>
      <c r="P584" s="85"/>
      <c r="Q584" s="75"/>
      <c r="R584" s="75"/>
      <c r="S584" s="75"/>
      <c r="T584" s="75"/>
      <c r="U584" s="89"/>
      <c r="V584" s="84"/>
      <c r="W584" s="84"/>
      <c r="X584" s="84"/>
      <c r="Y584" s="84"/>
      <c r="Z584" s="84"/>
    </row>
    <row r="585" spans="1:26" ht="15.75" customHeight="1">
      <c r="A585" s="83"/>
      <c r="B585" s="83"/>
      <c r="C585" s="83"/>
      <c r="D585" s="84"/>
      <c r="E585" s="84"/>
      <c r="F585" s="84"/>
      <c r="G585" s="83"/>
      <c r="H585" s="84"/>
      <c r="I585" s="84"/>
      <c r="J585" s="84"/>
      <c r="K585" s="84"/>
      <c r="L585" s="84"/>
      <c r="M585" s="84"/>
      <c r="N585" s="84"/>
      <c r="O585" s="84"/>
      <c r="P585" s="85"/>
      <c r="Q585" s="75"/>
      <c r="R585" s="75"/>
      <c r="S585" s="75"/>
      <c r="T585" s="75"/>
      <c r="U585" s="89"/>
      <c r="V585" s="84"/>
      <c r="W585" s="84"/>
      <c r="X585" s="84"/>
      <c r="Y585" s="84"/>
      <c r="Z585" s="84"/>
    </row>
    <row r="586" spans="1:26" ht="15.75" customHeight="1">
      <c r="A586" s="83"/>
      <c r="B586" s="83"/>
      <c r="C586" s="83"/>
      <c r="D586" s="84"/>
      <c r="E586" s="84"/>
      <c r="F586" s="84"/>
      <c r="G586" s="83"/>
      <c r="H586" s="84"/>
      <c r="I586" s="84"/>
      <c r="J586" s="84"/>
      <c r="K586" s="84"/>
      <c r="L586" s="84"/>
      <c r="M586" s="84"/>
      <c r="N586" s="84"/>
      <c r="O586" s="84"/>
      <c r="P586" s="85"/>
      <c r="Q586" s="75"/>
      <c r="R586" s="75"/>
      <c r="S586" s="75"/>
      <c r="T586" s="75"/>
      <c r="U586" s="89"/>
      <c r="V586" s="84"/>
      <c r="W586" s="84"/>
      <c r="X586" s="84"/>
      <c r="Y586" s="84"/>
      <c r="Z586" s="84"/>
    </row>
    <row r="587" spans="1:26" ht="15.75" customHeight="1">
      <c r="A587" s="83"/>
      <c r="B587" s="83"/>
      <c r="C587" s="83"/>
      <c r="D587" s="84"/>
      <c r="E587" s="84"/>
      <c r="F587" s="84"/>
      <c r="G587" s="83"/>
      <c r="H587" s="84"/>
      <c r="I587" s="84"/>
      <c r="J587" s="84"/>
      <c r="K587" s="84"/>
      <c r="L587" s="84"/>
      <c r="M587" s="84"/>
      <c r="N587" s="84"/>
      <c r="O587" s="84"/>
      <c r="P587" s="85"/>
      <c r="Q587" s="75"/>
      <c r="R587" s="75"/>
      <c r="S587" s="75"/>
      <c r="T587" s="75"/>
      <c r="U587" s="89"/>
      <c r="V587" s="84"/>
      <c r="W587" s="84"/>
      <c r="X587" s="84"/>
      <c r="Y587" s="84"/>
      <c r="Z587" s="84"/>
    </row>
    <row r="588" spans="1:26" ht="15.75" customHeight="1">
      <c r="A588" s="83"/>
      <c r="B588" s="83"/>
      <c r="C588" s="83"/>
      <c r="D588" s="84"/>
      <c r="E588" s="84"/>
      <c r="F588" s="84"/>
      <c r="G588" s="83"/>
      <c r="H588" s="84"/>
      <c r="I588" s="84"/>
      <c r="J588" s="84"/>
      <c r="K588" s="84"/>
      <c r="L588" s="84"/>
      <c r="M588" s="84"/>
      <c r="N588" s="84"/>
      <c r="O588" s="84"/>
      <c r="P588" s="85"/>
      <c r="Q588" s="75"/>
      <c r="R588" s="75"/>
      <c r="S588" s="75"/>
      <c r="T588" s="75"/>
      <c r="U588" s="89"/>
      <c r="V588" s="84"/>
      <c r="W588" s="84"/>
      <c r="X588" s="84"/>
      <c r="Y588" s="84"/>
      <c r="Z588" s="84"/>
    </row>
    <row r="589" spans="1:26" ht="15.75" customHeight="1">
      <c r="A589" s="83"/>
      <c r="B589" s="83"/>
      <c r="C589" s="83"/>
      <c r="D589" s="84"/>
      <c r="E589" s="84"/>
      <c r="F589" s="84"/>
      <c r="G589" s="83"/>
      <c r="H589" s="84"/>
      <c r="I589" s="84"/>
      <c r="J589" s="84"/>
      <c r="K589" s="84"/>
      <c r="L589" s="84"/>
      <c r="M589" s="84"/>
      <c r="N589" s="84"/>
      <c r="O589" s="84"/>
      <c r="P589" s="85"/>
      <c r="Q589" s="75"/>
      <c r="R589" s="75"/>
      <c r="S589" s="75"/>
      <c r="T589" s="75"/>
      <c r="U589" s="89"/>
      <c r="V589" s="84"/>
      <c r="W589" s="84"/>
      <c r="X589" s="84"/>
      <c r="Y589" s="84"/>
      <c r="Z589" s="84"/>
    </row>
    <row r="590" spans="1:26" ht="15.75" customHeight="1">
      <c r="A590" s="83"/>
      <c r="B590" s="83"/>
      <c r="C590" s="83"/>
      <c r="D590" s="84"/>
      <c r="E590" s="84"/>
      <c r="F590" s="84"/>
      <c r="G590" s="83"/>
      <c r="H590" s="84"/>
      <c r="I590" s="84"/>
      <c r="J590" s="84"/>
      <c r="K590" s="84"/>
      <c r="L590" s="84"/>
      <c r="M590" s="84"/>
      <c r="N590" s="84"/>
      <c r="O590" s="84"/>
      <c r="P590" s="85"/>
      <c r="Q590" s="75"/>
      <c r="R590" s="75"/>
      <c r="S590" s="75"/>
      <c r="T590" s="75"/>
      <c r="U590" s="89"/>
      <c r="V590" s="84"/>
      <c r="W590" s="84"/>
      <c r="X590" s="84"/>
      <c r="Y590" s="84"/>
      <c r="Z590" s="84"/>
    </row>
    <row r="591" spans="1:26" ht="15.75" customHeight="1">
      <c r="A591" s="83"/>
      <c r="B591" s="83"/>
      <c r="C591" s="83"/>
      <c r="D591" s="84"/>
      <c r="E591" s="84"/>
      <c r="F591" s="84"/>
      <c r="G591" s="83"/>
      <c r="H591" s="84"/>
      <c r="I591" s="84"/>
      <c r="J591" s="84"/>
      <c r="K591" s="84"/>
      <c r="L591" s="84"/>
      <c r="M591" s="84"/>
      <c r="N591" s="84"/>
      <c r="O591" s="84"/>
      <c r="P591" s="85"/>
      <c r="Q591" s="75"/>
      <c r="R591" s="75"/>
      <c r="S591" s="75"/>
      <c r="T591" s="75"/>
      <c r="U591" s="89"/>
      <c r="V591" s="84"/>
      <c r="W591" s="84"/>
      <c r="X591" s="84"/>
      <c r="Y591" s="84"/>
      <c r="Z591" s="84"/>
    </row>
    <row r="592" spans="1:26" ht="15.75" customHeight="1">
      <c r="A592" s="83"/>
      <c r="B592" s="83"/>
      <c r="C592" s="83"/>
      <c r="D592" s="84"/>
      <c r="E592" s="84"/>
      <c r="F592" s="84"/>
      <c r="G592" s="83"/>
      <c r="H592" s="84"/>
      <c r="I592" s="84"/>
      <c r="J592" s="84"/>
      <c r="K592" s="84"/>
      <c r="L592" s="84"/>
      <c r="M592" s="84"/>
      <c r="N592" s="84"/>
      <c r="O592" s="84"/>
      <c r="P592" s="85"/>
      <c r="Q592" s="75"/>
      <c r="R592" s="75"/>
      <c r="S592" s="75"/>
      <c r="T592" s="75"/>
      <c r="U592" s="89"/>
      <c r="V592" s="84"/>
      <c r="W592" s="84"/>
      <c r="X592" s="84"/>
      <c r="Y592" s="84"/>
      <c r="Z592" s="84"/>
    </row>
    <row r="593" spans="1:26" ht="15.75" customHeight="1">
      <c r="A593" s="83"/>
      <c r="B593" s="83"/>
      <c r="C593" s="83"/>
      <c r="D593" s="84"/>
      <c r="E593" s="84"/>
      <c r="F593" s="84"/>
      <c r="G593" s="83"/>
      <c r="H593" s="84"/>
      <c r="I593" s="84"/>
      <c r="J593" s="84"/>
      <c r="K593" s="84"/>
      <c r="L593" s="84"/>
      <c r="M593" s="84"/>
      <c r="N593" s="84"/>
      <c r="O593" s="84"/>
      <c r="P593" s="85"/>
      <c r="Q593" s="75"/>
      <c r="R593" s="75"/>
      <c r="S593" s="75"/>
      <c r="T593" s="75"/>
      <c r="U593" s="89"/>
      <c r="V593" s="84"/>
      <c r="W593" s="84"/>
      <c r="X593" s="84"/>
      <c r="Y593" s="84"/>
      <c r="Z593" s="84"/>
    </row>
    <row r="594" spans="1:26" ht="15.75" customHeight="1">
      <c r="A594" s="83"/>
      <c r="B594" s="83"/>
      <c r="C594" s="83"/>
      <c r="D594" s="84"/>
      <c r="E594" s="84"/>
      <c r="F594" s="84"/>
      <c r="G594" s="83"/>
      <c r="H594" s="84"/>
      <c r="I594" s="84"/>
      <c r="J594" s="84"/>
      <c r="K594" s="84"/>
      <c r="L594" s="84"/>
      <c r="M594" s="84"/>
      <c r="N594" s="84"/>
      <c r="O594" s="84"/>
      <c r="P594" s="85"/>
      <c r="Q594" s="75"/>
      <c r="R594" s="75"/>
      <c r="S594" s="75"/>
      <c r="T594" s="75"/>
      <c r="U594" s="89"/>
      <c r="V594" s="84"/>
      <c r="W594" s="84"/>
      <c r="X594" s="84"/>
      <c r="Y594" s="84"/>
      <c r="Z594" s="84"/>
    </row>
    <row r="595" spans="1:26" ht="15.75" customHeight="1">
      <c r="A595" s="83"/>
      <c r="B595" s="83"/>
      <c r="C595" s="83"/>
      <c r="D595" s="84"/>
      <c r="E595" s="84"/>
      <c r="F595" s="84"/>
      <c r="G595" s="83"/>
      <c r="H595" s="84"/>
      <c r="I595" s="84"/>
      <c r="J595" s="84"/>
      <c r="K595" s="84"/>
      <c r="L595" s="84"/>
      <c r="M595" s="84"/>
      <c r="N595" s="84"/>
      <c r="O595" s="84"/>
      <c r="P595" s="85"/>
      <c r="Q595" s="75"/>
      <c r="R595" s="75"/>
      <c r="S595" s="75"/>
      <c r="T595" s="75"/>
      <c r="U595" s="89"/>
      <c r="V595" s="84"/>
      <c r="W595" s="84"/>
      <c r="X595" s="84"/>
      <c r="Y595" s="84"/>
      <c r="Z595" s="84"/>
    </row>
    <row r="596" spans="1:26" ht="15.75" customHeight="1">
      <c r="A596" s="83"/>
      <c r="B596" s="83"/>
      <c r="C596" s="83"/>
      <c r="D596" s="84"/>
      <c r="E596" s="84"/>
      <c r="F596" s="84"/>
      <c r="G596" s="83"/>
      <c r="H596" s="84"/>
      <c r="I596" s="84"/>
      <c r="J596" s="84"/>
      <c r="K596" s="84"/>
      <c r="L596" s="84"/>
      <c r="M596" s="84"/>
      <c r="N596" s="84"/>
      <c r="O596" s="84"/>
      <c r="P596" s="85"/>
      <c r="Q596" s="75"/>
      <c r="R596" s="75"/>
      <c r="S596" s="75"/>
      <c r="T596" s="75"/>
      <c r="U596" s="89"/>
      <c r="V596" s="84"/>
      <c r="W596" s="84"/>
      <c r="X596" s="84"/>
      <c r="Y596" s="84"/>
      <c r="Z596" s="84"/>
    </row>
    <row r="597" spans="1:26" ht="15.75" customHeight="1">
      <c r="A597" s="83"/>
      <c r="B597" s="83"/>
      <c r="C597" s="83"/>
      <c r="D597" s="84"/>
      <c r="E597" s="84"/>
      <c r="F597" s="84"/>
      <c r="G597" s="83"/>
      <c r="H597" s="84"/>
      <c r="I597" s="84"/>
      <c r="J597" s="84"/>
      <c r="K597" s="84"/>
      <c r="L597" s="84"/>
      <c r="M597" s="84"/>
      <c r="N597" s="84"/>
      <c r="O597" s="84"/>
      <c r="P597" s="85"/>
      <c r="Q597" s="75"/>
      <c r="R597" s="75"/>
      <c r="S597" s="75"/>
      <c r="T597" s="75"/>
      <c r="U597" s="89"/>
      <c r="V597" s="84"/>
      <c r="W597" s="84"/>
      <c r="X597" s="84"/>
      <c r="Y597" s="84"/>
      <c r="Z597" s="84"/>
    </row>
    <row r="598" spans="1:26" ht="15.75" customHeight="1">
      <c r="A598" s="83"/>
      <c r="B598" s="83"/>
      <c r="C598" s="83"/>
      <c r="D598" s="84"/>
      <c r="E598" s="84"/>
      <c r="F598" s="84"/>
      <c r="G598" s="83"/>
      <c r="H598" s="84"/>
      <c r="I598" s="84"/>
      <c r="J598" s="84"/>
      <c r="K598" s="84"/>
      <c r="L598" s="84"/>
      <c r="M598" s="84"/>
      <c r="N598" s="84"/>
      <c r="O598" s="84"/>
      <c r="P598" s="85"/>
      <c r="Q598" s="75"/>
      <c r="R598" s="75"/>
      <c r="S598" s="75"/>
      <c r="T598" s="75"/>
      <c r="U598" s="89"/>
      <c r="V598" s="84"/>
      <c r="W598" s="84"/>
      <c r="X598" s="84"/>
      <c r="Y598" s="84"/>
      <c r="Z598" s="84"/>
    </row>
    <row r="599" spans="1:26" ht="15.75" customHeight="1">
      <c r="A599" s="83"/>
      <c r="B599" s="83"/>
      <c r="C599" s="83"/>
      <c r="D599" s="84"/>
      <c r="E599" s="84"/>
      <c r="F599" s="84"/>
      <c r="G599" s="83"/>
      <c r="H599" s="84"/>
      <c r="I599" s="84"/>
      <c r="J599" s="84"/>
      <c r="K599" s="84"/>
      <c r="L599" s="84"/>
      <c r="M599" s="84"/>
      <c r="N599" s="84"/>
      <c r="O599" s="84"/>
      <c r="P599" s="85"/>
      <c r="Q599" s="75"/>
      <c r="R599" s="75"/>
      <c r="S599" s="75"/>
      <c r="T599" s="75"/>
      <c r="U599" s="89"/>
      <c r="V599" s="84"/>
      <c r="W599" s="84"/>
      <c r="X599" s="84"/>
      <c r="Y599" s="84"/>
      <c r="Z599" s="84"/>
    </row>
    <row r="600" spans="1:26" ht="15.75" customHeight="1">
      <c r="A600" s="83"/>
      <c r="B600" s="83"/>
      <c r="C600" s="83"/>
      <c r="D600" s="84"/>
      <c r="E600" s="84"/>
      <c r="F600" s="84"/>
      <c r="G600" s="83"/>
      <c r="H600" s="84"/>
      <c r="I600" s="84"/>
      <c r="J600" s="84"/>
      <c r="K600" s="84"/>
      <c r="L600" s="84"/>
      <c r="M600" s="84"/>
      <c r="N600" s="84"/>
      <c r="O600" s="84"/>
      <c r="P600" s="85"/>
      <c r="Q600" s="75"/>
      <c r="R600" s="75"/>
      <c r="S600" s="75"/>
      <c r="T600" s="75"/>
      <c r="U600" s="89"/>
      <c r="V600" s="84"/>
      <c r="W600" s="84"/>
      <c r="X600" s="84"/>
      <c r="Y600" s="84"/>
      <c r="Z600" s="84"/>
    </row>
    <row r="601" spans="1:26" ht="15.75" customHeight="1">
      <c r="A601" s="83"/>
      <c r="B601" s="83"/>
      <c r="C601" s="83"/>
      <c r="D601" s="84"/>
      <c r="E601" s="84"/>
      <c r="F601" s="84"/>
      <c r="G601" s="83"/>
      <c r="H601" s="84"/>
      <c r="I601" s="84"/>
      <c r="J601" s="84"/>
      <c r="K601" s="84"/>
      <c r="L601" s="84"/>
      <c r="M601" s="84"/>
      <c r="N601" s="84"/>
      <c r="O601" s="84"/>
      <c r="P601" s="85"/>
      <c r="Q601" s="75"/>
      <c r="R601" s="75"/>
      <c r="S601" s="75"/>
      <c r="T601" s="75"/>
      <c r="U601" s="89"/>
      <c r="V601" s="84"/>
      <c r="W601" s="84"/>
      <c r="X601" s="84"/>
      <c r="Y601" s="84"/>
      <c r="Z601" s="84"/>
    </row>
    <row r="602" spans="1:26" ht="15.75" customHeight="1">
      <c r="A602" s="83"/>
      <c r="B602" s="83"/>
      <c r="C602" s="83"/>
      <c r="D602" s="84"/>
      <c r="E602" s="84"/>
      <c r="F602" s="84"/>
      <c r="G602" s="83"/>
      <c r="H602" s="84"/>
      <c r="I602" s="84"/>
      <c r="J602" s="84"/>
      <c r="K602" s="84"/>
      <c r="L602" s="84"/>
      <c r="M602" s="84"/>
      <c r="N602" s="84"/>
      <c r="O602" s="84"/>
      <c r="P602" s="85"/>
      <c r="Q602" s="75"/>
      <c r="R602" s="75"/>
      <c r="S602" s="75"/>
      <c r="T602" s="75"/>
      <c r="U602" s="89"/>
      <c r="V602" s="84"/>
      <c r="W602" s="84"/>
      <c r="X602" s="84"/>
      <c r="Y602" s="84"/>
      <c r="Z602" s="84"/>
    </row>
    <row r="603" spans="1:26" ht="15.75" customHeight="1">
      <c r="A603" s="83"/>
      <c r="B603" s="83"/>
      <c r="C603" s="83"/>
      <c r="D603" s="84"/>
      <c r="E603" s="84"/>
      <c r="F603" s="84"/>
      <c r="G603" s="83"/>
      <c r="H603" s="84"/>
      <c r="I603" s="84"/>
      <c r="J603" s="84"/>
      <c r="K603" s="84"/>
      <c r="L603" s="84"/>
      <c r="M603" s="84"/>
      <c r="N603" s="84"/>
      <c r="O603" s="84"/>
      <c r="P603" s="85"/>
      <c r="Q603" s="75"/>
      <c r="R603" s="75"/>
      <c r="S603" s="75"/>
      <c r="T603" s="75"/>
      <c r="U603" s="89"/>
      <c r="V603" s="84"/>
      <c r="W603" s="84"/>
      <c r="X603" s="84"/>
      <c r="Y603" s="84"/>
      <c r="Z603" s="84"/>
    </row>
    <row r="604" spans="1:26" ht="15.75" customHeight="1">
      <c r="A604" s="83"/>
      <c r="B604" s="83"/>
      <c r="C604" s="83"/>
      <c r="D604" s="84"/>
      <c r="E604" s="84"/>
      <c r="F604" s="84"/>
      <c r="G604" s="83"/>
      <c r="H604" s="84"/>
      <c r="I604" s="84"/>
      <c r="J604" s="84"/>
      <c r="K604" s="84"/>
      <c r="L604" s="84"/>
      <c r="M604" s="84"/>
      <c r="N604" s="84"/>
      <c r="O604" s="84"/>
      <c r="P604" s="85"/>
      <c r="Q604" s="75"/>
      <c r="R604" s="75"/>
      <c r="S604" s="75"/>
      <c r="T604" s="75"/>
      <c r="U604" s="89"/>
      <c r="V604" s="84"/>
      <c r="W604" s="84"/>
      <c r="X604" s="84"/>
      <c r="Y604" s="84"/>
      <c r="Z604" s="84"/>
    </row>
    <row r="605" spans="1:26" ht="15.75" customHeight="1">
      <c r="A605" s="83"/>
      <c r="B605" s="83"/>
      <c r="C605" s="83"/>
      <c r="D605" s="84"/>
      <c r="E605" s="84"/>
      <c r="F605" s="84"/>
      <c r="G605" s="83"/>
      <c r="H605" s="84"/>
      <c r="I605" s="84"/>
      <c r="J605" s="84"/>
      <c r="K605" s="84"/>
      <c r="L605" s="84"/>
      <c r="M605" s="84"/>
      <c r="N605" s="84"/>
      <c r="O605" s="84"/>
      <c r="P605" s="85"/>
      <c r="Q605" s="75"/>
      <c r="R605" s="75"/>
      <c r="S605" s="75"/>
      <c r="T605" s="75"/>
      <c r="U605" s="89"/>
      <c r="V605" s="84"/>
      <c r="W605" s="84"/>
      <c r="X605" s="84"/>
      <c r="Y605" s="84"/>
      <c r="Z605" s="84"/>
    </row>
    <row r="606" spans="1:26" ht="15.75" customHeight="1">
      <c r="A606" s="83"/>
      <c r="B606" s="83"/>
      <c r="C606" s="83"/>
      <c r="D606" s="84"/>
      <c r="E606" s="84"/>
      <c r="F606" s="84"/>
      <c r="G606" s="83"/>
      <c r="H606" s="84"/>
      <c r="I606" s="84"/>
      <c r="J606" s="84"/>
      <c r="K606" s="84"/>
      <c r="L606" s="84"/>
      <c r="M606" s="84"/>
      <c r="N606" s="84"/>
      <c r="O606" s="84"/>
      <c r="P606" s="85"/>
      <c r="Q606" s="75"/>
      <c r="R606" s="75"/>
      <c r="S606" s="75"/>
      <c r="T606" s="75"/>
      <c r="U606" s="89"/>
      <c r="V606" s="84"/>
      <c r="W606" s="84"/>
      <c r="X606" s="84"/>
      <c r="Y606" s="84"/>
      <c r="Z606" s="84"/>
    </row>
    <row r="607" spans="1:26" ht="15.75" customHeight="1">
      <c r="A607" s="83"/>
      <c r="B607" s="83"/>
      <c r="C607" s="83"/>
      <c r="D607" s="84"/>
      <c r="E607" s="84"/>
      <c r="F607" s="84"/>
      <c r="G607" s="83"/>
      <c r="H607" s="84"/>
      <c r="I607" s="84"/>
      <c r="J607" s="84"/>
      <c r="K607" s="84"/>
      <c r="L607" s="84"/>
      <c r="M607" s="84"/>
      <c r="N607" s="84"/>
      <c r="O607" s="84"/>
      <c r="P607" s="85"/>
      <c r="Q607" s="75"/>
      <c r="R607" s="75"/>
      <c r="S607" s="75"/>
      <c r="T607" s="75"/>
      <c r="U607" s="89"/>
      <c r="V607" s="84"/>
      <c r="W607" s="84"/>
      <c r="X607" s="84"/>
      <c r="Y607" s="84"/>
      <c r="Z607" s="84"/>
    </row>
    <row r="608" spans="1:26" ht="15.75" customHeight="1">
      <c r="A608" s="83"/>
      <c r="B608" s="83"/>
      <c r="C608" s="83"/>
      <c r="D608" s="84"/>
      <c r="E608" s="84"/>
      <c r="F608" s="84"/>
      <c r="G608" s="83"/>
      <c r="H608" s="84"/>
      <c r="I608" s="84"/>
      <c r="J608" s="84"/>
      <c r="K608" s="84"/>
      <c r="L608" s="84"/>
      <c r="M608" s="84"/>
      <c r="N608" s="84"/>
      <c r="O608" s="84"/>
      <c r="P608" s="85"/>
      <c r="Q608" s="75"/>
      <c r="R608" s="75"/>
      <c r="S608" s="75"/>
      <c r="T608" s="75"/>
      <c r="U608" s="89"/>
      <c r="V608" s="84"/>
      <c r="W608" s="84"/>
      <c r="X608" s="84"/>
      <c r="Y608" s="84"/>
      <c r="Z608" s="84"/>
    </row>
    <row r="609" spans="1:26" ht="15.75" customHeight="1">
      <c r="A609" s="83"/>
      <c r="B609" s="83"/>
      <c r="C609" s="83"/>
      <c r="D609" s="84"/>
      <c r="E609" s="84"/>
      <c r="F609" s="84"/>
      <c r="G609" s="83"/>
      <c r="H609" s="84"/>
      <c r="I609" s="84"/>
      <c r="J609" s="84"/>
      <c r="K609" s="84"/>
      <c r="L609" s="84"/>
      <c r="M609" s="84"/>
      <c r="N609" s="84"/>
      <c r="O609" s="84"/>
      <c r="P609" s="85"/>
      <c r="Q609" s="75"/>
      <c r="R609" s="75"/>
      <c r="S609" s="75"/>
      <c r="T609" s="75"/>
      <c r="U609" s="89"/>
      <c r="V609" s="84"/>
      <c r="W609" s="84"/>
      <c r="X609" s="84"/>
      <c r="Y609" s="84"/>
      <c r="Z609" s="84"/>
    </row>
    <row r="610" spans="1:26" ht="15.75" customHeight="1">
      <c r="A610" s="83"/>
      <c r="B610" s="83"/>
      <c r="C610" s="83"/>
      <c r="D610" s="84"/>
      <c r="E610" s="84"/>
      <c r="F610" s="84"/>
      <c r="G610" s="83"/>
      <c r="H610" s="84"/>
      <c r="I610" s="84"/>
      <c r="J610" s="84"/>
      <c r="K610" s="84"/>
      <c r="L610" s="84"/>
      <c r="M610" s="84"/>
      <c r="N610" s="84"/>
      <c r="O610" s="84"/>
      <c r="P610" s="85"/>
      <c r="Q610" s="75"/>
      <c r="R610" s="75"/>
      <c r="S610" s="75"/>
      <c r="T610" s="75"/>
      <c r="U610" s="89"/>
      <c r="V610" s="84"/>
      <c r="W610" s="84"/>
      <c r="X610" s="84"/>
      <c r="Y610" s="84"/>
      <c r="Z610" s="84"/>
    </row>
    <row r="611" spans="1:26" ht="15.75" customHeight="1">
      <c r="A611" s="83"/>
      <c r="B611" s="83"/>
      <c r="C611" s="83"/>
      <c r="D611" s="84"/>
      <c r="E611" s="84"/>
      <c r="F611" s="84"/>
      <c r="G611" s="83"/>
      <c r="H611" s="84"/>
      <c r="I611" s="84"/>
      <c r="J611" s="84"/>
      <c r="K611" s="84"/>
      <c r="L611" s="84"/>
      <c r="M611" s="84"/>
      <c r="N611" s="84"/>
      <c r="O611" s="84"/>
      <c r="P611" s="85"/>
      <c r="Q611" s="75"/>
      <c r="R611" s="75"/>
      <c r="S611" s="75"/>
      <c r="T611" s="75"/>
      <c r="U611" s="89"/>
      <c r="V611" s="84"/>
      <c r="W611" s="84"/>
      <c r="X611" s="84"/>
      <c r="Y611" s="84"/>
      <c r="Z611" s="84"/>
    </row>
    <row r="612" spans="1:26" ht="15.75" customHeight="1">
      <c r="A612" s="83"/>
      <c r="B612" s="83"/>
      <c r="C612" s="83"/>
      <c r="D612" s="84"/>
      <c r="E612" s="84"/>
      <c r="F612" s="84"/>
      <c r="G612" s="83"/>
      <c r="H612" s="84"/>
      <c r="I612" s="84"/>
      <c r="J612" s="84"/>
      <c r="K612" s="84"/>
      <c r="L612" s="84"/>
      <c r="M612" s="84"/>
      <c r="N612" s="84"/>
      <c r="O612" s="84"/>
      <c r="P612" s="85"/>
      <c r="Q612" s="75"/>
      <c r="R612" s="75"/>
      <c r="S612" s="75"/>
      <c r="T612" s="75"/>
      <c r="U612" s="89"/>
      <c r="V612" s="84"/>
      <c r="W612" s="84"/>
      <c r="X612" s="84"/>
      <c r="Y612" s="84"/>
      <c r="Z612" s="84"/>
    </row>
    <row r="613" spans="1:26" ht="15.75" customHeight="1">
      <c r="A613" s="83"/>
      <c r="B613" s="83"/>
      <c r="C613" s="83"/>
      <c r="D613" s="84"/>
      <c r="E613" s="84"/>
      <c r="F613" s="84"/>
      <c r="G613" s="83"/>
      <c r="H613" s="84"/>
      <c r="I613" s="84"/>
      <c r="J613" s="84"/>
      <c r="K613" s="84"/>
      <c r="L613" s="84"/>
      <c r="M613" s="84"/>
      <c r="N613" s="84"/>
      <c r="O613" s="84"/>
      <c r="P613" s="85"/>
      <c r="Q613" s="75"/>
      <c r="R613" s="75"/>
      <c r="S613" s="75"/>
      <c r="T613" s="75"/>
      <c r="U613" s="89"/>
      <c r="V613" s="84"/>
      <c r="W613" s="84"/>
      <c r="X613" s="84"/>
      <c r="Y613" s="84"/>
      <c r="Z613" s="84"/>
    </row>
    <row r="614" spans="1:26" ht="15.75" customHeight="1">
      <c r="A614" s="83"/>
      <c r="B614" s="83"/>
      <c r="C614" s="83"/>
      <c r="D614" s="84"/>
      <c r="E614" s="84"/>
      <c r="F614" s="84"/>
      <c r="G614" s="83"/>
      <c r="H614" s="84"/>
      <c r="I614" s="84"/>
      <c r="J614" s="84"/>
      <c r="K614" s="84"/>
      <c r="L614" s="84"/>
      <c r="M614" s="84"/>
      <c r="N614" s="84"/>
      <c r="O614" s="84"/>
      <c r="P614" s="85"/>
      <c r="Q614" s="75"/>
      <c r="R614" s="75"/>
      <c r="S614" s="75"/>
      <c r="T614" s="75"/>
      <c r="U614" s="89"/>
      <c r="V614" s="84"/>
      <c r="W614" s="84"/>
      <c r="X614" s="84"/>
      <c r="Y614" s="84"/>
      <c r="Z614" s="84"/>
    </row>
    <row r="615" spans="1:26" ht="15.75" customHeight="1">
      <c r="A615" s="83"/>
      <c r="B615" s="83"/>
      <c r="C615" s="83"/>
      <c r="D615" s="84"/>
      <c r="E615" s="84"/>
      <c r="F615" s="84"/>
      <c r="G615" s="83"/>
      <c r="H615" s="84"/>
      <c r="I615" s="84"/>
      <c r="J615" s="84"/>
      <c r="K615" s="84"/>
      <c r="L615" s="84"/>
      <c r="M615" s="84"/>
      <c r="N615" s="84"/>
      <c r="O615" s="84"/>
      <c r="P615" s="85"/>
      <c r="Q615" s="75"/>
      <c r="R615" s="75"/>
      <c r="S615" s="75"/>
      <c r="T615" s="75"/>
      <c r="U615" s="89"/>
      <c r="V615" s="84"/>
      <c r="W615" s="84"/>
      <c r="X615" s="84"/>
      <c r="Y615" s="84"/>
      <c r="Z615" s="84"/>
    </row>
    <row r="616" spans="1:26" ht="15.75" customHeight="1">
      <c r="A616" s="83"/>
      <c r="B616" s="83"/>
      <c r="C616" s="83"/>
      <c r="D616" s="84"/>
      <c r="E616" s="84"/>
      <c r="F616" s="84"/>
      <c r="G616" s="83"/>
      <c r="H616" s="84"/>
      <c r="I616" s="84"/>
      <c r="J616" s="84"/>
      <c r="K616" s="84"/>
      <c r="L616" s="84"/>
      <c r="M616" s="84"/>
      <c r="N616" s="84"/>
      <c r="O616" s="84"/>
      <c r="P616" s="85"/>
      <c r="Q616" s="75"/>
      <c r="R616" s="75"/>
      <c r="S616" s="75"/>
      <c r="T616" s="75"/>
      <c r="U616" s="89"/>
      <c r="V616" s="84"/>
      <c r="W616" s="84"/>
      <c r="X616" s="84"/>
      <c r="Y616" s="84"/>
      <c r="Z616" s="84"/>
    </row>
    <row r="617" spans="1:26" ht="15.75" customHeight="1">
      <c r="A617" s="83"/>
      <c r="B617" s="83"/>
      <c r="C617" s="83"/>
      <c r="D617" s="84"/>
      <c r="E617" s="84"/>
      <c r="F617" s="84"/>
      <c r="G617" s="83"/>
      <c r="H617" s="84"/>
      <c r="I617" s="84"/>
      <c r="J617" s="84"/>
      <c r="K617" s="84"/>
      <c r="L617" s="84"/>
      <c r="M617" s="84"/>
      <c r="N617" s="84"/>
      <c r="O617" s="84"/>
      <c r="P617" s="85"/>
      <c r="Q617" s="75"/>
      <c r="R617" s="75"/>
      <c r="S617" s="75"/>
      <c r="T617" s="75"/>
      <c r="U617" s="89"/>
      <c r="V617" s="84"/>
      <c r="W617" s="84"/>
      <c r="X617" s="84"/>
      <c r="Y617" s="84"/>
      <c r="Z617" s="84"/>
    </row>
    <row r="618" spans="1:26" ht="15.75" customHeight="1">
      <c r="A618" s="83"/>
      <c r="B618" s="83"/>
      <c r="C618" s="83"/>
      <c r="D618" s="84"/>
      <c r="E618" s="84"/>
      <c r="F618" s="84"/>
      <c r="G618" s="83"/>
      <c r="H618" s="84"/>
      <c r="I618" s="84"/>
      <c r="J618" s="84"/>
      <c r="K618" s="84"/>
      <c r="L618" s="84"/>
      <c r="M618" s="84"/>
      <c r="N618" s="84"/>
      <c r="O618" s="84"/>
      <c r="P618" s="85"/>
      <c r="Q618" s="75"/>
      <c r="R618" s="75"/>
      <c r="S618" s="75"/>
      <c r="T618" s="75"/>
      <c r="U618" s="89"/>
      <c r="V618" s="84"/>
      <c r="W618" s="84"/>
      <c r="X618" s="84"/>
      <c r="Y618" s="84"/>
      <c r="Z618" s="84"/>
    </row>
    <row r="619" spans="1:26" ht="15.75" customHeight="1">
      <c r="A619" s="83"/>
      <c r="B619" s="83"/>
      <c r="C619" s="83"/>
      <c r="D619" s="84"/>
      <c r="E619" s="84"/>
      <c r="F619" s="84"/>
      <c r="G619" s="83"/>
      <c r="H619" s="84"/>
      <c r="I619" s="84"/>
      <c r="J619" s="84"/>
      <c r="K619" s="84"/>
      <c r="L619" s="84"/>
      <c r="M619" s="84"/>
      <c r="N619" s="84"/>
      <c r="O619" s="84"/>
      <c r="P619" s="85"/>
      <c r="Q619" s="75"/>
      <c r="R619" s="75"/>
      <c r="S619" s="75"/>
      <c r="T619" s="75"/>
      <c r="U619" s="89"/>
      <c r="V619" s="84"/>
      <c r="W619" s="84"/>
      <c r="X619" s="84"/>
      <c r="Y619" s="84"/>
      <c r="Z619" s="84"/>
    </row>
    <row r="620" spans="1:26" ht="15.75" customHeight="1">
      <c r="A620" s="83"/>
      <c r="B620" s="83"/>
      <c r="C620" s="83"/>
      <c r="D620" s="84"/>
      <c r="E620" s="84"/>
      <c r="F620" s="84"/>
      <c r="G620" s="83"/>
      <c r="H620" s="84"/>
      <c r="I620" s="84"/>
      <c r="J620" s="84"/>
      <c r="K620" s="84"/>
      <c r="L620" s="84"/>
      <c r="M620" s="84"/>
      <c r="N620" s="84"/>
      <c r="O620" s="84"/>
      <c r="P620" s="85"/>
      <c r="Q620" s="75"/>
      <c r="R620" s="75"/>
      <c r="S620" s="75"/>
      <c r="T620" s="75"/>
      <c r="U620" s="89"/>
      <c r="V620" s="84"/>
      <c r="W620" s="84"/>
      <c r="X620" s="84"/>
      <c r="Y620" s="84"/>
      <c r="Z620" s="84"/>
    </row>
    <row r="621" spans="1:26" ht="15.75" customHeight="1">
      <c r="A621" s="83"/>
      <c r="B621" s="83"/>
      <c r="C621" s="83"/>
      <c r="D621" s="84"/>
      <c r="E621" s="84"/>
      <c r="F621" s="84"/>
      <c r="G621" s="83"/>
      <c r="H621" s="84"/>
      <c r="I621" s="84"/>
      <c r="J621" s="84"/>
      <c r="K621" s="84"/>
      <c r="L621" s="84"/>
      <c r="M621" s="84"/>
      <c r="N621" s="84"/>
      <c r="O621" s="84"/>
      <c r="P621" s="85"/>
      <c r="Q621" s="75"/>
      <c r="R621" s="75"/>
      <c r="S621" s="75"/>
      <c r="T621" s="75"/>
      <c r="U621" s="89"/>
      <c r="V621" s="84"/>
      <c r="W621" s="84"/>
      <c r="X621" s="84"/>
      <c r="Y621" s="84"/>
      <c r="Z621" s="84"/>
    </row>
    <row r="622" spans="1:26" ht="15.75" customHeight="1">
      <c r="A622" s="83"/>
      <c r="B622" s="83"/>
      <c r="C622" s="83"/>
      <c r="D622" s="84"/>
      <c r="E622" s="84"/>
      <c r="F622" s="84"/>
      <c r="G622" s="83"/>
      <c r="H622" s="84"/>
      <c r="I622" s="84"/>
      <c r="J622" s="84"/>
      <c r="K622" s="84"/>
      <c r="L622" s="84"/>
      <c r="M622" s="84"/>
      <c r="N622" s="84"/>
      <c r="O622" s="84"/>
      <c r="P622" s="85"/>
      <c r="Q622" s="75"/>
      <c r="R622" s="75"/>
      <c r="S622" s="75"/>
      <c r="T622" s="75"/>
      <c r="U622" s="89"/>
      <c r="V622" s="84"/>
      <c r="W622" s="84"/>
      <c r="X622" s="84"/>
      <c r="Y622" s="84"/>
      <c r="Z622" s="84"/>
    </row>
    <row r="623" spans="1:26" ht="15.75" customHeight="1">
      <c r="A623" s="83"/>
      <c r="B623" s="83"/>
      <c r="C623" s="83"/>
      <c r="D623" s="84"/>
      <c r="E623" s="84"/>
      <c r="F623" s="84"/>
      <c r="G623" s="83"/>
      <c r="H623" s="84"/>
      <c r="I623" s="84"/>
      <c r="J623" s="84"/>
      <c r="K623" s="84"/>
      <c r="L623" s="84"/>
      <c r="M623" s="84"/>
      <c r="N623" s="84"/>
      <c r="O623" s="84"/>
      <c r="P623" s="85"/>
      <c r="Q623" s="75"/>
      <c r="R623" s="75"/>
      <c r="S623" s="75"/>
      <c r="T623" s="75"/>
      <c r="U623" s="89"/>
      <c r="V623" s="84"/>
      <c r="W623" s="84"/>
      <c r="X623" s="84"/>
      <c r="Y623" s="84"/>
      <c r="Z623" s="84"/>
    </row>
    <row r="624" spans="1:26" ht="15.75" customHeight="1">
      <c r="A624" s="83"/>
      <c r="B624" s="83"/>
      <c r="C624" s="83"/>
      <c r="D624" s="84"/>
      <c r="E624" s="84"/>
      <c r="F624" s="84"/>
      <c r="G624" s="83"/>
      <c r="H624" s="84"/>
      <c r="I624" s="84"/>
      <c r="J624" s="84"/>
      <c r="K624" s="84"/>
      <c r="L624" s="84"/>
      <c r="M624" s="84"/>
      <c r="N624" s="84"/>
      <c r="O624" s="84"/>
      <c r="P624" s="85"/>
      <c r="Q624" s="75"/>
      <c r="R624" s="75"/>
      <c r="S624" s="75"/>
      <c r="T624" s="75"/>
      <c r="U624" s="89"/>
      <c r="V624" s="84"/>
      <c r="W624" s="84"/>
      <c r="X624" s="84"/>
      <c r="Y624" s="84"/>
      <c r="Z624" s="84"/>
    </row>
    <row r="625" spans="1:26" ht="15.75" customHeight="1">
      <c r="A625" s="83"/>
      <c r="B625" s="83"/>
      <c r="C625" s="83"/>
      <c r="D625" s="84"/>
      <c r="E625" s="84"/>
      <c r="F625" s="84"/>
      <c r="G625" s="83"/>
      <c r="H625" s="84"/>
      <c r="I625" s="84"/>
      <c r="J625" s="84"/>
      <c r="K625" s="84"/>
      <c r="L625" s="84"/>
      <c r="M625" s="84"/>
      <c r="N625" s="84"/>
      <c r="O625" s="84"/>
      <c r="P625" s="85"/>
      <c r="Q625" s="75"/>
      <c r="R625" s="75"/>
      <c r="S625" s="75"/>
      <c r="T625" s="75"/>
      <c r="U625" s="89"/>
      <c r="V625" s="84"/>
      <c r="W625" s="84"/>
      <c r="X625" s="84"/>
      <c r="Y625" s="84"/>
      <c r="Z625" s="84"/>
    </row>
    <row r="626" spans="1:26" ht="15.75" customHeight="1">
      <c r="A626" s="83"/>
      <c r="B626" s="83"/>
      <c r="C626" s="83"/>
      <c r="D626" s="84"/>
      <c r="E626" s="84"/>
      <c r="F626" s="84"/>
      <c r="G626" s="83"/>
      <c r="H626" s="84"/>
      <c r="I626" s="84"/>
      <c r="J626" s="84"/>
      <c r="K626" s="84"/>
      <c r="L626" s="84"/>
      <c r="M626" s="84"/>
      <c r="N626" s="84"/>
      <c r="O626" s="84"/>
      <c r="P626" s="85"/>
      <c r="Q626" s="75"/>
      <c r="R626" s="75"/>
      <c r="S626" s="75"/>
      <c r="T626" s="75"/>
      <c r="U626" s="89"/>
      <c r="V626" s="84"/>
      <c r="W626" s="84"/>
      <c r="X626" s="84"/>
      <c r="Y626" s="84"/>
      <c r="Z626" s="84"/>
    </row>
    <row r="627" spans="1:26" ht="15.75" customHeight="1">
      <c r="A627" s="83"/>
      <c r="B627" s="83"/>
      <c r="C627" s="83"/>
      <c r="D627" s="84"/>
      <c r="E627" s="84"/>
      <c r="F627" s="84"/>
      <c r="G627" s="83"/>
      <c r="H627" s="84"/>
      <c r="I627" s="84"/>
      <c r="J627" s="84"/>
      <c r="K627" s="84"/>
      <c r="L627" s="84"/>
      <c r="M627" s="84"/>
      <c r="N627" s="84"/>
      <c r="O627" s="84"/>
      <c r="P627" s="85"/>
      <c r="Q627" s="75"/>
      <c r="R627" s="75"/>
      <c r="S627" s="75"/>
      <c r="T627" s="75"/>
      <c r="U627" s="89"/>
      <c r="V627" s="84"/>
      <c r="W627" s="84"/>
      <c r="X627" s="84"/>
      <c r="Y627" s="84"/>
      <c r="Z627" s="84"/>
    </row>
    <row r="628" spans="1:26" ht="15.75" customHeight="1">
      <c r="A628" s="83"/>
      <c r="B628" s="83"/>
      <c r="C628" s="83"/>
      <c r="D628" s="84"/>
      <c r="E628" s="84"/>
      <c r="F628" s="84"/>
      <c r="G628" s="83"/>
      <c r="H628" s="84"/>
      <c r="I628" s="84"/>
      <c r="J628" s="84"/>
      <c r="K628" s="84"/>
      <c r="L628" s="84"/>
      <c r="M628" s="84"/>
      <c r="N628" s="84"/>
      <c r="O628" s="84"/>
      <c r="P628" s="85"/>
      <c r="Q628" s="75"/>
      <c r="R628" s="75"/>
      <c r="S628" s="75"/>
      <c r="T628" s="75"/>
      <c r="U628" s="89"/>
      <c r="V628" s="84"/>
      <c r="W628" s="84"/>
      <c r="X628" s="84"/>
      <c r="Y628" s="84"/>
      <c r="Z628" s="84"/>
    </row>
    <row r="629" spans="1:26" ht="15.75" customHeight="1">
      <c r="A629" s="83"/>
      <c r="B629" s="83"/>
      <c r="C629" s="83"/>
      <c r="D629" s="84"/>
      <c r="E629" s="84"/>
      <c r="F629" s="84"/>
      <c r="G629" s="83"/>
      <c r="H629" s="84"/>
      <c r="I629" s="84"/>
      <c r="J629" s="84"/>
      <c r="K629" s="84"/>
      <c r="L629" s="84"/>
      <c r="M629" s="84"/>
      <c r="N629" s="84"/>
      <c r="O629" s="84"/>
      <c r="P629" s="85"/>
      <c r="Q629" s="75"/>
      <c r="R629" s="75"/>
      <c r="S629" s="75"/>
      <c r="T629" s="75"/>
      <c r="U629" s="89"/>
      <c r="V629" s="84"/>
      <c r="W629" s="84"/>
      <c r="X629" s="84"/>
      <c r="Y629" s="84"/>
      <c r="Z629" s="84"/>
    </row>
    <row r="630" spans="1:26" ht="15.75" customHeight="1">
      <c r="A630" s="83"/>
      <c r="B630" s="83"/>
      <c r="C630" s="83"/>
      <c r="D630" s="84"/>
      <c r="E630" s="84"/>
      <c r="F630" s="84"/>
      <c r="G630" s="83"/>
      <c r="H630" s="84"/>
      <c r="I630" s="84"/>
      <c r="J630" s="84"/>
      <c r="K630" s="84"/>
      <c r="L630" s="84"/>
      <c r="M630" s="84"/>
      <c r="N630" s="84"/>
      <c r="O630" s="84"/>
      <c r="P630" s="85"/>
      <c r="Q630" s="75"/>
      <c r="R630" s="75"/>
      <c r="S630" s="75"/>
      <c r="T630" s="75"/>
      <c r="U630" s="89"/>
      <c r="V630" s="84"/>
      <c r="W630" s="84"/>
      <c r="X630" s="84"/>
      <c r="Y630" s="84"/>
      <c r="Z630" s="84"/>
    </row>
    <row r="631" spans="1:26" ht="15.75" customHeight="1">
      <c r="A631" s="83"/>
      <c r="B631" s="83"/>
      <c r="C631" s="83"/>
      <c r="D631" s="84"/>
      <c r="E631" s="84"/>
      <c r="F631" s="84"/>
      <c r="G631" s="83"/>
      <c r="H631" s="84"/>
      <c r="I631" s="84"/>
      <c r="J631" s="84"/>
      <c r="K631" s="84"/>
      <c r="L631" s="84"/>
      <c r="M631" s="84"/>
      <c r="N631" s="84"/>
      <c r="O631" s="84"/>
      <c r="P631" s="85"/>
      <c r="Q631" s="75"/>
      <c r="R631" s="75"/>
      <c r="S631" s="75"/>
      <c r="T631" s="75"/>
      <c r="U631" s="89"/>
      <c r="V631" s="84"/>
      <c r="W631" s="84"/>
      <c r="X631" s="84"/>
      <c r="Y631" s="84"/>
      <c r="Z631" s="84"/>
    </row>
    <row r="632" spans="1:26" ht="15.75" customHeight="1">
      <c r="A632" s="83"/>
      <c r="B632" s="83"/>
      <c r="C632" s="83"/>
      <c r="D632" s="84"/>
      <c r="E632" s="84"/>
      <c r="F632" s="84"/>
      <c r="G632" s="83"/>
      <c r="H632" s="84"/>
      <c r="I632" s="84"/>
      <c r="J632" s="84"/>
      <c r="K632" s="84"/>
      <c r="L632" s="84"/>
      <c r="M632" s="84"/>
      <c r="N632" s="84"/>
      <c r="O632" s="84"/>
      <c r="P632" s="85"/>
      <c r="Q632" s="75"/>
      <c r="R632" s="75"/>
      <c r="S632" s="75"/>
      <c r="T632" s="75"/>
      <c r="U632" s="89"/>
      <c r="V632" s="84"/>
      <c r="W632" s="84"/>
      <c r="X632" s="84"/>
      <c r="Y632" s="84"/>
      <c r="Z632" s="84"/>
    </row>
    <row r="633" spans="1:26" ht="15.75" customHeight="1">
      <c r="A633" s="83"/>
      <c r="B633" s="83"/>
      <c r="C633" s="83"/>
      <c r="D633" s="84"/>
      <c r="E633" s="84"/>
      <c r="F633" s="84"/>
      <c r="G633" s="83"/>
      <c r="H633" s="84"/>
      <c r="I633" s="84"/>
      <c r="J633" s="84"/>
      <c r="K633" s="84"/>
      <c r="L633" s="84"/>
      <c r="M633" s="84"/>
      <c r="N633" s="84"/>
      <c r="O633" s="84"/>
      <c r="P633" s="85"/>
      <c r="Q633" s="75"/>
      <c r="R633" s="75"/>
      <c r="S633" s="75"/>
      <c r="T633" s="75"/>
      <c r="U633" s="89"/>
      <c r="V633" s="84"/>
      <c r="W633" s="84"/>
      <c r="X633" s="84"/>
      <c r="Y633" s="84"/>
      <c r="Z633" s="84"/>
    </row>
    <row r="634" spans="1:26" ht="15.75" customHeight="1">
      <c r="A634" s="83"/>
      <c r="B634" s="83"/>
      <c r="C634" s="83"/>
      <c r="D634" s="84"/>
      <c r="E634" s="84"/>
      <c r="F634" s="84"/>
      <c r="G634" s="83"/>
      <c r="H634" s="84"/>
      <c r="I634" s="84"/>
      <c r="J634" s="84"/>
      <c r="K634" s="84"/>
      <c r="L634" s="84"/>
      <c r="M634" s="84"/>
      <c r="N634" s="84"/>
      <c r="O634" s="84"/>
      <c r="P634" s="85"/>
      <c r="Q634" s="75"/>
      <c r="R634" s="75"/>
      <c r="S634" s="75"/>
      <c r="T634" s="75"/>
      <c r="U634" s="89"/>
      <c r="V634" s="84"/>
      <c r="W634" s="84"/>
      <c r="X634" s="84"/>
      <c r="Y634" s="84"/>
      <c r="Z634" s="84"/>
    </row>
    <row r="635" spans="1:26" ht="15.75" customHeight="1">
      <c r="A635" s="83"/>
      <c r="B635" s="83"/>
      <c r="C635" s="83"/>
      <c r="D635" s="84"/>
      <c r="E635" s="84"/>
      <c r="F635" s="84"/>
      <c r="G635" s="83"/>
      <c r="H635" s="84"/>
      <c r="I635" s="84"/>
      <c r="J635" s="84"/>
      <c r="K635" s="84"/>
      <c r="L635" s="84"/>
      <c r="M635" s="84"/>
      <c r="N635" s="84"/>
      <c r="O635" s="84"/>
      <c r="P635" s="85"/>
      <c r="Q635" s="75"/>
      <c r="R635" s="75"/>
      <c r="S635" s="75"/>
      <c r="T635" s="75"/>
      <c r="U635" s="89"/>
      <c r="V635" s="84"/>
      <c r="W635" s="84"/>
      <c r="X635" s="84"/>
      <c r="Y635" s="84"/>
      <c r="Z635" s="84"/>
    </row>
    <row r="636" spans="1:26" ht="15.75" customHeight="1">
      <c r="A636" s="83"/>
      <c r="B636" s="83"/>
      <c r="C636" s="83"/>
      <c r="D636" s="84"/>
      <c r="E636" s="84"/>
      <c r="F636" s="84"/>
      <c r="G636" s="83"/>
      <c r="H636" s="84"/>
      <c r="I636" s="84"/>
      <c r="J636" s="84"/>
      <c r="K636" s="84"/>
      <c r="L636" s="84"/>
      <c r="M636" s="84"/>
      <c r="N636" s="84"/>
      <c r="O636" s="84"/>
      <c r="P636" s="85"/>
      <c r="Q636" s="75"/>
      <c r="R636" s="75"/>
      <c r="S636" s="75"/>
      <c r="T636" s="75"/>
      <c r="U636" s="89"/>
      <c r="V636" s="84"/>
      <c r="W636" s="84"/>
      <c r="X636" s="84"/>
      <c r="Y636" s="84"/>
      <c r="Z636" s="84"/>
    </row>
    <row r="637" spans="1:26" ht="15.75" customHeight="1">
      <c r="A637" s="83"/>
      <c r="B637" s="83"/>
      <c r="C637" s="83"/>
      <c r="D637" s="84"/>
      <c r="E637" s="84"/>
      <c r="F637" s="84"/>
      <c r="G637" s="83"/>
      <c r="H637" s="84"/>
      <c r="I637" s="84"/>
      <c r="J637" s="84"/>
      <c r="K637" s="84"/>
      <c r="L637" s="84"/>
      <c r="M637" s="84"/>
      <c r="N637" s="84"/>
      <c r="O637" s="84"/>
      <c r="P637" s="85"/>
      <c r="Q637" s="75"/>
      <c r="R637" s="75"/>
      <c r="S637" s="75"/>
      <c r="T637" s="75"/>
      <c r="U637" s="89"/>
      <c r="V637" s="84"/>
      <c r="W637" s="84"/>
      <c r="X637" s="84"/>
      <c r="Y637" s="84"/>
      <c r="Z637" s="84"/>
    </row>
    <row r="638" spans="1:26" ht="15.75" customHeight="1">
      <c r="A638" s="83"/>
      <c r="B638" s="83"/>
      <c r="C638" s="83"/>
      <c r="D638" s="84"/>
      <c r="E638" s="84"/>
      <c r="F638" s="84"/>
      <c r="G638" s="83"/>
      <c r="H638" s="84"/>
      <c r="I638" s="84"/>
      <c r="J638" s="84"/>
      <c r="K638" s="84"/>
      <c r="L638" s="84"/>
      <c r="M638" s="84"/>
      <c r="N638" s="84"/>
      <c r="O638" s="84"/>
      <c r="P638" s="85"/>
      <c r="Q638" s="75"/>
      <c r="R638" s="75"/>
      <c r="S638" s="75"/>
      <c r="T638" s="75"/>
      <c r="U638" s="89"/>
      <c r="V638" s="84"/>
      <c r="W638" s="84"/>
      <c r="X638" s="84"/>
      <c r="Y638" s="84"/>
      <c r="Z638" s="84"/>
    </row>
    <row r="639" spans="1:26" ht="15.75" customHeight="1">
      <c r="A639" s="83"/>
      <c r="B639" s="83"/>
      <c r="C639" s="83"/>
      <c r="D639" s="84"/>
      <c r="E639" s="84"/>
      <c r="F639" s="84"/>
      <c r="G639" s="83"/>
      <c r="H639" s="84"/>
      <c r="I639" s="84"/>
      <c r="J639" s="84"/>
      <c r="K639" s="84"/>
      <c r="L639" s="84"/>
      <c r="M639" s="84"/>
      <c r="N639" s="84"/>
      <c r="O639" s="84"/>
      <c r="P639" s="85"/>
      <c r="Q639" s="75"/>
      <c r="R639" s="75"/>
      <c r="S639" s="75"/>
      <c r="T639" s="75"/>
      <c r="U639" s="89"/>
      <c r="V639" s="84"/>
      <c r="W639" s="84"/>
      <c r="X639" s="84"/>
      <c r="Y639" s="84"/>
      <c r="Z639" s="84"/>
    </row>
    <row r="640" spans="1:26" ht="15.75" customHeight="1">
      <c r="A640" s="83"/>
      <c r="B640" s="83"/>
      <c r="C640" s="83"/>
      <c r="D640" s="84"/>
      <c r="E640" s="84"/>
      <c r="F640" s="84"/>
      <c r="G640" s="83"/>
      <c r="H640" s="84"/>
      <c r="I640" s="84"/>
      <c r="J640" s="84"/>
      <c r="K640" s="84"/>
      <c r="L640" s="84"/>
      <c r="M640" s="84"/>
      <c r="N640" s="84"/>
      <c r="O640" s="84"/>
      <c r="P640" s="85"/>
      <c r="Q640" s="75"/>
      <c r="R640" s="75"/>
      <c r="S640" s="75"/>
      <c r="T640" s="75"/>
      <c r="U640" s="89"/>
      <c r="V640" s="84"/>
      <c r="W640" s="84"/>
      <c r="X640" s="84"/>
      <c r="Y640" s="84"/>
      <c r="Z640" s="84"/>
    </row>
    <row r="641" spans="1:26" ht="15.75" customHeight="1">
      <c r="A641" s="83"/>
      <c r="B641" s="83"/>
      <c r="C641" s="83"/>
      <c r="D641" s="84"/>
      <c r="E641" s="84"/>
      <c r="F641" s="84"/>
      <c r="G641" s="83"/>
      <c r="H641" s="84"/>
      <c r="I641" s="84"/>
      <c r="J641" s="84"/>
      <c r="K641" s="84"/>
      <c r="L641" s="84"/>
      <c r="M641" s="84"/>
      <c r="N641" s="84"/>
      <c r="O641" s="84"/>
      <c r="P641" s="85"/>
      <c r="Q641" s="75"/>
      <c r="R641" s="75"/>
      <c r="S641" s="75"/>
      <c r="T641" s="75"/>
      <c r="U641" s="89"/>
      <c r="V641" s="84"/>
      <c r="W641" s="84"/>
      <c r="X641" s="84"/>
      <c r="Y641" s="84"/>
      <c r="Z641" s="84"/>
    </row>
    <row r="642" spans="1:26" ht="15.75" customHeight="1">
      <c r="A642" s="83"/>
      <c r="B642" s="83"/>
      <c r="C642" s="83"/>
      <c r="D642" s="84"/>
      <c r="E642" s="84"/>
      <c r="F642" s="84"/>
      <c r="G642" s="83"/>
      <c r="H642" s="84"/>
      <c r="I642" s="84"/>
      <c r="J642" s="84"/>
      <c r="K642" s="84"/>
      <c r="L642" s="84"/>
      <c r="M642" s="84"/>
      <c r="N642" s="84"/>
      <c r="O642" s="84"/>
      <c r="P642" s="85"/>
      <c r="Q642" s="75"/>
      <c r="R642" s="75"/>
      <c r="S642" s="75"/>
      <c r="T642" s="75"/>
      <c r="U642" s="89"/>
      <c r="V642" s="84"/>
      <c r="W642" s="84"/>
      <c r="X642" s="84"/>
      <c r="Y642" s="84"/>
      <c r="Z642" s="84"/>
    </row>
    <row r="643" spans="1:26" ht="15.75" customHeight="1">
      <c r="A643" s="83"/>
      <c r="B643" s="83"/>
      <c r="C643" s="83"/>
      <c r="D643" s="84"/>
      <c r="E643" s="84"/>
      <c r="F643" s="84"/>
      <c r="G643" s="83"/>
      <c r="H643" s="84"/>
      <c r="I643" s="84"/>
      <c r="J643" s="84"/>
      <c r="K643" s="84"/>
      <c r="L643" s="84"/>
      <c r="M643" s="84"/>
      <c r="N643" s="84"/>
      <c r="O643" s="84"/>
      <c r="P643" s="85"/>
      <c r="Q643" s="75"/>
      <c r="R643" s="75"/>
      <c r="S643" s="75"/>
      <c r="T643" s="75"/>
      <c r="U643" s="89"/>
      <c r="V643" s="84"/>
      <c r="W643" s="84"/>
      <c r="X643" s="84"/>
      <c r="Y643" s="84"/>
      <c r="Z643" s="84"/>
    </row>
    <row r="644" spans="1:26" ht="15.75" customHeight="1">
      <c r="A644" s="83"/>
      <c r="B644" s="83"/>
      <c r="C644" s="83"/>
      <c r="D644" s="84"/>
      <c r="E644" s="84"/>
      <c r="F644" s="84"/>
      <c r="G644" s="83"/>
      <c r="H644" s="84"/>
      <c r="I644" s="84"/>
      <c r="J644" s="84"/>
      <c r="K644" s="84"/>
      <c r="L644" s="84"/>
      <c r="M644" s="84"/>
      <c r="N644" s="84"/>
      <c r="O644" s="84"/>
      <c r="P644" s="85"/>
      <c r="Q644" s="75"/>
      <c r="R644" s="75"/>
      <c r="S644" s="75"/>
      <c r="T644" s="75"/>
      <c r="U644" s="89"/>
      <c r="V644" s="84"/>
      <c r="W644" s="84"/>
      <c r="X644" s="84"/>
      <c r="Y644" s="84"/>
      <c r="Z644" s="84"/>
    </row>
    <row r="645" spans="1:26" ht="15.75" customHeight="1">
      <c r="A645" s="83"/>
      <c r="B645" s="83"/>
      <c r="C645" s="83"/>
      <c r="D645" s="84"/>
      <c r="E645" s="84"/>
      <c r="F645" s="84"/>
      <c r="G645" s="83"/>
      <c r="H645" s="84"/>
      <c r="I645" s="84"/>
      <c r="J645" s="84"/>
      <c r="K645" s="84"/>
      <c r="L645" s="84"/>
      <c r="M645" s="84"/>
      <c r="N645" s="84"/>
      <c r="O645" s="84"/>
      <c r="P645" s="85"/>
      <c r="Q645" s="75"/>
      <c r="R645" s="75"/>
      <c r="S645" s="75"/>
      <c r="T645" s="75"/>
      <c r="U645" s="89"/>
      <c r="V645" s="84"/>
      <c r="W645" s="84"/>
      <c r="X645" s="84"/>
      <c r="Y645" s="84"/>
      <c r="Z645" s="84"/>
    </row>
    <row r="646" spans="1:26" ht="15.75" customHeight="1">
      <c r="A646" s="83"/>
      <c r="B646" s="83"/>
      <c r="C646" s="83"/>
      <c r="D646" s="84"/>
      <c r="E646" s="84"/>
      <c r="F646" s="84"/>
      <c r="G646" s="83"/>
      <c r="H646" s="84"/>
      <c r="I646" s="84"/>
      <c r="J646" s="84"/>
      <c r="K646" s="84"/>
      <c r="L646" s="84"/>
      <c r="M646" s="84"/>
      <c r="N646" s="84"/>
      <c r="O646" s="84"/>
      <c r="P646" s="85"/>
      <c r="Q646" s="75"/>
      <c r="R646" s="75"/>
      <c r="S646" s="75"/>
      <c r="T646" s="75"/>
      <c r="U646" s="89"/>
      <c r="V646" s="84"/>
      <c r="W646" s="84"/>
      <c r="X646" s="84"/>
      <c r="Y646" s="84"/>
      <c r="Z646" s="84"/>
    </row>
    <row r="647" spans="1:26" ht="15.75" customHeight="1">
      <c r="A647" s="83"/>
      <c r="B647" s="83"/>
      <c r="C647" s="83"/>
      <c r="D647" s="84"/>
      <c r="E647" s="84"/>
      <c r="F647" s="84"/>
      <c r="G647" s="83"/>
      <c r="H647" s="84"/>
      <c r="I647" s="84"/>
      <c r="J647" s="84"/>
      <c r="K647" s="84"/>
      <c r="L647" s="84"/>
      <c r="M647" s="84"/>
      <c r="N647" s="84"/>
      <c r="O647" s="84"/>
      <c r="P647" s="85"/>
      <c r="Q647" s="75"/>
      <c r="R647" s="75"/>
      <c r="S647" s="75"/>
      <c r="T647" s="75"/>
      <c r="U647" s="89"/>
      <c r="V647" s="84"/>
      <c r="W647" s="84"/>
      <c r="X647" s="84"/>
      <c r="Y647" s="84"/>
      <c r="Z647" s="84"/>
    </row>
    <row r="648" spans="1:26" ht="15.75" customHeight="1">
      <c r="A648" s="83"/>
      <c r="B648" s="83"/>
      <c r="C648" s="83"/>
      <c r="D648" s="84"/>
      <c r="E648" s="84"/>
      <c r="F648" s="84"/>
      <c r="G648" s="83"/>
      <c r="H648" s="84"/>
      <c r="I648" s="84"/>
      <c r="J648" s="84"/>
      <c r="K648" s="84"/>
      <c r="L648" s="84"/>
      <c r="M648" s="84"/>
      <c r="N648" s="84"/>
      <c r="O648" s="84"/>
      <c r="P648" s="85"/>
      <c r="Q648" s="75"/>
      <c r="R648" s="75"/>
      <c r="S648" s="75"/>
      <c r="T648" s="75"/>
      <c r="U648" s="89"/>
      <c r="V648" s="84"/>
      <c r="W648" s="84"/>
      <c r="X648" s="84"/>
      <c r="Y648" s="84"/>
      <c r="Z648" s="84"/>
    </row>
    <row r="649" spans="1:26" ht="15.75" customHeight="1">
      <c r="A649" s="83"/>
      <c r="B649" s="83"/>
      <c r="C649" s="83"/>
      <c r="D649" s="84"/>
      <c r="E649" s="84"/>
      <c r="F649" s="84"/>
      <c r="G649" s="83"/>
      <c r="H649" s="84"/>
      <c r="I649" s="84"/>
      <c r="J649" s="84"/>
      <c r="K649" s="84"/>
      <c r="L649" s="84"/>
      <c r="M649" s="84"/>
      <c r="N649" s="84"/>
      <c r="O649" s="84"/>
      <c r="P649" s="85"/>
      <c r="Q649" s="75"/>
      <c r="R649" s="75"/>
      <c r="S649" s="75"/>
      <c r="T649" s="75"/>
      <c r="U649" s="89"/>
      <c r="V649" s="84"/>
      <c r="W649" s="84"/>
      <c r="X649" s="84"/>
      <c r="Y649" s="84"/>
      <c r="Z649" s="84"/>
    </row>
    <row r="650" spans="1:26" ht="15.75" customHeight="1">
      <c r="A650" s="83"/>
      <c r="B650" s="83"/>
      <c r="C650" s="83"/>
      <c r="D650" s="84"/>
      <c r="E650" s="84"/>
      <c r="F650" s="84"/>
      <c r="G650" s="83"/>
      <c r="H650" s="84"/>
      <c r="I650" s="84"/>
      <c r="J650" s="84"/>
      <c r="K650" s="84"/>
      <c r="L650" s="84"/>
      <c r="M650" s="84"/>
      <c r="N650" s="84"/>
      <c r="O650" s="84"/>
      <c r="P650" s="85"/>
      <c r="Q650" s="75"/>
      <c r="R650" s="75"/>
      <c r="S650" s="75"/>
      <c r="T650" s="75"/>
      <c r="U650" s="89"/>
      <c r="V650" s="84"/>
      <c r="W650" s="84"/>
      <c r="X650" s="84"/>
      <c r="Y650" s="84"/>
      <c r="Z650" s="84"/>
    </row>
    <row r="651" spans="1:26" ht="15.75" customHeight="1">
      <c r="A651" s="83"/>
      <c r="B651" s="83"/>
      <c r="C651" s="83"/>
      <c r="D651" s="84"/>
      <c r="E651" s="84"/>
      <c r="F651" s="84"/>
      <c r="G651" s="83"/>
      <c r="H651" s="84"/>
      <c r="I651" s="84"/>
      <c r="J651" s="84"/>
      <c r="K651" s="84"/>
      <c r="L651" s="84"/>
      <c r="M651" s="84"/>
      <c r="N651" s="84"/>
      <c r="O651" s="84"/>
      <c r="P651" s="85"/>
      <c r="Q651" s="75"/>
      <c r="R651" s="75"/>
      <c r="S651" s="75"/>
      <c r="T651" s="75"/>
      <c r="U651" s="89"/>
      <c r="V651" s="84"/>
      <c r="W651" s="84"/>
      <c r="X651" s="84"/>
      <c r="Y651" s="84"/>
      <c r="Z651" s="84"/>
    </row>
    <row r="652" spans="1:26" ht="15.75" customHeight="1">
      <c r="A652" s="83"/>
      <c r="B652" s="83"/>
      <c r="C652" s="83"/>
      <c r="D652" s="84"/>
      <c r="E652" s="84"/>
      <c r="F652" s="84"/>
      <c r="G652" s="83"/>
      <c r="H652" s="84"/>
      <c r="I652" s="84"/>
      <c r="J652" s="84"/>
      <c r="K652" s="84"/>
      <c r="L652" s="84"/>
      <c r="M652" s="84"/>
      <c r="N652" s="84"/>
      <c r="O652" s="84"/>
      <c r="P652" s="85"/>
      <c r="Q652" s="75"/>
      <c r="R652" s="75"/>
      <c r="S652" s="75"/>
      <c r="T652" s="75"/>
      <c r="U652" s="89"/>
      <c r="V652" s="84"/>
      <c r="W652" s="84"/>
      <c r="X652" s="84"/>
      <c r="Y652" s="84"/>
      <c r="Z652" s="84"/>
    </row>
    <row r="653" spans="1:26" ht="15.75" customHeight="1">
      <c r="A653" s="83"/>
      <c r="B653" s="83"/>
      <c r="C653" s="83"/>
      <c r="D653" s="84"/>
      <c r="E653" s="84"/>
      <c r="F653" s="84"/>
      <c r="G653" s="83"/>
      <c r="H653" s="84"/>
      <c r="I653" s="84"/>
      <c r="J653" s="84"/>
      <c r="K653" s="84"/>
      <c r="L653" s="84"/>
      <c r="M653" s="84"/>
      <c r="N653" s="84"/>
      <c r="O653" s="84"/>
      <c r="P653" s="85"/>
      <c r="Q653" s="75"/>
      <c r="R653" s="75"/>
      <c r="S653" s="75"/>
      <c r="T653" s="75"/>
      <c r="U653" s="89"/>
      <c r="V653" s="84"/>
      <c r="W653" s="84"/>
      <c r="X653" s="84"/>
      <c r="Y653" s="84"/>
      <c r="Z653" s="84"/>
    </row>
    <row r="654" spans="1:26" ht="15.75" customHeight="1">
      <c r="A654" s="83"/>
      <c r="B654" s="83"/>
      <c r="C654" s="83"/>
      <c r="D654" s="84"/>
      <c r="E654" s="84"/>
      <c r="F654" s="84"/>
      <c r="G654" s="83"/>
      <c r="H654" s="84"/>
      <c r="I654" s="84"/>
      <c r="J654" s="84"/>
      <c r="K654" s="84"/>
      <c r="L654" s="84"/>
      <c r="M654" s="84"/>
      <c r="N654" s="84"/>
      <c r="O654" s="84"/>
      <c r="P654" s="85"/>
      <c r="Q654" s="75"/>
      <c r="R654" s="75"/>
      <c r="S654" s="75"/>
      <c r="T654" s="75"/>
      <c r="U654" s="89"/>
      <c r="V654" s="84"/>
      <c r="W654" s="84"/>
      <c r="X654" s="84"/>
      <c r="Y654" s="84"/>
      <c r="Z654" s="84"/>
    </row>
    <row r="655" spans="1:26" ht="15.75" customHeight="1">
      <c r="A655" s="83"/>
      <c r="B655" s="83"/>
      <c r="C655" s="83"/>
      <c r="D655" s="84"/>
      <c r="E655" s="84"/>
      <c r="F655" s="84"/>
      <c r="G655" s="83"/>
      <c r="H655" s="84"/>
      <c r="I655" s="84"/>
      <c r="J655" s="84"/>
      <c r="K655" s="84"/>
      <c r="L655" s="84"/>
      <c r="M655" s="84"/>
      <c r="N655" s="84"/>
      <c r="O655" s="84"/>
      <c r="P655" s="85"/>
      <c r="Q655" s="75"/>
      <c r="R655" s="75"/>
      <c r="S655" s="75"/>
      <c r="T655" s="75"/>
      <c r="U655" s="89"/>
      <c r="V655" s="84"/>
      <c r="W655" s="84"/>
      <c r="X655" s="84"/>
      <c r="Y655" s="84"/>
      <c r="Z655" s="84"/>
    </row>
    <row r="656" spans="1:26" ht="15.75" customHeight="1">
      <c r="A656" s="83"/>
      <c r="B656" s="83"/>
      <c r="C656" s="83"/>
      <c r="D656" s="84"/>
      <c r="E656" s="84"/>
      <c r="F656" s="84"/>
      <c r="G656" s="83"/>
      <c r="H656" s="84"/>
      <c r="I656" s="84"/>
      <c r="J656" s="84"/>
      <c r="K656" s="84"/>
      <c r="L656" s="84"/>
      <c r="M656" s="84"/>
      <c r="N656" s="84"/>
      <c r="O656" s="84"/>
      <c r="P656" s="85"/>
      <c r="Q656" s="75"/>
      <c r="R656" s="75"/>
      <c r="S656" s="75"/>
      <c r="T656" s="75"/>
      <c r="U656" s="89"/>
      <c r="V656" s="84"/>
      <c r="W656" s="84"/>
      <c r="X656" s="84"/>
      <c r="Y656" s="84"/>
      <c r="Z656" s="84"/>
    </row>
    <row r="657" spans="1:26" ht="15.75" customHeight="1">
      <c r="A657" s="83"/>
      <c r="B657" s="83"/>
      <c r="C657" s="83"/>
      <c r="D657" s="84"/>
      <c r="E657" s="84"/>
      <c r="F657" s="84"/>
      <c r="G657" s="83"/>
      <c r="H657" s="84"/>
      <c r="I657" s="84"/>
      <c r="J657" s="84"/>
      <c r="K657" s="84"/>
      <c r="L657" s="84"/>
      <c r="M657" s="84"/>
      <c r="N657" s="84"/>
      <c r="O657" s="84"/>
      <c r="P657" s="85"/>
      <c r="Q657" s="75"/>
      <c r="R657" s="75"/>
      <c r="S657" s="75"/>
      <c r="T657" s="75"/>
      <c r="U657" s="89"/>
      <c r="V657" s="84"/>
      <c r="W657" s="84"/>
      <c r="X657" s="84"/>
      <c r="Y657" s="84"/>
      <c r="Z657" s="84"/>
    </row>
    <row r="658" spans="1:26" ht="15.75" customHeight="1">
      <c r="A658" s="83"/>
      <c r="B658" s="83"/>
      <c r="C658" s="83"/>
      <c r="D658" s="84"/>
      <c r="E658" s="84"/>
      <c r="F658" s="84"/>
      <c r="G658" s="83"/>
      <c r="H658" s="84"/>
      <c r="I658" s="84"/>
      <c r="J658" s="84"/>
      <c r="K658" s="84"/>
      <c r="L658" s="84"/>
      <c r="M658" s="84"/>
      <c r="N658" s="84"/>
      <c r="O658" s="84"/>
      <c r="P658" s="85"/>
      <c r="Q658" s="75"/>
      <c r="R658" s="75"/>
      <c r="S658" s="75"/>
      <c r="T658" s="75"/>
      <c r="U658" s="89"/>
      <c r="V658" s="84"/>
      <c r="W658" s="84"/>
      <c r="X658" s="84"/>
      <c r="Y658" s="84"/>
      <c r="Z658" s="84"/>
    </row>
    <row r="659" spans="1:26" ht="15.75" customHeight="1">
      <c r="A659" s="83"/>
      <c r="B659" s="83"/>
      <c r="C659" s="83"/>
      <c r="D659" s="84"/>
      <c r="E659" s="84"/>
      <c r="F659" s="84"/>
      <c r="G659" s="83"/>
      <c r="H659" s="84"/>
      <c r="I659" s="84"/>
      <c r="J659" s="84"/>
      <c r="K659" s="84"/>
      <c r="L659" s="84"/>
      <c r="M659" s="84"/>
      <c r="N659" s="84"/>
      <c r="O659" s="84"/>
      <c r="P659" s="85"/>
      <c r="Q659" s="75"/>
      <c r="R659" s="75"/>
      <c r="S659" s="75"/>
      <c r="T659" s="75"/>
      <c r="U659" s="89"/>
      <c r="V659" s="84"/>
      <c r="W659" s="84"/>
      <c r="X659" s="84"/>
      <c r="Y659" s="84"/>
      <c r="Z659" s="84"/>
    </row>
    <row r="660" spans="1:26" ht="15.75" customHeight="1">
      <c r="A660" s="83"/>
      <c r="B660" s="83"/>
      <c r="C660" s="83"/>
      <c r="D660" s="84"/>
      <c r="E660" s="84"/>
      <c r="F660" s="84"/>
      <c r="G660" s="83"/>
      <c r="H660" s="84"/>
      <c r="I660" s="84"/>
      <c r="J660" s="84"/>
      <c r="K660" s="84"/>
      <c r="L660" s="84"/>
      <c r="M660" s="84"/>
      <c r="N660" s="84"/>
      <c r="O660" s="84"/>
      <c r="P660" s="85"/>
      <c r="Q660" s="75"/>
      <c r="R660" s="75"/>
      <c r="S660" s="75"/>
      <c r="T660" s="75"/>
      <c r="U660" s="89"/>
      <c r="V660" s="84"/>
      <c r="W660" s="84"/>
      <c r="X660" s="84"/>
      <c r="Y660" s="84"/>
      <c r="Z660" s="84"/>
    </row>
    <row r="661" spans="1:26" ht="15.75" customHeight="1">
      <c r="A661" s="83"/>
      <c r="B661" s="83"/>
      <c r="C661" s="83"/>
      <c r="D661" s="84"/>
      <c r="E661" s="84"/>
      <c r="F661" s="84"/>
      <c r="G661" s="83"/>
      <c r="H661" s="84"/>
      <c r="I661" s="84"/>
      <c r="J661" s="84"/>
      <c r="K661" s="84"/>
      <c r="L661" s="84"/>
      <c r="M661" s="84"/>
      <c r="N661" s="84"/>
      <c r="O661" s="84"/>
      <c r="P661" s="85"/>
      <c r="Q661" s="75"/>
      <c r="R661" s="75"/>
      <c r="S661" s="75"/>
      <c r="T661" s="75"/>
      <c r="U661" s="89"/>
      <c r="V661" s="84"/>
      <c r="W661" s="84"/>
      <c r="X661" s="84"/>
      <c r="Y661" s="84"/>
      <c r="Z661" s="84"/>
    </row>
    <row r="662" spans="1:26" ht="15.75" customHeight="1">
      <c r="A662" s="83"/>
      <c r="B662" s="83"/>
      <c r="C662" s="83"/>
      <c r="D662" s="84"/>
      <c r="E662" s="84"/>
      <c r="F662" s="84"/>
      <c r="G662" s="83"/>
      <c r="H662" s="84"/>
      <c r="I662" s="84"/>
      <c r="J662" s="84"/>
      <c r="K662" s="84"/>
      <c r="L662" s="84"/>
      <c r="M662" s="84"/>
      <c r="N662" s="84"/>
      <c r="O662" s="84"/>
      <c r="P662" s="85"/>
      <c r="Q662" s="75"/>
      <c r="R662" s="75"/>
      <c r="S662" s="75"/>
      <c r="T662" s="75"/>
      <c r="U662" s="89"/>
      <c r="V662" s="84"/>
      <c r="W662" s="84"/>
      <c r="X662" s="84"/>
      <c r="Y662" s="84"/>
      <c r="Z662" s="84"/>
    </row>
    <row r="663" spans="1:26" ht="15.75" customHeight="1">
      <c r="A663" s="83"/>
      <c r="B663" s="83"/>
      <c r="C663" s="83"/>
      <c r="D663" s="84"/>
      <c r="E663" s="84"/>
      <c r="F663" s="84"/>
      <c r="G663" s="83"/>
      <c r="H663" s="84"/>
      <c r="I663" s="84"/>
      <c r="J663" s="84"/>
      <c r="K663" s="84"/>
      <c r="L663" s="84"/>
      <c r="M663" s="84"/>
      <c r="N663" s="84"/>
      <c r="O663" s="84"/>
      <c r="P663" s="85"/>
      <c r="Q663" s="75"/>
      <c r="R663" s="75"/>
      <c r="S663" s="75"/>
      <c r="T663" s="75"/>
      <c r="U663" s="89"/>
      <c r="V663" s="84"/>
      <c r="W663" s="84"/>
      <c r="X663" s="84"/>
      <c r="Y663" s="84"/>
      <c r="Z663" s="84"/>
    </row>
    <row r="664" spans="1:26" ht="15.75" customHeight="1">
      <c r="A664" s="83"/>
      <c r="B664" s="83"/>
      <c r="C664" s="83"/>
      <c r="D664" s="84"/>
      <c r="E664" s="84"/>
      <c r="F664" s="84"/>
      <c r="G664" s="83"/>
      <c r="H664" s="84"/>
      <c r="I664" s="84"/>
      <c r="J664" s="84"/>
      <c r="K664" s="84"/>
      <c r="L664" s="84"/>
      <c r="M664" s="84"/>
      <c r="N664" s="84"/>
      <c r="O664" s="84"/>
      <c r="P664" s="85"/>
      <c r="Q664" s="75"/>
      <c r="R664" s="75"/>
      <c r="S664" s="75"/>
      <c r="T664" s="75"/>
      <c r="U664" s="89"/>
      <c r="V664" s="84"/>
      <c r="W664" s="84"/>
      <c r="X664" s="84"/>
      <c r="Y664" s="84"/>
      <c r="Z664" s="84"/>
    </row>
    <row r="665" spans="1:26" ht="15.75" customHeight="1">
      <c r="A665" s="83"/>
      <c r="B665" s="83"/>
      <c r="C665" s="83"/>
      <c r="D665" s="84"/>
      <c r="E665" s="84"/>
      <c r="F665" s="84"/>
      <c r="G665" s="83"/>
      <c r="H665" s="84"/>
      <c r="I665" s="84"/>
      <c r="J665" s="84"/>
      <c r="K665" s="84"/>
      <c r="L665" s="84"/>
      <c r="M665" s="84"/>
      <c r="N665" s="84"/>
      <c r="O665" s="84"/>
      <c r="P665" s="85"/>
      <c r="Q665" s="75"/>
      <c r="R665" s="75"/>
      <c r="S665" s="75"/>
      <c r="T665" s="75"/>
      <c r="U665" s="89"/>
      <c r="V665" s="84"/>
      <c r="W665" s="84"/>
      <c r="X665" s="84"/>
      <c r="Y665" s="84"/>
      <c r="Z665" s="84"/>
    </row>
    <row r="666" spans="1:26" ht="15.75" customHeight="1">
      <c r="A666" s="83"/>
      <c r="B666" s="83"/>
      <c r="C666" s="83"/>
      <c r="D666" s="84"/>
      <c r="E666" s="84"/>
      <c r="F666" s="84"/>
      <c r="G666" s="83"/>
      <c r="H666" s="84"/>
      <c r="I666" s="84"/>
      <c r="J666" s="84"/>
      <c r="K666" s="84"/>
      <c r="L666" s="84"/>
      <c r="M666" s="84"/>
      <c r="N666" s="84"/>
      <c r="O666" s="84"/>
      <c r="P666" s="85"/>
      <c r="Q666" s="75"/>
      <c r="R666" s="75"/>
      <c r="S666" s="75"/>
      <c r="T666" s="75"/>
      <c r="U666" s="89"/>
      <c r="V666" s="84"/>
      <c r="W666" s="84"/>
      <c r="X666" s="84"/>
      <c r="Y666" s="84"/>
      <c r="Z666" s="84"/>
    </row>
    <row r="667" spans="1:26" ht="15.75" customHeight="1">
      <c r="A667" s="83"/>
      <c r="B667" s="83"/>
      <c r="C667" s="83"/>
      <c r="D667" s="84"/>
      <c r="E667" s="84"/>
      <c r="F667" s="84"/>
      <c r="G667" s="83"/>
      <c r="H667" s="84"/>
      <c r="I667" s="84"/>
      <c r="J667" s="84"/>
      <c r="K667" s="84"/>
      <c r="L667" s="84"/>
      <c r="M667" s="84"/>
      <c r="N667" s="84"/>
      <c r="O667" s="84"/>
      <c r="P667" s="85"/>
      <c r="Q667" s="75"/>
      <c r="R667" s="75"/>
      <c r="S667" s="75"/>
      <c r="T667" s="75"/>
      <c r="U667" s="89"/>
      <c r="V667" s="84"/>
      <c r="W667" s="84"/>
      <c r="X667" s="84"/>
      <c r="Y667" s="84"/>
      <c r="Z667" s="84"/>
    </row>
    <row r="668" spans="1:26" ht="15.75" customHeight="1">
      <c r="A668" s="83"/>
      <c r="B668" s="83"/>
      <c r="C668" s="83"/>
      <c r="D668" s="84"/>
      <c r="E668" s="84"/>
      <c r="F668" s="84"/>
      <c r="G668" s="83"/>
      <c r="H668" s="84"/>
      <c r="I668" s="84"/>
      <c r="J668" s="84"/>
      <c r="K668" s="84"/>
      <c r="L668" s="84"/>
      <c r="M668" s="84"/>
      <c r="N668" s="84"/>
      <c r="O668" s="84"/>
      <c r="P668" s="85"/>
      <c r="Q668" s="75"/>
      <c r="R668" s="75"/>
      <c r="S668" s="75"/>
      <c r="T668" s="75"/>
      <c r="U668" s="89"/>
      <c r="V668" s="84"/>
      <c r="W668" s="84"/>
      <c r="X668" s="84"/>
      <c r="Y668" s="84"/>
      <c r="Z668" s="84"/>
    </row>
    <row r="669" spans="1:26" ht="15.75" customHeight="1">
      <c r="A669" s="83"/>
      <c r="B669" s="83"/>
      <c r="C669" s="83"/>
      <c r="D669" s="84"/>
      <c r="E669" s="84"/>
      <c r="F669" s="84"/>
      <c r="G669" s="83"/>
      <c r="H669" s="84"/>
      <c r="I669" s="84"/>
      <c r="J669" s="84"/>
      <c r="K669" s="84"/>
      <c r="L669" s="84"/>
      <c r="M669" s="84"/>
      <c r="N669" s="84"/>
      <c r="O669" s="84"/>
      <c r="P669" s="85"/>
      <c r="Q669" s="75"/>
      <c r="R669" s="75"/>
      <c r="S669" s="75"/>
      <c r="T669" s="75"/>
      <c r="U669" s="89"/>
      <c r="V669" s="84"/>
      <c r="W669" s="84"/>
      <c r="X669" s="84"/>
      <c r="Y669" s="84"/>
      <c r="Z669" s="84"/>
    </row>
    <row r="670" spans="1:26" ht="15.75" customHeight="1">
      <c r="A670" s="83"/>
      <c r="B670" s="83"/>
      <c r="C670" s="83"/>
      <c r="D670" s="84"/>
      <c r="E670" s="84"/>
      <c r="F670" s="84"/>
      <c r="G670" s="83"/>
      <c r="H670" s="84"/>
      <c r="I670" s="84"/>
      <c r="J670" s="84"/>
      <c r="K670" s="84"/>
      <c r="L670" s="84"/>
      <c r="M670" s="84"/>
      <c r="N670" s="84"/>
      <c r="O670" s="84"/>
      <c r="P670" s="85"/>
      <c r="Q670" s="75"/>
      <c r="R670" s="75"/>
      <c r="S670" s="75"/>
      <c r="T670" s="75"/>
      <c r="U670" s="89"/>
      <c r="V670" s="84"/>
      <c r="W670" s="84"/>
      <c r="X670" s="84"/>
      <c r="Y670" s="84"/>
      <c r="Z670" s="84"/>
    </row>
    <row r="671" spans="1:26" ht="15.75" customHeight="1">
      <c r="A671" s="83"/>
      <c r="B671" s="83"/>
      <c r="C671" s="83"/>
      <c r="D671" s="84"/>
      <c r="E671" s="84"/>
      <c r="F671" s="84"/>
      <c r="G671" s="83"/>
      <c r="H671" s="84"/>
      <c r="I671" s="84"/>
      <c r="J671" s="84"/>
      <c r="K671" s="84"/>
      <c r="L671" s="84"/>
      <c r="M671" s="84"/>
      <c r="N671" s="84"/>
      <c r="O671" s="84"/>
      <c r="P671" s="85"/>
      <c r="Q671" s="75"/>
      <c r="R671" s="75"/>
      <c r="S671" s="75"/>
      <c r="T671" s="75"/>
      <c r="U671" s="89"/>
      <c r="V671" s="84"/>
      <c r="W671" s="84"/>
      <c r="X671" s="84"/>
      <c r="Y671" s="84"/>
      <c r="Z671" s="84"/>
    </row>
    <row r="672" spans="1:26" ht="15.75" customHeight="1">
      <c r="A672" s="83"/>
      <c r="B672" s="83"/>
      <c r="C672" s="83"/>
      <c r="D672" s="84"/>
      <c r="E672" s="84"/>
      <c r="F672" s="84"/>
      <c r="G672" s="83"/>
      <c r="H672" s="84"/>
      <c r="I672" s="84"/>
      <c r="J672" s="84"/>
      <c r="K672" s="84"/>
      <c r="L672" s="84"/>
      <c r="M672" s="84"/>
      <c r="N672" s="84"/>
      <c r="O672" s="84"/>
      <c r="P672" s="85"/>
      <c r="Q672" s="75"/>
      <c r="R672" s="75"/>
      <c r="S672" s="75"/>
      <c r="T672" s="75"/>
      <c r="U672" s="89"/>
      <c r="V672" s="84"/>
      <c r="W672" s="84"/>
      <c r="X672" s="84"/>
      <c r="Y672" s="84"/>
      <c r="Z672" s="84"/>
    </row>
    <row r="673" spans="1:26" ht="15.75" customHeight="1">
      <c r="A673" s="83"/>
      <c r="B673" s="83"/>
      <c r="C673" s="83"/>
      <c r="D673" s="84"/>
      <c r="E673" s="84"/>
      <c r="F673" s="84"/>
      <c r="G673" s="83"/>
      <c r="H673" s="84"/>
      <c r="I673" s="84"/>
      <c r="J673" s="84"/>
      <c r="K673" s="84"/>
      <c r="L673" s="84"/>
      <c r="M673" s="84"/>
      <c r="N673" s="84"/>
      <c r="O673" s="84"/>
      <c r="P673" s="85"/>
      <c r="Q673" s="75"/>
      <c r="R673" s="75"/>
      <c r="S673" s="75"/>
      <c r="T673" s="75"/>
      <c r="U673" s="89"/>
      <c r="V673" s="84"/>
      <c r="W673" s="84"/>
      <c r="X673" s="84"/>
      <c r="Y673" s="84"/>
      <c r="Z673" s="84"/>
    </row>
    <row r="674" spans="1:26" ht="15.75" customHeight="1">
      <c r="A674" s="83"/>
      <c r="B674" s="83"/>
      <c r="C674" s="83"/>
      <c r="D674" s="84"/>
      <c r="E674" s="84"/>
      <c r="F674" s="84"/>
      <c r="G674" s="83"/>
      <c r="H674" s="84"/>
      <c r="I674" s="84"/>
      <c r="J674" s="84"/>
      <c r="K674" s="84"/>
      <c r="L674" s="84"/>
      <c r="M674" s="84"/>
      <c r="N674" s="84"/>
      <c r="O674" s="84"/>
      <c r="P674" s="85"/>
      <c r="Q674" s="75"/>
      <c r="R674" s="75"/>
      <c r="S674" s="75"/>
      <c r="T674" s="75"/>
      <c r="U674" s="89"/>
      <c r="V674" s="84"/>
      <c r="W674" s="84"/>
      <c r="X674" s="84"/>
      <c r="Y674" s="84"/>
      <c r="Z674" s="84"/>
    </row>
    <row r="675" spans="1:26" ht="15.75" customHeight="1">
      <c r="A675" s="83"/>
      <c r="B675" s="83"/>
      <c r="C675" s="83"/>
      <c r="D675" s="84"/>
      <c r="E675" s="84"/>
      <c r="F675" s="84"/>
      <c r="G675" s="83"/>
      <c r="H675" s="84"/>
      <c r="I675" s="84"/>
      <c r="J675" s="84"/>
      <c r="K675" s="84"/>
      <c r="L675" s="84"/>
      <c r="M675" s="84"/>
      <c r="N675" s="84"/>
      <c r="O675" s="84"/>
      <c r="P675" s="85"/>
      <c r="Q675" s="75"/>
      <c r="R675" s="75"/>
      <c r="S675" s="75"/>
      <c r="T675" s="75"/>
      <c r="U675" s="89"/>
      <c r="V675" s="84"/>
      <c r="W675" s="84"/>
      <c r="X675" s="84"/>
      <c r="Y675" s="84"/>
      <c r="Z675" s="84"/>
    </row>
    <row r="676" spans="1:26" ht="15.75" customHeight="1">
      <c r="A676" s="83"/>
      <c r="B676" s="83"/>
      <c r="C676" s="83"/>
      <c r="D676" s="84"/>
      <c r="E676" s="84"/>
      <c r="F676" s="84"/>
      <c r="G676" s="83"/>
      <c r="H676" s="84"/>
      <c r="I676" s="84"/>
      <c r="J676" s="84"/>
      <c r="K676" s="84"/>
      <c r="L676" s="84"/>
      <c r="M676" s="84"/>
      <c r="N676" s="84"/>
      <c r="O676" s="84"/>
      <c r="P676" s="85"/>
      <c r="Q676" s="75"/>
      <c r="R676" s="75"/>
      <c r="S676" s="75"/>
      <c r="T676" s="75"/>
      <c r="U676" s="89"/>
      <c r="V676" s="84"/>
      <c r="W676" s="84"/>
      <c r="X676" s="84"/>
      <c r="Y676" s="84"/>
      <c r="Z676" s="84"/>
    </row>
    <row r="677" spans="1:26" ht="15.75" customHeight="1">
      <c r="A677" s="83"/>
      <c r="B677" s="83"/>
      <c r="C677" s="83"/>
      <c r="D677" s="84"/>
      <c r="E677" s="84"/>
      <c r="F677" s="84"/>
      <c r="G677" s="83"/>
      <c r="H677" s="84"/>
      <c r="I677" s="84"/>
      <c r="J677" s="84"/>
      <c r="K677" s="84"/>
      <c r="L677" s="84"/>
      <c r="M677" s="84"/>
      <c r="N677" s="84"/>
      <c r="O677" s="84"/>
      <c r="P677" s="85"/>
      <c r="Q677" s="75"/>
      <c r="R677" s="75"/>
      <c r="S677" s="75"/>
      <c r="T677" s="75"/>
      <c r="U677" s="89"/>
      <c r="V677" s="84"/>
      <c r="W677" s="84"/>
      <c r="X677" s="84"/>
      <c r="Y677" s="84"/>
      <c r="Z677" s="84"/>
    </row>
    <row r="678" spans="1:26" ht="15.75" customHeight="1">
      <c r="A678" s="83"/>
      <c r="B678" s="83"/>
      <c r="C678" s="83"/>
      <c r="D678" s="84"/>
      <c r="E678" s="84"/>
      <c r="F678" s="84"/>
      <c r="G678" s="83"/>
      <c r="H678" s="84"/>
      <c r="I678" s="84"/>
      <c r="J678" s="84"/>
      <c r="K678" s="84"/>
      <c r="L678" s="84"/>
      <c r="M678" s="84"/>
      <c r="N678" s="84"/>
      <c r="O678" s="84"/>
      <c r="P678" s="85"/>
      <c r="Q678" s="75"/>
      <c r="R678" s="75"/>
      <c r="S678" s="75"/>
      <c r="T678" s="75"/>
      <c r="U678" s="89"/>
      <c r="V678" s="84"/>
      <c r="W678" s="84"/>
      <c r="X678" s="84"/>
      <c r="Y678" s="84"/>
      <c r="Z678" s="84"/>
    </row>
    <row r="679" spans="1:26" ht="15.75" customHeight="1">
      <c r="A679" s="83"/>
      <c r="B679" s="83"/>
      <c r="C679" s="83"/>
      <c r="D679" s="84"/>
      <c r="E679" s="84"/>
      <c r="F679" s="84"/>
      <c r="G679" s="83"/>
      <c r="H679" s="84"/>
      <c r="I679" s="84"/>
      <c r="J679" s="84"/>
      <c r="K679" s="84"/>
      <c r="L679" s="84"/>
      <c r="M679" s="84"/>
      <c r="N679" s="84"/>
      <c r="O679" s="84"/>
      <c r="P679" s="85"/>
      <c r="Q679" s="75"/>
      <c r="R679" s="75"/>
      <c r="S679" s="75"/>
      <c r="T679" s="75"/>
      <c r="U679" s="89"/>
      <c r="V679" s="84"/>
      <c r="W679" s="84"/>
      <c r="X679" s="84"/>
      <c r="Y679" s="84"/>
      <c r="Z679" s="84"/>
    </row>
    <row r="680" spans="1:26" ht="15.75" customHeight="1">
      <c r="A680" s="83"/>
      <c r="B680" s="83"/>
      <c r="C680" s="83"/>
      <c r="D680" s="84"/>
      <c r="E680" s="84"/>
      <c r="F680" s="84"/>
      <c r="G680" s="83"/>
      <c r="H680" s="84"/>
      <c r="I680" s="84"/>
      <c r="J680" s="84"/>
      <c r="K680" s="84"/>
      <c r="L680" s="84"/>
      <c r="M680" s="84"/>
      <c r="N680" s="84"/>
      <c r="O680" s="84"/>
      <c r="P680" s="85"/>
      <c r="Q680" s="75"/>
      <c r="R680" s="75"/>
      <c r="S680" s="75"/>
      <c r="T680" s="75"/>
      <c r="U680" s="89"/>
      <c r="V680" s="84"/>
      <c r="W680" s="84"/>
      <c r="X680" s="84"/>
      <c r="Y680" s="84"/>
      <c r="Z680" s="84"/>
    </row>
    <row r="681" spans="1:26" ht="15.75" customHeight="1">
      <c r="A681" s="83"/>
      <c r="B681" s="83"/>
      <c r="C681" s="83"/>
      <c r="D681" s="84"/>
      <c r="E681" s="84"/>
      <c r="F681" s="84"/>
      <c r="G681" s="83"/>
      <c r="H681" s="84"/>
      <c r="I681" s="84"/>
      <c r="J681" s="84"/>
      <c r="K681" s="84"/>
      <c r="L681" s="84"/>
      <c r="M681" s="84"/>
      <c r="N681" s="84"/>
      <c r="O681" s="84"/>
      <c r="P681" s="85"/>
      <c r="Q681" s="75"/>
      <c r="R681" s="75"/>
      <c r="S681" s="75"/>
      <c r="T681" s="75"/>
      <c r="U681" s="89"/>
      <c r="V681" s="84"/>
      <c r="W681" s="84"/>
      <c r="X681" s="84"/>
      <c r="Y681" s="84"/>
      <c r="Z681" s="84"/>
    </row>
    <row r="682" spans="1:26" ht="15.75" customHeight="1">
      <c r="A682" s="83"/>
      <c r="B682" s="83"/>
      <c r="C682" s="83"/>
      <c r="D682" s="84"/>
      <c r="E682" s="84"/>
      <c r="F682" s="84"/>
      <c r="G682" s="83"/>
      <c r="H682" s="84"/>
      <c r="I682" s="84"/>
      <c r="J682" s="84"/>
      <c r="K682" s="84"/>
      <c r="L682" s="84"/>
      <c r="M682" s="84"/>
      <c r="N682" s="84"/>
      <c r="O682" s="84"/>
      <c r="P682" s="85"/>
      <c r="Q682" s="75"/>
      <c r="R682" s="75"/>
      <c r="S682" s="75"/>
      <c r="T682" s="75"/>
      <c r="U682" s="89"/>
      <c r="V682" s="84"/>
      <c r="W682" s="84"/>
      <c r="X682" s="84"/>
      <c r="Y682" s="84"/>
      <c r="Z682" s="84"/>
    </row>
    <row r="683" spans="1:26" ht="15.75" customHeight="1">
      <c r="A683" s="83"/>
      <c r="B683" s="83"/>
      <c r="C683" s="83"/>
      <c r="D683" s="84"/>
      <c r="E683" s="84"/>
      <c r="F683" s="84"/>
      <c r="G683" s="83"/>
      <c r="H683" s="84"/>
      <c r="I683" s="84"/>
      <c r="J683" s="84"/>
      <c r="K683" s="84"/>
      <c r="L683" s="84"/>
      <c r="M683" s="84"/>
      <c r="N683" s="84"/>
      <c r="O683" s="84"/>
      <c r="P683" s="85"/>
      <c r="Q683" s="75"/>
      <c r="R683" s="75"/>
      <c r="S683" s="75"/>
      <c r="T683" s="75"/>
      <c r="U683" s="89"/>
      <c r="V683" s="84"/>
      <c r="W683" s="84"/>
      <c r="X683" s="84"/>
      <c r="Y683" s="84"/>
      <c r="Z683" s="84"/>
    </row>
    <row r="684" spans="1:26" ht="15.75" customHeight="1">
      <c r="A684" s="83"/>
      <c r="B684" s="83"/>
      <c r="C684" s="83"/>
      <c r="D684" s="84"/>
      <c r="E684" s="84"/>
      <c r="F684" s="84"/>
      <c r="G684" s="83"/>
      <c r="H684" s="84"/>
      <c r="I684" s="84"/>
      <c r="J684" s="84"/>
      <c r="K684" s="84"/>
      <c r="L684" s="84"/>
      <c r="M684" s="84"/>
      <c r="N684" s="84"/>
      <c r="O684" s="84"/>
      <c r="P684" s="85"/>
      <c r="Q684" s="75"/>
      <c r="R684" s="75"/>
      <c r="S684" s="75"/>
      <c r="T684" s="75"/>
      <c r="U684" s="89"/>
      <c r="V684" s="84"/>
      <c r="W684" s="84"/>
      <c r="X684" s="84"/>
      <c r="Y684" s="84"/>
      <c r="Z684" s="84"/>
    </row>
    <row r="685" spans="1:26" ht="15.75" customHeight="1">
      <c r="A685" s="83"/>
      <c r="B685" s="83"/>
      <c r="C685" s="83"/>
      <c r="D685" s="84"/>
      <c r="E685" s="84"/>
      <c r="F685" s="84"/>
      <c r="G685" s="83"/>
      <c r="H685" s="84"/>
      <c r="I685" s="84"/>
      <c r="J685" s="84"/>
      <c r="K685" s="84"/>
      <c r="L685" s="84"/>
      <c r="M685" s="84"/>
      <c r="N685" s="84"/>
      <c r="O685" s="84"/>
      <c r="P685" s="85"/>
      <c r="Q685" s="75"/>
      <c r="R685" s="75"/>
      <c r="S685" s="75"/>
      <c r="T685" s="75"/>
      <c r="U685" s="89"/>
      <c r="V685" s="84"/>
      <c r="W685" s="84"/>
      <c r="X685" s="84"/>
      <c r="Y685" s="84"/>
      <c r="Z685" s="84"/>
    </row>
    <row r="686" spans="1:26" ht="15.75" customHeight="1">
      <c r="A686" s="83"/>
      <c r="B686" s="83"/>
      <c r="C686" s="83"/>
      <c r="D686" s="84"/>
      <c r="E686" s="84"/>
      <c r="F686" s="84"/>
      <c r="G686" s="83"/>
      <c r="H686" s="84"/>
      <c r="I686" s="84"/>
      <c r="J686" s="84"/>
      <c r="K686" s="84"/>
      <c r="L686" s="84"/>
      <c r="M686" s="84"/>
      <c r="N686" s="84"/>
      <c r="O686" s="84"/>
      <c r="P686" s="85"/>
      <c r="Q686" s="75"/>
      <c r="R686" s="75"/>
      <c r="S686" s="75"/>
      <c r="T686" s="75"/>
      <c r="U686" s="89"/>
      <c r="V686" s="84"/>
      <c r="W686" s="84"/>
      <c r="X686" s="84"/>
      <c r="Y686" s="84"/>
      <c r="Z686" s="84"/>
    </row>
    <row r="687" spans="1:26" ht="15.75" customHeight="1">
      <c r="A687" s="83"/>
      <c r="B687" s="83"/>
      <c r="C687" s="83"/>
      <c r="D687" s="84"/>
      <c r="E687" s="84"/>
      <c r="F687" s="84"/>
      <c r="G687" s="83"/>
      <c r="H687" s="84"/>
      <c r="I687" s="84"/>
      <c r="J687" s="84"/>
      <c r="K687" s="84"/>
      <c r="L687" s="84"/>
      <c r="M687" s="84"/>
      <c r="N687" s="84"/>
      <c r="O687" s="84"/>
      <c r="P687" s="85"/>
      <c r="Q687" s="75"/>
      <c r="R687" s="75"/>
      <c r="S687" s="75"/>
      <c r="T687" s="75"/>
      <c r="U687" s="89"/>
      <c r="V687" s="84"/>
      <c r="W687" s="84"/>
      <c r="X687" s="84"/>
      <c r="Y687" s="84"/>
      <c r="Z687" s="84"/>
    </row>
    <row r="688" spans="1:26" ht="15.75" customHeight="1">
      <c r="A688" s="83"/>
      <c r="B688" s="83"/>
      <c r="C688" s="83"/>
      <c r="D688" s="84"/>
      <c r="E688" s="84"/>
      <c r="F688" s="84"/>
      <c r="G688" s="83"/>
      <c r="H688" s="84"/>
      <c r="I688" s="84"/>
      <c r="J688" s="84"/>
      <c r="K688" s="84"/>
      <c r="L688" s="84"/>
      <c r="M688" s="84"/>
      <c r="N688" s="84"/>
      <c r="O688" s="84"/>
      <c r="P688" s="85"/>
      <c r="Q688" s="75"/>
      <c r="R688" s="75"/>
      <c r="S688" s="75"/>
      <c r="T688" s="75"/>
      <c r="U688" s="89"/>
      <c r="V688" s="84"/>
      <c r="W688" s="84"/>
      <c r="X688" s="84"/>
      <c r="Y688" s="84"/>
      <c r="Z688" s="84"/>
    </row>
    <row r="689" spans="1:26" ht="15.75" customHeight="1">
      <c r="A689" s="83"/>
      <c r="B689" s="83"/>
      <c r="C689" s="83"/>
      <c r="D689" s="84"/>
      <c r="E689" s="84"/>
      <c r="F689" s="84"/>
      <c r="G689" s="83"/>
      <c r="H689" s="84"/>
      <c r="I689" s="84"/>
      <c r="J689" s="84"/>
      <c r="K689" s="84"/>
      <c r="L689" s="84"/>
      <c r="M689" s="84"/>
      <c r="N689" s="84"/>
      <c r="O689" s="84"/>
      <c r="P689" s="85"/>
      <c r="Q689" s="75"/>
      <c r="R689" s="75"/>
      <c r="S689" s="75"/>
      <c r="T689" s="75"/>
      <c r="U689" s="89"/>
      <c r="V689" s="84"/>
      <c r="W689" s="84"/>
      <c r="X689" s="84"/>
      <c r="Y689" s="84"/>
      <c r="Z689" s="84"/>
    </row>
    <row r="690" spans="1:26" ht="15.75" customHeight="1">
      <c r="A690" s="83"/>
      <c r="B690" s="83"/>
      <c r="C690" s="83"/>
      <c r="D690" s="84"/>
      <c r="E690" s="84"/>
      <c r="F690" s="84"/>
      <c r="G690" s="83"/>
      <c r="H690" s="84"/>
      <c r="I690" s="84"/>
      <c r="J690" s="84"/>
      <c r="K690" s="84"/>
      <c r="L690" s="84"/>
      <c r="M690" s="84"/>
      <c r="N690" s="84"/>
      <c r="O690" s="84"/>
      <c r="P690" s="85"/>
      <c r="Q690" s="75"/>
      <c r="R690" s="75"/>
      <c r="S690" s="75"/>
      <c r="T690" s="75"/>
      <c r="U690" s="89"/>
      <c r="V690" s="84"/>
      <c r="W690" s="84"/>
      <c r="X690" s="84"/>
      <c r="Y690" s="84"/>
      <c r="Z690" s="84"/>
    </row>
    <row r="691" spans="1:26" ht="15.75" customHeight="1">
      <c r="A691" s="83"/>
      <c r="B691" s="83"/>
      <c r="C691" s="83"/>
      <c r="D691" s="84"/>
      <c r="E691" s="84"/>
      <c r="F691" s="84"/>
      <c r="G691" s="83"/>
      <c r="H691" s="84"/>
      <c r="I691" s="84"/>
      <c r="J691" s="84"/>
      <c r="K691" s="84"/>
      <c r="L691" s="84"/>
      <c r="M691" s="84"/>
      <c r="N691" s="84"/>
      <c r="O691" s="84"/>
      <c r="P691" s="85"/>
      <c r="Q691" s="75"/>
      <c r="R691" s="75"/>
      <c r="S691" s="75"/>
      <c r="T691" s="75"/>
      <c r="U691" s="89"/>
      <c r="V691" s="84"/>
      <c r="W691" s="84"/>
      <c r="X691" s="84"/>
      <c r="Y691" s="84"/>
      <c r="Z691" s="84"/>
    </row>
    <row r="692" spans="1:26" ht="15.75" customHeight="1">
      <c r="A692" s="83"/>
      <c r="B692" s="83"/>
      <c r="C692" s="83"/>
      <c r="D692" s="84"/>
      <c r="E692" s="84"/>
      <c r="F692" s="84"/>
      <c r="G692" s="83"/>
      <c r="H692" s="84"/>
      <c r="I692" s="84"/>
      <c r="J692" s="84"/>
      <c r="K692" s="84"/>
      <c r="L692" s="84"/>
      <c r="M692" s="84"/>
      <c r="N692" s="84"/>
      <c r="O692" s="84"/>
      <c r="P692" s="85"/>
      <c r="Q692" s="75"/>
      <c r="R692" s="75"/>
      <c r="S692" s="75"/>
      <c r="T692" s="75"/>
      <c r="U692" s="89"/>
      <c r="V692" s="84"/>
      <c r="W692" s="84"/>
      <c r="X692" s="84"/>
      <c r="Y692" s="84"/>
      <c r="Z692" s="84"/>
    </row>
    <row r="693" spans="1:26" ht="15.75" customHeight="1">
      <c r="A693" s="83"/>
      <c r="B693" s="83"/>
      <c r="C693" s="83"/>
      <c r="D693" s="84"/>
      <c r="E693" s="84"/>
      <c r="F693" s="84"/>
      <c r="G693" s="83"/>
      <c r="H693" s="84"/>
      <c r="I693" s="84"/>
      <c r="J693" s="84"/>
      <c r="K693" s="84"/>
      <c r="L693" s="84"/>
      <c r="M693" s="84"/>
      <c r="N693" s="84"/>
      <c r="O693" s="84"/>
      <c r="P693" s="85"/>
      <c r="Q693" s="75"/>
      <c r="R693" s="75"/>
      <c r="S693" s="75"/>
      <c r="T693" s="75"/>
      <c r="U693" s="89"/>
      <c r="V693" s="84"/>
      <c r="W693" s="84"/>
      <c r="X693" s="84"/>
      <c r="Y693" s="84"/>
      <c r="Z693" s="84"/>
    </row>
    <row r="694" spans="1:26" ht="15.75" customHeight="1">
      <c r="A694" s="83"/>
      <c r="B694" s="83"/>
      <c r="C694" s="83"/>
      <c r="D694" s="84"/>
      <c r="E694" s="84"/>
      <c r="F694" s="84"/>
      <c r="G694" s="83"/>
      <c r="H694" s="84"/>
      <c r="I694" s="84"/>
      <c r="J694" s="84"/>
      <c r="K694" s="84"/>
      <c r="L694" s="84"/>
      <c r="M694" s="84"/>
      <c r="N694" s="84"/>
      <c r="O694" s="84"/>
      <c r="P694" s="85"/>
      <c r="Q694" s="75"/>
      <c r="R694" s="75"/>
      <c r="S694" s="75"/>
      <c r="T694" s="75"/>
      <c r="U694" s="89"/>
      <c r="V694" s="84"/>
      <c r="W694" s="84"/>
      <c r="X694" s="84"/>
      <c r="Y694" s="84"/>
      <c r="Z694" s="84"/>
    </row>
    <row r="695" spans="1:26" ht="15.75" customHeight="1">
      <c r="A695" s="83"/>
      <c r="B695" s="83"/>
      <c r="C695" s="83"/>
      <c r="D695" s="84"/>
      <c r="E695" s="84"/>
      <c r="F695" s="84"/>
      <c r="G695" s="83"/>
      <c r="H695" s="84"/>
      <c r="I695" s="84"/>
      <c r="J695" s="84"/>
      <c r="K695" s="84"/>
      <c r="L695" s="84"/>
      <c r="M695" s="84"/>
      <c r="N695" s="84"/>
      <c r="O695" s="84"/>
      <c r="P695" s="85"/>
      <c r="Q695" s="75"/>
      <c r="R695" s="75"/>
      <c r="S695" s="75"/>
      <c r="T695" s="75"/>
      <c r="U695" s="89"/>
      <c r="V695" s="84"/>
      <c r="W695" s="84"/>
      <c r="X695" s="84"/>
      <c r="Y695" s="84"/>
      <c r="Z695" s="84"/>
    </row>
    <row r="696" spans="1:26" ht="15.75" customHeight="1">
      <c r="A696" s="83"/>
      <c r="B696" s="83"/>
      <c r="C696" s="83"/>
      <c r="D696" s="84"/>
      <c r="E696" s="84"/>
      <c r="F696" s="84"/>
      <c r="G696" s="83"/>
      <c r="H696" s="84"/>
      <c r="I696" s="84"/>
      <c r="J696" s="84"/>
      <c r="K696" s="84"/>
      <c r="L696" s="84"/>
      <c r="M696" s="84"/>
      <c r="N696" s="84"/>
      <c r="O696" s="84"/>
      <c r="P696" s="85"/>
      <c r="Q696" s="75"/>
      <c r="R696" s="75"/>
      <c r="S696" s="75"/>
      <c r="T696" s="75"/>
      <c r="U696" s="89"/>
      <c r="V696" s="84"/>
      <c r="W696" s="84"/>
      <c r="X696" s="84"/>
      <c r="Y696" s="84"/>
      <c r="Z696" s="84"/>
    </row>
    <row r="697" spans="1:26" ht="15.75" customHeight="1">
      <c r="A697" s="83"/>
      <c r="B697" s="83"/>
      <c r="C697" s="83"/>
      <c r="D697" s="84"/>
      <c r="E697" s="84"/>
      <c r="F697" s="84"/>
      <c r="G697" s="83"/>
      <c r="H697" s="84"/>
      <c r="I697" s="84"/>
      <c r="J697" s="84"/>
      <c r="K697" s="84"/>
      <c r="L697" s="84"/>
      <c r="M697" s="84"/>
      <c r="N697" s="84"/>
      <c r="O697" s="84"/>
      <c r="P697" s="85"/>
      <c r="Q697" s="75"/>
      <c r="R697" s="75"/>
      <c r="S697" s="75"/>
      <c r="T697" s="75"/>
      <c r="U697" s="89"/>
      <c r="V697" s="84"/>
      <c r="W697" s="84"/>
      <c r="X697" s="84"/>
      <c r="Y697" s="84"/>
      <c r="Z697" s="84"/>
    </row>
    <row r="698" spans="1:26" ht="15.75" customHeight="1">
      <c r="A698" s="83"/>
      <c r="B698" s="83"/>
      <c r="C698" s="83"/>
      <c r="D698" s="84"/>
      <c r="E698" s="84"/>
      <c r="F698" s="84"/>
      <c r="G698" s="83"/>
      <c r="H698" s="84"/>
      <c r="I698" s="84"/>
      <c r="J698" s="84"/>
      <c r="K698" s="84"/>
      <c r="L698" s="84"/>
      <c r="M698" s="84"/>
      <c r="N698" s="84"/>
      <c r="O698" s="84"/>
      <c r="P698" s="85"/>
      <c r="Q698" s="75"/>
      <c r="R698" s="75"/>
      <c r="S698" s="75"/>
      <c r="T698" s="75"/>
      <c r="U698" s="89"/>
      <c r="V698" s="84"/>
      <c r="W698" s="84"/>
      <c r="X698" s="84"/>
      <c r="Y698" s="84"/>
      <c r="Z698" s="84"/>
    </row>
    <row r="699" spans="1:26" ht="15.75" customHeight="1">
      <c r="A699" s="83"/>
      <c r="B699" s="83"/>
      <c r="C699" s="83"/>
      <c r="D699" s="84"/>
      <c r="E699" s="84"/>
      <c r="F699" s="84"/>
      <c r="G699" s="83"/>
      <c r="H699" s="84"/>
      <c r="I699" s="84"/>
      <c r="J699" s="84"/>
      <c r="K699" s="84"/>
      <c r="L699" s="84"/>
      <c r="M699" s="84"/>
      <c r="N699" s="84"/>
      <c r="O699" s="84"/>
      <c r="P699" s="85"/>
      <c r="Q699" s="75"/>
      <c r="R699" s="75"/>
      <c r="S699" s="75"/>
      <c r="T699" s="75"/>
      <c r="U699" s="89"/>
      <c r="V699" s="84"/>
      <c r="W699" s="84"/>
      <c r="X699" s="84"/>
      <c r="Y699" s="84"/>
      <c r="Z699" s="84"/>
    </row>
    <row r="700" spans="1:26" ht="15.75" customHeight="1">
      <c r="A700" s="83"/>
      <c r="B700" s="83"/>
      <c r="C700" s="83"/>
      <c r="D700" s="84"/>
      <c r="E700" s="84"/>
      <c r="F700" s="84"/>
      <c r="G700" s="83"/>
      <c r="H700" s="84"/>
      <c r="I700" s="84"/>
      <c r="J700" s="84"/>
      <c r="K700" s="84"/>
      <c r="L700" s="84"/>
      <c r="M700" s="84"/>
      <c r="N700" s="84"/>
      <c r="O700" s="84"/>
      <c r="P700" s="85"/>
      <c r="Q700" s="75"/>
      <c r="R700" s="75"/>
      <c r="S700" s="75"/>
      <c r="T700" s="75"/>
      <c r="U700" s="89"/>
      <c r="V700" s="84"/>
      <c r="W700" s="84"/>
      <c r="X700" s="84"/>
      <c r="Y700" s="84"/>
      <c r="Z700" s="84"/>
    </row>
    <row r="701" spans="1:26" ht="15.75" customHeight="1">
      <c r="A701" s="83"/>
      <c r="B701" s="83"/>
      <c r="C701" s="83"/>
      <c r="D701" s="84"/>
      <c r="E701" s="84"/>
      <c r="F701" s="84"/>
      <c r="G701" s="83"/>
      <c r="H701" s="84"/>
      <c r="I701" s="84"/>
      <c r="J701" s="84"/>
      <c r="K701" s="84"/>
      <c r="L701" s="84"/>
      <c r="M701" s="84"/>
      <c r="N701" s="84"/>
      <c r="O701" s="84"/>
      <c r="P701" s="85"/>
      <c r="Q701" s="75"/>
      <c r="R701" s="75"/>
      <c r="S701" s="75"/>
      <c r="T701" s="75"/>
      <c r="U701" s="89"/>
      <c r="V701" s="84"/>
      <c r="W701" s="84"/>
      <c r="X701" s="84"/>
      <c r="Y701" s="84"/>
      <c r="Z701" s="84"/>
    </row>
    <row r="702" spans="1:26" ht="15.75" customHeight="1">
      <c r="A702" s="83"/>
      <c r="B702" s="83"/>
      <c r="C702" s="83"/>
      <c r="D702" s="84"/>
      <c r="E702" s="84"/>
      <c r="F702" s="84"/>
      <c r="G702" s="83"/>
      <c r="H702" s="84"/>
      <c r="I702" s="84"/>
      <c r="J702" s="84"/>
      <c r="K702" s="84"/>
      <c r="L702" s="84"/>
      <c r="M702" s="84"/>
      <c r="N702" s="84"/>
      <c r="O702" s="84"/>
      <c r="P702" s="85"/>
      <c r="Q702" s="75"/>
      <c r="R702" s="75"/>
      <c r="S702" s="75"/>
      <c r="T702" s="75"/>
      <c r="U702" s="89"/>
      <c r="V702" s="84"/>
      <c r="W702" s="84"/>
      <c r="X702" s="84"/>
      <c r="Y702" s="84"/>
      <c r="Z702" s="84"/>
    </row>
    <row r="703" spans="1:26" ht="15.75" customHeight="1">
      <c r="A703" s="83"/>
      <c r="B703" s="83"/>
      <c r="C703" s="83"/>
      <c r="D703" s="84"/>
      <c r="E703" s="84"/>
      <c r="F703" s="84"/>
      <c r="G703" s="83"/>
      <c r="H703" s="84"/>
      <c r="I703" s="84"/>
      <c r="J703" s="84"/>
      <c r="K703" s="84"/>
      <c r="L703" s="84"/>
      <c r="M703" s="84"/>
      <c r="N703" s="84"/>
      <c r="O703" s="84"/>
      <c r="P703" s="85"/>
      <c r="Q703" s="75"/>
      <c r="R703" s="75"/>
      <c r="S703" s="75"/>
      <c r="T703" s="75"/>
      <c r="U703" s="89"/>
      <c r="V703" s="84"/>
      <c r="W703" s="84"/>
      <c r="X703" s="84"/>
      <c r="Y703" s="84"/>
      <c r="Z703" s="84"/>
    </row>
    <row r="704" spans="1:26" ht="15.75" customHeight="1">
      <c r="A704" s="83"/>
      <c r="B704" s="83"/>
      <c r="C704" s="83"/>
      <c r="D704" s="84"/>
      <c r="E704" s="84"/>
      <c r="F704" s="84"/>
      <c r="G704" s="83"/>
      <c r="H704" s="84"/>
      <c r="I704" s="84"/>
      <c r="J704" s="84"/>
      <c r="K704" s="84"/>
      <c r="L704" s="84"/>
      <c r="M704" s="84"/>
      <c r="N704" s="84"/>
      <c r="O704" s="84"/>
      <c r="P704" s="85"/>
      <c r="Q704" s="75"/>
      <c r="R704" s="75"/>
      <c r="S704" s="75"/>
      <c r="T704" s="75"/>
      <c r="U704" s="89"/>
      <c r="V704" s="84"/>
      <c r="W704" s="84"/>
      <c r="X704" s="84"/>
      <c r="Y704" s="84"/>
      <c r="Z704" s="84"/>
    </row>
    <row r="705" spans="1:26" ht="15.75" customHeight="1">
      <c r="A705" s="83"/>
      <c r="B705" s="83"/>
      <c r="C705" s="83"/>
      <c r="D705" s="84"/>
      <c r="E705" s="84"/>
      <c r="F705" s="84"/>
      <c r="G705" s="83"/>
      <c r="H705" s="84"/>
      <c r="I705" s="84"/>
      <c r="J705" s="84"/>
      <c r="K705" s="84"/>
      <c r="L705" s="84"/>
      <c r="M705" s="84"/>
      <c r="N705" s="84"/>
      <c r="O705" s="84"/>
      <c r="P705" s="85"/>
      <c r="Q705" s="75"/>
      <c r="R705" s="75"/>
      <c r="S705" s="75"/>
      <c r="T705" s="75"/>
      <c r="U705" s="89"/>
      <c r="V705" s="84"/>
      <c r="W705" s="84"/>
      <c r="X705" s="84"/>
      <c r="Y705" s="84"/>
      <c r="Z705" s="84"/>
    </row>
    <row r="706" spans="1:26" ht="15.75" customHeight="1">
      <c r="A706" s="83"/>
      <c r="B706" s="83"/>
      <c r="C706" s="83"/>
      <c r="D706" s="84"/>
      <c r="E706" s="84"/>
      <c r="F706" s="84"/>
      <c r="G706" s="83"/>
      <c r="H706" s="84"/>
      <c r="I706" s="84"/>
      <c r="J706" s="84"/>
      <c r="K706" s="84"/>
      <c r="L706" s="84"/>
      <c r="M706" s="84"/>
      <c r="N706" s="84"/>
      <c r="O706" s="84"/>
      <c r="P706" s="85"/>
      <c r="Q706" s="75"/>
      <c r="R706" s="75"/>
      <c r="S706" s="75"/>
      <c r="T706" s="75"/>
      <c r="U706" s="89"/>
      <c r="V706" s="84"/>
      <c r="W706" s="84"/>
      <c r="X706" s="84"/>
      <c r="Y706" s="84"/>
      <c r="Z706" s="84"/>
    </row>
    <row r="707" spans="1:26" ht="15.75" customHeight="1">
      <c r="A707" s="83"/>
      <c r="B707" s="83"/>
      <c r="C707" s="83"/>
      <c r="D707" s="84"/>
      <c r="E707" s="84"/>
      <c r="F707" s="84"/>
      <c r="G707" s="83"/>
      <c r="H707" s="84"/>
      <c r="I707" s="84"/>
      <c r="J707" s="84"/>
      <c r="K707" s="84"/>
      <c r="L707" s="84"/>
      <c r="M707" s="84"/>
      <c r="N707" s="84"/>
      <c r="O707" s="84"/>
      <c r="P707" s="85"/>
      <c r="Q707" s="75"/>
      <c r="R707" s="75"/>
      <c r="S707" s="75"/>
      <c r="T707" s="75"/>
      <c r="U707" s="89"/>
      <c r="V707" s="84"/>
      <c r="W707" s="84"/>
      <c r="X707" s="84"/>
      <c r="Y707" s="84"/>
      <c r="Z707" s="84"/>
    </row>
    <row r="708" spans="1:26" ht="15.75" customHeight="1">
      <c r="A708" s="83"/>
      <c r="B708" s="83"/>
      <c r="C708" s="83"/>
      <c r="D708" s="84"/>
      <c r="E708" s="84"/>
      <c r="F708" s="84"/>
      <c r="G708" s="83"/>
      <c r="H708" s="84"/>
      <c r="I708" s="84"/>
      <c r="J708" s="84"/>
      <c r="K708" s="84"/>
      <c r="L708" s="84"/>
      <c r="M708" s="84"/>
      <c r="N708" s="84"/>
      <c r="O708" s="84"/>
      <c r="P708" s="85"/>
      <c r="Q708" s="75"/>
      <c r="R708" s="75"/>
      <c r="S708" s="75"/>
      <c r="T708" s="75"/>
      <c r="U708" s="89"/>
      <c r="V708" s="84"/>
      <c r="W708" s="84"/>
      <c r="X708" s="84"/>
      <c r="Y708" s="84"/>
      <c r="Z708" s="84"/>
    </row>
    <row r="709" spans="1:26" ht="15.75" customHeight="1">
      <c r="A709" s="83"/>
      <c r="B709" s="83"/>
      <c r="C709" s="83"/>
      <c r="D709" s="84"/>
      <c r="E709" s="84"/>
      <c r="F709" s="84"/>
      <c r="G709" s="83"/>
      <c r="H709" s="84"/>
      <c r="I709" s="84"/>
      <c r="J709" s="84"/>
      <c r="K709" s="84"/>
      <c r="L709" s="84"/>
      <c r="M709" s="84"/>
      <c r="N709" s="84"/>
      <c r="O709" s="84"/>
      <c r="P709" s="85"/>
      <c r="Q709" s="75"/>
      <c r="R709" s="75"/>
      <c r="S709" s="75"/>
      <c r="T709" s="75"/>
      <c r="U709" s="89"/>
      <c r="V709" s="84"/>
      <c r="W709" s="84"/>
      <c r="X709" s="84"/>
      <c r="Y709" s="84"/>
      <c r="Z709" s="84"/>
    </row>
    <row r="710" spans="1:26" ht="15.75" customHeight="1">
      <c r="A710" s="83"/>
      <c r="B710" s="83"/>
      <c r="C710" s="83"/>
      <c r="D710" s="84"/>
      <c r="E710" s="84"/>
      <c r="F710" s="84"/>
      <c r="G710" s="83"/>
      <c r="H710" s="84"/>
      <c r="I710" s="84"/>
      <c r="J710" s="84"/>
      <c r="K710" s="84"/>
      <c r="L710" s="84"/>
      <c r="M710" s="84"/>
      <c r="N710" s="84"/>
      <c r="O710" s="84"/>
      <c r="P710" s="85"/>
      <c r="Q710" s="75"/>
      <c r="R710" s="75"/>
      <c r="S710" s="75"/>
      <c r="T710" s="75"/>
      <c r="U710" s="89"/>
      <c r="V710" s="84"/>
      <c r="W710" s="84"/>
      <c r="X710" s="84"/>
      <c r="Y710" s="84"/>
      <c r="Z710" s="84"/>
    </row>
    <row r="711" spans="1:26" ht="15.75" customHeight="1">
      <c r="A711" s="83"/>
      <c r="B711" s="83"/>
      <c r="C711" s="83"/>
      <c r="D711" s="84"/>
      <c r="E711" s="84"/>
      <c r="F711" s="84"/>
      <c r="G711" s="83"/>
      <c r="H711" s="84"/>
      <c r="I711" s="84"/>
      <c r="J711" s="84"/>
      <c r="K711" s="84"/>
      <c r="L711" s="84"/>
      <c r="M711" s="84"/>
      <c r="N711" s="84"/>
      <c r="O711" s="84"/>
      <c r="P711" s="85"/>
      <c r="Q711" s="75"/>
      <c r="R711" s="75"/>
      <c r="S711" s="75"/>
      <c r="T711" s="75"/>
      <c r="U711" s="89"/>
      <c r="V711" s="84"/>
      <c r="W711" s="84"/>
      <c r="X711" s="84"/>
      <c r="Y711" s="84"/>
      <c r="Z711" s="84"/>
    </row>
    <row r="712" spans="1:26" ht="15.75" customHeight="1">
      <c r="A712" s="83"/>
      <c r="B712" s="83"/>
      <c r="C712" s="83"/>
      <c r="D712" s="84"/>
      <c r="E712" s="84"/>
      <c r="F712" s="84"/>
      <c r="G712" s="83"/>
      <c r="H712" s="84"/>
      <c r="I712" s="84"/>
      <c r="J712" s="84"/>
      <c r="K712" s="84"/>
      <c r="L712" s="84"/>
      <c r="M712" s="84"/>
      <c r="N712" s="84"/>
      <c r="O712" s="84"/>
      <c r="P712" s="85"/>
      <c r="Q712" s="75"/>
      <c r="R712" s="75"/>
      <c r="S712" s="75"/>
      <c r="T712" s="75"/>
      <c r="U712" s="89"/>
      <c r="V712" s="84"/>
      <c r="W712" s="84"/>
      <c r="X712" s="84"/>
      <c r="Y712" s="84"/>
      <c r="Z712" s="84"/>
    </row>
    <row r="713" spans="1:26" ht="15.75" customHeight="1">
      <c r="A713" s="83"/>
      <c r="B713" s="83"/>
      <c r="C713" s="83"/>
      <c r="D713" s="84"/>
      <c r="E713" s="84"/>
      <c r="F713" s="84"/>
      <c r="G713" s="83"/>
      <c r="H713" s="84"/>
      <c r="I713" s="84"/>
      <c r="J713" s="84"/>
      <c r="K713" s="84"/>
      <c r="L713" s="84"/>
      <c r="M713" s="84"/>
      <c r="N713" s="84"/>
      <c r="O713" s="84"/>
      <c r="P713" s="85"/>
      <c r="Q713" s="75"/>
      <c r="R713" s="75"/>
      <c r="S713" s="75"/>
      <c r="T713" s="75"/>
      <c r="U713" s="89"/>
      <c r="V713" s="84"/>
      <c r="W713" s="84"/>
      <c r="X713" s="84"/>
      <c r="Y713" s="84"/>
      <c r="Z713" s="84"/>
    </row>
    <row r="714" spans="1:26" ht="15.75" customHeight="1">
      <c r="A714" s="83"/>
      <c r="B714" s="83"/>
      <c r="C714" s="83"/>
      <c r="D714" s="84"/>
      <c r="E714" s="84"/>
      <c r="F714" s="84"/>
      <c r="G714" s="83"/>
      <c r="H714" s="84"/>
      <c r="I714" s="84"/>
      <c r="J714" s="84"/>
      <c r="K714" s="84"/>
      <c r="L714" s="84"/>
      <c r="M714" s="84"/>
      <c r="N714" s="84"/>
      <c r="O714" s="84"/>
      <c r="P714" s="85"/>
      <c r="Q714" s="75"/>
      <c r="R714" s="75"/>
      <c r="S714" s="75"/>
      <c r="T714" s="75"/>
      <c r="U714" s="89"/>
      <c r="V714" s="84"/>
      <c r="W714" s="84"/>
      <c r="X714" s="84"/>
      <c r="Y714" s="84"/>
      <c r="Z714" s="84"/>
    </row>
    <row r="715" spans="1:26" ht="15.75" customHeight="1">
      <c r="A715" s="83"/>
      <c r="B715" s="83"/>
      <c r="C715" s="83"/>
      <c r="D715" s="84"/>
      <c r="E715" s="84"/>
      <c r="F715" s="84"/>
      <c r="G715" s="83"/>
      <c r="H715" s="84"/>
      <c r="I715" s="84"/>
      <c r="J715" s="84"/>
      <c r="K715" s="84"/>
      <c r="L715" s="84"/>
      <c r="M715" s="84"/>
      <c r="N715" s="84"/>
      <c r="O715" s="84"/>
      <c r="P715" s="85"/>
      <c r="Q715" s="75"/>
      <c r="R715" s="75"/>
      <c r="S715" s="75"/>
      <c r="T715" s="75"/>
      <c r="U715" s="89"/>
      <c r="V715" s="84"/>
      <c r="W715" s="84"/>
      <c r="X715" s="84"/>
      <c r="Y715" s="84"/>
      <c r="Z715" s="84"/>
    </row>
    <row r="716" spans="1:26" ht="15.75" customHeight="1">
      <c r="A716" s="83"/>
      <c r="B716" s="83"/>
      <c r="C716" s="83"/>
      <c r="D716" s="84"/>
      <c r="E716" s="84"/>
      <c r="F716" s="84"/>
      <c r="G716" s="83"/>
      <c r="H716" s="84"/>
      <c r="I716" s="84"/>
      <c r="J716" s="84"/>
      <c r="K716" s="84"/>
      <c r="L716" s="84"/>
      <c r="M716" s="84"/>
      <c r="N716" s="84"/>
      <c r="O716" s="84"/>
      <c r="P716" s="85"/>
      <c r="Q716" s="75"/>
      <c r="R716" s="75"/>
      <c r="S716" s="75"/>
      <c r="T716" s="75"/>
      <c r="U716" s="89"/>
      <c r="V716" s="84"/>
      <c r="W716" s="84"/>
      <c r="X716" s="84"/>
      <c r="Y716" s="84"/>
      <c r="Z716" s="84"/>
    </row>
    <row r="717" spans="1:26" ht="15.75" customHeight="1">
      <c r="A717" s="83"/>
      <c r="B717" s="83"/>
      <c r="C717" s="83"/>
      <c r="D717" s="84"/>
      <c r="E717" s="84"/>
      <c r="F717" s="84"/>
      <c r="G717" s="83"/>
      <c r="H717" s="84"/>
      <c r="I717" s="84"/>
      <c r="J717" s="84"/>
      <c r="K717" s="84"/>
      <c r="L717" s="84"/>
      <c r="M717" s="84"/>
      <c r="N717" s="84"/>
      <c r="O717" s="84"/>
      <c r="P717" s="85"/>
      <c r="Q717" s="75"/>
      <c r="R717" s="75"/>
      <c r="S717" s="75"/>
      <c r="T717" s="75"/>
      <c r="U717" s="89"/>
      <c r="V717" s="84"/>
      <c r="W717" s="84"/>
      <c r="X717" s="84"/>
      <c r="Y717" s="84"/>
      <c r="Z717" s="84"/>
    </row>
    <row r="718" spans="1:26" ht="15.75" customHeight="1">
      <c r="A718" s="83"/>
      <c r="B718" s="83"/>
      <c r="C718" s="83"/>
      <c r="D718" s="84"/>
      <c r="E718" s="84"/>
      <c r="F718" s="84"/>
      <c r="G718" s="83"/>
      <c r="H718" s="84"/>
      <c r="I718" s="84"/>
      <c r="J718" s="84"/>
      <c r="K718" s="84"/>
      <c r="L718" s="84"/>
      <c r="M718" s="84"/>
      <c r="N718" s="84"/>
      <c r="O718" s="84"/>
      <c r="P718" s="85"/>
      <c r="Q718" s="75"/>
      <c r="R718" s="75"/>
      <c r="S718" s="75"/>
      <c r="T718" s="75"/>
      <c r="U718" s="89"/>
      <c r="V718" s="84"/>
      <c r="W718" s="84"/>
      <c r="X718" s="84"/>
      <c r="Y718" s="84"/>
      <c r="Z718" s="84"/>
    </row>
    <row r="719" spans="1:26" ht="15.75" customHeight="1">
      <c r="A719" s="83"/>
      <c r="B719" s="83"/>
      <c r="C719" s="83"/>
      <c r="D719" s="84"/>
      <c r="E719" s="84"/>
      <c r="F719" s="84"/>
      <c r="G719" s="83"/>
      <c r="H719" s="84"/>
      <c r="I719" s="84"/>
      <c r="J719" s="84"/>
      <c r="K719" s="84"/>
      <c r="L719" s="84"/>
      <c r="M719" s="84"/>
      <c r="N719" s="84"/>
      <c r="O719" s="84"/>
      <c r="P719" s="85"/>
      <c r="Q719" s="75"/>
      <c r="R719" s="75"/>
      <c r="S719" s="75"/>
      <c r="T719" s="75"/>
      <c r="U719" s="89"/>
      <c r="V719" s="84"/>
      <c r="W719" s="84"/>
      <c r="X719" s="84"/>
      <c r="Y719" s="84"/>
      <c r="Z719" s="84"/>
    </row>
    <row r="720" spans="1:26" ht="15.75" customHeight="1">
      <c r="A720" s="83"/>
      <c r="B720" s="83"/>
      <c r="C720" s="83"/>
      <c r="D720" s="84"/>
      <c r="E720" s="84"/>
      <c r="F720" s="84"/>
      <c r="G720" s="83"/>
      <c r="H720" s="84"/>
      <c r="I720" s="84"/>
      <c r="J720" s="84"/>
      <c r="K720" s="84"/>
      <c r="L720" s="84"/>
      <c r="M720" s="84"/>
      <c r="N720" s="84"/>
      <c r="O720" s="84"/>
      <c r="P720" s="85"/>
      <c r="Q720" s="75"/>
      <c r="R720" s="75"/>
      <c r="S720" s="75"/>
      <c r="T720" s="75"/>
      <c r="U720" s="89"/>
      <c r="V720" s="84"/>
      <c r="W720" s="84"/>
      <c r="X720" s="84"/>
      <c r="Y720" s="84"/>
      <c r="Z720" s="84"/>
    </row>
    <row r="721" spans="1:26" ht="15.75" customHeight="1">
      <c r="A721" s="83"/>
      <c r="B721" s="83"/>
      <c r="C721" s="83"/>
      <c r="D721" s="84"/>
      <c r="E721" s="84"/>
      <c r="F721" s="84"/>
      <c r="G721" s="83"/>
      <c r="H721" s="84"/>
      <c r="I721" s="84"/>
      <c r="J721" s="84"/>
      <c r="K721" s="84"/>
      <c r="L721" s="84"/>
      <c r="M721" s="84"/>
      <c r="N721" s="84"/>
      <c r="O721" s="84"/>
      <c r="P721" s="85"/>
      <c r="Q721" s="75"/>
      <c r="R721" s="75"/>
      <c r="S721" s="75"/>
      <c r="T721" s="75"/>
      <c r="U721" s="89"/>
      <c r="V721" s="84"/>
      <c r="W721" s="84"/>
      <c r="X721" s="84"/>
      <c r="Y721" s="84"/>
      <c r="Z721" s="84"/>
    </row>
    <row r="722" spans="1:26" ht="15.75" customHeight="1">
      <c r="A722" s="83"/>
      <c r="B722" s="83"/>
      <c r="C722" s="83"/>
      <c r="D722" s="84"/>
      <c r="E722" s="84"/>
      <c r="F722" s="84"/>
      <c r="G722" s="83"/>
      <c r="H722" s="84"/>
      <c r="I722" s="84"/>
      <c r="J722" s="84"/>
      <c r="K722" s="84"/>
      <c r="L722" s="84"/>
      <c r="M722" s="84"/>
      <c r="N722" s="84"/>
      <c r="O722" s="84"/>
      <c r="P722" s="85"/>
      <c r="Q722" s="75"/>
      <c r="R722" s="75"/>
      <c r="S722" s="75"/>
      <c r="T722" s="75"/>
      <c r="U722" s="89"/>
      <c r="V722" s="84"/>
      <c r="W722" s="84"/>
      <c r="X722" s="84"/>
      <c r="Y722" s="84"/>
      <c r="Z722" s="84"/>
    </row>
    <row r="723" spans="1:26" ht="15.75" customHeight="1">
      <c r="A723" s="83"/>
      <c r="B723" s="83"/>
      <c r="C723" s="83"/>
      <c r="D723" s="84"/>
      <c r="E723" s="84"/>
      <c r="F723" s="84"/>
      <c r="G723" s="83"/>
      <c r="H723" s="84"/>
      <c r="I723" s="84"/>
      <c r="J723" s="84"/>
      <c r="K723" s="84"/>
      <c r="L723" s="84"/>
      <c r="M723" s="84"/>
      <c r="N723" s="84"/>
      <c r="O723" s="84"/>
      <c r="P723" s="85"/>
      <c r="Q723" s="75"/>
      <c r="R723" s="75"/>
      <c r="S723" s="75"/>
      <c r="T723" s="75"/>
      <c r="U723" s="89"/>
      <c r="V723" s="84"/>
      <c r="W723" s="84"/>
      <c r="X723" s="84"/>
      <c r="Y723" s="84"/>
      <c r="Z723" s="84"/>
    </row>
    <row r="724" spans="1:26" ht="15.75" customHeight="1">
      <c r="A724" s="83"/>
      <c r="B724" s="83"/>
      <c r="C724" s="83"/>
      <c r="D724" s="84"/>
      <c r="E724" s="84"/>
      <c r="F724" s="84"/>
      <c r="G724" s="83"/>
      <c r="H724" s="84"/>
      <c r="I724" s="84"/>
      <c r="J724" s="84"/>
      <c r="K724" s="84"/>
      <c r="L724" s="84"/>
      <c r="M724" s="84"/>
      <c r="N724" s="84"/>
      <c r="O724" s="84"/>
      <c r="P724" s="85"/>
      <c r="Q724" s="75"/>
      <c r="R724" s="75"/>
      <c r="S724" s="75"/>
      <c r="T724" s="75"/>
      <c r="U724" s="89"/>
      <c r="V724" s="84"/>
      <c r="W724" s="84"/>
      <c r="X724" s="84"/>
      <c r="Y724" s="84"/>
      <c r="Z724" s="84"/>
    </row>
    <row r="725" spans="1:26" ht="15.75" customHeight="1">
      <c r="A725" s="83"/>
      <c r="B725" s="83"/>
      <c r="C725" s="83"/>
      <c r="D725" s="84"/>
      <c r="E725" s="84"/>
      <c r="F725" s="84"/>
      <c r="G725" s="83"/>
      <c r="H725" s="84"/>
      <c r="I725" s="84"/>
      <c r="J725" s="84"/>
      <c r="K725" s="84"/>
      <c r="L725" s="84"/>
      <c r="M725" s="84"/>
      <c r="N725" s="84"/>
      <c r="O725" s="84"/>
      <c r="P725" s="85"/>
      <c r="Q725" s="75"/>
      <c r="R725" s="75"/>
      <c r="S725" s="75"/>
      <c r="T725" s="75"/>
      <c r="U725" s="89"/>
      <c r="V725" s="84"/>
      <c r="W725" s="84"/>
      <c r="X725" s="84"/>
      <c r="Y725" s="84"/>
      <c r="Z725" s="84"/>
    </row>
    <row r="726" spans="1:26" ht="15.75" customHeight="1">
      <c r="A726" s="83"/>
      <c r="B726" s="83"/>
      <c r="C726" s="83"/>
      <c r="D726" s="84"/>
      <c r="E726" s="84"/>
      <c r="F726" s="84"/>
      <c r="G726" s="83"/>
      <c r="H726" s="84"/>
      <c r="I726" s="84"/>
      <c r="J726" s="84"/>
      <c r="K726" s="84"/>
      <c r="L726" s="84"/>
      <c r="M726" s="84"/>
      <c r="N726" s="84"/>
      <c r="O726" s="84"/>
      <c r="P726" s="85"/>
      <c r="Q726" s="75"/>
      <c r="R726" s="75"/>
      <c r="S726" s="75"/>
      <c r="T726" s="75"/>
      <c r="U726" s="89"/>
      <c r="V726" s="84"/>
      <c r="W726" s="84"/>
      <c r="X726" s="84"/>
      <c r="Y726" s="84"/>
      <c r="Z726" s="84"/>
    </row>
    <row r="727" spans="1:26" ht="15.75" customHeight="1">
      <c r="A727" s="83"/>
      <c r="B727" s="83"/>
      <c r="C727" s="83"/>
      <c r="D727" s="84"/>
      <c r="E727" s="84"/>
      <c r="F727" s="84"/>
      <c r="G727" s="83"/>
      <c r="H727" s="84"/>
      <c r="I727" s="84"/>
      <c r="J727" s="84"/>
      <c r="K727" s="84"/>
      <c r="L727" s="84"/>
      <c r="M727" s="84"/>
      <c r="N727" s="84"/>
      <c r="O727" s="84"/>
      <c r="P727" s="85"/>
      <c r="Q727" s="75"/>
      <c r="R727" s="75"/>
      <c r="S727" s="75"/>
      <c r="T727" s="75"/>
      <c r="U727" s="89"/>
      <c r="V727" s="84"/>
      <c r="W727" s="84"/>
      <c r="X727" s="84"/>
      <c r="Y727" s="84"/>
      <c r="Z727" s="84"/>
    </row>
    <row r="728" spans="1:26" ht="15.75" customHeight="1">
      <c r="A728" s="83"/>
      <c r="B728" s="83"/>
      <c r="C728" s="83"/>
      <c r="D728" s="84"/>
      <c r="E728" s="84"/>
      <c r="F728" s="84"/>
      <c r="G728" s="83"/>
      <c r="H728" s="84"/>
      <c r="I728" s="84"/>
      <c r="J728" s="84"/>
      <c r="K728" s="84"/>
      <c r="L728" s="84"/>
      <c r="M728" s="84"/>
      <c r="N728" s="84"/>
      <c r="O728" s="84"/>
      <c r="P728" s="85"/>
      <c r="Q728" s="75"/>
      <c r="R728" s="75"/>
      <c r="S728" s="75"/>
      <c r="T728" s="75"/>
      <c r="U728" s="89"/>
      <c r="V728" s="84"/>
      <c r="W728" s="84"/>
      <c r="X728" s="84"/>
      <c r="Y728" s="84"/>
      <c r="Z728" s="84"/>
    </row>
    <row r="729" spans="1:26" ht="15.75" customHeight="1">
      <c r="A729" s="83"/>
      <c r="B729" s="83"/>
      <c r="C729" s="83"/>
      <c r="D729" s="84"/>
      <c r="E729" s="84"/>
      <c r="F729" s="84"/>
      <c r="G729" s="83"/>
      <c r="H729" s="84"/>
      <c r="I729" s="84"/>
      <c r="J729" s="84"/>
      <c r="K729" s="84"/>
      <c r="L729" s="84"/>
      <c r="M729" s="84"/>
      <c r="N729" s="84"/>
      <c r="O729" s="84"/>
      <c r="P729" s="85"/>
      <c r="Q729" s="75"/>
      <c r="R729" s="75"/>
      <c r="S729" s="75"/>
      <c r="T729" s="75"/>
      <c r="U729" s="89"/>
      <c r="V729" s="84"/>
      <c r="W729" s="84"/>
      <c r="X729" s="84"/>
      <c r="Y729" s="84"/>
      <c r="Z729" s="84"/>
    </row>
    <row r="730" spans="1:26" ht="15.75" customHeight="1">
      <c r="A730" s="83"/>
      <c r="B730" s="83"/>
      <c r="C730" s="83"/>
      <c r="D730" s="84"/>
      <c r="E730" s="84"/>
      <c r="F730" s="84"/>
      <c r="G730" s="83"/>
      <c r="H730" s="84"/>
      <c r="I730" s="84"/>
      <c r="J730" s="84"/>
      <c r="K730" s="84"/>
      <c r="L730" s="84"/>
      <c r="M730" s="84"/>
      <c r="N730" s="84"/>
      <c r="O730" s="84"/>
      <c r="P730" s="85"/>
      <c r="Q730" s="75"/>
      <c r="R730" s="75"/>
      <c r="S730" s="75"/>
      <c r="T730" s="75"/>
      <c r="U730" s="89"/>
      <c r="V730" s="84"/>
      <c r="W730" s="84"/>
      <c r="X730" s="84"/>
      <c r="Y730" s="84"/>
      <c r="Z730" s="84"/>
    </row>
    <row r="731" spans="1:26" ht="15.75" customHeight="1">
      <c r="A731" s="83"/>
      <c r="B731" s="83"/>
      <c r="C731" s="83"/>
      <c r="D731" s="84"/>
      <c r="E731" s="84"/>
      <c r="F731" s="84"/>
      <c r="G731" s="83"/>
      <c r="H731" s="84"/>
      <c r="I731" s="84"/>
      <c r="J731" s="84"/>
      <c r="K731" s="84"/>
      <c r="L731" s="84"/>
      <c r="M731" s="84"/>
      <c r="N731" s="84"/>
      <c r="O731" s="84"/>
      <c r="P731" s="85"/>
      <c r="Q731" s="75"/>
      <c r="R731" s="75"/>
      <c r="S731" s="75"/>
      <c r="T731" s="75"/>
      <c r="U731" s="89"/>
      <c r="V731" s="84"/>
      <c r="W731" s="84"/>
      <c r="X731" s="84"/>
      <c r="Y731" s="84"/>
      <c r="Z731" s="84"/>
    </row>
    <row r="732" spans="1:26" ht="15.75" customHeight="1">
      <c r="A732" s="83"/>
      <c r="B732" s="83"/>
      <c r="C732" s="83"/>
      <c r="D732" s="84"/>
      <c r="E732" s="84"/>
      <c r="F732" s="84"/>
      <c r="G732" s="83"/>
      <c r="H732" s="84"/>
      <c r="I732" s="84"/>
      <c r="J732" s="84"/>
      <c r="K732" s="84"/>
      <c r="L732" s="84"/>
      <c r="M732" s="84"/>
      <c r="N732" s="84"/>
      <c r="O732" s="84"/>
      <c r="P732" s="85"/>
      <c r="Q732" s="75"/>
      <c r="R732" s="75"/>
      <c r="S732" s="75"/>
      <c r="T732" s="75"/>
      <c r="U732" s="89"/>
      <c r="V732" s="84"/>
      <c r="W732" s="84"/>
      <c r="X732" s="84"/>
      <c r="Y732" s="84"/>
      <c r="Z732" s="84"/>
    </row>
    <row r="733" spans="1:26" ht="15.75" customHeight="1">
      <c r="A733" s="83"/>
      <c r="B733" s="83"/>
      <c r="C733" s="83"/>
      <c r="D733" s="84"/>
      <c r="E733" s="84"/>
      <c r="F733" s="84"/>
      <c r="G733" s="83"/>
      <c r="H733" s="84"/>
      <c r="I733" s="84"/>
      <c r="J733" s="84"/>
      <c r="K733" s="84"/>
      <c r="L733" s="84"/>
      <c r="M733" s="84"/>
      <c r="N733" s="84"/>
      <c r="O733" s="84"/>
      <c r="P733" s="85"/>
      <c r="Q733" s="75"/>
      <c r="R733" s="75"/>
      <c r="S733" s="75"/>
      <c r="T733" s="75"/>
      <c r="U733" s="89"/>
      <c r="V733" s="84"/>
      <c r="W733" s="84"/>
      <c r="X733" s="84"/>
      <c r="Y733" s="84"/>
      <c r="Z733" s="84"/>
    </row>
    <row r="734" spans="1:26" ht="15.75" customHeight="1">
      <c r="A734" s="83"/>
      <c r="B734" s="83"/>
      <c r="C734" s="83"/>
      <c r="D734" s="84"/>
      <c r="E734" s="84"/>
      <c r="F734" s="84"/>
      <c r="G734" s="83"/>
      <c r="H734" s="84"/>
      <c r="I734" s="84"/>
      <c r="J734" s="84"/>
      <c r="K734" s="84"/>
      <c r="L734" s="84"/>
      <c r="M734" s="84"/>
      <c r="N734" s="84"/>
      <c r="O734" s="84"/>
      <c r="P734" s="85"/>
      <c r="Q734" s="75"/>
      <c r="R734" s="75"/>
      <c r="S734" s="75"/>
      <c r="T734" s="75"/>
      <c r="U734" s="89"/>
      <c r="V734" s="84"/>
      <c r="W734" s="84"/>
      <c r="X734" s="84"/>
      <c r="Y734" s="84"/>
      <c r="Z734" s="84"/>
    </row>
    <row r="735" spans="1:26" ht="15.75" customHeight="1">
      <c r="A735" s="83"/>
      <c r="B735" s="83"/>
      <c r="C735" s="83"/>
      <c r="D735" s="84"/>
      <c r="E735" s="84"/>
      <c r="F735" s="84"/>
      <c r="G735" s="83"/>
      <c r="H735" s="84"/>
      <c r="I735" s="84"/>
      <c r="J735" s="84"/>
      <c r="K735" s="84"/>
      <c r="L735" s="84"/>
      <c r="M735" s="84"/>
      <c r="N735" s="84"/>
      <c r="O735" s="84"/>
      <c r="P735" s="85"/>
      <c r="Q735" s="75"/>
      <c r="R735" s="75"/>
      <c r="S735" s="75"/>
      <c r="T735" s="75"/>
      <c r="U735" s="89"/>
      <c r="V735" s="84"/>
      <c r="W735" s="84"/>
      <c r="X735" s="84"/>
      <c r="Y735" s="84"/>
      <c r="Z735" s="84"/>
    </row>
    <row r="736" spans="1:26" ht="15.75" customHeight="1">
      <c r="A736" s="83"/>
      <c r="B736" s="83"/>
      <c r="C736" s="83"/>
      <c r="D736" s="84"/>
      <c r="E736" s="84"/>
      <c r="F736" s="84"/>
      <c r="G736" s="83"/>
      <c r="H736" s="84"/>
      <c r="I736" s="84"/>
      <c r="J736" s="84"/>
      <c r="K736" s="84"/>
      <c r="L736" s="84"/>
      <c r="M736" s="84"/>
      <c r="N736" s="84"/>
      <c r="O736" s="84"/>
      <c r="P736" s="85"/>
      <c r="Q736" s="75"/>
      <c r="R736" s="75"/>
      <c r="S736" s="75"/>
      <c r="T736" s="75"/>
      <c r="U736" s="89"/>
      <c r="V736" s="84"/>
      <c r="W736" s="84"/>
      <c r="X736" s="84"/>
      <c r="Y736" s="84"/>
      <c r="Z736" s="84"/>
    </row>
    <row r="737" spans="1:26" ht="15.75" customHeight="1">
      <c r="A737" s="83"/>
      <c r="B737" s="83"/>
      <c r="C737" s="83"/>
      <c r="D737" s="84"/>
      <c r="E737" s="84"/>
      <c r="F737" s="84"/>
      <c r="G737" s="83"/>
      <c r="H737" s="84"/>
      <c r="I737" s="84"/>
      <c r="J737" s="84"/>
      <c r="K737" s="84"/>
      <c r="L737" s="84"/>
      <c r="M737" s="84"/>
      <c r="N737" s="84"/>
      <c r="O737" s="84"/>
      <c r="P737" s="85"/>
      <c r="Q737" s="75"/>
      <c r="R737" s="75"/>
      <c r="S737" s="75"/>
      <c r="T737" s="75"/>
      <c r="U737" s="89"/>
      <c r="V737" s="84"/>
      <c r="W737" s="84"/>
      <c r="X737" s="84"/>
      <c r="Y737" s="84"/>
      <c r="Z737" s="84"/>
    </row>
    <row r="738" spans="1:26" ht="15.75" customHeight="1">
      <c r="A738" s="83"/>
      <c r="B738" s="83"/>
      <c r="C738" s="83"/>
      <c r="D738" s="84"/>
      <c r="E738" s="84"/>
      <c r="F738" s="84"/>
      <c r="G738" s="83"/>
      <c r="H738" s="84"/>
      <c r="I738" s="84"/>
      <c r="J738" s="84"/>
      <c r="K738" s="84"/>
      <c r="L738" s="84"/>
      <c r="M738" s="84"/>
      <c r="N738" s="84"/>
      <c r="O738" s="84"/>
      <c r="P738" s="85"/>
      <c r="Q738" s="75"/>
      <c r="R738" s="75"/>
      <c r="S738" s="75"/>
      <c r="T738" s="75"/>
      <c r="U738" s="89"/>
      <c r="V738" s="84"/>
      <c r="W738" s="84"/>
      <c r="X738" s="84"/>
      <c r="Y738" s="84"/>
      <c r="Z738" s="84"/>
    </row>
    <row r="739" spans="1:26" ht="15.75" customHeight="1">
      <c r="A739" s="83"/>
      <c r="B739" s="83"/>
      <c r="C739" s="83"/>
      <c r="D739" s="84"/>
      <c r="E739" s="84"/>
      <c r="F739" s="84"/>
      <c r="G739" s="83"/>
      <c r="H739" s="84"/>
      <c r="I739" s="84"/>
      <c r="J739" s="84"/>
      <c r="K739" s="84"/>
      <c r="L739" s="84"/>
      <c r="M739" s="84"/>
      <c r="N739" s="84"/>
      <c r="O739" s="84"/>
      <c r="P739" s="85"/>
      <c r="Q739" s="75"/>
      <c r="R739" s="75"/>
      <c r="S739" s="75"/>
      <c r="T739" s="75"/>
      <c r="U739" s="89"/>
      <c r="V739" s="84"/>
      <c r="W739" s="84"/>
      <c r="X739" s="84"/>
      <c r="Y739" s="84"/>
      <c r="Z739" s="84"/>
    </row>
    <row r="740" spans="1:26" ht="15.75" customHeight="1">
      <c r="A740" s="83"/>
      <c r="B740" s="83"/>
      <c r="C740" s="83"/>
      <c r="D740" s="84"/>
      <c r="E740" s="84"/>
      <c r="F740" s="84"/>
      <c r="G740" s="83"/>
      <c r="H740" s="84"/>
      <c r="I740" s="84"/>
      <c r="J740" s="84"/>
      <c r="K740" s="84"/>
      <c r="L740" s="84"/>
      <c r="M740" s="84"/>
      <c r="N740" s="84"/>
      <c r="O740" s="84"/>
      <c r="P740" s="85"/>
      <c r="Q740" s="75"/>
      <c r="R740" s="75"/>
      <c r="S740" s="75"/>
      <c r="T740" s="75"/>
      <c r="U740" s="89"/>
      <c r="V740" s="84"/>
      <c r="W740" s="84"/>
      <c r="X740" s="84"/>
      <c r="Y740" s="84"/>
      <c r="Z740" s="84"/>
    </row>
    <row r="741" spans="1:26" ht="15.75" customHeight="1">
      <c r="A741" s="83"/>
      <c r="B741" s="83"/>
      <c r="C741" s="83"/>
      <c r="D741" s="84"/>
      <c r="E741" s="84"/>
      <c r="F741" s="84"/>
      <c r="G741" s="83"/>
      <c r="H741" s="84"/>
      <c r="I741" s="84"/>
      <c r="J741" s="84"/>
      <c r="K741" s="84"/>
      <c r="L741" s="84"/>
      <c r="M741" s="84"/>
      <c r="N741" s="84"/>
      <c r="O741" s="84"/>
      <c r="P741" s="85"/>
      <c r="Q741" s="75"/>
      <c r="R741" s="75"/>
      <c r="S741" s="75"/>
      <c r="T741" s="75"/>
      <c r="U741" s="89"/>
      <c r="V741" s="84"/>
      <c r="W741" s="84"/>
      <c r="X741" s="84"/>
      <c r="Y741" s="84"/>
      <c r="Z741" s="84"/>
    </row>
    <row r="742" spans="1:26" ht="15.75" customHeight="1">
      <c r="A742" s="83"/>
      <c r="B742" s="83"/>
      <c r="C742" s="83"/>
      <c r="D742" s="84"/>
      <c r="E742" s="84"/>
      <c r="F742" s="84"/>
      <c r="G742" s="83"/>
      <c r="H742" s="84"/>
      <c r="I742" s="84"/>
      <c r="J742" s="84"/>
      <c r="K742" s="84"/>
      <c r="L742" s="84"/>
      <c r="M742" s="84"/>
      <c r="N742" s="84"/>
      <c r="O742" s="84"/>
      <c r="P742" s="85"/>
      <c r="Q742" s="75"/>
      <c r="R742" s="75"/>
      <c r="S742" s="75"/>
      <c r="T742" s="75"/>
      <c r="U742" s="89"/>
      <c r="V742" s="84"/>
      <c r="W742" s="84"/>
      <c r="X742" s="84"/>
      <c r="Y742" s="84"/>
      <c r="Z742" s="84"/>
    </row>
    <row r="743" spans="1:26" ht="15.75" customHeight="1">
      <c r="A743" s="83"/>
      <c r="B743" s="83"/>
      <c r="C743" s="83"/>
      <c r="D743" s="84"/>
      <c r="E743" s="84"/>
      <c r="F743" s="84"/>
      <c r="G743" s="83"/>
      <c r="H743" s="84"/>
      <c r="I743" s="84"/>
      <c r="J743" s="84"/>
      <c r="K743" s="84"/>
      <c r="L743" s="84"/>
      <c r="M743" s="84"/>
      <c r="N743" s="84"/>
      <c r="O743" s="84"/>
      <c r="P743" s="85"/>
      <c r="Q743" s="75"/>
      <c r="R743" s="75"/>
      <c r="S743" s="75"/>
      <c r="T743" s="75"/>
      <c r="U743" s="89"/>
      <c r="V743" s="84"/>
      <c r="W743" s="84"/>
      <c r="X743" s="84"/>
      <c r="Y743" s="84"/>
      <c r="Z743" s="84"/>
    </row>
    <row r="744" spans="1:26" ht="15.75" customHeight="1">
      <c r="A744" s="83"/>
      <c r="B744" s="83"/>
      <c r="C744" s="83"/>
      <c r="D744" s="84"/>
      <c r="E744" s="84"/>
      <c r="F744" s="84"/>
      <c r="G744" s="83"/>
      <c r="H744" s="84"/>
      <c r="I744" s="84"/>
      <c r="J744" s="84"/>
      <c r="K744" s="84"/>
      <c r="L744" s="84"/>
      <c r="M744" s="84"/>
      <c r="N744" s="84"/>
      <c r="O744" s="84"/>
      <c r="P744" s="85"/>
      <c r="Q744" s="75"/>
      <c r="R744" s="75"/>
      <c r="S744" s="75"/>
      <c r="T744" s="75"/>
      <c r="U744" s="89"/>
      <c r="V744" s="84"/>
      <c r="W744" s="84"/>
      <c r="X744" s="84"/>
      <c r="Y744" s="84"/>
      <c r="Z744" s="84"/>
    </row>
    <row r="745" spans="1:26" ht="15.75" customHeight="1">
      <c r="A745" s="83"/>
      <c r="B745" s="83"/>
      <c r="C745" s="83"/>
      <c r="D745" s="84"/>
      <c r="E745" s="84"/>
      <c r="F745" s="84"/>
      <c r="G745" s="83"/>
      <c r="H745" s="84"/>
      <c r="I745" s="84"/>
      <c r="J745" s="84"/>
      <c r="K745" s="84"/>
      <c r="L745" s="84"/>
      <c r="M745" s="84"/>
      <c r="N745" s="84"/>
      <c r="O745" s="84"/>
      <c r="P745" s="85"/>
      <c r="Q745" s="75"/>
      <c r="R745" s="75"/>
      <c r="S745" s="75"/>
      <c r="T745" s="75"/>
      <c r="U745" s="89"/>
      <c r="V745" s="84"/>
      <c r="W745" s="84"/>
      <c r="X745" s="84"/>
      <c r="Y745" s="84"/>
      <c r="Z745" s="84"/>
    </row>
    <row r="746" spans="1:26" ht="15.75" customHeight="1">
      <c r="A746" s="83"/>
      <c r="B746" s="83"/>
      <c r="C746" s="83"/>
      <c r="D746" s="84"/>
      <c r="E746" s="84"/>
      <c r="F746" s="84"/>
      <c r="G746" s="83"/>
      <c r="H746" s="84"/>
      <c r="I746" s="84"/>
      <c r="J746" s="84"/>
      <c r="K746" s="84"/>
      <c r="L746" s="84"/>
      <c r="M746" s="84"/>
      <c r="N746" s="84"/>
      <c r="O746" s="84"/>
      <c r="P746" s="85"/>
      <c r="Q746" s="75"/>
      <c r="R746" s="75"/>
      <c r="S746" s="75"/>
      <c r="T746" s="75"/>
      <c r="U746" s="89"/>
      <c r="V746" s="84"/>
      <c r="W746" s="84"/>
      <c r="X746" s="84"/>
      <c r="Y746" s="84"/>
      <c r="Z746" s="84"/>
    </row>
    <row r="747" spans="1:26" ht="15.75" customHeight="1">
      <c r="A747" s="83"/>
      <c r="B747" s="83"/>
      <c r="C747" s="83"/>
      <c r="D747" s="84"/>
      <c r="E747" s="84"/>
      <c r="F747" s="84"/>
      <c r="G747" s="83"/>
      <c r="H747" s="84"/>
      <c r="I747" s="84"/>
      <c r="J747" s="84"/>
      <c r="K747" s="84"/>
      <c r="L747" s="84"/>
      <c r="M747" s="84"/>
      <c r="N747" s="84"/>
      <c r="O747" s="84"/>
      <c r="P747" s="85"/>
      <c r="Q747" s="75"/>
      <c r="R747" s="75"/>
      <c r="S747" s="75"/>
      <c r="T747" s="75"/>
      <c r="U747" s="89"/>
      <c r="V747" s="84"/>
      <c r="W747" s="84"/>
      <c r="X747" s="84"/>
      <c r="Y747" s="84"/>
      <c r="Z747" s="84"/>
    </row>
    <row r="748" spans="1:26" ht="15.75" customHeight="1">
      <c r="A748" s="83"/>
      <c r="B748" s="83"/>
      <c r="C748" s="83"/>
      <c r="D748" s="84"/>
      <c r="E748" s="84"/>
      <c r="F748" s="84"/>
      <c r="G748" s="83"/>
      <c r="H748" s="84"/>
      <c r="I748" s="84"/>
      <c r="J748" s="84"/>
      <c r="K748" s="84"/>
      <c r="L748" s="84"/>
      <c r="M748" s="84"/>
      <c r="N748" s="84"/>
      <c r="O748" s="84"/>
      <c r="P748" s="85"/>
      <c r="Q748" s="75"/>
      <c r="R748" s="75"/>
      <c r="S748" s="75"/>
      <c r="T748" s="75"/>
      <c r="U748" s="89"/>
      <c r="V748" s="84"/>
      <c r="W748" s="84"/>
      <c r="X748" s="84"/>
      <c r="Y748" s="84"/>
      <c r="Z748" s="84"/>
    </row>
    <row r="749" spans="1:26" ht="15.75" customHeight="1">
      <c r="A749" s="83"/>
      <c r="B749" s="83"/>
      <c r="C749" s="83"/>
      <c r="D749" s="84"/>
      <c r="E749" s="84"/>
      <c r="F749" s="84"/>
      <c r="G749" s="83"/>
      <c r="H749" s="84"/>
      <c r="I749" s="84"/>
      <c r="J749" s="84"/>
      <c r="K749" s="84"/>
      <c r="L749" s="84"/>
      <c r="M749" s="84"/>
      <c r="N749" s="84"/>
      <c r="O749" s="84"/>
      <c r="P749" s="85"/>
      <c r="Q749" s="75"/>
      <c r="R749" s="75"/>
      <c r="S749" s="75"/>
      <c r="T749" s="75"/>
      <c r="U749" s="89"/>
      <c r="V749" s="84"/>
      <c r="W749" s="84"/>
      <c r="X749" s="84"/>
      <c r="Y749" s="84"/>
      <c r="Z749" s="84"/>
    </row>
    <row r="750" spans="1:26" ht="15.75" customHeight="1">
      <c r="A750" s="83"/>
      <c r="B750" s="83"/>
      <c r="C750" s="83"/>
      <c r="D750" s="84"/>
      <c r="E750" s="84"/>
      <c r="F750" s="84"/>
      <c r="G750" s="83"/>
      <c r="H750" s="84"/>
      <c r="I750" s="84"/>
      <c r="J750" s="84"/>
      <c r="K750" s="84"/>
      <c r="L750" s="84"/>
      <c r="M750" s="84"/>
      <c r="N750" s="84"/>
      <c r="O750" s="84"/>
      <c r="P750" s="85"/>
      <c r="Q750" s="75"/>
      <c r="R750" s="75"/>
      <c r="S750" s="75"/>
      <c r="T750" s="75"/>
      <c r="U750" s="89"/>
      <c r="V750" s="84"/>
      <c r="W750" s="84"/>
      <c r="X750" s="84"/>
      <c r="Y750" s="84"/>
      <c r="Z750" s="84"/>
    </row>
    <row r="751" spans="1:26" ht="15.75" customHeight="1">
      <c r="A751" s="83"/>
      <c r="B751" s="83"/>
      <c r="C751" s="83"/>
      <c r="D751" s="84"/>
      <c r="E751" s="84"/>
      <c r="F751" s="84"/>
      <c r="G751" s="83"/>
      <c r="H751" s="84"/>
      <c r="I751" s="84"/>
      <c r="J751" s="84"/>
      <c r="K751" s="84"/>
      <c r="L751" s="84"/>
      <c r="M751" s="84"/>
      <c r="N751" s="84"/>
      <c r="O751" s="84"/>
      <c r="P751" s="85"/>
      <c r="Q751" s="75"/>
      <c r="R751" s="75"/>
      <c r="S751" s="75"/>
      <c r="T751" s="75"/>
      <c r="U751" s="89"/>
      <c r="V751" s="84"/>
      <c r="W751" s="84"/>
      <c r="X751" s="84"/>
      <c r="Y751" s="84"/>
      <c r="Z751" s="84"/>
    </row>
    <row r="752" spans="1:26" ht="15.75" customHeight="1">
      <c r="A752" s="83"/>
      <c r="B752" s="83"/>
      <c r="C752" s="83"/>
      <c r="D752" s="84"/>
      <c r="E752" s="84"/>
      <c r="F752" s="84"/>
      <c r="G752" s="83"/>
      <c r="H752" s="84"/>
      <c r="I752" s="84"/>
      <c r="J752" s="84"/>
      <c r="K752" s="84"/>
      <c r="L752" s="84"/>
      <c r="M752" s="84"/>
      <c r="N752" s="84"/>
      <c r="O752" s="84"/>
      <c r="P752" s="85"/>
      <c r="Q752" s="75"/>
      <c r="R752" s="75"/>
      <c r="S752" s="75"/>
      <c r="T752" s="75"/>
      <c r="U752" s="89"/>
      <c r="V752" s="84"/>
      <c r="W752" s="84"/>
      <c r="X752" s="84"/>
      <c r="Y752" s="84"/>
      <c r="Z752" s="84"/>
    </row>
    <row r="753" spans="1:26" ht="15.75" customHeight="1">
      <c r="A753" s="83"/>
      <c r="B753" s="83"/>
      <c r="C753" s="83"/>
      <c r="D753" s="84"/>
      <c r="E753" s="84"/>
      <c r="F753" s="84"/>
      <c r="G753" s="83"/>
      <c r="H753" s="84"/>
      <c r="I753" s="84"/>
      <c r="J753" s="84"/>
      <c r="K753" s="84"/>
      <c r="L753" s="84"/>
      <c r="M753" s="84"/>
      <c r="N753" s="84"/>
      <c r="O753" s="84"/>
      <c r="P753" s="85"/>
      <c r="Q753" s="75"/>
      <c r="R753" s="75"/>
      <c r="S753" s="75"/>
      <c r="T753" s="75"/>
      <c r="U753" s="89"/>
      <c r="V753" s="84"/>
      <c r="W753" s="84"/>
      <c r="X753" s="84"/>
      <c r="Y753" s="84"/>
      <c r="Z753" s="84"/>
    </row>
    <row r="754" spans="1:26" ht="15.75" customHeight="1">
      <c r="A754" s="83"/>
      <c r="B754" s="83"/>
      <c r="C754" s="83"/>
      <c r="D754" s="84"/>
      <c r="E754" s="84"/>
      <c r="F754" s="84"/>
      <c r="G754" s="83"/>
      <c r="H754" s="84"/>
      <c r="I754" s="84"/>
      <c r="J754" s="84"/>
      <c r="K754" s="84"/>
      <c r="L754" s="84"/>
      <c r="M754" s="84"/>
      <c r="N754" s="84"/>
      <c r="O754" s="84"/>
      <c r="P754" s="85"/>
      <c r="Q754" s="75"/>
      <c r="R754" s="75"/>
      <c r="S754" s="75"/>
      <c r="T754" s="75"/>
      <c r="U754" s="89"/>
      <c r="V754" s="84"/>
      <c r="W754" s="84"/>
      <c r="X754" s="84"/>
      <c r="Y754" s="84"/>
      <c r="Z754" s="84"/>
    </row>
    <row r="755" spans="1:26" ht="15.75" customHeight="1">
      <c r="A755" s="83"/>
      <c r="B755" s="83"/>
      <c r="C755" s="83"/>
      <c r="D755" s="84"/>
      <c r="E755" s="84"/>
      <c r="F755" s="84"/>
      <c r="G755" s="83"/>
      <c r="H755" s="84"/>
      <c r="I755" s="84"/>
      <c r="J755" s="84"/>
      <c r="K755" s="84"/>
      <c r="L755" s="84"/>
      <c r="M755" s="84"/>
      <c r="N755" s="84"/>
      <c r="O755" s="84"/>
      <c r="P755" s="85"/>
      <c r="Q755" s="75"/>
      <c r="R755" s="75"/>
      <c r="S755" s="75"/>
      <c r="T755" s="75"/>
      <c r="U755" s="89"/>
      <c r="V755" s="84"/>
      <c r="W755" s="84"/>
      <c r="X755" s="84"/>
      <c r="Y755" s="84"/>
      <c r="Z755" s="84"/>
    </row>
    <row r="756" spans="1:26" ht="15.75" customHeight="1">
      <c r="A756" s="83"/>
      <c r="B756" s="83"/>
      <c r="C756" s="83"/>
      <c r="D756" s="84"/>
      <c r="E756" s="84"/>
      <c r="F756" s="84"/>
      <c r="G756" s="83"/>
      <c r="H756" s="84"/>
      <c r="I756" s="84"/>
      <c r="J756" s="84"/>
      <c r="K756" s="84"/>
      <c r="L756" s="84"/>
      <c r="M756" s="84"/>
      <c r="N756" s="84"/>
      <c r="O756" s="84"/>
      <c r="P756" s="85"/>
      <c r="Q756" s="75"/>
      <c r="R756" s="75"/>
      <c r="S756" s="75"/>
      <c r="T756" s="75"/>
      <c r="U756" s="89"/>
      <c r="V756" s="84"/>
      <c r="W756" s="84"/>
      <c r="X756" s="84"/>
      <c r="Y756" s="84"/>
      <c r="Z756" s="84"/>
    </row>
    <row r="757" spans="1:26" ht="15.75" customHeight="1">
      <c r="A757" s="83"/>
      <c r="B757" s="83"/>
      <c r="C757" s="83"/>
      <c r="D757" s="84"/>
      <c r="E757" s="84"/>
      <c r="F757" s="84"/>
      <c r="G757" s="83"/>
      <c r="H757" s="84"/>
      <c r="I757" s="84"/>
      <c r="J757" s="84"/>
      <c r="K757" s="84"/>
      <c r="L757" s="84"/>
      <c r="M757" s="84"/>
      <c r="N757" s="84"/>
      <c r="O757" s="84"/>
      <c r="P757" s="85"/>
      <c r="Q757" s="75"/>
      <c r="R757" s="75"/>
      <c r="S757" s="75"/>
      <c r="T757" s="75"/>
      <c r="U757" s="89"/>
      <c r="V757" s="84"/>
      <c r="W757" s="84"/>
      <c r="X757" s="84"/>
      <c r="Y757" s="84"/>
      <c r="Z757" s="84"/>
    </row>
    <row r="758" spans="1:26" ht="15.75" customHeight="1">
      <c r="A758" s="83"/>
      <c r="B758" s="83"/>
      <c r="C758" s="83"/>
      <c r="D758" s="84"/>
      <c r="E758" s="84"/>
      <c r="F758" s="84"/>
      <c r="G758" s="83"/>
      <c r="H758" s="84"/>
      <c r="I758" s="84"/>
      <c r="J758" s="84"/>
      <c r="K758" s="84"/>
      <c r="L758" s="84"/>
      <c r="M758" s="84"/>
      <c r="N758" s="84"/>
      <c r="O758" s="84"/>
      <c r="P758" s="85"/>
      <c r="Q758" s="75"/>
      <c r="R758" s="75"/>
      <c r="S758" s="75"/>
      <c r="T758" s="75"/>
      <c r="U758" s="89"/>
      <c r="V758" s="84"/>
      <c r="W758" s="84"/>
      <c r="X758" s="84"/>
      <c r="Y758" s="84"/>
      <c r="Z758" s="84"/>
    </row>
    <row r="759" spans="1:26" ht="15.75" customHeight="1">
      <c r="A759" s="83"/>
      <c r="B759" s="83"/>
      <c r="C759" s="83"/>
      <c r="D759" s="84"/>
      <c r="E759" s="84"/>
      <c r="F759" s="84"/>
      <c r="G759" s="83"/>
      <c r="H759" s="84"/>
      <c r="I759" s="84"/>
      <c r="J759" s="84"/>
      <c r="K759" s="84"/>
      <c r="L759" s="84"/>
      <c r="M759" s="84"/>
      <c r="N759" s="84"/>
      <c r="O759" s="84"/>
      <c r="P759" s="85"/>
      <c r="Q759" s="75"/>
      <c r="R759" s="75"/>
      <c r="S759" s="75"/>
      <c r="T759" s="75"/>
      <c r="U759" s="89"/>
      <c r="V759" s="84"/>
      <c r="W759" s="84"/>
      <c r="X759" s="84"/>
      <c r="Y759" s="84"/>
      <c r="Z759" s="84"/>
    </row>
    <row r="760" spans="1:26" ht="15.75" customHeight="1">
      <c r="A760" s="83"/>
      <c r="B760" s="83"/>
      <c r="C760" s="83"/>
      <c r="D760" s="84"/>
      <c r="E760" s="84"/>
      <c r="F760" s="84"/>
      <c r="G760" s="83"/>
      <c r="H760" s="84"/>
      <c r="I760" s="84"/>
      <c r="J760" s="84"/>
      <c r="K760" s="84"/>
      <c r="L760" s="84"/>
      <c r="M760" s="84"/>
      <c r="N760" s="84"/>
      <c r="O760" s="84"/>
      <c r="P760" s="85"/>
      <c r="Q760" s="75"/>
      <c r="R760" s="75"/>
      <c r="S760" s="75"/>
      <c r="T760" s="75"/>
      <c r="U760" s="89"/>
      <c r="V760" s="84"/>
      <c r="W760" s="84"/>
      <c r="X760" s="84"/>
      <c r="Y760" s="84"/>
      <c r="Z760" s="84"/>
    </row>
    <row r="761" spans="1:26" ht="15.75" customHeight="1">
      <c r="A761" s="83"/>
      <c r="B761" s="83"/>
      <c r="C761" s="83"/>
      <c r="D761" s="84"/>
      <c r="E761" s="84"/>
      <c r="F761" s="84"/>
      <c r="G761" s="83"/>
      <c r="H761" s="84"/>
      <c r="I761" s="84"/>
      <c r="J761" s="84"/>
      <c r="K761" s="84"/>
      <c r="L761" s="84"/>
      <c r="M761" s="84"/>
      <c r="N761" s="84"/>
      <c r="O761" s="84"/>
      <c r="P761" s="85"/>
      <c r="Q761" s="75"/>
      <c r="R761" s="75"/>
      <c r="S761" s="75"/>
      <c r="T761" s="75"/>
      <c r="U761" s="89"/>
      <c r="V761" s="84"/>
      <c r="W761" s="84"/>
      <c r="X761" s="84"/>
      <c r="Y761" s="84"/>
      <c r="Z761" s="84"/>
    </row>
    <row r="762" spans="1:26" ht="15.75" customHeight="1">
      <c r="A762" s="83"/>
      <c r="B762" s="83"/>
      <c r="C762" s="83"/>
      <c r="D762" s="84"/>
      <c r="E762" s="84"/>
      <c r="F762" s="84"/>
      <c r="G762" s="83"/>
      <c r="H762" s="84"/>
      <c r="I762" s="84"/>
      <c r="J762" s="84"/>
      <c r="K762" s="84"/>
      <c r="L762" s="84"/>
      <c r="M762" s="84"/>
      <c r="N762" s="84"/>
      <c r="O762" s="84"/>
      <c r="P762" s="85"/>
      <c r="Q762" s="75"/>
      <c r="R762" s="75"/>
      <c r="S762" s="75"/>
      <c r="T762" s="75"/>
      <c r="U762" s="89"/>
      <c r="V762" s="84"/>
      <c r="W762" s="84"/>
      <c r="X762" s="84"/>
      <c r="Y762" s="84"/>
      <c r="Z762" s="84"/>
    </row>
    <row r="763" spans="1:26" ht="15.75" customHeight="1">
      <c r="A763" s="83"/>
      <c r="B763" s="83"/>
      <c r="C763" s="83"/>
      <c r="D763" s="84"/>
      <c r="E763" s="84"/>
      <c r="F763" s="84"/>
      <c r="G763" s="83"/>
      <c r="H763" s="84"/>
      <c r="I763" s="84"/>
      <c r="J763" s="84"/>
      <c r="K763" s="84"/>
      <c r="L763" s="84"/>
      <c r="M763" s="84"/>
      <c r="N763" s="84"/>
      <c r="O763" s="84"/>
      <c r="P763" s="85"/>
      <c r="Q763" s="75"/>
      <c r="R763" s="75"/>
      <c r="S763" s="75"/>
      <c r="T763" s="75"/>
      <c r="U763" s="89"/>
      <c r="V763" s="84"/>
      <c r="W763" s="84"/>
      <c r="X763" s="84"/>
      <c r="Y763" s="84"/>
      <c r="Z763" s="84"/>
    </row>
    <row r="764" spans="1:26" ht="15.75" customHeight="1">
      <c r="A764" s="83"/>
      <c r="B764" s="83"/>
      <c r="C764" s="83"/>
      <c r="D764" s="84"/>
      <c r="E764" s="84"/>
      <c r="F764" s="84"/>
      <c r="G764" s="83"/>
      <c r="H764" s="84"/>
      <c r="I764" s="84"/>
      <c r="J764" s="84"/>
      <c r="K764" s="84"/>
      <c r="L764" s="84"/>
      <c r="M764" s="84"/>
      <c r="N764" s="84"/>
      <c r="O764" s="84"/>
      <c r="P764" s="85"/>
      <c r="Q764" s="75"/>
      <c r="R764" s="75"/>
      <c r="S764" s="75"/>
      <c r="T764" s="75"/>
      <c r="U764" s="89"/>
      <c r="V764" s="84"/>
      <c r="W764" s="84"/>
      <c r="X764" s="84"/>
      <c r="Y764" s="84"/>
      <c r="Z764" s="84"/>
    </row>
    <row r="765" spans="1:26" ht="15.75" customHeight="1">
      <c r="A765" s="83"/>
      <c r="B765" s="83"/>
      <c r="C765" s="83"/>
      <c r="D765" s="84"/>
      <c r="E765" s="84"/>
      <c r="F765" s="84"/>
      <c r="G765" s="83"/>
      <c r="H765" s="84"/>
      <c r="I765" s="84"/>
      <c r="J765" s="84"/>
      <c r="K765" s="84"/>
      <c r="L765" s="84"/>
      <c r="M765" s="84"/>
      <c r="N765" s="84"/>
      <c r="O765" s="84"/>
      <c r="P765" s="85"/>
      <c r="Q765" s="75"/>
      <c r="R765" s="75"/>
      <c r="S765" s="75"/>
      <c r="T765" s="75"/>
      <c r="U765" s="89"/>
      <c r="V765" s="84"/>
      <c r="W765" s="84"/>
      <c r="X765" s="84"/>
      <c r="Y765" s="84"/>
      <c r="Z765" s="84"/>
    </row>
    <row r="766" spans="1:26" ht="15.75" customHeight="1">
      <c r="A766" s="83"/>
      <c r="B766" s="83"/>
      <c r="C766" s="83"/>
      <c r="D766" s="84"/>
      <c r="E766" s="84"/>
      <c r="F766" s="84"/>
      <c r="G766" s="83"/>
      <c r="H766" s="84"/>
      <c r="I766" s="84"/>
      <c r="J766" s="84"/>
      <c r="K766" s="84"/>
      <c r="L766" s="84"/>
      <c r="M766" s="84"/>
      <c r="N766" s="84"/>
      <c r="O766" s="84"/>
      <c r="P766" s="85"/>
      <c r="Q766" s="75"/>
      <c r="R766" s="75"/>
      <c r="S766" s="75"/>
      <c r="T766" s="75"/>
      <c r="U766" s="89"/>
      <c r="V766" s="84"/>
      <c r="W766" s="84"/>
      <c r="X766" s="84"/>
      <c r="Y766" s="84"/>
      <c r="Z766" s="84"/>
    </row>
    <row r="767" spans="1:26" ht="15.75" customHeight="1">
      <c r="A767" s="83"/>
      <c r="B767" s="83"/>
      <c r="C767" s="83"/>
      <c r="D767" s="84"/>
      <c r="E767" s="84"/>
      <c r="F767" s="84"/>
      <c r="G767" s="83"/>
      <c r="H767" s="84"/>
      <c r="I767" s="84"/>
      <c r="J767" s="84"/>
      <c r="K767" s="84"/>
      <c r="L767" s="84"/>
      <c r="M767" s="84"/>
      <c r="N767" s="84"/>
      <c r="O767" s="84"/>
      <c r="P767" s="85"/>
      <c r="Q767" s="75"/>
      <c r="R767" s="75"/>
      <c r="S767" s="75"/>
      <c r="T767" s="75"/>
      <c r="U767" s="89"/>
      <c r="V767" s="84"/>
      <c r="W767" s="84"/>
      <c r="X767" s="84"/>
      <c r="Y767" s="84"/>
      <c r="Z767" s="84"/>
    </row>
    <row r="768" spans="1:26" ht="15.75" customHeight="1">
      <c r="A768" s="83"/>
      <c r="B768" s="83"/>
      <c r="C768" s="83"/>
      <c r="D768" s="84"/>
      <c r="E768" s="84"/>
      <c r="F768" s="84"/>
      <c r="G768" s="83"/>
      <c r="H768" s="84"/>
      <c r="I768" s="84"/>
      <c r="J768" s="84"/>
      <c r="K768" s="84"/>
      <c r="L768" s="84"/>
      <c r="M768" s="84"/>
      <c r="N768" s="84"/>
      <c r="O768" s="84"/>
      <c r="P768" s="85"/>
      <c r="Q768" s="75"/>
      <c r="R768" s="75"/>
      <c r="S768" s="75"/>
      <c r="T768" s="75"/>
      <c r="U768" s="89"/>
      <c r="V768" s="84"/>
      <c r="W768" s="84"/>
      <c r="X768" s="84"/>
      <c r="Y768" s="84"/>
      <c r="Z768" s="84"/>
    </row>
    <row r="769" spans="1:26" ht="15.75" customHeight="1">
      <c r="A769" s="83"/>
      <c r="B769" s="83"/>
      <c r="C769" s="83"/>
      <c r="D769" s="84"/>
      <c r="E769" s="84"/>
      <c r="F769" s="84"/>
      <c r="G769" s="83"/>
      <c r="H769" s="84"/>
      <c r="I769" s="84"/>
      <c r="J769" s="84"/>
      <c r="K769" s="84"/>
      <c r="L769" s="84"/>
      <c r="M769" s="84"/>
      <c r="N769" s="84"/>
      <c r="O769" s="84"/>
      <c r="P769" s="85"/>
      <c r="Q769" s="75"/>
      <c r="R769" s="75"/>
      <c r="S769" s="75"/>
      <c r="T769" s="75"/>
      <c r="U769" s="89"/>
      <c r="V769" s="84"/>
      <c r="W769" s="84"/>
      <c r="X769" s="84"/>
      <c r="Y769" s="84"/>
      <c r="Z769" s="84"/>
    </row>
    <row r="770" spans="1:26" ht="15.75" customHeight="1">
      <c r="A770" s="83"/>
      <c r="B770" s="83"/>
      <c r="C770" s="83"/>
      <c r="D770" s="84"/>
      <c r="E770" s="84"/>
      <c r="F770" s="84"/>
      <c r="G770" s="83"/>
      <c r="H770" s="84"/>
      <c r="I770" s="84"/>
      <c r="J770" s="84"/>
      <c r="K770" s="84"/>
      <c r="L770" s="84"/>
      <c r="M770" s="84"/>
      <c r="N770" s="84"/>
      <c r="O770" s="84"/>
      <c r="P770" s="85"/>
      <c r="Q770" s="75"/>
      <c r="R770" s="75"/>
      <c r="S770" s="75"/>
      <c r="T770" s="75"/>
      <c r="U770" s="89"/>
      <c r="V770" s="84"/>
      <c r="W770" s="84"/>
      <c r="X770" s="84"/>
      <c r="Y770" s="84"/>
      <c r="Z770" s="84"/>
    </row>
    <row r="771" spans="1:26" ht="15.75" customHeight="1">
      <c r="A771" s="83"/>
      <c r="B771" s="83"/>
      <c r="C771" s="83"/>
      <c r="D771" s="84"/>
      <c r="E771" s="84"/>
      <c r="F771" s="84"/>
      <c r="G771" s="83"/>
      <c r="H771" s="84"/>
      <c r="I771" s="84"/>
      <c r="J771" s="84"/>
      <c r="K771" s="84"/>
      <c r="L771" s="84"/>
      <c r="M771" s="84"/>
      <c r="N771" s="84"/>
      <c r="O771" s="84"/>
      <c r="P771" s="85"/>
      <c r="Q771" s="75"/>
      <c r="R771" s="75"/>
      <c r="S771" s="75"/>
      <c r="T771" s="75"/>
      <c r="U771" s="89"/>
      <c r="V771" s="84"/>
      <c r="W771" s="84"/>
      <c r="X771" s="84"/>
      <c r="Y771" s="84"/>
      <c r="Z771" s="84"/>
    </row>
    <row r="772" spans="1:26" ht="15.75" customHeight="1">
      <c r="A772" s="83"/>
      <c r="B772" s="83"/>
      <c r="C772" s="83"/>
      <c r="D772" s="84"/>
      <c r="E772" s="84"/>
      <c r="F772" s="84"/>
      <c r="G772" s="83"/>
      <c r="H772" s="84"/>
      <c r="I772" s="84"/>
      <c r="J772" s="84"/>
      <c r="K772" s="84"/>
      <c r="L772" s="84"/>
      <c r="M772" s="84"/>
      <c r="N772" s="84"/>
      <c r="O772" s="84"/>
      <c r="P772" s="85"/>
      <c r="Q772" s="75"/>
      <c r="R772" s="75"/>
      <c r="S772" s="75"/>
      <c r="T772" s="75"/>
      <c r="U772" s="89"/>
      <c r="V772" s="84"/>
      <c r="W772" s="84"/>
      <c r="X772" s="84"/>
      <c r="Y772" s="84"/>
      <c r="Z772" s="84"/>
    </row>
    <row r="773" spans="1:26" ht="15.75" customHeight="1">
      <c r="A773" s="83"/>
      <c r="B773" s="83"/>
      <c r="C773" s="83"/>
      <c r="D773" s="84"/>
      <c r="E773" s="84"/>
      <c r="F773" s="84"/>
      <c r="G773" s="83"/>
      <c r="H773" s="84"/>
      <c r="I773" s="84"/>
      <c r="J773" s="84"/>
      <c r="K773" s="84"/>
      <c r="L773" s="84"/>
      <c r="M773" s="84"/>
      <c r="N773" s="84"/>
      <c r="O773" s="84"/>
      <c r="P773" s="85"/>
      <c r="Q773" s="75"/>
      <c r="R773" s="75"/>
      <c r="S773" s="75"/>
      <c r="T773" s="75"/>
      <c r="U773" s="89"/>
      <c r="V773" s="84"/>
      <c r="W773" s="84"/>
      <c r="X773" s="84"/>
      <c r="Y773" s="84"/>
      <c r="Z773" s="84"/>
    </row>
    <row r="774" spans="1:26" ht="15.75" customHeight="1">
      <c r="A774" s="83"/>
      <c r="B774" s="83"/>
      <c r="C774" s="83"/>
      <c r="D774" s="84"/>
      <c r="E774" s="84"/>
      <c r="F774" s="84"/>
      <c r="G774" s="83"/>
      <c r="H774" s="84"/>
      <c r="I774" s="84"/>
      <c r="J774" s="84"/>
      <c r="K774" s="84"/>
      <c r="L774" s="84"/>
      <c r="M774" s="84"/>
      <c r="N774" s="84"/>
      <c r="O774" s="84"/>
      <c r="P774" s="85"/>
      <c r="Q774" s="75"/>
      <c r="R774" s="75"/>
      <c r="S774" s="75"/>
      <c r="T774" s="75"/>
      <c r="U774" s="89"/>
      <c r="V774" s="84"/>
      <c r="W774" s="84"/>
      <c r="X774" s="84"/>
      <c r="Y774" s="84"/>
      <c r="Z774" s="84"/>
    </row>
    <row r="775" spans="1:26" ht="15.75" customHeight="1">
      <c r="A775" s="83"/>
      <c r="B775" s="83"/>
      <c r="C775" s="83"/>
      <c r="D775" s="84"/>
      <c r="E775" s="84"/>
      <c r="F775" s="84"/>
      <c r="G775" s="83"/>
      <c r="H775" s="84"/>
      <c r="I775" s="84"/>
      <c r="J775" s="84"/>
      <c r="K775" s="84"/>
      <c r="L775" s="84"/>
      <c r="M775" s="84"/>
      <c r="N775" s="84"/>
      <c r="O775" s="84"/>
      <c r="P775" s="85"/>
      <c r="Q775" s="75"/>
      <c r="R775" s="75"/>
      <c r="S775" s="75"/>
      <c r="T775" s="75"/>
      <c r="U775" s="89"/>
      <c r="V775" s="84"/>
      <c r="W775" s="84"/>
      <c r="X775" s="84"/>
      <c r="Y775" s="84"/>
      <c r="Z775" s="84"/>
    </row>
    <row r="776" spans="1:26" ht="15.75" customHeight="1">
      <c r="A776" s="83"/>
      <c r="B776" s="83"/>
      <c r="C776" s="83"/>
      <c r="D776" s="84"/>
      <c r="E776" s="84"/>
      <c r="F776" s="84"/>
      <c r="G776" s="83"/>
      <c r="H776" s="84"/>
      <c r="I776" s="84"/>
      <c r="J776" s="84"/>
      <c r="K776" s="84"/>
      <c r="L776" s="84"/>
      <c r="M776" s="84"/>
      <c r="N776" s="84"/>
      <c r="O776" s="84"/>
      <c r="P776" s="85"/>
      <c r="Q776" s="75"/>
      <c r="R776" s="75"/>
      <c r="S776" s="75"/>
      <c r="T776" s="75"/>
      <c r="U776" s="89"/>
      <c r="V776" s="84"/>
      <c r="W776" s="84"/>
      <c r="X776" s="84"/>
      <c r="Y776" s="84"/>
      <c r="Z776" s="84"/>
    </row>
    <row r="777" spans="1:26" ht="15.75" customHeight="1">
      <c r="A777" s="83"/>
      <c r="B777" s="83"/>
      <c r="C777" s="83"/>
      <c r="D777" s="84"/>
      <c r="E777" s="84"/>
      <c r="F777" s="84"/>
      <c r="G777" s="83"/>
      <c r="H777" s="84"/>
      <c r="I777" s="84"/>
      <c r="J777" s="84"/>
      <c r="K777" s="84"/>
      <c r="L777" s="84"/>
      <c r="M777" s="84"/>
      <c r="N777" s="84"/>
      <c r="O777" s="84"/>
      <c r="P777" s="85"/>
      <c r="Q777" s="75"/>
      <c r="R777" s="75"/>
      <c r="S777" s="75"/>
      <c r="T777" s="75"/>
      <c r="U777" s="89"/>
      <c r="V777" s="84"/>
      <c r="W777" s="84"/>
      <c r="X777" s="84"/>
      <c r="Y777" s="84"/>
      <c r="Z777" s="84"/>
    </row>
    <row r="778" spans="1:26" ht="15.75" customHeight="1">
      <c r="A778" s="83"/>
      <c r="B778" s="83"/>
      <c r="C778" s="83"/>
      <c r="D778" s="84"/>
      <c r="E778" s="84"/>
      <c r="F778" s="84"/>
      <c r="G778" s="83"/>
      <c r="H778" s="84"/>
      <c r="I778" s="84"/>
      <c r="J778" s="84"/>
      <c r="K778" s="84"/>
      <c r="L778" s="84"/>
      <c r="M778" s="84"/>
      <c r="N778" s="84"/>
      <c r="O778" s="84"/>
      <c r="P778" s="85"/>
      <c r="Q778" s="75"/>
      <c r="R778" s="75"/>
      <c r="S778" s="75"/>
      <c r="T778" s="75"/>
      <c r="U778" s="89"/>
      <c r="V778" s="84"/>
      <c r="W778" s="84"/>
      <c r="X778" s="84"/>
      <c r="Y778" s="84"/>
      <c r="Z778" s="84"/>
    </row>
    <row r="779" spans="1:26" ht="15.75" customHeight="1">
      <c r="A779" s="83"/>
      <c r="B779" s="83"/>
      <c r="C779" s="83"/>
      <c r="D779" s="84"/>
      <c r="E779" s="84"/>
      <c r="F779" s="84"/>
      <c r="G779" s="83"/>
      <c r="H779" s="84"/>
      <c r="I779" s="84"/>
      <c r="J779" s="84"/>
      <c r="K779" s="84"/>
      <c r="L779" s="84"/>
      <c r="M779" s="84"/>
      <c r="N779" s="84"/>
      <c r="O779" s="84"/>
      <c r="P779" s="85"/>
      <c r="Q779" s="75"/>
      <c r="R779" s="75"/>
      <c r="S779" s="75"/>
      <c r="T779" s="75"/>
      <c r="U779" s="89"/>
      <c r="V779" s="84"/>
      <c r="W779" s="84"/>
      <c r="X779" s="84"/>
      <c r="Y779" s="84"/>
      <c r="Z779" s="84"/>
    </row>
    <row r="780" spans="1:26" ht="15.75" customHeight="1">
      <c r="A780" s="83"/>
      <c r="B780" s="83"/>
      <c r="C780" s="83"/>
      <c r="D780" s="84"/>
      <c r="E780" s="84"/>
      <c r="F780" s="84"/>
      <c r="G780" s="83"/>
      <c r="H780" s="84"/>
      <c r="I780" s="84"/>
      <c r="J780" s="84"/>
      <c r="K780" s="84"/>
      <c r="L780" s="84"/>
      <c r="M780" s="84"/>
      <c r="N780" s="84"/>
      <c r="O780" s="84"/>
      <c r="P780" s="85"/>
      <c r="Q780" s="75"/>
      <c r="R780" s="75"/>
      <c r="S780" s="75"/>
      <c r="T780" s="75"/>
      <c r="U780" s="89"/>
      <c r="V780" s="84"/>
      <c r="W780" s="84"/>
      <c r="X780" s="84"/>
      <c r="Y780" s="84"/>
      <c r="Z780" s="84"/>
    </row>
    <row r="781" spans="1:26" ht="15.75" customHeight="1">
      <c r="A781" s="83"/>
      <c r="B781" s="83"/>
      <c r="C781" s="83"/>
      <c r="D781" s="84"/>
      <c r="E781" s="84"/>
      <c r="F781" s="84"/>
      <c r="G781" s="83"/>
      <c r="H781" s="84"/>
      <c r="I781" s="84"/>
      <c r="J781" s="84"/>
      <c r="K781" s="84"/>
      <c r="L781" s="84"/>
      <c r="M781" s="84"/>
      <c r="N781" s="84"/>
      <c r="O781" s="84"/>
      <c r="P781" s="85"/>
      <c r="Q781" s="75"/>
      <c r="R781" s="75"/>
      <c r="S781" s="75"/>
      <c r="T781" s="75"/>
      <c r="U781" s="89"/>
      <c r="V781" s="84"/>
      <c r="W781" s="84"/>
      <c r="X781" s="84"/>
      <c r="Y781" s="84"/>
      <c r="Z781" s="84"/>
    </row>
    <row r="782" spans="1:26" ht="15.75" customHeight="1">
      <c r="A782" s="83"/>
      <c r="B782" s="83"/>
      <c r="C782" s="83"/>
      <c r="D782" s="84"/>
      <c r="E782" s="84"/>
      <c r="F782" s="84"/>
      <c r="G782" s="83"/>
      <c r="H782" s="84"/>
      <c r="I782" s="84"/>
      <c r="J782" s="84"/>
      <c r="K782" s="84"/>
      <c r="L782" s="84"/>
      <c r="M782" s="84"/>
      <c r="N782" s="84"/>
      <c r="O782" s="84"/>
      <c r="P782" s="85"/>
      <c r="Q782" s="75"/>
      <c r="R782" s="75"/>
      <c r="S782" s="75"/>
      <c r="T782" s="75"/>
      <c r="U782" s="89"/>
      <c r="V782" s="84"/>
      <c r="W782" s="84"/>
      <c r="X782" s="84"/>
      <c r="Y782" s="84"/>
      <c r="Z782" s="84"/>
    </row>
    <row r="783" spans="1:26" ht="15.75" customHeight="1">
      <c r="A783" s="83"/>
      <c r="B783" s="83"/>
      <c r="C783" s="83"/>
      <c r="D783" s="84"/>
      <c r="E783" s="84"/>
      <c r="F783" s="84"/>
      <c r="G783" s="83"/>
      <c r="H783" s="84"/>
      <c r="I783" s="84"/>
      <c r="J783" s="84"/>
      <c r="K783" s="84"/>
      <c r="L783" s="84"/>
      <c r="M783" s="84"/>
      <c r="N783" s="84"/>
      <c r="O783" s="84"/>
      <c r="P783" s="85"/>
      <c r="Q783" s="75"/>
      <c r="R783" s="75"/>
      <c r="S783" s="75"/>
      <c r="T783" s="75"/>
      <c r="U783" s="89"/>
      <c r="V783" s="84"/>
      <c r="W783" s="84"/>
      <c r="X783" s="84"/>
      <c r="Y783" s="84"/>
      <c r="Z783" s="84"/>
    </row>
    <row r="784" spans="1:26" ht="15.75" customHeight="1">
      <c r="A784" s="83"/>
      <c r="B784" s="83"/>
      <c r="C784" s="83"/>
      <c r="D784" s="84"/>
      <c r="E784" s="84"/>
      <c r="F784" s="84"/>
      <c r="G784" s="83"/>
      <c r="H784" s="84"/>
      <c r="I784" s="84"/>
      <c r="J784" s="84"/>
      <c r="K784" s="84"/>
      <c r="L784" s="84"/>
      <c r="M784" s="84"/>
      <c r="N784" s="84"/>
      <c r="O784" s="84"/>
      <c r="P784" s="85"/>
      <c r="Q784" s="75"/>
      <c r="R784" s="75"/>
      <c r="S784" s="75"/>
      <c r="T784" s="75"/>
      <c r="U784" s="89"/>
      <c r="V784" s="84"/>
      <c r="W784" s="84"/>
      <c r="X784" s="84"/>
      <c r="Y784" s="84"/>
      <c r="Z784" s="84"/>
    </row>
    <row r="785" spans="1:26" ht="15.75" customHeight="1">
      <c r="A785" s="83"/>
      <c r="B785" s="83"/>
      <c r="C785" s="83"/>
      <c r="D785" s="84"/>
      <c r="E785" s="84"/>
      <c r="F785" s="84"/>
      <c r="G785" s="83"/>
      <c r="H785" s="84"/>
      <c r="I785" s="84"/>
      <c r="J785" s="84"/>
      <c r="K785" s="84"/>
      <c r="L785" s="84"/>
      <c r="M785" s="84"/>
      <c r="N785" s="84"/>
      <c r="O785" s="84"/>
      <c r="P785" s="85"/>
      <c r="Q785" s="75"/>
      <c r="R785" s="75"/>
      <c r="S785" s="75"/>
      <c r="T785" s="75"/>
      <c r="U785" s="89"/>
      <c r="V785" s="84"/>
      <c r="W785" s="84"/>
      <c r="X785" s="84"/>
      <c r="Y785" s="84"/>
      <c r="Z785" s="84"/>
    </row>
    <row r="786" spans="1:26" ht="15.75" customHeight="1">
      <c r="A786" s="83"/>
      <c r="B786" s="83"/>
      <c r="C786" s="83"/>
      <c r="D786" s="84"/>
      <c r="E786" s="84"/>
      <c r="F786" s="84"/>
      <c r="G786" s="83"/>
      <c r="H786" s="84"/>
      <c r="I786" s="84"/>
      <c r="J786" s="84"/>
      <c r="K786" s="84"/>
      <c r="L786" s="84"/>
      <c r="M786" s="84"/>
      <c r="N786" s="84"/>
      <c r="O786" s="84"/>
      <c r="P786" s="85"/>
      <c r="Q786" s="75"/>
      <c r="R786" s="75"/>
      <c r="S786" s="75"/>
      <c r="T786" s="75"/>
      <c r="U786" s="89"/>
      <c r="V786" s="84"/>
      <c r="W786" s="84"/>
      <c r="X786" s="84"/>
      <c r="Y786" s="84"/>
      <c r="Z786" s="84"/>
    </row>
    <row r="787" spans="1:26" ht="15.75" customHeight="1">
      <c r="A787" s="83"/>
      <c r="B787" s="83"/>
      <c r="C787" s="83"/>
      <c r="D787" s="84"/>
      <c r="E787" s="84"/>
      <c r="F787" s="84"/>
      <c r="G787" s="83"/>
      <c r="H787" s="84"/>
      <c r="I787" s="84"/>
      <c r="J787" s="84"/>
      <c r="K787" s="84"/>
      <c r="L787" s="84"/>
      <c r="M787" s="84"/>
      <c r="N787" s="84"/>
      <c r="O787" s="84"/>
      <c r="P787" s="85"/>
      <c r="Q787" s="75"/>
      <c r="R787" s="75"/>
      <c r="S787" s="75"/>
      <c r="T787" s="75"/>
      <c r="U787" s="89"/>
      <c r="V787" s="84"/>
      <c r="W787" s="84"/>
      <c r="X787" s="84"/>
      <c r="Y787" s="84"/>
      <c r="Z787" s="84"/>
    </row>
    <row r="788" spans="1:26" ht="15.75" customHeight="1">
      <c r="A788" s="83"/>
      <c r="B788" s="83"/>
      <c r="C788" s="83"/>
      <c r="D788" s="84"/>
      <c r="E788" s="84"/>
      <c r="F788" s="84"/>
      <c r="G788" s="83"/>
      <c r="H788" s="84"/>
      <c r="I788" s="84"/>
      <c r="J788" s="84"/>
      <c r="K788" s="84"/>
      <c r="L788" s="84"/>
      <c r="M788" s="84"/>
      <c r="N788" s="84"/>
      <c r="O788" s="84"/>
      <c r="P788" s="85"/>
      <c r="Q788" s="75"/>
      <c r="R788" s="75"/>
      <c r="S788" s="75"/>
      <c r="T788" s="75"/>
      <c r="U788" s="89"/>
      <c r="V788" s="84"/>
      <c r="W788" s="84"/>
      <c r="X788" s="84"/>
      <c r="Y788" s="84"/>
      <c r="Z788" s="84"/>
    </row>
    <row r="789" spans="1:26" ht="15.75" customHeight="1">
      <c r="A789" s="83"/>
      <c r="B789" s="83"/>
      <c r="C789" s="83"/>
      <c r="D789" s="84"/>
      <c r="E789" s="84"/>
      <c r="F789" s="84"/>
      <c r="G789" s="83"/>
      <c r="H789" s="84"/>
      <c r="I789" s="84"/>
      <c r="J789" s="84"/>
      <c r="K789" s="84"/>
      <c r="L789" s="84"/>
      <c r="M789" s="84"/>
      <c r="N789" s="84"/>
      <c r="O789" s="84"/>
      <c r="P789" s="85"/>
      <c r="Q789" s="75"/>
      <c r="R789" s="75"/>
      <c r="S789" s="75"/>
      <c r="T789" s="75"/>
      <c r="U789" s="89"/>
      <c r="V789" s="84"/>
      <c r="W789" s="84"/>
      <c r="X789" s="84"/>
      <c r="Y789" s="84"/>
      <c r="Z789" s="84"/>
    </row>
    <row r="790" spans="1:26" ht="15.75" customHeight="1">
      <c r="A790" s="83"/>
      <c r="B790" s="83"/>
      <c r="C790" s="83"/>
      <c r="D790" s="84"/>
      <c r="E790" s="84"/>
      <c r="F790" s="84"/>
      <c r="G790" s="83"/>
      <c r="H790" s="84"/>
      <c r="I790" s="84"/>
      <c r="J790" s="84"/>
      <c r="K790" s="84"/>
      <c r="L790" s="84"/>
      <c r="M790" s="84"/>
      <c r="N790" s="84"/>
      <c r="O790" s="84"/>
      <c r="P790" s="85"/>
      <c r="Q790" s="75"/>
      <c r="R790" s="75"/>
      <c r="S790" s="75"/>
      <c r="T790" s="75"/>
      <c r="U790" s="89"/>
      <c r="V790" s="84"/>
      <c r="W790" s="84"/>
      <c r="X790" s="84"/>
      <c r="Y790" s="84"/>
      <c r="Z790" s="84"/>
    </row>
    <row r="791" spans="1:26" ht="15.75" customHeight="1">
      <c r="A791" s="83"/>
      <c r="B791" s="83"/>
      <c r="C791" s="83"/>
      <c r="D791" s="84"/>
      <c r="E791" s="84"/>
      <c r="F791" s="84"/>
      <c r="G791" s="83"/>
      <c r="H791" s="84"/>
      <c r="I791" s="84"/>
      <c r="J791" s="84"/>
      <c r="K791" s="84"/>
      <c r="L791" s="84"/>
      <c r="M791" s="84"/>
      <c r="N791" s="84"/>
      <c r="O791" s="84"/>
      <c r="P791" s="85"/>
      <c r="Q791" s="75"/>
      <c r="R791" s="75"/>
      <c r="S791" s="75"/>
      <c r="T791" s="75"/>
      <c r="U791" s="89"/>
      <c r="V791" s="84"/>
      <c r="W791" s="84"/>
      <c r="X791" s="84"/>
      <c r="Y791" s="84"/>
      <c r="Z791" s="84"/>
    </row>
    <row r="792" spans="1:26" ht="15.75" customHeight="1">
      <c r="A792" s="83"/>
      <c r="B792" s="83"/>
      <c r="C792" s="83"/>
      <c r="D792" s="84"/>
      <c r="E792" s="84"/>
      <c r="F792" s="84"/>
      <c r="G792" s="83"/>
      <c r="H792" s="84"/>
      <c r="I792" s="84"/>
      <c r="J792" s="84"/>
      <c r="K792" s="84"/>
      <c r="L792" s="84"/>
      <c r="M792" s="84"/>
      <c r="N792" s="84"/>
      <c r="O792" s="84"/>
      <c r="P792" s="85"/>
      <c r="Q792" s="75"/>
      <c r="R792" s="75"/>
      <c r="S792" s="75"/>
      <c r="T792" s="75"/>
      <c r="U792" s="89"/>
      <c r="V792" s="84"/>
      <c r="W792" s="84"/>
      <c r="X792" s="84"/>
      <c r="Y792" s="84"/>
      <c r="Z792" s="84"/>
    </row>
    <row r="793" spans="1:26" ht="15.75" customHeight="1">
      <c r="A793" s="83"/>
      <c r="B793" s="83"/>
      <c r="C793" s="83"/>
      <c r="D793" s="84"/>
      <c r="E793" s="84"/>
      <c r="F793" s="84"/>
      <c r="G793" s="83"/>
      <c r="H793" s="84"/>
      <c r="I793" s="84"/>
      <c r="J793" s="84"/>
      <c r="K793" s="84"/>
      <c r="L793" s="84"/>
      <c r="M793" s="84"/>
      <c r="N793" s="84"/>
      <c r="O793" s="84"/>
      <c r="P793" s="85"/>
      <c r="Q793" s="75"/>
      <c r="R793" s="75"/>
      <c r="S793" s="75"/>
      <c r="T793" s="75"/>
      <c r="U793" s="89"/>
      <c r="V793" s="84"/>
      <c r="W793" s="84"/>
      <c r="X793" s="84"/>
      <c r="Y793" s="84"/>
      <c r="Z793" s="84"/>
    </row>
    <row r="794" spans="1:26" ht="15.75" customHeight="1">
      <c r="A794" s="83"/>
      <c r="B794" s="83"/>
      <c r="C794" s="83"/>
      <c r="D794" s="84"/>
      <c r="E794" s="84"/>
      <c r="F794" s="84"/>
      <c r="G794" s="83"/>
      <c r="H794" s="84"/>
      <c r="I794" s="84"/>
      <c r="J794" s="84"/>
      <c r="K794" s="84"/>
      <c r="L794" s="84"/>
      <c r="M794" s="84"/>
      <c r="N794" s="84"/>
      <c r="O794" s="84"/>
      <c r="P794" s="85"/>
      <c r="Q794" s="75"/>
      <c r="R794" s="75"/>
      <c r="S794" s="75"/>
      <c r="T794" s="75"/>
      <c r="U794" s="89"/>
      <c r="V794" s="84"/>
      <c r="W794" s="84"/>
      <c r="X794" s="84"/>
      <c r="Y794" s="84"/>
      <c r="Z794" s="84"/>
    </row>
    <row r="795" spans="1:26" ht="15.75" customHeight="1">
      <c r="A795" s="83"/>
      <c r="B795" s="83"/>
      <c r="C795" s="83"/>
      <c r="D795" s="84"/>
      <c r="E795" s="84"/>
      <c r="F795" s="84"/>
      <c r="G795" s="83"/>
      <c r="H795" s="84"/>
      <c r="I795" s="84"/>
      <c r="J795" s="84"/>
      <c r="K795" s="84"/>
      <c r="L795" s="84"/>
      <c r="M795" s="84"/>
      <c r="N795" s="84"/>
      <c r="O795" s="84"/>
      <c r="P795" s="85"/>
      <c r="Q795" s="75"/>
      <c r="R795" s="75"/>
      <c r="S795" s="75"/>
      <c r="T795" s="75"/>
      <c r="U795" s="89"/>
      <c r="V795" s="84"/>
      <c r="W795" s="84"/>
      <c r="X795" s="84"/>
      <c r="Y795" s="84"/>
      <c r="Z795" s="84"/>
    </row>
    <row r="796" spans="1:26" ht="15.75" customHeight="1">
      <c r="A796" s="83"/>
      <c r="B796" s="83"/>
      <c r="C796" s="83"/>
      <c r="D796" s="84"/>
      <c r="E796" s="84"/>
      <c r="F796" s="84"/>
      <c r="G796" s="83"/>
      <c r="H796" s="84"/>
      <c r="I796" s="84"/>
      <c r="J796" s="84"/>
      <c r="K796" s="84"/>
      <c r="L796" s="84"/>
      <c r="M796" s="84"/>
      <c r="N796" s="84"/>
      <c r="O796" s="84"/>
      <c r="P796" s="85"/>
      <c r="Q796" s="75"/>
      <c r="R796" s="75"/>
      <c r="S796" s="75"/>
      <c r="T796" s="75"/>
      <c r="U796" s="89"/>
      <c r="V796" s="84"/>
      <c r="W796" s="84"/>
      <c r="X796" s="84"/>
      <c r="Y796" s="84"/>
      <c r="Z796" s="84"/>
    </row>
    <row r="797" spans="1:26" ht="15.75" customHeight="1">
      <c r="A797" s="83"/>
      <c r="B797" s="83"/>
      <c r="C797" s="83"/>
      <c r="D797" s="84"/>
      <c r="E797" s="84"/>
      <c r="F797" s="84"/>
      <c r="G797" s="83"/>
      <c r="H797" s="84"/>
      <c r="I797" s="84"/>
      <c r="J797" s="84"/>
      <c r="K797" s="84"/>
      <c r="L797" s="84"/>
      <c r="M797" s="84"/>
      <c r="N797" s="84"/>
      <c r="O797" s="84"/>
      <c r="P797" s="85"/>
      <c r="Q797" s="75"/>
      <c r="R797" s="75"/>
      <c r="S797" s="75"/>
      <c r="T797" s="75"/>
      <c r="U797" s="89"/>
      <c r="V797" s="84"/>
      <c r="W797" s="84"/>
      <c r="X797" s="84"/>
      <c r="Y797" s="84"/>
      <c r="Z797" s="84"/>
    </row>
    <row r="798" spans="1:26" ht="15.75" customHeight="1">
      <c r="A798" s="83"/>
      <c r="B798" s="83"/>
      <c r="C798" s="83"/>
      <c r="D798" s="84"/>
      <c r="E798" s="84"/>
      <c r="F798" s="84"/>
      <c r="G798" s="83"/>
      <c r="H798" s="84"/>
      <c r="I798" s="84"/>
      <c r="J798" s="84"/>
      <c r="K798" s="84"/>
      <c r="L798" s="84"/>
      <c r="M798" s="84"/>
      <c r="N798" s="84"/>
      <c r="O798" s="84"/>
      <c r="P798" s="85"/>
      <c r="Q798" s="75"/>
      <c r="R798" s="75"/>
      <c r="S798" s="75"/>
      <c r="T798" s="75"/>
      <c r="U798" s="89"/>
      <c r="V798" s="84"/>
      <c r="W798" s="84"/>
      <c r="X798" s="84"/>
      <c r="Y798" s="84"/>
      <c r="Z798" s="84"/>
    </row>
    <row r="799" spans="1:26" ht="15.75" customHeight="1">
      <c r="A799" s="83"/>
      <c r="B799" s="83"/>
      <c r="C799" s="83"/>
      <c r="D799" s="84"/>
      <c r="E799" s="84"/>
      <c r="F799" s="84"/>
      <c r="G799" s="83"/>
      <c r="H799" s="84"/>
      <c r="I799" s="84"/>
      <c r="J799" s="84"/>
      <c r="K799" s="84"/>
      <c r="L799" s="84"/>
      <c r="M799" s="84"/>
      <c r="N799" s="84"/>
      <c r="O799" s="84"/>
      <c r="P799" s="85"/>
      <c r="Q799" s="75"/>
      <c r="R799" s="75"/>
      <c r="S799" s="75"/>
      <c r="T799" s="75"/>
      <c r="U799" s="89"/>
      <c r="V799" s="84"/>
      <c r="W799" s="84"/>
      <c r="X799" s="84"/>
      <c r="Y799" s="84"/>
      <c r="Z799" s="84"/>
    </row>
    <row r="800" spans="1:26" ht="15.75" customHeight="1">
      <c r="A800" s="83"/>
      <c r="B800" s="83"/>
      <c r="C800" s="83"/>
      <c r="D800" s="84"/>
      <c r="E800" s="84"/>
      <c r="F800" s="84"/>
      <c r="G800" s="83"/>
      <c r="H800" s="84"/>
      <c r="I800" s="84"/>
      <c r="J800" s="84"/>
      <c r="K800" s="84"/>
      <c r="L800" s="84"/>
      <c r="M800" s="84"/>
      <c r="N800" s="84"/>
      <c r="O800" s="84"/>
      <c r="P800" s="85"/>
      <c r="Q800" s="75"/>
      <c r="R800" s="75"/>
      <c r="S800" s="75"/>
      <c r="T800" s="75"/>
      <c r="U800" s="89"/>
      <c r="V800" s="84"/>
      <c r="W800" s="84"/>
      <c r="X800" s="84"/>
      <c r="Y800" s="84"/>
      <c r="Z800" s="84"/>
    </row>
    <row r="801" spans="1:26" ht="15.75" customHeight="1">
      <c r="A801" s="83"/>
      <c r="B801" s="83"/>
      <c r="C801" s="83"/>
      <c r="D801" s="84"/>
      <c r="E801" s="84"/>
      <c r="F801" s="84"/>
      <c r="G801" s="83"/>
      <c r="H801" s="84"/>
      <c r="I801" s="84"/>
      <c r="J801" s="84"/>
      <c r="K801" s="84"/>
      <c r="L801" s="84"/>
      <c r="M801" s="84"/>
      <c r="N801" s="84"/>
      <c r="O801" s="84"/>
      <c r="P801" s="85"/>
      <c r="Q801" s="75"/>
      <c r="R801" s="75"/>
      <c r="S801" s="75"/>
      <c r="T801" s="75"/>
      <c r="U801" s="89"/>
      <c r="V801" s="84"/>
      <c r="W801" s="84"/>
      <c r="X801" s="84"/>
      <c r="Y801" s="84"/>
      <c r="Z801" s="84"/>
    </row>
    <row r="802" spans="1:26" ht="15.75" customHeight="1">
      <c r="A802" s="83"/>
      <c r="B802" s="83"/>
      <c r="C802" s="83"/>
      <c r="D802" s="84"/>
      <c r="E802" s="84"/>
      <c r="F802" s="84"/>
      <c r="G802" s="83"/>
      <c r="H802" s="84"/>
      <c r="I802" s="84"/>
      <c r="J802" s="84"/>
      <c r="K802" s="84"/>
      <c r="L802" s="84"/>
      <c r="M802" s="84"/>
      <c r="N802" s="84"/>
      <c r="O802" s="84"/>
      <c r="P802" s="85"/>
      <c r="Q802" s="75"/>
      <c r="R802" s="75"/>
      <c r="S802" s="75"/>
      <c r="T802" s="75"/>
      <c r="U802" s="89"/>
      <c r="V802" s="84"/>
      <c r="W802" s="84"/>
      <c r="X802" s="84"/>
      <c r="Y802" s="84"/>
      <c r="Z802" s="84"/>
    </row>
    <row r="803" spans="1:26" ht="15.75" customHeight="1">
      <c r="A803" s="83"/>
      <c r="B803" s="83"/>
      <c r="C803" s="83"/>
      <c r="D803" s="84"/>
      <c r="E803" s="84"/>
      <c r="F803" s="84"/>
      <c r="G803" s="83"/>
      <c r="H803" s="84"/>
      <c r="I803" s="84"/>
      <c r="J803" s="84"/>
      <c r="K803" s="84"/>
      <c r="L803" s="84"/>
      <c r="M803" s="84"/>
      <c r="N803" s="84"/>
      <c r="O803" s="84"/>
      <c r="P803" s="85"/>
      <c r="Q803" s="75"/>
      <c r="R803" s="75"/>
      <c r="S803" s="75"/>
      <c r="T803" s="75"/>
      <c r="U803" s="89"/>
      <c r="V803" s="84"/>
      <c r="W803" s="84"/>
      <c r="X803" s="84"/>
      <c r="Y803" s="84"/>
      <c r="Z803" s="84"/>
    </row>
    <row r="804" spans="1:26" ht="15.75" customHeight="1">
      <c r="A804" s="83"/>
      <c r="B804" s="83"/>
      <c r="C804" s="83"/>
      <c r="D804" s="84"/>
      <c r="E804" s="84"/>
      <c r="F804" s="84"/>
      <c r="G804" s="83"/>
      <c r="H804" s="84"/>
      <c r="I804" s="84"/>
      <c r="J804" s="84"/>
      <c r="K804" s="84"/>
      <c r="L804" s="84"/>
      <c r="M804" s="84"/>
      <c r="N804" s="84"/>
      <c r="O804" s="84"/>
      <c r="P804" s="85"/>
      <c r="Q804" s="75"/>
      <c r="R804" s="75"/>
      <c r="S804" s="75"/>
      <c r="T804" s="75"/>
      <c r="U804" s="89"/>
      <c r="V804" s="84"/>
      <c r="W804" s="84"/>
      <c r="X804" s="84"/>
      <c r="Y804" s="84"/>
      <c r="Z804" s="84"/>
    </row>
    <row r="805" spans="1:26" ht="15.75" customHeight="1">
      <c r="A805" s="83"/>
      <c r="B805" s="83"/>
      <c r="C805" s="83"/>
      <c r="D805" s="84"/>
      <c r="E805" s="84"/>
      <c r="F805" s="84"/>
      <c r="G805" s="83"/>
      <c r="H805" s="84"/>
      <c r="I805" s="84"/>
      <c r="J805" s="84"/>
      <c r="K805" s="84"/>
      <c r="L805" s="84"/>
      <c r="M805" s="84"/>
      <c r="N805" s="84"/>
      <c r="O805" s="84"/>
      <c r="P805" s="85"/>
      <c r="Q805" s="75"/>
      <c r="R805" s="75"/>
      <c r="S805" s="75"/>
      <c r="T805" s="75"/>
      <c r="U805" s="89"/>
      <c r="V805" s="84"/>
      <c r="W805" s="84"/>
      <c r="X805" s="84"/>
      <c r="Y805" s="84"/>
      <c r="Z805" s="84"/>
    </row>
    <row r="806" spans="1:26" ht="15.75" customHeight="1">
      <c r="A806" s="83"/>
      <c r="B806" s="83"/>
      <c r="C806" s="83"/>
      <c r="D806" s="84"/>
      <c r="E806" s="84"/>
      <c r="F806" s="84"/>
      <c r="G806" s="83"/>
      <c r="H806" s="84"/>
      <c r="I806" s="84"/>
      <c r="J806" s="84"/>
      <c r="K806" s="84"/>
      <c r="L806" s="84"/>
      <c r="M806" s="84"/>
      <c r="N806" s="84"/>
      <c r="O806" s="84"/>
      <c r="P806" s="85"/>
      <c r="Q806" s="75"/>
      <c r="R806" s="75"/>
      <c r="S806" s="75"/>
      <c r="T806" s="75"/>
      <c r="U806" s="89"/>
      <c r="V806" s="84"/>
      <c r="W806" s="84"/>
      <c r="X806" s="84"/>
      <c r="Y806" s="84"/>
      <c r="Z806" s="84"/>
    </row>
    <row r="807" spans="1:26" ht="15.75" customHeight="1">
      <c r="A807" s="83"/>
      <c r="B807" s="83"/>
      <c r="C807" s="83"/>
      <c r="D807" s="84"/>
      <c r="E807" s="84"/>
      <c r="F807" s="84"/>
      <c r="G807" s="83"/>
      <c r="H807" s="84"/>
      <c r="I807" s="84"/>
      <c r="J807" s="84"/>
      <c r="K807" s="84"/>
      <c r="L807" s="84"/>
      <c r="M807" s="84"/>
      <c r="N807" s="84"/>
      <c r="O807" s="84"/>
      <c r="P807" s="85"/>
      <c r="Q807" s="75"/>
      <c r="R807" s="75"/>
      <c r="S807" s="75"/>
      <c r="T807" s="75"/>
      <c r="U807" s="89"/>
      <c r="V807" s="84"/>
      <c r="W807" s="84"/>
      <c r="X807" s="84"/>
      <c r="Y807" s="84"/>
      <c r="Z807" s="84"/>
    </row>
    <row r="808" spans="1:26" ht="15.75" customHeight="1">
      <c r="A808" s="83"/>
      <c r="B808" s="83"/>
      <c r="C808" s="83"/>
      <c r="D808" s="84"/>
      <c r="E808" s="84"/>
      <c r="F808" s="84"/>
      <c r="G808" s="83"/>
      <c r="H808" s="84"/>
      <c r="I808" s="84"/>
      <c r="J808" s="84"/>
      <c r="K808" s="84"/>
      <c r="L808" s="84"/>
      <c r="M808" s="84"/>
      <c r="N808" s="84"/>
      <c r="O808" s="84"/>
      <c r="P808" s="85"/>
      <c r="Q808" s="75"/>
      <c r="R808" s="75"/>
      <c r="S808" s="75"/>
      <c r="T808" s="75"/>
      <c r="U808" s="89"/>
      <c r="V808" s="84"/>
      <c r="W808" s="84"/>
      <c r="X808" s="84"/>
      <c r="Y808" s="84"/>
      <c r="Z808" s="84"/>
    </row>
    <row r="809" spans="1:26" ht="15.75" customHeight="1">
      <c r="A809" s="83"/>
      <c r="B809" s="83"/>
      <c r="C809" s="83"/>
      <c r="D809" s="84"/>
      <c r="E809" s="84"/>
      <c r="F809" s="84"/>
      <c r="G809" s="83"/>
      <c r="H809" s="84"/>
      <c r="I809" s="84"/>
      <c r="J809" s="84"/>
      <c r="K809" s="84"/>
      <c r="L809" s="84"/>
      <c r="M809" s="84"/>
      <c r="N809" s="84"/>
      <c r="O809" s="84"/>
      <c r="P809" s="85"/>
      <c r="Q809" s="75"/>
      <c r="R809" s="75"/>
      <c r="S809" s="75"/>
      <c r="T809" s="75"/>
      <c r="U809" s="89"/>
      <c r="V809" s="84"/>
      <c r="W809" s="84"/>
      <c r="X809" s="84"/>
      <c r="Y809" s="84"/>
      <c r="Z809" s="84"/>
    </row>
    <row r="810" spans="1:26" ht="15.75" customHeight="1">
      <c r="A810" s="83"/>
      <c r="B810" s="83"/>
      <c r="C810" s="83"/>
      <c r="D810" s="84"/>
      <c r="E810" s="84"/>
      <c r="F810" s="84"/>
      <c r="G810" s="83"/>
      <c r="H810" s="84"/>
      <c r="I810" s="84"/>
      <c r="J810" s="84"/>
      <c r="K810" s="84"/>
      <c r="L810" s="84"/>
      <c r="M810" s="84"/>
      <c r="N810" s="84"/>
      <c r="O810" s="84"/>
      <c r="P810" s="85"/>
      <c r="Q810" s="75"/>
      <c r="R810" s="75"/>
      <c r="S810" s="75"/>
      <c r="T810" s="75"/>
      <c r="U810" s="89"/>
      <c r="V810" s="84"/>
      <c r="W810" s="84"/>
      <c r="X810" s="84"/>
      <c r="Y810" s="84"/>
      <c r="Z810" s="84"/>
    </row>
    <row r="811" spans="1:26" ht="15.75" customHeight="1">
      <c r="A811" s="83"/>
      <c r="B811" s="83"/>
      <c r="C811" s="83"/>
      <c r="D811" s="84"/>
      <c r="E811" s="84"/>
      <c r="F811" s="84"/>
      <c r="G811" s="83"/>
      <c r="H811" s="84"/>
      <c r="I811" s="84"/>
      <c r="J811" s="84"/>
      <c r="K811" s="84"/>
      <c r="L811" s="84"/>
      <c r="M811" s="84"/>
      <c r="N811" s="84"/>
      <c r="O811" s="84"/>
      <c r="P811" s="85"/>
      <c r="Q811" s="75"/>
      <c r="R811" s="75"/>
      <c r="S811" s="75"/>
      <c r="T811" s="75"/>
      <c r="U811" s="89"/>
      <c r="V811" s="84"/>
      <c r="W811" s="84"/>
      <c r="X811" s="84"/>
      <c r="Y811" s="84"/>
      <c r="Z811" s="84"/>
    </row>
    <row r="812" spans="1:26" ht="15.75" customHeight="1">
      <c r="A812" s="83"/>
      <c r="B812" s="83"/>
      <c r="C812" s="83"/>
      <c r="D812" s="84"/>
      <c r="E812" s="84"/>
      <c r="F812" s="84"/>
      <c r="G812" s="83"/>
      <c r="H812" s="84"/>
      <c r="I812" s="84"/>
      <c r="J812" s="84"/>
      <c r="K812" s="84"/>
      <c r="L812" s="84"/>
      <c r="M812" s="84"/>
      <c r="N812" s="84"/>
      <c r="O812" s="84"/>
      <c r="P812" s="85"/>
      <c r="Q812" s="75"/>
      <c r="R812" s="75"/>
      <c r="S812" s="75"/>
      <c r="T812" s="75"/>
      <c r="U812" s="89"/>
      <c r="V812" s="84"/>
      <c r="W812" s="84"/>
      <c r="X812" s="84"/>
      <c r="Y812" s="84"/>
      <c r="Z812" s="84"/>
    </row>
    <row r="813" spans="1:26" ht="15.75" customHeight="1">
      <c r="A813" s="83"/>
      <c r="B813" s="83"/>
      <c r="C813" s="83"/>
      <c r="D813" s="84"/>
      <c r="E813" s="84"/>
      <c r="F813" s="84"/>
      <c r="G813" s="83"/>
      <c r="H813" s="84"/>
      <c r="I813" s="84"/>
      <c r="J813" s="84"/>
      <c r="K813" s="84"/>
      <c r="L813" s="84"/>
      <c r="M813" s="84"/>
      <c r="N813" s="84"/>
      <c r="O813" s="84"/>
      <c r="P813" s="85"/>
      <c r="Q813" s="75"/>
      <c r="R813" s="75"/>
      <c r="S813" s="75"/>
      <c r="T813" s="75"/>
      <c r="U813" s="89"/>
      <c r="V813" s="84"/>
      <c r="W813" s="84"/>
      <c r="X813" s="84"/>
      <c r="Y813" s="84"/>
      <c r="Z813" s="84"/>
    </row>
    <row r="814" spans="1:26" ht="15.75" customHeight="1">
      <c r="A814" s="83"/>
      <c r="B814" s="83"/>
      <c r="C814" s="83"/>
      <c r="D814" s="84"/>
      <c r="E814" s="84"/>
      <c r="F814" s="84"/>
      <c r="G814" s="83"/>
      <c r="H814" s="84"/>
      <c r="I814" s="84"/>
      <c r="J814" s="84"/>
      <c r="K814" s="84"/>
      <c r="L814" s="84"/>
      <c r="M814" s="84"/>
      <c r="N814" s="84"/>
      <c r="O814" s="84"/>
      <c r="P814" s="85"/>
      <c r="Q814" s="75"/>
      <c r="R814" s="75"/>
      <c r="S814" s="75"/>
      <c r="T814" s="75"/>
      <c r="U814" s="89"/>
      <c r="V814" s="84"/>
      <c r="W814" s="84"/>
      <c r="X814" s="84"/>
      <c r="Y814" s="84"/>
      <c r="Z814" s="84"/>
    </row>
    <row r="815" spans="1:26" ht="15.75" customHeight="1">
      <c r="A815" s="83"/>
      <c r="B815" s="83"/>
      <c r="C815" s="83"/>
      <c r="D815" s="84"/>
      <c r="E815" s="84"/>
      <c r="F815" s="84"/>
      <c r="G815" s="83"/>
      <c r="H815" s="84"/>
      <c r="I815" s="84"/>
      <c r="J815" s="84"/>
      <c r="K815" s="84"/>
      <c r="L815" s="84"/>
      <c r="M815" s="84"/>
      <c r="N815" s="84"/>
      <c r="O815" s="84"/>
      <c r="P815" s="85"/>
      <c r="Q815" s="75"/>
      <c r="R815" s="75"/>
      <c r="S815" s="75"/>
      <c r="T815" s="75"/>
      <c r="U815" s="89"/>
      <c r="V815" s="84"/>
      <c r="W815" s="84"/>
      <c r="X815" s="84"/>
      <c r="Y815" s="84"/>
      <c r="Z815" s="84"/>
    </row>
    <row r="816" spans="1:26" ht="15.75" customHeight="1">
      <c r="A816" s="83"/>
      <c r="B816" s="83"/>
      <c r="C816" s="83"/>
      <c r="D816" s="84"/>
      <c r="E816" s="84"/>
      <c r="F816" s="84"/>
      <c r="G816" s="83"/>
      <c r="H816" s="84"/>
      <c r="I816" s="84"/>
      <c r="J816" s="84"/>
      <c r="K816" s="84"/>
      <c r="L816" s="84"/>
      <c r="M816" s="84"/>
      <c r="N816" s="84"/>
      <c r="O816" s="84"/>
      <c r="P816" s="85"/>
      <c r="Q816" s="75"/>
      <c r="R816" s="75"/>
      <c r="S816" s="75"/>
      <c r="T816" s="75"/>
      <c r="U816" s="89"/>
      <c r="V816" s="84"/>
      <c r="W816" s="84"/>
      <c r="X816" s="84"/>
      <c r="Y816" s="84"/>
      <c r="Z816" s="84"/>
    </row>
    <row r="817" spans="1:26" ht="15.75" customHeight="1">
      <c r="A817" s="83"/>
      <c r="B817" s="83"/>
      <c r="C817" s="83"/>
      <c r="D817" s="84"/>
      <c r="E817" s="84"/>
      <c r="F817" s="84"/>
      <c r="G817" s="83"/>
      <c r="H817" s="84"/>
      <c r="I817" s="84"/>
      <c r="J817" s="84"/>
      <c r="K817" s="84"/>
      <c r="L817" s="84"/>
      <c r="M817" s="84"/>
      <c r="N817" s="84"/>
      <c r="O817" s="84"/>
      <c r="P817" s="85"/>
      <c r="Q817" s="75"/>
      <c r="R817" s="75"/>
      <c r="S817" s="75"/>
      <c r="T817" s="75"/>
      <c r="U817" s="89"/>
      <c r="V817" s="84"/>
      <c r="W817" s="84"/>
      <c r="X817" s="84"/>
      <c r="Y817" s="84"/>
      <c r="Z817" s="84"/>
    </row>
    <row r="818" spans="1:26" ht="15.75" customHeight="1">
      <c r="A818" s="83"/>
      <c r="B818" s="83"/>
      <c r="C818" s="83"/>
      <c r="D818" s="84"/>
      <c r="E818" s="84"/>
      <c r="F818" s="84"/>
      <c r="G818" s="83"/>
      <c r="H818" s="84"/>
      <c r="I818" s="84"/>
      <c r="J818" s="84"/>
      <c r="K818" s="84"/>
      <c r="L818" s="84"/>
      <c r="M818" s="84"/>
      <c r="N818" s="84"/>
      <c r="O818" s="84"/>
      <c r="P818" s="85"/>
      <c r="Q818" s="75"/>
      <c r="R818" s="75"/>
      <c r="S818" s="75"/>
      <c r="T818" s="75"/>
      <c r="U818" s="89"/>
      <c r="V818" s="84"/>
      <c r="W818" s="84"/>
      <c r="X818" s="84"/>
      <c r="Y818" s="84"/>
      <c r="Z818" s="84"/>
    </row>
    <row r="819" spans="1:26" ht="15.75" customHeight="1">
      <c r="A819" s="83"/>
      <c r="B819" s="83"/>
      <c r="C819" s="83"/>
      <c r="D819" s="84"/>
      <c r="E819" s="84"/>
      <c r="F819" s="84"/>
      <c r="G819" s="83"/>
      <c r="H819" s="84"/>
      <c r="I819" s="84"/>
      <c r="J819" s="84"/>
      <c r="K819" s="84"/>
      <c r="L819" s="84"/>
      <c r="M819" s="84"/>
      <c r="N819" s="84"/>
      <c r="O819" s="84"/>
      <c r="P819" s="85"/>
      <c r="Q819" s="75"/>
      <c r="R819" s="75"/>
      <c r="S819" s="75"/>
      <c r="T819" s="75"/>
      <c r="U819" s="89"/>
      <c r="V819" s="84"/>
      <c r="W819" s="84"/>
      <c r="X819" s="84"/>
      <c r="Y819" s="84"/>
      <c r="Z819" s="84"/>
    </row>
    <row r="820" spans="1:26" ht="15.75" customHeight="1">
      <c r="A820" s="83"/>
      <c r="B820" s="83"/>
      <c r="C820" s="83"/>
      <c r="D820" s="84"/>
      <c r="E820" s="84"/>
      <c r="F820" s="84"/>
      <c r="G820" s="83"/>
      <c r="H820" s="84"/>
      <c r="I820" s="84"/>
      <c r="J820" s="84"/>
      <c r="K820" s="84"/>
      <c r="L820" s="84"/>
      <c r="M820" s="84"/>
      <c r="N820" s="84"/>
      <c r="O820" s="84"/>
      <c r="P820" s="85"/>
      <c r="Q820" s="75"/>
      <c r="R820" s="75"/>
      <c r="S820" s="75"/>
      <c r="T820" s="75"/>
      <c r="U820" s="89"/>
      <c r="V820" s="84"/>
      <c r="W820" s="84"/>
      <c r="X820" s="84"/>
      <c r="Y820" s="84"/>
      <c r="Z820" s="84"/>
    </row>
    <row r="821" spans="1:26" ht="15.75" customHeight="1">
      <c r="A821" s="83"/>
      <c r="B821" s="83"/>
      <c r="C821" s="83"/>
      <c r="D821" s="84"/>
      <c r="E821" s="84"/>
      <c r="F821" s="84"/>
      <c r="G821" s="83"/>
      <c r="H821" s="84"/>
      <c r="I821" s="84"/>
      <c r="J821" s="84"/>
      <c r="K821" s="84"/>
      <c r="L821" s="84"/>
      <c r="M821" s="84"/>
      <c r="N821" s="84"/>
      <c r="O821" s="84"/>
      <c r="P821" s="85"/>
      <c r="Q821" s="75"/>
      <c r="R821" s="75"/>
      <c r="S821" s="75"/>
      <c r="T821" s="75"/>
      <c r="U821" s="89"/>
      <c r="V821" s="84"/>
      <c r="W821" s="84"/>
      <c r="X821" s="84"/>
      <c r="Y821" s="84"/>
      <c r="Z821" s="84"/>
    </row>
    <row r="822" spans="1:26" ht="15.75" customHeight="1">
      <c r="A822" s="83"/>
      <c r="B822" s="83"/>
      <c r="C822" s="83"/>
      <c r="D822" s="84"/>
      <c r="E822" s="84"/>
      <c r="F822" s="84"/>
      <c r="G822" s="83"/>
      <c r="H822" s="84"/>
      <c r="I822" s="84"/>
      <c r="J822" s="84"/>
      <c r="K822" s="84"/>
      <c r="L822" s="84"/>
      <c r="M822" s="84"/>
      <c r="N822" s="84"/>
      <c r="O822" s="84"/>
      <c r="P822" s="85"/>
      <c r="Q822" s="75"/>
      <c r="R822" s="75"/>
      <c r="S822" s="75"/>
      <c r="T822" s="75"/>
      <c r="U822" s="89"/>
      <c r="V822" s="84"/>
      <c r="W822" s="84"/>
      <c r="X822" s="84"/>
      <c r="Y822" s="84"/>
      <c r="Z822" s="84"/>
    </row>
    <row r="823" spans="1:26" ht="15.75" customHeight="1">
      <c r="A823" s="83"/>
      <c r="B823" s="83"/>
      <c r="C823" s="83"/>
      <c r="D823" s="84"/>
      <c r="E823" s="84"/>
      <c r="F823" s="84"/>
      <c r="G823" s="83"/>
      <c r="H823" s="84"/>
      <c r="I823" s="84"/>
      <c r="J823" s="84"/>
      <c r="K823" s="84"/>
      <c r="L823" s="84"/>
      <c r="M823" s="84"/>
      <c r="N823" s="84"/>
      <c r="O823" s="84"/>
      <c r="P823" s="85"/>
      <c r="Q823" s="75"/>
      <c r="R823" s="75"/>
      <c r="S823" s="75"/>
      <c r="T823" s="75"/>
      <c r="U823" s="89"/>
      <c r="V823" s="84"/>
      <c r="W823" s="84"/>
      <c r="X823" s="84"/>
      <c r="Y823" s="84"/>
      <c r="Z823" s="84"/>
    </row>
    <row r="824" spans="1:26" ht="15.75" customHeight="1">
      <c r="A824" s="83"/>
      <c r="B824" s="83"/>
      <c r="C824" s="83"/>
      <c r="D824" s="84"/>
      <c r="E824" s="84"/>
      <c r="F824" s="84"/>
      <c r="G824" s="83"/>
      <c r="H824" s="84"/>
      <c r="I824" s="84"/>
      <c r="J824" s="84"/>
      <c r="K824" s="84"/>
      <c r="L824" s="84"/>
      <c r="M824" s="84"/>
      <c r="N824" s="84"/>
      <c r="O824" s="84"/>
      <c r="P824" s="85"/>
      <c r="Q824" s="75"/>
      <c r="R824" s="75"/>
      <c r="S824" s="75"/>
      <c r="T824" s="75"/>
      <c r="U824" s="89"/>
      <c r="V824" s="84"/>
      <c r="W824" s="84"/>
      <c r="X824" s="84"/>
      <c r="Y824" s="84"/>
      <c r="Z824" s="84"/>
    </row>
    <row r="825" spans="1:26" ht="15.75" customHeight="1">
      <c r="A825" s="83"/>
      <c r="B825" s="83"/>
      <c r="C825" s="83"/>
      <c r="D825" s="84"/>
      <c r="E825" s="84"/>
      <c r="F825" s="84"/>
      <c r="G825" s="83"/>
      <c r="H825" s="84"/>
      <c r="I825" s="84"/>
      <c r="J825" s="84"/>
      <c r="K825" s="84"/>
      <c r="L825" s="84"/>
      <c r="M825" s="84"/>
      <c r="N825" s="84"/>
      <c r="O825" s="84"/>
      <c r="P825" s="85"/>
      <c r="Q825" s="75"/>
      <c r="R825" s="75"/>
      <c r="S825" s="75"/>
      <c r="T825" s="75"/>
      <c r="U825" s="89"/>
      <c r="V825" s="84"/>
      <c r="W825" s="84"/>
      <c r="X825" s="84"/>
      <c r="Y825" s="84"/>
      <c r="Z825" s="84"/>
    </row>
    <row r="826" spans="1:26" ht="15.75" customHeight="1">
      <c r="A826" s="83"/>
      <c r="B826" s="83"/>
      <c r="C826" s="83"/>
      <c r="D826" s="84"/>
      <c r="E826" s="84"/>
      <c r="F826" s="84"/>
      <c r="G826" s="83"/>
      <c r="H826" s="84"/>
      <c r="I826" s="84"/>
      <c r="J826" s="84"/>
      <c r="K826" s="84"/>
      <c r="L826" s="84"/>
      <c r="M826" s="84"/>
      <c r="N826" s="84"/>
      <c r="O826" s="84"/>
      <c r="P826" s="85"/>
      <c r="Q826" s="75"/>
      <c r="R826" s="75"/>
      <c r="S826" s="75"/>
      <c r="T826" s="75"/>
      <c r="U826" s="89"/>
      <c r="V826" s="84"/>
      <c r="W826" s="84"/>
      <c r="X826" s="84"/>
      <c r="Y826" s="84"/>
      <c r="Z826" s="84"/>
    </row>
    <row r="827" spans="1:26" ht="15.75" customHeight="1">
      <c r="A827" s="83"/>
      <c r="B827" s="83"/>
      <c r="C827" s="83"/>
      <c r="D827" s="84"/>
      <c r="E827" s="84"/>
      <c r="F827" s="84"/>
      <c r="G827" s="83"/>
      <c r="H827" s="84"/>
      <c r="I827" s="84"/>
      <c r="J827" s="84"/>
      <c r="K827" s="84"/>
      <c r="L827" s="84"/>
      <c r="M827" s="84"/>
      <c r="N827" s="84"/>
      <c r="O827" s="84"/>
      <c r="P827" s="85"/>
      <c r="Q827" s="75"/>
      <c r="R827" s="75"/>
      <c r="S827" s="75"/>
      <c r="T827" s="75"/>
      <c r="U827" s="89"/>
      <c r="V827" s="84"/>
      <c r="W827" s="84"/>
      <c r="X827" s="84"/>
      <c r="Y827" s="84"/>
      <c r="Z827" s="84"/>
    </row>
    <row r="828" spans="1:26" ht="15.75" customHeight="1">
      <c r="A828" s="83"/>
      <c r="B828" s="83"/>
      <c r="C828" s="83"/>
      <c r="D828" s="84"/>
      <c r="E828" s="84"/>
      <c r="F828" s="84"/>
      <c r="G828" s="83"/>
      <c r="H828" s="84"/>
      <c r="I828" s="84"/>
      <c r="J828" s="84"/>
      <c r="K828" s="84"/>
      <c r="L828" s="84"/>
      <c r="M828" s="84"/>
      <c r="N828" s="84"/>
      <c r="O828" s="84"/>
      <c r="P828" s="85"/>
      <c r="Q828" s="75"/>
      <c r="R828" s="75"/>
      <c r="S828" s="75"/>
      <c r="T828" s="75"/>
      <c r="U828" s="89"/>
      <c r="V828" s="84"/>
      <c r="W828" s="84"/>
      <c r="X828" s="84"/>
      <c r="Y828" s="84"/>
      <c r="Z828" s="84"/>
    </row>
    <row r="829" spans="1:26" ht="15.75" customHeight="1">
      <c r="A829" s="83"/>
      <c r="B829" s="83"/>
      <c r="C829" s="83"/>
      <c r="D829" s="84"/>
      <c r="E829" s="84"/>
      <c r="F829" s="84"/>
      <c r="G829" s="83"/>
      <c r="H829" s="84"/>
      <c r="I829" s="84"/>
      <c r="J829" s="84"/>
      <c r="K829" s="84"/>
      <c r="L829" s="84"/>
      <c r="M829" s="84"/>
      <c r="N829" s="84"/>
      <c r="O829" s="84"/>
      <c r="P829" s="85"/>
      <c r="Q829" s="75"/>
      <c r="R829" s="75"/>
      <c r="S829" s="75"/>
      <c r="T829" s="75"/>
      <c r="U829" s="89"/>
      <c r="V829" s="84"/>
      <c r="W829" s="84"/>
      <c r="X829" s="84"/>
      <c r="Y829" s="84"/>
      <c r="Z829" s="84"/>
    </row>
    <row r="830" spans="1:26" ht="15.75" customHeight="1">
      <c r="A830" s="83"/>
      <c r="B830" s="83"/>
      <c r="C830" s="83"/>
      <c r="D830" s="84"/>
      <c r="E830" s="84"/>
      <c r="F830" s="84"/>
      <c r="G830" s="83"/>
      <c r="H830" s="84"/>
      <c r="I830" s="84"/>
      <c r="J830" s="84"/>
      <c r="K830" s="84"/>
      <c r="L830" s="84"/>
      <c r="M830" s="84"/>
      <c r="N830" s="84"/>
      <c r="O830" s="84"/>
      <c r="P830" s="85"/>
      <c r="Q830" s="75"/>
      <c r="R830" s="75"/>
      <c r="S830" s="75"/>
      <c r="T830" s="75"/>
      <c r="U830" s="89"/>
      <c r="V830" s="84"/>
      <c r="W830" s="84"/>
      <c r="X830" s="84"/>
      <c r="Y830" s="84"/>
      <c r="Z830" s="84"/>
    </row>
    <row r="831" spans="1:26" ht="15.75" customHeight="1">
      <c r="A831" s="83"/>
      <c r="B831" s="83"/>
      <c r="C831" s="83"/>
      <c r="D831" s="84"/>
      <c r="E831" s="84"/>
      <c r="F831" s="84"/>
      <c r="G831" s="83"/>
      <c r="H831" s="84"/>
      <c r="I831" s="84"/>
      <c r="J831" s="84"/>
      <c r="K831" s="84"/>
      <c r="L831" s="84"/>
      <c r="M831" s="84"/>
      <c r="N831" s="84"/>
      <c r="O831" s="84"/>
      <c r="P831" s="85"/>
      <c r="Q831" s="75"/>
      <c r="R831" s="75"/>
      <c r="S831" s="75"/>
      <c r="T831" s="75"/>
      <c r="U831" s="89"/>
      <c r="V831" s="84"/>
      <c r="W831" s="84"/>
      <c r="X831" s="84"/>
      <c r="Y831" s="84"/>
      <c r="Z831" s="84"/>
    </row>
    <row r="832" spans="1:26" ht="15.75" customHeight="1">
      <c r="A832" s="83"/>
      <c r="B832" s="83"/>
      <c r="C832" s="83"/>
      <c r="D832" s="84"/>
      <c r="E832" s="84"/>
      <c r="F832" s="84"/>
      <c r="G832" s="83"/>
      <c r="H832" s="84"/>
      <c r="I832" s="84"/>
      <c r="J832" s="84"/>
      <c r="K832" s="84"/>
      <c r="L832" s="84"/>
      <c r="M832" s="84"/>
      <c r="N832" s="84"/>
      <c r="O832" s="84"/>
      <c r="P832" s="85"/>
      <c r="Q832" s="75"/>
      <c r="R832" s="75"/>
      <c r="S832" s="75"/>
      <c r="T832" s="75"/>
      <c r="U832" s="89"/>
      <c r="V832" s="84"/>
      <c r="W832" s="84"/>
      <c r="X832" s="84"/>
      <c r="Y832" s="84"/>
      <c r="Z832" s="84"/>
    </row>
    <row r="833" spans="1:26" ht="15.75" customHeight="1">
      <c r="A833" s="83"/>
      <c r="B833" s="83"/>
      <c r="C833" s="83"/>
      <c r="D833" s="84"/>
      <c r="E833" s="84"/>
      <c r="F833" s="84"/>
      <c r="G833" s="83"/>
      <c r="H833" s="84"/>
      <c r="I833" s="84"/>
      <c r="J833" s="84"/>
      <c r="K833" s="84"/>
      <c r="L833" s="84"/>
      <c r="M833" s="84"/>
      <c r="N833" s="84"/>
      <c r="O833" s="84"/>
      <c r="P833" s="85"/>
      <c r="Q833" s="75"/>
      <c r="R833" s="75"/>
      <c r="S833" s="75"/>
      <c r="T833" s="75"/>
      <c r="U833" s="89"/>
      <c r="V833" s="84"/>
      <c r="W833" s="84"/>
      <c r="X833" s="84"/>
      <c r="Y833" s="84"/>
      <c r="Z833" s="84"/>
    </row>
    <row r="834" spans="1:26" ht="15.75" customHeight="1">
      <c r="A834" s="83"/>
      <c r="B834" s="83"/>
      <c r="C834" s="83"/>
      <c r="D834" s="84"/>
      <c r="E834" s="84"/>
      <c r="F834" s="84"/>
      <c r="G834" s="83"/>
      <c r="H834" s="84"/>
      <c r="I834" s="84"/>
      <c r="J834" s="84"/>
      <c r="K834" s="84"/>
      <c r="L834" s="84"/>
      <c r="M834" s="84"/>
      <c r="N834" s="84"/>
      <c r="O834" s="84"/>
      <c r="P834" s="85"/>
      <c r="Q834" s="75"/>
      <c r="R834" s="75"/>
      <c r="S834" s="75"/>
      <c r="T834" s="75"/>
      <c r="U834" s="89"/>
      <c r="V834" s="84"/>
      <c r="W834" s="84"/>
      <c r="X834" s="84"/>
      <c r="Y834" s="84"/>
      <c r="Z834" s="84"/>
    </row>
    <row r="835" spans="1:26" ht="15.75" customHeight="1">
      <c r="A835" s="83"/>
      <c r="B835" s="83"/>
      <c r="C835" s="83"/>
      <c r="D835" s="84"/>
      <c r="E835" s="84"/>
      <c r="F835" s="84"/>
      <c r="G835" s="83"/>
      <c r="H835" s="84"/>
      <c r="I835" s="84"/>
      <c r="J835" s="84"/>
      <c r="K835" s="84"/>
      <c r="L835" s="84"/>
      <c r="M835" s="84"/>
      <c r="N835" s="84"/>
      <c r="O835" s="84"/>
      <c r="P835" s="85"/>
      <c r="Q835" s="75"/>
      <c r="R835" s="75"/>
      <c r="S835" s="75"/>
      <c r="T835" s="75"/>
      <c r="U835" s="89"/>
      <c r="V835" s="84"/>
      <c r="W835" s="84"/>
      <c r="X835" s="84"/>
      <c r="Y835" s="84"/>
      <c r="Z835" s="84"/>
    </row>
    <row r="836" spans="1:26" ht="15.75" customHeight="1">
      <c r="A836" s="83"/>
      <c r="B836" s="83"/>
      <c r="C836" s="83"/>
      <c r="D836" s="84"/>
      <c r="E836" s="84"/>
      <c r="F836" s="84"/>
      <c r="G836" s="83"/>
      <c r="H836" s="84"/>
      <c r="I836" s="84"/>
      <c r="J836" s="84"/>
      <c r="K836" s="84"/>
      <c r="L836" s="84"/>
      <c r="M836" s="84"/>
      <c r="N836" s="84"/>
      <c r="O836" s="84"/>
      <c r="P836" s="85"/>
      <c r="Q836" s="75"/>
      <c r="R836" s="75"/>
      <c r="S836" s="75"/>
      <c r="T836" s="75"/>
      <c r="U836" s="89"/>
      <c r="V836" s="84"/>
      <c r="W836" s="84"/>
      <c r="X836" s="84"/>
      <c r="Y836" s="84"/>
      <c r="Z836" s="84"/>
    </row>
    <row r="837" spans="1:26" ht="15.75" customHeight="1">
      <c r="A837" s="83"/>
      <c r="B837" s="83"/>
      <c r="C837" s="83"/>
      <c r="D837" s="84"/>
      <c r="E837" s="84"/>
      <c r="F837" s="84"/>
      <c r="G837" s="83"/>
      <c r="H837" s="84"/>
      <c r="I837" s="84"/>
      <c r="J837" s="84"/>
      <c r="K837" s="84"/>
      <c r="L837" s="84"/>
      <c r="M837" s="84"/>
      <c r="N837" s="84"/>
      <c r="O837" s="84"/>
      <c r="P837" s="85"/>
      <c r="Q837" s="75"/>
      <c r="R837" s="75"/>
      <c r="S837" s="75"/>
      <c r="T837" s="75"/>
      <c r="U837" s="89"/>
      <c r="V837" s="84"/>
      <c r="W837" s="84"/>
      <c r="X837" s="84"/>
      <c r="Y837" s="84"/>
      <c r="Z837" s="84"/>
    </row>
    <row r="838" spans="1:26" ht="15.75" customHeight="1">
      <c r="A838" s="83"/>
      <c r="B838" s="83"/>
      <c r="C838" s="83"/>
      <c r="D838" s="84"/>
      <c r="E838" s="84"/>
      <c r="F838" s="84"/>
      <c r="G838" s="83"/>
      <c r="H838" s="84"/>
      <c r="I838" s="84"/>
      <c r="J838" s="84"/>
      <c r="K838" s="84"/>
      <c r="L838" s="84"/>
      <c r="M838" s="84"/>
      <c r="N838" s="84"/>
      <c r="O838" s="84"/>
      <c r="P838" s="85"/>
      <c r="Q838" s="75"/>
      <c r="R838" s="75"/>
      <c r="S838" s="75"/>
      <c r="T838" s="75"/>
      <c r="U838" s="89"/>
      <c r="V838" s="84"/>
      <c r="W838" s="84"/>
      <c r="X838" s="84"/>
      <c r="Y838" s="84"/>
      <c r="Z838" s="84"/>
    </row>
    <row r="839" spans="1:26" ht="15.75" customHeight="1">
      <c r="A839" s="83"/>
      <c r="B839" s="83"/>
      <c r="C839" s="83"/>
      <c r="D839" s="84"/>
      <c r="E839" s="84"/>
      <c r="F839" s="84"/>
      <c r="G839" s="83"/>
      <c r="H839" s="84"/>
      <c r="I839" s="84"/>
      <c r="J839" s="84"/>
      <c r="K839" s="84"/>
      <c r="L839" s="84"/>
      <c r="M839" s="84"/>
      <c r="N839" s="84"/>
      <c r="O839" s="84"/>
      <c r="P839" s="85"/>
      <c r="Q839" s="75"/>
      <c r="R839" s="75"/>
      <c r="S839" s="75"/>
      <c r="T839" s="75"/>
      <c r="U839" s="89"/>
      <c r="V839" s="84"/>
      <c r="W839" s="84"/>
      <c r="X839" s="84"/>
      <c r="Y839" s="84"/>
      <c r="Z839" s="84"/>
    </row>
    <row r="840" spans="1:26" ht="15.75" customHeight="1">
      <c r="A840" s="83"/>
      <c r="B840" s="83"/>
      <c r="C840" s="83"/>
      <c r="D840" s="84"/>
      <c r="E840" s="84"/>
      <c r="F840" s="84"/>
      <c r="G840" s="83"/>
      <c r="H840" s="84"/>
      <c r="I840" s="84"/>
      <c r="J840" s="84"/>
      <c r="K840" s="84"/>
      <c r="L840" s="84"/>
      <c r="M840" s="84"/>
      <c r="N840" s="84"/>
      <c r="O840" s="84"/>
      <c r="P840" s="85"/>
      <c r="Q840" s="75"/>
      <c r="R840" s="75"/>
      <c r="S840" s="75"/>
      <c r="T840" s="75"/>
      <c r="U840" s="89"/>
      <c r="V840" s="84"/>
      <c r="W840" s="84"/>
      <c r="X840" s="84"/>
      <c r="Y840" s="84"/>
      <c r="Z840" s="84"/>
    </row>
    <row r="841" spans="1:26" ht="15.75" customHeight="1">
      <c r="A841" s="83"/>
      <c r="B841" s="83"/>
      <c r="C841" s="83"/>
      <c r="D841" s="84"/>
      <c r="E841" s="84"/>
      <c r="F841" s="84"/>
      <c r="G841" s="83"/>
      <c r="H841" s="84"/>
      <c r="I841" s="84"/>
      <c r="J841" s="84"/>
      <c r="K841" s="84"/>
      <c r="L841" s="84"/>
      <c r="M841" s="84"/>
      <c r="N841" s="84"/>
      <c r="O841" s="84"/>
      <c r="P841" s="85"/>
      <c r="Q841" s="75"/>
      <c r="R841" s="75"/>
      <c r="S841" s="75"/>
      <c r="T841" s="75"/>
      <c r="U841" s="89"/>
      <c r="V841" s="84"/>
      <c r="W841" s="84"/>
      <c r="X841" s="84"/>
      <c r="Y841" s="84"/>
      <c r="Z841" s="84"/>
    </row>
    <row r="842" spans="1:26" ht="15.75" customHeight="1">
      <c r="A842" s="83"/>
      <c r="B842" s="83"/>
      <c r="C842" s="83"/>
      <c r="D842" s="84"/>
      <c r="E842" s="84"/>
      <c r="F842" s="84"/>
      <c r="G842" s="83"/>
      <c r="H842" s="84"/>
      <c r="I842" s="84"/>
      <c r="J842" s="84"/>
      <c r="K842" s="84"/>
      <c r="L842" s="84"/>
      <c r="M842" s="84"/>
      <c r="N842" s="84"/>
      <c r="O842" s="84"/>
      <c r="P842" s="85"/>
      <c r="Q842" s="75"/>
      <c r="R842" s="75"/>
      <c r="S842" s="75"/>
      <c r="T842" s="75"/>
      <c r="U842" s="89"/>
      <c r="V842" s="84"/>
      <c r="W842" s="84"/>
      <c r="X842" s="84"/>
      <c r="Y842" s="84"/>
      <c r="Z842" s="84"/>
    </row>
    <row r="843" spans="1:26" ht="15.75" customHeight="1">
      <c r="A843" s="83"/>
      <c r="B843" s="83"/>
      <c r="C843" s="83"/>
      <c r="D843" s="84"/>
      <c r="E843" s="84"/>
      <c r="F843" s="84"/>
      <c r="G843" s="83"/>
      <c r="H843" s="84"/>
      <c r="I843" s="84"/>
      <c r="J843" s="84"/>
      <c r="K843" s="84"/>
      <c r="L843" s="84"/>
      <c r="M843" s="84"/>
      <c r="N843" s="84"/>
      <c r="O843" s="84"/>
      <c r="P843" s="85"/>
      <c r="Q843" s="75"/>
      <c r="R843" s="75"/>
      <c r="S843" s="75"/>
      <c r="T843" s="75"/>
      <c r="U843" s="89"/>
      <c r="V843" s="84"/>
      <c r="W843" s="84"/>
      <c r="X843" s="84"/>
      <c r="Y843" s="84"/>
      <c r="Z843" s="84"/>
    </row>
    <row r="844" spans="1:26" ht="15.75" customHeight="1">
      <c r="A844" s="83"/>
      <c r="B844" s="83"/>
      <c r="C844" s="83"/>
      <c r="D844" s="84"/>
      <c r="E844" s="84"/>
      <c r="F844" s="84"/>
      <c r="G844" s="83"/>
      <c r="H844" s="84"/>
      <c r="I844" s="84"/>
      <c r="J844" s="84"/>
      <c r="K844" s="84"/>
      <c r="L844" s="84"/>
      <c r="M844" s="84"/>
      <c r="N844" s="84"/>
      <c r="O844" s="84"/>
      <c r="P844" s="85"/>
      <c r="Q844" s="75"/>
      <c r="R844" s="75"/>
      <c r="S844" s="75"/>
      <c r="T844" s="75"/>
      <c r="U844" s="89"/>
      <c r="V844" s="84"/>
      <c r="W844" s="84"/>
      <c r="X844" s="84"/>
      <c r="Y844" s="84"/>
      <c r="Z844" s="84"/>
    </row>
    <row r="845" spans="1:26" ht="15.75" customHeight="1">
      <c r="A845" s="83"/>
      <c r="B845" s="83"/>
      <c r="C845" s="83"/>
      <c r="D845" s="84"/>
      <c r="E845" s="84"/>
      <c r="F845" s="84"/>
      <c r="G845" s="83"/>
      <c r="H845" s="84"/>
      <c r="I845" s="84"/>
      <c r="J845" s="84"/>
      <c r="K845" s="84"/>
      <c r="L845" s="84"/>
      <c r="M845" s="84"/>
      <c r="N845" s="84"/>
      <c r="O845" s="84"/>
      <c r="P845" s="85"/>
      <c r="Q845" s="75"/>
      <c r="R845" s="75"/>
      <c r="S845" s="75"/>
      <c r="T845" s="75"/>
      <c r="U845" s="89"/>
      <c r="V845" s="84"/>
      <c r="W845" s="84"/>
      <c r="X845" s="84"/>
      <c r="Y845" s="84"/>
      <c r="Z845" s="84"/>
    </row>
    <row r="846" spans="1:26" ht="15.75" customHeight="1">
      <c r="A846" s="83"/>
      <c r="B846" s="83"/>
      <c r="C846" s="83"/>
      <c r="D846" s="84"/>
      <c r="E846" s="84"/>
      <c r="F846" s="84"/>
      <c r="G846" s="83"/>
      <c r="H846" s="84"/>
      <c r="I846" s="84"/>
      <c r="J846" s="84"/>
      <c r="K846" s="84"/>
      <c r="L846" s="84"/>
      <c r="M846" s="84"/>
      <c r="N846" s="84"/>
      <c r="O846" s="84"/>
      <c r="P846" s="85"/>
      <c r="Q846" s="75"/>
      <c r="R846" s="75"/>
      <c r="S846" s="75"/>
      <c r="T846" s="75"/>
      <c r="U846" s="89"/>
      <c r="V846" s="84"/>
      <c r="W846" s="84"/>
      <c r="X846" s="84"/>
      <c r="Y846" s="84"/>
      <c r="Z846" s="84"/>
    </row>
    <row r="847" spans="1:26" ht="15.75" customHeight="1">
      <c r="A847" s="83"/>
      <c r="B847" s="83"/>
      <c r="C847" s="83"/>
      <c r="D847" s="84"/>
      <c r="E847" s="84"/>
      <c r="F847" s="84"/>
      <c r="G847" s="83"/>
      <c r="H847" s="84"/>
      <c r="I847" s="84"/>
      <c r="J847" s="84"/>
      <c r="K847" s="84"/>
      <c r="L847" s="84"/>
      <c r="M847" s="84"/>
      <c r="N847" s="84"/>
      <c r="O847" s="84"/>
      <c r="P847" s="85"/>
      <c r="Q847" s="75"/>
      <c r="R847" s="75"/>
      <c r="S847" s="75"/>
      <c r="T847" s="75"/>
      <c r="U847" s="89"/>
      <c r="V847" s="84"/>
      <c r="W847" s="84"/>
      <c r="X847" s="84"/>
      <c r="Y847" s="84"/>
      <c r="Z847" s="84"/>
    </row>
    <row r="848" spans="1:26" ht="15.75" customHeight="1">
      <c r="A848" s="83"/>
      <c r="B848" s="83"/>
      <c r="C848" s="83"/>
      <c r="D848" s="84"/>
      <c r="E848" s="84"/>
      <c r="F848" s="84"/>
      <c r="G848" s="83"/>
      <c r="H848" s="84"/>
      <c r="I848" s="84"/>
      <c r="J848" s="84"/>
      <c r="K848" s="84"/>
      <c r="L848" s="84"/>
      <c r="M848" s="84"/>
      <c r="N848" s="84"/>
      <c r="O848" s="84"/>
      <c r="P848" s="85"/>
      <c r="Q848" s="75"/>
      <c r="R848" s="75"/>
      <c r="S848" s="75"/>
      <c r="T848" s="75"/>
      <c r="U848" s="89"/>
      <c r="V848" s="84"/>
      <c r="W848" s="84"/>
      <c r="X848" s="84"/>
      <c r="Y848" s="84"/>
      <c r="Z848" s="84"/>
    </row>
    <row r="849" spans="1:26" ht="15.75" customHeight="1">
      <c r="A849" s="83"/>
      <c r="B849" s="83"/>
      <c r="C849" s="83"/>
      <c r="D849" s="84"/>
      <c r="E849" s="84"/>
      <c r="F849" s="84"/>
      <c r="G849" s="83"/>
      <c r="H849" s="84"/>
      <c r="I849" s="84"/>
      <c r="J849" s="84"/>
      <c r="K849" s="84"/>
      <c r="L849" s="84"/>
      <c r="M849" s="84"/>
      <c r="N849" s="84"/>
      <c r="O849" s="84"/>
      <c r="P849" s="85"/>
      <c r="Q849" s="75"/>
      <c r="R849" s="75"/>
      <c r="S849" s="75"/>
      <c r="T849" s="75"/>
      <c r="U849" s="89"/>
      <c r="V849" s="84"/>
      <c r="W849" s="84"/>
      <c r="X849" s="84"/>
      <c r="Y849" s="84"/>
      <c r="Z849" s="84"/>
    </row>
    <row r="850" spans="1:26" ht="15.75" customHeight="1">
      <c r="A850" s="83"/>
      <c r="B850" s="83"/>
      <c r="C850" s="83"/>
      <c r="D850" s="84"/>
      <c r="E850" s="84"/>
      <c r="F850" s="84"/>
      <c r="G850" s="83"/>
      <c r="H850" s="84"/>
      <c r="I850" s="84"/>
      <c r="J850" s="84"/>
      <c r="K850" s="84"/>
      <c r="L850" s="84"/>
      <c r="M850" s="84"/>
      <c r="N850" s="84"/>
      <c r="O850" s="84"/>
      <c r="P850" s="85"/>
      <c r="Q850" s="75"/>
      <c r="R850" s="75"/>
      <c r="S850" s="75"/>
      <c r="T850" s="75"/>
      <c r="U850" s="89"/>
      <c r="V850" s="84"/>
      <c r="W850" s="84"/>
      <c r="X850" s="84"/>
      <c r="Y850" s="84"/>
      <c r="Z850" s="84"/>
    </row>
    <row r="851" spans="1:26" ht="15.75" customHeight="1">
      <c r="A851" s="83"/>
      <c r="B851" s="83"/>
      <c r="C851" s="83"/>
      <c r="D851" s="84"/>
      <c r="E851" s="84"/>
      <c r="F851" s="84"/>
      <c r="G851" s="83"/>
      <c r="H851" s="84"/>
      <c r="I851" s="84"/>
      <c r="J851" s="84"/>
      <c r="K851" s="84"/>
      <c r="L851" s="84"/>
      <c r="M851" s="84"/>
      <c r="N851" s="84"/>
      <c r="O851" s="84"/>
      <c r="P851" s="85"/>
      <c r="Q851" s="75"/>
      <c r="R851" s="75"/>
      <c r="S851" s="75"/>
      <c r="T851" s="75"/>
      <c r="U851" s="89"/>
      <c r="V851" s="84"/>
      <c r="W851" s="84"/>
      <c r="X851" s="84"/>
      <c r="Y851" s="84"/>
      <c r="Z851" s="84"/>
    </row>
    <row r="852" spans="1:26" ht="15.75" customHeight="1">
      <c r="A852" s="83"/>
      <c r="B852" s="83"/>
      <c r="C852" s="83"/>
      <c r="D852" s="84"/>
      <c r="E852" s="84"/>
      <c r="F852" s="84"/>
      <c r="G852" s="83"/>
      <c r="H852" s="84"/>
      <c r="I852" s="84"/>
      <c r="J852" s="84"/>
      <c r="K852" s="84"/>
      <c r="L852" s="84"/>
      <c r="M852" s="84"/>
      <c r="N852" s="84"/>
      <c r="O852" s="84"/>
      <c r="P852" s="85"/>
      <c r="Q852" s="75"/>
      <c r="R852" s="75"/>
      <c r="S852" s="75"/>
      <c r="T852" s="75"/>
      <c r="U852" s="89"/>
      <c r="V852" s="84"/>
      <c r="W852" s="84"/>
      <c r="X852" s="84"/>
      <c r="Y852" s="84"/>
      <c r="Z852" s="84"/>
    </row>
    <row r="853" spans="1:26" ht="15.75" customHeight="1">
      <c r="A853" s="83"/>
      <c r="B853" s="83"/>
      <c r="C853" s="83"/>
      <c r="D853" s="84"/>
      <c r="E853" s="84"/>
      <c r="F853" s="84"/>
      <c r="G853" s="83"/>
      <c r="H853" s="84"/>
      <c r="I853" s="84"/>
      <c r="J853" s="84"/>
      <c r="K853" s="84"/>
      <c r="L853" s="84"/>
      <c r="M853" s="84"/>
      <c r="N853" s="84"/>
      <c r="O853" s="84"/>
      <c r="P853" s="85"/>
      <c r="Q853" s="75"/>
      <c r="R853" s="75"/>
      <c r="S853" s="75"/>
      <c r="T853" s="75"/>
      <c r="U853" s="89"/>
      <c r="V853" s="84"/>
      <c r="W853" s="84"/>
      <c r="X853" s="84"/>
      <c r="Y853" s="84"/>
      <c r="Z853" s="84"/>
    </row>
    <row r="854" spans="1:26" ht="15.75" customHeight="1">
      <c r="A854" s="83"/>
      <c r="B854" s="83"/>
      <c r="C854" s="83"/>
      <c r="D854" s="84"/>
      <c r="E854" s="84"/>
      <c r="F854" s="84"/>
      <c r="G854" s="83"/>
      <c r="H854" s="84"/>
      <c r="I854" s="84"/>
      <c r="J854" s="84"/>
      <c r="K854" s="84"/>
      <c r="L854" s="84"/>
      <c r="M854" s="84"/>
      <c r="N854" s="84"/>
      <c r="O854" s="84"/>
      <c r="P854" s="85"/>
      <c r="Q854" s="75"/>
      <c r="R854" s="75"/>
      <c r="S854" s="75"/>
      <c r="T854" s="75"/>
      <c r="U854" s="89"/>
      <c r="V854" s="84"/>
      <c r="W854" s="84"/>
      <c r="X854" s="84"/>
      <c r="Y854" s="84"/>
      <c r="Z854" s="84"/>
    </row>
    <row r="855" spans="1:26" ht="15.75" customHeight="1">
      <c r="A855" s="83"/>
      <c r="B855" s="83"/>
      <c r="C855" s="83"/>
      <c r="D855" s="84"/>
      <c r="E855" s="84"/>
      <c r="F855" s="84"/>
      <c r="G855" s="83"/>
      <c r="H855" s="84"/>
      <c r="I855" s="84"/>
      <c r="J855" s="84"/>
      <c r="K855" s="84"/>
      <c r="L855" s="84"/>
      <c r="M855" s="84"/>
      <c r="N855" s="84"/>
      <c r="O855" s="84"/>
      <c r="P855" s="85"/>
      <c r="Q855" s="75"/>
      <c r="R855" s="75"/>
      <c r="S855" s="75"/>
      <c r="T855" s="75"/>
      <c r="U855" s="89"/>
      <c r="V855" s="84"/>
      <c r="W855" s="84"/>
      <c r="X855" s="84"/>
      <c r="Y855" s="84"/>
      <c r="Z855" s="84"/>
    </row>
    <row r="856" spans="1:26" ht="15.75" customHeight="1">
      <c r="A856" s="83"/>
      <c r="B856" s="83"/>
      <c r="C856" s="83"/>
      <c r="D856" s="84"/>
      <c r="E856" s="84"/>
      <c r="F856" s="84"/>
      <c r="G856" s="83"/>
      <c r="H856" s="84"/>
      <c r="I856" s="84"/>
      <c r="J856" s="84"/>
      <c r="K856" s="84"/>
      <c r="L856" s="84"/>
      <c r="M856" s="84"/>
      <c r="N856" s="84"/>
      <c r="O856" s="84"/>
      <c r="P856" s="85"/>
      <c r="Q856" s="75"/>
      <c r="R856" s="75"/>
      <c r="S856" s="75"/>
      <c r="T856" s="75"/>
      <c r="U856" s="89"/>
      <c r="V856" s="84"/>
      <c r="W856" s="84"/>
      <c r="X856" s="84"/>
      <c r="Y856" s="84"/>
      <c r="Z856" s="84"/>
    </row>
    <row r="857" spans="1:26" ht="15.75" customHeight="1">
      <c r="A857" s="83"/>
      <c r="B857" s="83"/>
      <c r="C857" s="83"/>
      <c r="D857" s="84"/>
      <c r="E857" s="84"/>
      <c r="F857" s="84"/>
      <c r="G857" s="83"/>
      <c r="H857" s="84"/>
      <c r="I857" s="84"/>
      <c r="J857" s="84"/>
      <c r="K857" s="84"/>
      <c r="L857" s="84"/>
      <c r="M857" s="84"/>
      <c r="N857" s="84"/>
      <c r="O857" s="84"/>
      <c r="P857" s="85"/>
      <c r="Q857" s="75"/>
      <c r="R857" s="75"/>
      <c r="S857" s="75"/>
      <c r="T857" s="75"/>
      <c r="U857" s="89"/>
      <c r="V857" s="84"/>
      <c r="W857" s="84"/>
      <c r="X857" s="84"/>
      <c r="Y857" s="84"/>
      <c r="Z857" s="84"/>
    </row>
    <row r="858" spans="1:26" ht="15.75" customHeight="1">
      <c r="A858" s="83"/>
      <c r="B858" s="83"/>
      <c r="C858" s="83"/>
      <c r="D858" s="84"/>
      <c r="E858" s="84"/>
      <c r="F858" s="84"/>
      <c r="G858" s="83"/>
      <c r="H858" s="84"/>
      <c r="I858" s="84"/>
      <c r="J858" s="84"/>
      <c r="K858" s="84"/>
      <c r="L858" s="84"/>
      <c r="M858" s="84"/>
      <c r="N858" s="84"/>
      <c r="O858" s="84"/>
      <c r="P858" s="85"/>
      <c r="Q858" s="75"/>
      <c r="R858" s="75"/>
      <c r="S858" s="75"/>
      <c r="T858" s="75"/>
      <c r="U858" s="89"/>
      <c r="V858" s="84"/>
      <c r="W858" s="84"/>
      <c r="X858" s="84"/>
      <c r="Y858" s="84"/>
      <c r="Z858" s="84"/>
    </row>
    <row r="859" spans="1:26" ht="15.75" customHeight="1">
      <c r="A859" s="83"/>
      <c r="B859" s="83"/>
      <c r="C859" s="83"/>
      <c r="D859" s="84"/>
      <c r="E859" s="84"/>
      <c r="F859" s="84"/>
      <c r="G859" s="83"/>
      <c r="H859" s="84"/>
      <c r="I859" s="84"/>
      <c r="J859" s="84"/>
      <c r="K859" s="84"/>
      <c r="L859" s="84"/>
      <c r="M859" s="84"/>
      <c r="N859" s="84"/>
      <c r="O859" s="84"/>
      <c r="P859" s="85"/>
      <c r="Q859" s="75"/>
      <c r="R859" s="75"/>
      <c r="S859" s="75"/>
      <c r="T859" s="75"/>
      <c r="U859" s="89"/>
      <c r="V859" s="84"/>
      <c r="W859" s="84"/>
      <c r="X859" s="84"/>
      <c r="Y859" s="84"/>
      <c r="Z859" s="84"/>
    </row>
    <row r="860" spans="1:26" ht="15.75" customHeight="1">
      <c r="A860" s="83"/>
      <c r="B860" s="83"/>
      <c r="C860" s="83"/>
      <c r="D860" s="84"/>
      <c r="E860" s="84"/>
      <c r="F860" s="84"/>
      <c r="G860" s="83"/>
      <c r="H860" s="84"/>
      <c r="I860" s="84"/>
      <c r="J860" s="84"/>
      <c r="K860" s="84"/>
      <c r="L860" s="84"/>
      <c r="M860" s="84"/>
      <c r="N860" s="84"/>
      <c r="O860" s="84"/>
      <c r="P860" s="85"/>
      <c r="Q860" s="75"/>
      <c r="R860" s="75"/>
      <c r="S860" s="75"/>
      <c r="T860" s="75"/>
      <c r="U860" s="89"/>
      <c r="V860" s="84"/>
      <c r="W860" s="84"/>
      <c r="X860" s="84"/>
      <c r="Y860" s="84"/>
      <c r="Z860" s="84"/>
    </row>
    <row r="861" spans="1:26" ht="15.75" customHeight="1">
      <c r="A861" s="83"/>
      <c r="B861" s="83"/>
      <c r="C861" s="83"/>
      <c r="D861" s="84"/>
      <c r="E861" s="84"/>
      <c r="F861" s="84"/>
      <c r="G861" s="83"/>
      <c r="H861" s="84"/>
      <c r="I861" s="84"/>
      <c r="J861" s="84"/>
      <c r="K861" s="84"/>
      <c r="L861" s="84"/>
      <c r="M861" s="84"/>
      <c r="N861" s="84"/>
      <c r="O861" s="84"/>
      <c r="P861" s="85"/>
      <c r="Q861" s="75"/>
      <c r="R861" s="75"/>
      <c r="S861" s="75"/>
      <c r="T861" s="75"/>
      <c r="U861" s="89"/>
      <c r="V861" s="84"/>
      <c r="W861" s="84"/>
      <c r="X861" s="84"/>
      <c r="Y861" s="84"/>
      <c r="Z861" s="84"/>
    </row>
    <row r="862" spans="1:26" ht="15.75" customHeight="1">
      <c r="A862" s="83"/>
      <c r="B862" s="83"/>
      <c r="C862" s="83"/>
      <c r="D862" s="84"/>
      <c r="E862" s="84"/>
      <c r="F862" s="84"/>
      <c r="G862" s="83"/>
      <c r="H862" s="84"/>
      <c r="I862" s="84"/>
      <c r="J862" s="84"/>
      <c r="K862" s="84"/>
      <c r="L862" s="84"/>
      <c r="M862" s="84"/>
      <c r="N862" s="84"/>
      <c r="O862" s="84"/>
      <c r="P862" s="85"/>
      <c r="Q862" s="75"/>
      <c r="R862" s="75"/>
      <c r="S862" s="75"/>
      <c r="T862" s="75"/>
      <c r="U862" s="89"/>
      <c r="V862" s="84"/>
      <c r="W862" s="84"/>
      <c r="X862" s="84"/>
      <c r="Y862" s="84"/>
      <c r="Z862" s="84"/>
    </row>
    <row r="863" spans="1:26" ht="15.75" customHeight="1">
      <c r="A863" s="83"/>
      <c r="B863" s="83"/>
      <c r="C863" s="83"/>
      <c r="D863" s="84"/>
      <c r="E863" s="84"/>
      <c r="F863" s="84"/>
      <c r="G863" s="83"/>
      <c r="H863" s="84"/>
      <c r="I863" s="84"/>
      <c r="J863" s="84"/>
      <c r="K863" s="84"/>
      <c r="L863" s="84"/>
      <c r="M863" s="84"/>
      <c r="N863" s="84"/>
      <c r="O863" s="84"/>
      <c r="P863" s="85"/>
      <c r="Q863" s="75"/>
      <c r="R863" s="75"/>
      <c r="S863" s="75"/>
      <c r="T863" s="75"/>
      <c r="U863" s="89"/>
      <c r="V863" s="84"/>
      <c r="W863" s="84"/>
      <c r="X863" s="84"/>
      <c r="Y863" s="84"/>
      <c r="Z863" s="84"/>
    </row>
    <row r="864" spans="1:26" ht="15.75" customHeight="1">
      <c r="A864" s="83"/>
      <c r="B864" s="83"/>
      <c r="C864" s="83"/>
      <c r="D864" s="84"/>
      <c r="E864" s="84"/>
      <c r="F864" s="84"/>
      <c r="G864" s="83"/>
      <c r="H864" s="84"/>
      <c r="I864" s="84"/>
      <c r="J864" s="84"/>
      <c r="K864" s="84"/>
      <c r="L864" s="84"/>
      <c r="M864" s="84"/>
      <c r="N864" s="84"/>
      <c r="O864" s="84"/>
      <c r="P864" s="85"/>
      <c r="Q864" s="75"/>
      <c r="R864" s="75"/>
      <c r="S864" s="75"/>
      <c r="T864" s="75"/>
      <c r="U864" s="89"/>
      <c r="V864" s="84"/>
      <c r="W864" s="84"/>
      <c r="X864" s="84"/>
      <c r="Y864" s="84"/>
      <c r="Z864" s="84"/>
    </row>
    <row r="865" spans="1:26" ht="15.75" customHeight="1">
      <c r="A865" s="83"/>
      <c r="B865" s="83"/>
      <c r="C865" s="83"/>
      <c r="D865" s="84"/>
      <c r="E865" s="84"/>
      <c r="F865" s="84"/>
      <c r="G865" s="83"/>
      <c r="H865" s="84"/>
      <c r="I865" s="84"/>
      <c r="J865" s="84"/>
      <c r="K865" s="84"/>
      <c r="L865" s="84"/>
      <c r="M865" s="84"/>
      <c r="N865" s="84"/>
      <c r="O865" s="84"/>
      <c r="P865" s="85"/>
      <c r="Q865" s="75"/>
      <c r="R865" s="75"/>
      <c r="S865" s="75"/>
      <c r="T865" s="75"/>
      <c r="U865" s="89"/>
      <c r="V865" s="84"/>
      <c r="W865" s="84"/>
      <c r="X865" s="84"/>
      <c r="Y865" s="84"/>
      <c r="Z865" s="84"/>
    </row>
    <row r="866" spans="1:26" ht="15.75" customHeight="1">
      <c r="A866" s="83"/>
      <c r="B866" s="83"/>
      <c r="C866" s="83"/>
      <c r="D866" s="84"/>
      <c r="E866" s="84"/>
      <c r="F866" s="84"/>
      <c r="G866" s="83"/>
      <c r="H866" s="84"/>
      <c r="I866" s="84"/>
      <c r="J866" s="84"/>
      <c r="K866" s="84"/>
      <c r="L866" s="84"/>
      <c r="M866" s="84"/>
      <c r="N866" s="84"/>
      <c r="O866" s="84"/>
      <c r="P866" s="85"/>
      <c r="Q866" s="75"/>
      <c r="R866" s="75"/>
      <c r="S866" s="75"/>
      <c r="T866" s="75"/>
      <c r="U866" s="89"/>
      <c r="V866" s="84"/>
      <c r="W866" s="84"/>
      <c r="X866" s="84"/>
      <c r="Y866" s="84"/>
      <c r="Z866" s="84"/>
    </row>
    <row r="867" spans="1:26" ht="15.75" customHeight="1">
      <c r="A867" s="83"/>
      <c r="B867" s="83"/>
      <c r="C867" s="83"/>
      <c r="D867" s="84"/>
      <c r="E867" s="84"/>
      <c r="F867" s="84"/>
      <c r="G867" s="83"/>
      <c r="H867" s="84"/>
      <c r="I867" s="84"/>
      <c r="J867" s="84"/>
      <c r="K867" s="84"/>
      <c r="L867" s="84"/>
      <c r="M867" s="84"/>
      <c r="N867" s="84"/>
      <c r="O867" s="84"/>
      <c r="P867" s="85"/>
      <c r="Q867" s="75"/>
      <c r="R867" s="75"/>
      <c r="S867" s="75"/>
      <c r="T867" s="75"/>
      <c r="U867" s="89"/>
      <c r="V867" s="84"/>
      <c r="W867" s="84"/>
      <c r="X867" s="84"/>
      <c r="Y867" s="84"/>
      <c r="Z867" s="84"/>
    </row>
    <row r="868" spans="1:26" ht="15.75" customHeight="1">
      <c r="A868" s="83"/>
      <c r="B868" s="83"/>
      <c r="C868" s="83"/>
      <c r="D868" s="84"/>
      <c r="E868" s="84"/>
      <c r="F868" s="84"/>
      <c r="G868" s="83"/>
      <c r="H868" s="84"/>
      <c r="I868" s="84"/>
      <c r="J868" s="84"/>
      <c r="K868" s="84"/>
      <c r="L868" s="84"/>
      <c r="M868" s="84"/>
      <c r="N868" s="84"/>
      <c r="O868" s="84"/>
      <c r="P868" s="85"/>
      <c r="Q868" s="75"/>
      <c r="R868" s="75"/>
      <c r="S868" s="75"/>
      <c r="T868" s="75"/>
      <c r="U868" s="89"/>
      <c r="V868" s="84"/>
      <c r="W868" s="84"/>
      <c r="X868" s="84"/>
      <c r="Y868" s="84"/>
      <c r="Z868" s="84"/>
    </row>
    <row r="869" spans="1:26" ht="15.75" customHeight="1">
      <c r="A869" s="83"/>
      <c r="B869" s="83"/>
      <c r="C869" s="83"/>
      <c r="D869" s="84"/>
      <c r="E869" s="84"/>
      <c r="F869" s="84"/>
      <c r="G869" s="83"/>
      <c r="H869" s="84"/>
      <c r="I869" s="84"/>
      <c r="J869" s="84"/>
      <c r="K869" s="84"/>
      <c r="L869" s="84"/>
      <c r="M869" s="84"/>
      <c r="N869" s="84"/>
      <c r="O869" s="84"/>
      <c r="P869" s="85"/>
      <c r="Q869" s="75"/>
      <c r="R869" s="75"/>
      <c r="S869" s="75"/>
      <c r="T869" s="75"/>
      <c r="U869" s="89"/>
      <c r="V869" s="84"/>
      <c r="W869" s="84"/>
      <c r="X869" s="84"/>
      <c r="Y869" s="84"/>
      <c r="Z869" s="84"/>
    </row>
    <row r="870" spans="1:26" ht="15.75" customHeight="1">
      <c r="A870" s="83"/>
      <c r="B870" s="83"/>
      <c r="C870" s="83"/>
      <c r="D870" s="84"/>
      <c r="E870" s="84"/>
      <c r="F870" s="84"/>
      <c r="G870" s="83"/>
      <c r="H870" s="84"/>
      <c r="I870" s="84"/>
      <c r="J870" s="84"/>
      <c r="K870" s="84"/>
      <c r="L870" s="84"/>
      <c r="M870" s="84"/>
      <c r="N870" s="84"/>
      <c r="O870" s="84"/>
      <c r="P870" s="85"/>
      <c r="Q870" s="75"/>
      <c r="R870" s="75"/>
      <c r="S870" s="75"/>
      <c r="T870" s="75"/>
      <c r="U870" s="89"/>
      <c r="V870" s="84"/>
      <c r="W870" s="84"/>
      <c r="X870" s="84"/>
      <c r="Y870" s="84"/>
      <c r="Z870" s="84"/>
    </row>
    <row r="871" spans="1:26" ht="15.75" customHeight="1">
      <c r="A871" s="83"/>
      <c r="B871" s="83"/>
      <c r="C871" s="83"/>
      <c r="D871" s="84"/>
      <c r="E871" s="84"/>
      <c r="F871" s="84"/>
      <c r="G871" s="83"/>
      <c r="H871" s="84"/>
      <c r="I871" s="84"/>
      <c r="J871" s="84"/>
      <c r="K871" s="84"/>
      <c r="L871" s="84"/>
      <c r="M871" s="84"/>
      <c r="N871" s="84"/>
      <c r="O871" s="84"/>
      <c r="P871" s="85"/>
      <c r="Q871" s="75"/>
      <c r="R871" s="75"/>
      <c r="S871" s="75"/>
      <c r="T871" s="75"/>
      <c r="U871" s="89"/>
      <c r="V871" s="84"/>
      <c r="W871" s="84"/>
      <c r="X871" s="84"/>
      <c r="Y871" s="84"/>
      <c r="Z871" s="84"/>
    </row>
    <row r="872" spans="1:26" ht="15.75" customHeight="1">
      <c r="A872" s="83"/>
      <c r="B872" s="83"/>
      <c r="C872" s="83"/>
      <c r="D872" s="84"/>
      <c r="E872" s="84"/>
      <c r="F872" s="84"/>
      <c r="G872" s="83"/>
      <c r="H872" s="84"/>
      <c r="I872" s="84"/>
      <c r="J872" s="84"/>
      <c r="K872" s="84"/>
      <c r="L872" s="84"/>
      <c r="M872" s="84"/>
      <c r="N872" s="84"/>
      <c r="O872" s="84"/>
      <c r="P872" s="85"/>
      <c r="Q872" s="75"/>
      <c r="R872" s="75"/>
      <c r="S872" s="75"/>
      <c r="T872" s="75"/>
      <c r="U872" s="89"/>
      <c r="V872" s="84"/>
      <c r="W872" s="84"/>
      <c r="X872" s="84"/>
      <c r="Y872" s="84"/>
      <c r="Z872" s="84"/>
    </row>
    <row r="873" spans="1:26" ht="15.75" customHeight="1">
      <c r="A873" s="83"/>
      <c r="B873" s="83"/>
      <c r="C873" s="83"/>
      <c r="D873" s="84"/>
      <c r="E873" s="84"/>
      <c r="F873" s="84"/>
      <c r="G873" s="83"/>
      <c r="H873" s="84"/>
      <c r="I873" s="84"/>
      <c r="J873" s="84"/>
      <c r="K873" s="84"/>
      <c r="L873" s="84"/>
      <c r="M873" s="84"/>
      <c r="N873" s="84"/>
      <c r="O873" s="84"/>
      <c r="P873" s="85"/>
      <c r="Q873" s="75"/>
      <c r="R873" s="75"/>
      <c r="S873" s="75"/>
      <c r="T873" s="75"/>
      <c r="U873" s="89"/>
      <c r="V873" s="84"/>
      <c r="W873" s="84"/>
      <c r="X873" s="84"/>
      <c r="Y873" s="84"/>
      <c r="Z873" s="84"/>
    </row>
    <row r="874" spans="1:26" ht="15.75" customHeight="1">
      <c r="A874" s="83"/>
      <c r="B874" s="83"/>
      <c r="C874" s="83"/>
      <c r="D874" s="84"/>
      <c r="E874" s="84"/>
      <c r="F874" s="84"/>
      <c r="G874" s="83"/>
      <c r="H874" s="84"/>
      <c r="I874" s="84"/>
      <c r="J874" s="84"/>
      <c r="K874" s="84"/>
      <c r="L874" s="84"/>
      <c r="M874" s="84"/>
      <c r="N874" s="84"/>
      <c r="O874" s="84"/>
      <c r="P874" s="85"/>
      <c r="Q874" s="75"/>
      <c r="R874" s="75"/>
      <c r="S874" s="75"/>
      <c r="T874" s="75"/>
      <c r="U874" s="89"/>
      <c r="V874" s="84"/>
      <c r="W874" s="84"/>
      <c r="X874" s="84"/>
      <c r="Y874" s="84"/>
      <c r="Z874" s="84"/>
    </row>
    <row r="875" spans="1:26" ht="15.75" customHeight="1">
      <c r="A875" s="83"/>
      <c r="B875" s="83"/>
      <c r="C875" s="83"/>
      <c r="D875" s="84"/>
      <c r="E875" s="84"/>
      <c r="F875" s="84"/>
      <c r="G875" s="83"/>
      <c r="H875" s="84"/>
      <c r="I875" s="84"/>
      <c r="J875" s="84"/>
      <c r="K875" s="84"/>
      <c r="L875" s="84"/>
      <c r="M875" s="84"/>
      <c r="N875" s="84"/>
      <c r="O875" s="84"/>
      <c r="P875" s="85"/>
      <c r="Q875" s="75"/>
      <c r="R875" s="75"/>
      <c r="S875" s="75"/>
      <c r="T875" s="75"/>
      <c r="U875" s="89"/>
      <c r="V875" s="84"/>
      <c r="W875" s="84"/>
      <c r="X875" s="84"/>
      <c r="Y875" s="84"/>
      <c r="Z875" s="84"/>
    </row>
    <row r="876" spans="1:26" ht="15.75" customHeight="1">
      <c r="A876" s="83"/>
      <c r="B876" s="83"/>
      <c r="C876" s="83"/>
      <c r="D876" s="84"/>
      <c r="E876" s="84"/>
      <c r="F876" s="84"/>
      <c r="G876" s="83"/>
      <c r="H876" s="84"/>
      <c r="I876" s="84"/>
      <c r="J876" s="84"/>
      <c r="K876" s="84"/>
      <c r="L876" s="84"/>
      <c r="M876" s="84"/>
      <c r="N876" s="84"/>
      <c r="O876" s="84"/>
      <c r="P876" s="85"/>
      <c r="Q876" s="75"/>
      <c r="R876" s="75"/>
      <c r="S876" s="75"/>
      <c r="T876" s="75"/>
      <c r="U876" s="89"/>
      <c r="V876" s="84"/>
      <c r="W876" s="84"/>
      <c r="X876" s="84"/>
      <c r="Y876" s="84"/>
      <c r="Z876" s="84"/>
    </row>
    <row r="877" spans="1:26" ht="15.75" customHeight="1">
      <c r="A877" s="83"/>
      <c r="B877" s="83"/>
      <c r="C877" s="83"/>
      <c r="D877" s="84"/>
      <c r="E877" s="84"/>
      <c r="F877" s="84"/>
      <c r="G877" s="83"/>
      <c r="H877" s="84"/>
      <c r="I877" s="84"/>
      <c r="J877" s="84"/>
      <c r="K877" s="84"/>
      <c r="L877" s="84"/>
      <c r="M877" s="84"/>
      <c r="N877" s="84"/>
      <c r="O877" s="84"/>
      <c r="P877" s="85"/>
      <c r="Q877" s="75"/>
      <c r="R877" s="75"/>
      <c r="S877" s="75"/>
      <c r="T877" s="75"/>
      <c r="U877" s="89"/>
      <c r="V877" s="84"/>
      <c r="W877" s="84"/>
      <c r="X877" s="84"/>
      <c r="Y877" s="84"/>
      <c r="Z877" s="84"/>
    </row>
    <row r="878" spans="1:26" ht="15.75" customHeight="1">
      <c r="A878" s="83"/>
      <c r="B878" s="83"/>
      <c r="C878" s="83"/>
      <c r="D878" s="84"/>
      <c r="E878" s="84"/>
      <c r="F878" s="84"/>
      <c r="G878" s="83"/>
      <c r="H878" s="84"/>
      <c r="I878" s="84"/>
      <c r="J878" s="84"/>
      <c r="K878" s="84"/>
      <c r="L878" s="84"/>
      <c r="M878" s="84"/>
      <c r="N878" s="84"/>
      <c r="O878" s="84"/>
      <c r="P878" s="85"/>
      <c r="Q878" s="75"/>
      <c r="R878" s="75"/>
      <c r="S878" s="75"/>
      <c r="T878" s="75"/>
      <c r="U878" s="89"/>
      <c r="V878" s="84"/>
      <c r="W878" s="84"/>
      <c r="X878" s="84"/>
      <c r="Y878" s="84"/>
      <c r="Z878" s="84"/>
    </row>
    <row r="879" spans="1:26" ht="15.75" customHeight="1">
      <c r="A879" s="83"/>
      <c r="B879" s="83"/>
      <c r="C879" s="83"/>
      <c r="D879" s="84"/>
      <c r="E879" s="84"/>
      <c r="F879" s="84"/>
      <c r="G879" s="83"/>
      <c r="H879" s="84"/>
      <c r="I879" s="84"/>
      <c r="J879" s="84"/>
      <c r="K879" s="84"/>
      <c r="L879" s="84"/>
      <c r="M879" s="84"/>
      <c r="N879" s="84"/>
      <c r="O879" s="84"/>
      <c r="P879" s="85"/>
      <c r="Q879" s="75"/>
      <c r="R879" s="75"/>
      <c r="S879" s="75"/>
      <c r="T879" s="75"/>
      <c r="U879" s="89"/>
      <c r="V879" s="84"/>
      <c r="W879" s="84"/>
      <c r="X879" s="84"/>
      <c r="Y879" s="84"/>
      <c r="Z879" s="84"/>
    </row>
    <row r="880" spans="1:26" ht="15.75" customHeight="1">
      <c r="A880" s="83"/>
      <c r="B880" s="83"/>
      <c r="C880" s="83"/>
      <c r="D880" s="84"/>
      <c r="E880" s="84"/>
      <c r="F880" s="84"/>
      <c r="G880" s="83"/>
      <c r="H880" s="84"/>
      <c r="I880" s="84"/>
      <c r="J880" s="84"/>
      <c r="K880" s="84"/>
      <c r="L880" s="84"/>
      <c r="M880" s="84"/>
      <c r="N880" s="84"/>
      <c r="O880" s="84"/>
      <c r="P880" s="85"/>
      <c r="Q880" s="75"/>
      <c r="R880" s="75"/>
      <c r="S880" s="75"/>
      <c r="T880" s="75"/>
      <c r="U880" s="89"/>
      <c r="V880" s="84"/>
      <c r="W880" s="84"/>
      <c r="X880" s="84"/>
      <c r="Y880" s="84"/>
      <c r="Z880" s="84"/>
    </row>
    <row r="881" spans="1:26" ht="15.75" customHeight="1">
      <c r="A881" s="83"/>
      <c r="B881" s="83"/>
      <c r="C881" s="83"/>
      <c r="D881" s="84"/>
      <c r="E881" s="84"/>
      <c r="F881" s="84"/>
      <c r="G881" s="83"/>
      <c r="H881" s="84"/>
      <c r="I881" s="84"/>
      <c r="J881" s="84"/>
      <c r="K881" s="84"/>
      <c r="L881" s="84"/>
      <c r="M881" s="84"/>
      <c r="N881" s="84"/>
      <c r="O881" s="84"/>
      <c r="P881" s="85"/>
      <c r="Q881" s="75"/>
      <c r="R881" s="75"/>
      <c r="S881" s="75"/>
      <c r="T881" s="75"/>
      <c r="U881" s="89"/>
      <c r="V881" s="84"/>
      <c r="W881" s="84"/>
      <c r="X881" s="84"/>
      <c r="Y881" s="84"/>
      <c r="Z881" s="84"/>
    </row>
    <row r="882" spans="1:26" ht="15.75" customHeight="1">
      <c r="A882" s="83"/>
      <c r="B882" s="83"/>
      <c r="C882" s="83"/>
      <c r="D882" s="84"/>
      <c r="E882" s="84"/>
      <c r="F882" s="84"/>
      <c r="G882" s="83"/>
      <c r="H882" s="84"/>
      <c r="I882" s="84"/>
      <c r="J882" s="84"/>
      <c r="K882" s="84"/>
      <c r="L882" s="84"/>
      <c r="M882" s="84"/>
      <c r="N882" s="84"/>
      <c r="O882" s="84"/>
      <c r="P882" s="85"/>
      <c r="Q882" s="75"/>
      <c r="R882" s="75"/>
      <c r="S882" s="75"/>
      <c r="T882" s="75"/>
      <c r="U882" s="89"/>
      <c r="V882" s="84"/>
      <c r="W882" s="84"/>
      <c r="X882" s="84"/>
      <c r="Y882" s="84"/>
      <c r="Z882" s="84"/>
    </row>
    <row r="883" spans="1:26" ht="15.75" customHeight="1">
      <c r="A883" s="83"/>
      <c r="B883" s="83"/>
      <c r="C883" s="83"/>
      <c r="D883" s="84"/>
      <c r="E883" s="84"/>
      <c r="F883" s="84"/>
      <c r="G883" s="83"/>
      <c r="H883" s="84"/>
      <c r="I883" s="84"/>
      <c r="J883" s="84"/>
      <c r="K883" s="84"/>
      <c r="L883" s="84"/>
      <c r="M883" s="84"/>
      <c r="N883" s="84"/>
      <c r="O883" s="84"/>
      <c r="P883" s="85"/>
      <c r="Q883" s="75"/>
      <c r="R883" s="75"/>
      <c r="S883" s="75"/>
      <c r="T883" s="75"/>
      <c r="U883" s="89"/>
      <c r="V883" s="84"/>
      <c r="W883" s="84"/>
      <c r="X883" s="84"/>
      <c r="Y883" s="84"/>
      <c r="Z883" s="84"/>
    </row>
    <row r="884" spans="1:26" ht="15.75" customHeight="1">
      <c r="A884" s="83"/>
      <c r="B884" s="83"/>
      <c r="C884" s="83"/>
      <c r="D884" s="84"/>
      <c r="E884" s="84"/>
      <c r="F884" s="84"/>
      <c r="G884" s="83"/>
      <c r="H884" s="84"/>
      <c r="I884" s="84"/>
      <c r="J884" s="84"/>
      <c r="K884" s="84"/>
      <c r="L884" s="84"/>
      <c r="M884" s="84"/>
      <c r="N884" s="84"/>
      <c r="O884" s="84"/>
      <c r="P884" s="85"/>
      <c r="Q884" s="75"/>
      <c r="R884" s="75"/>
      <c r="S884" s="75"/>
      <c r="T884" s="75"/>
      <c r="U884" s="89"/>
      <c r="V884" s="84"/>
      <c r="W884" s="84"/>
      <c r="X884" s="84"/>
      <c r="Y884" s="84"/>
      <c r="Z884" s="84"/>
    </row>
    <row r="885" spans="1:26" ht="15.75" customHeight="1">
      <c r="A885" s="83"/>
      <c r="B885" s="83"/>
      <c r="C885" s="83"/>
      <c r="D885" s="84"/>
      <c r="E885" s="84"/>
      <c r="F885" s="84"/>
      <c r="G885" s="83"/>
      <c r="H885" s="84"/>
      <c r="I885" s="84"/>
      <c r="J885" s="84"/>
      <c r="K885" s="84"/>
      <c r="L885" s="84"/>
      <c r="M885" s="84"/>
      <c r="N885" s="84"/>
      <c r="O885" s="84"/>
      <c r="P885" s="85"/>
      <c r="Q885" s="75"/>
      <c r="R885" s="75"/>
      <c r="S885" s="75"/>
      <c r="T885" s="75"/>
      <c r="U885" s="89"/>
      <c r="V885" s="84"/>
      <c r="W885" s="84"/>
      <c r="X885" s="84"/>
      <c r="Y885" s="84"/>
      <c r="Z885" s="84"/>
    </row>
    <row r="886" spans="1:26" ht="15.75" customHeight="1">
      <c r="A886" s="83"/>
      <c r="B886" s="83"/>
      <c r="C886" s="83"/>
      <c r="D886" s="84"/>
      <c r="E886" s="84"/>
      <c r="F886" s="84"/>
      <c r="G886" s="83"/>
      <c r="H886" s="84"/>
      <c r="I886" s="84"/>
      <c r="J886" s="84"/>
      <c r="K886" s="84"/>
      <c r="L886" s="84"/>
      <c r="M886" s="84"/>
      <c r="N886" s="84"/>
      <c r="O886" s="84"/>
      <c r="P886" s="85"/>
      <c r="Q886" s="75"/>
      <c r="R886" s="75"/>
      <c r="S886" s="75"/>
      <c r="T886" s="75"/>
      <c r="U886" s="89"/>
      <c r="V886" s="84"/>
      <c r="W886" s="84"/>
      <c r="X886" s="84"/>
      <c r="Y886" s="84"/>
      <c r="Z886" s="84"/>
    </row>
    <row r="887" spans="1:26" ht="15.75" customHeight="1">
      <c r="A887" s="83"/>
      <c r="B887" s="83"/>
      <c r="C887" s="83"/>
      <c r="D887" s="84"/>
      <c r="E887" s="84"/>
      <c r="F887" s="84"/>
      <c r="G887" s="83"/>
      <c r="H887" s="84"/>
      <c r="I887" s="84"/>
      <c r="J887" s="84"/>
      <c r="K887" s="84"/>
      <c r="L887" s="84"/>
      <c r="M887" s="84"/>
      <c r="N887" s="84"/>
      <c r="O887" s="84"/>
      <c r="P887" s="85"/>
      <c r="Q887" s="75"/>
      <c r="R887" s="75"/>
      <c r="S887" s="75"/>
      <c r="T887" s="75"/>
      <c r="U887" s="89"/>
      <c r="V887" s="84"/>
      <c r="W887" s="84"/>
      <c r="X887" s="84"/>
      <c r="Y887" s="84"/>
      <c r="Z887" s="84"/>
    </row>
    <row r="888" spans="1:26" ht="15.75" customHeight="1">
      <c r="A888" s="83"/>
      <c r="B888" s="83"/>
      <c r="C888" s="83"/>
      <c r="D888" s="84"/>
      <c r="E888" s="84"/>
      <c r="F888" s="84"/>
      <c r="G888" s="83"/>
      <c r="H888" s="84"/>
      <c r="I888" s="84"/>
      <c r="J888" s="84"/>
      <c r="K888" s="84"/>
      <c r="L888" s="84"/>
      <c r="M888" s="84"/>
      <c r="N888" s="84"/>
      <c r="O888" s="84"/>
      <c r="P888" s="85"/>
      <c r="Q888" s="75"/>
      <c r="R888" s="75"/>
      <c r="S888" s="75"/>
      <c r="T888" s="75"/>
      <c r="U888" s="89"/>
      <c r="V888" s="84"/>
      <c r="W888" s="84"/>
      <c r="X888" s="84"/>
      <c r="Y888" s="84"/>
      <c r="Z888" s="84"/>
    </row>
    <row r="889" spans="1:26" ht="15.75" customHeight="1">
      <c r="A889" s="83"/>
      <c r="B889" s="83"/>
      <c r="C889" s="83"/>
      <c r="D889" s="84"/>
      <c r="E889" s="84"/>
      <c r="F889" s="84"/>
      <c r="G889" s="83"/>
      <c r="H889" s="84"/>
      <c r="I889" s="84"/>
      <c r="J889" s="84"/>
      <c r="K889" s="84"/>
      <c r="L889" s="84"/>
      <c r="M889" s="84"/>
      <c r="N889" s="84"/>
      <c r="O889" s="84"/>
      <c r="P889" s="85"/>
      <c r="Q889" s="75"/>
      <c r="R889" s="75"/>
      <c r="S889" s="75"/>
      <c r="T889" s="75"/>
      <c r="U889" s="89"/>
      <c r="V889" s="84"/>
      <c r="W889" s="84"/>
      <c r="X889" s="84"/>
      <c r="Y889" s="84"/>
      <c r="Z889" s="84"/>
    </row>
    <row r="890" spans="1:26" ht="15.75" customHeight="1">
      <c r="A890" s="83"/>
      <c r="B890" s="83"/>
      <c r="C890" s="83"/>
      <c r="D890" s="84"/>
      <c r="E890" s="84"/>
      <c r="F890" s="84"/>
      <c r="G890" s="83"/>
      <c r="H890" s="84"/>
      <c r="I890" s="84"/>
      <c r="J890" s="84"/>
      <c r="K890" s="84"/>
      <c r="L890" s="84"/>
      <c r="M890" s="84"/>
      <c r="N890" s="84"/>
      <c r="O890" s="84"/>
      <c r="P890" s="85"/>
      <c r="Q890" s="75"/>
      <c r="R890" s="75"/>
      <c r="S890" s="75"/>
      <c r="T890" s="75"/>
      <c r="U890" s="89"/>
      <c r="V890" s="84"/>
      <c r="W890" s="84"/>
      <c r="X890" s="84"/>
      <c r="Y890" s="84"/>
      <c r="Z890" s="84"/>
    </row>
    <row r="891" spans="1:26" ht="15.75" customHeight="1">
      <c r="A891" s="83"/>
      <c r="B891" s="83"/>
      <c r="C891" s="83"/>
      <c r="D891" s="84"/>
      <c r="E891" s="84"/>
      <c r="F891" s="84"/>
      <c r="G891" s="83"/>
      <c r="H891" s="84"/>
      <c r="I891" s="84"/>
      <c r="J891" s="84"/>
      <c r="K891" s="84"/>
      <c r="L891" s="84"/>
      <c r="M891" s="84"/>
      <c r="N891" s="84"/>
      <c r="O891" s="84"/>
      <c r="P891" s="85"/>
      <c r="Q891" s="75"/>
      <c r="R891" s="75"/>
      <c r="S891" s="75"/>
      <c r="T891" s="75"/>
      <c r="U891" s="89"/>
      <c r="V891" s="84"/>
      <c r="W891" s="84"/>
      <c r="X891" s="84"/>
      <c r="Y891" s="84"/>
      <c r="Z891" s="84"/>
    </row>
    <row r="892" spans="1:26" ht="15.75" customHeight="1">
      <c r="A892" s="83"/>
      <c r="B892" s="83"/>
      <c r="C892" s="83"/>
      <c r="D892" s="84"/>
      <c r="E892" s="84"/>
      <c r="F892" s="84"/>
      <c r="G892" s="83"/>
      <c r="H892" s="84"/>
      <c r="I892" s="84"/>
      <c r="J892" s="84"/>
      <c r="K892" s="84"/>
      <c r="L892" s="84"/>
      <c r="M892" s="84"/>
      <c r="N892" s="84"/>
      <c r="O892" s="84"/>
      <c r="P892" s="85"/>
      <c r="Q892" s="75"/>
      <c r="R892" s="75"/>
      <c r="S892" s="75"/>
      <c r="T892" s="75"/>
      <c r="U892" s="89"/>
      <c r="V892" s="84"/>
      <c r="W892" s="84"/>
      <c r="X892" s="84"/>
      <c r="Y892" s="84"/>
      <c r="Z892" s="84"/>
    </row>
    <row r="893" spans="1:26" ht="15.75" customHeight="1">
      <c r="A893" s="83"/>
      <c r="B893" s="83"/>
      <c r="C893" s="83"/>
      <c r="D893" s="84"/>
      <c r="E893" s="84"/>
      <c r="F893" s="84"/>
      <c r="G893" s="83"/>
      <c r="H893" s="84"/>
      <c r="I893" s="84"/>
      <c r="J893" s="84"/>
      <c r="K893" s="84"/>
      <c r="L893" s="84"/>
      <c r="M893" s="84"/>
      <c r="N893" s="84"/>
      <c r="O893" s="84"/>
      <c r="P893" s="85"/>
      <c r="Q893" s="75"/>
      <c r="R893" s="75"/>
      <c r="S893" s="75"/>
      <c r="T893" s="75"/>
      <c r="U893" s="89"/>
      <c r="V893" s="84"/>
      <c r="W893" s="84"/>
      <c r="X893" s="84"/>
      <c r="Y893" s="84"/>
      <c r="Z893" s="84"/>
    </row>
    <row r="894" spans="1:26" ht="15.75" customHeight="1">
      <c r="A894" s="83"/>
      <c r="B894" s="83"/>
      <c r="C894" s="83"/>
      <c r="D894" s="84"/>
      <c r="E894" s="84"/>
      <c r="F894" s="84"/>
      <c r="G894" s="83"/>
      <c r="H894" s="84"/>
      <c r="I894" s="84"/>
      <c r="J894" s="84"/>
      <c r="K894" s="84"/>
      <c r="L894" s="84"/>
      <c r="M894" s="84"/>
      <c r="N894" s="84"/>
      <c r="O894" s="84"/>
      <c r="P894" s="85"/>
      <c r="Q894" s="75"/>
      <c r="R894" s="75"/>
      <c r="S894" s="75"/>
      <c r="T894" s="75"/>
      <c r="U894" s="89"/>
      <c r="V894" s="84"/>
      <c r="W894" s="84"/>
      <c r="X894" s="84"/>
      <c r="Y894" s="84"/>
      <c r="Z894" s="84"/>
    </row>
    <row r="895" spans="1:26" ht="15.75" customHeight="1">
      <c r="A895" s="83"/>
      <c r="B895" s="83"/>
      <c r="C895" s="83"/>
      <c r="D895" s="84"/>
      <c r="E895" s="84"/>
      <c r="F895" s="84"/>
      <c r="G895" s="83"/>
      <c r="H895" s="84"/>
      <c r="I895" s="84"/>
      <c r="J895" s="84"/>
      <c r="K895" s="84"/>
      <c r="L895" s="84"/>
      <c r="M895" s="84"/>
      <c r="N895" s="84"/>
      <c r="O895" s="84"/>
      <c r="P895" s="85"/>
      <c r="Q895" s="75"/>
      <c r="R895" s="75"/>
      <c r="S895" s="75"/>
      <c r="T895" s="75"/>
      <c r="U895" s="89"/>
      <c r="V895" s="84"/>
      <c r="W895" s="84"/>
      <c r="X895" s="84"/>
      <c r="Y895" s="84"/>
      <c r="Z895" s="84"/>
    </row>
    <row r="896" spans="1:26" ht="15.75" customHeight="1">
      <c r="A896" s="83"/>
      <c r="B896" s="83"/>
      <c r="C896" s="83"/>
      <c r="D896" s="84"/>
      <c r="E896" s="84"/>
      <c r="F896" s="84"/>
      <c r="G896" s="83"/>
      <c r="H896" s="84"/>
      <c r="I896" s="84"/>
      <c r="J896" s="84"/>
      <c r="K896" s="84"/>
      <c r="L896" s="84"/>
      <c r="M896" s="84"/>
      <c r="N896" s="84"/>
      <c r="O896" s="84"/>
      <c r="P896" s="85"/>
      <c r="Q896" s="75"/>
      <c r="R896" s="75"/>
      <c r="S896" s="75"/>
      <c r="T896" s="75"/>
      <c r="U896" s="89"/>
      <c r="V896" s="84"/>
      <c r="W896" s="84"/>
      <c r="X896" s="84"/>
      <c r="Y896" s="84"/>
      <c r="Z896" s="84"/>
    </row>
    <row r="897" spans="1:26" ht="15.75" customHeight="1">
      <c r="A897" s="83"/>
      <c r="B897" s="83"/>
      <c r="C897" s="83"/>
      <c r="D897" s="84"/>
      <c r="E897" s="84"/>
      <c r="F897" s="84"/>
      <c r="G897" s="83"/>
      <c r="H897" s="84"/>
      <c r="I897" s="84"/>
      <c r="J897" s="84"/>
      <c r="K897" s="84"/>
      <c r="L897" s="84"/>
      <c r="M897" s="84"/>
      <c r="N897" s="84"/>
      <c r="O897" s="84"/>
      <c r="P897" s="85"/>
      <c r="Q897" s="75"/>
      <c r="R897" s="75"/>
      <c r="S897" s="75"/>
      <c r="T897" s="75"/>
      <c r="U897" s="89"/>
      <c r="V897" s="84"/>
      <c r="W897" s="84"/>
      <c r="X897" s="84"/>
      <c r="Y897" s="84"/>
      <c r="Z897" s="84"/>
    </row>
    <row r="898" spans="1:26" ht="15.75" customHeight="1">
      <c r="A898" s="83"/>
      <c r="B898" s="83"/>
      <c r="C898" s="83"/>
      <c r="D898" s="84"/>
      <c r="E898" s="84"/>
      <c r="F898" s="84"/>
      <c r="G898" s="83"/>
      <c r="H898" s="84"/>
      <c r="I898" s="84"/>
      <c r="J898" s="84"/>
      <c r="K898" s="84"/>
      <c r="L898" s="84"/>
      <c r="M898" s="84"/>
      <c r="N898" s="84"/>
      <c r="O898" s="84"/>
      <c r="P898" s="85"/>
      <c r="Q898" s="75"/>
      <c r="R898" s="75"/>
      <c r="S898" s="75"/>
      <c r="T898" s="75"/>
      <c r="U898" s="89"/>
      <c r="V898" s="84"/>
      <c r="W898" s="84"/>
      <c r="X898" s="84"/>
      <c r="Y898" s="84"/>
      <c r="Z898" s="84"/>
    </row>
    <row r="899" spans="1:26" ht="15.75" customHeight="1">
      <c r="A899" s="83"/>
      <c r="B899" s="83"/>
      <c r="C899" s="83"/>
      <c r="D899" s="84"/>
      <c r="E899" s="84"/>
      <c r="F899" s="84"/>
      <c r="G899" s="83"/>
      <c r="H899" s="84"/>
      <c r="I899" s="84"/>
      <c r="J899" s="84"/>
      <c r="K899" s="84"/>
      <c r="L899" s="84"/>
      <c r="M899" s="84"/>
      <c r="N899" s="84"/>
      <c r="O899" s="84"/>
      <c r="P899" s="85"/>
      <c r="Q899" s="75"/>
      <c r="R899" s="75"/>
      <c r="S899" s="75"/>
      <c r="T899" s="75"/>
      <c r="U899" s="89"/>
      <c r="V899" s="84"/>
      <c r="W899" s="84"/>
      <c r="X899" s="84"/>
      <c r="Y899" s="84"/>
      <c r="Z899" s="84"/>
    </row>
    <row r="900" spans="1:26" ht="15.75" customHeight="1">
      <c r="A900" s="83"/>
      <c r="B900" s="83"/>
      <c r="C900" s="83"/>
      <c r="D900" s="84"/>
      <c r="E900" s="84"/>
      <c r="F900" s="84"/>
      <c r="G900" s="83"/>
      <c r="H900" s="84"/>
      <c r="I900" s="84"/>
      <c r="J900" s="84"/>
      <c r="K900" s="84"/>
      <c r="L900" s="84"/>
      <c r="M900" s="84"/>
      <c r="N900" s="84"/>
      <c r="O900" s="84"/>
      <c r="P900" s="85"/>
      <c r="Q900" s="75"/>
      <c r="R900" s="75"/>
      <c r="S900" s="75"/>
      <c r="T900" s="75"/>
      <c r="U900" s="89"/>
      <c r="V900" s="84"/>
      <c r="W900" s="84"/>
      <c r="X900" s="84"/>
      <c r="Y900" s="84"/>
      <c r="Z900" s="84"/>
    </row>
    <row r="901" spans="1:26" ht="15.75" customHeight="1">
      <c r="A901" s="83"/>
      <c r="B901" s="83"/>
      <c r="C901" s="83"/>
      <c r="D901" s="84"/>
      <c r="E901" s="84"/>
      <c r="F901" s="84"/>
      <c r="G901" s="83"/>
      <c r="H901" s="84"/>
      <c r="I901" s="84"/>
      <c r="J901" s="84"/>
      <c r="K901" s="84"/>
      <c r="L901" s="84"/>
      <c r="M901" s="84"/>
      <c r="N901" s="84"/>
      <c r="O901" s="84"/>
      <c r="P901" s="85"/>
      <c r="Q901" s="75"/>
      <c r="R901" s="75"/>
      <c r="S901" s="75"/>
      <c r="T901" s="75"/>
      <c r="U901" s="89"/>
      <c r="V901" s="84"/>
      <c r="W901" s="84"/>
      <c r="X901" s="84"/>
      <c r="Y901" s="84"/>
      <c r="Z901" s="84"/>
    </row>
    <row r="902" spans="1:26" ht="15.75" customHeight="1">
      <c r="A902" s="83"/>
      <c r="B902" s="83"/>
      <c r="C902" s="83"/>
      <c r="D902" s="84"/>
      <c r="E902" s="84"/>
      <c r="F902" s="84"/>
      <c r="G902" s="83"/>
      <c r="H902" s="84"/>
      <c r="I902" s="84"/>
      <c r="J902" s="84"/>
      <c r="K902" s="84"/>
      <c r="L902" s="84"/>
      <c r="M902" s="84"/>
      <c r="N902" s="84"/>
      <c r="O902" s="84"/>
      <c r="P902" s="85"/>
      <c r="Q902" s="75"/>
      <c r="R902" s="75"/>
      <c r="S902" s="75"/>
      <c r="T902" s="75"/>
      <c r="U902" s="89"/>
      <c r="V902" s="84"/>
      <c r="W902" s="84"/>
      <c r="X902" s="84"/>
      <c r="Y902" s="84"/>
      <c r="Z902" s="84"/>
    </row>
    <row r="903" spans="1:26" ht="15.75" customHeight="1">
      <c r="A903" s="83"/>
      <c r="B903" s="83"/>
      <c r="C903" s="83"/>
      <c r="D903" s="84"/>
      <c r="E903" s="84"/>
      <c r="F903" s="84"/>
      <c r="G903" s="83"/>
      <c r="H903" s="84"/>
      <c r="I903" s="84"/>
      <c r="J903" s="84"/>
      <c r="K903" s="84"/>
      <c r="L903" s="84"/>
      <c r="M903" s="84"/>
      <c r="N903" s="84"/>
      <c r="O903" s="84"/>
      <c r="P903" s="85"/>
      <c r="Q903" s="75"/>
      <c r="R903" s="75"/>
      <c r="S903" s="75"/>
      <c r="T903" s="75"/>
      <c r="U903" s="89"/>
      <c r="V903" s="84"/>
      <c r="W903" s="84"/>
      <c r="X903" s="84"/>
      <c r="Y903" s="84"/>
      <c r="Z903" s="84"/>
    </row>
    <row r="904" spans="1:26" ht="15.75" customHeight="1">
      <c r="A904" s="83"/>
      <c r="B904" s="83"/>
      <c r="C904" s="83"/>
      <c r="D904" s="84"/>
      <c r="E904" s="84"/>
      <c r="F904" s="84"/>
      <c r="G904" s="83"/>
      <c r="H904" s="84"/>
      <c r="I904" s="84"/>
      <c r="J904" s="84"/>
      <c r="K904" s="84"/>
      <c r="L904" s="84"/>
      <c r="M904" s="84"/>
      <c r="N904" s="84"/>
      <c r="O904" s="84"/>
      <c r="P904" s="85"/>
      <c r="Q904" s="75"/>
      <c r="R904" s="75"/>
      <c r="S904" s="75"/>
      <c r="T904" s="75"/>
      <c r="U904" s="89"/>
      <c r="V904" s="84"/>
      <c r="W904" s="84"/>
      <c r="X904" s="84"/>
      <c r="Y904" s="84"/>
      <c r="Z904" s="84"/>
    </row>
    <row r="905" spans="1:26" ht="15.75" customHeight="1">
      <c r="A905" s="83"/>
      <c r="B905" s="83"/>
      <c r="C905" s="83"/>
      <c r="D905" s="84"/>
      <c r="E905" s="84"/>
      <c r="F905" s="84"/>
      <c r="G905" s="83"/>
      <c r="H905" s="84"/>
      <c r="I905" s="84"/>
      <c r="J905" s="84"/>
      <c r="K905" s="84"/>
      <c r="L905" s="84"/>
      <c r="M905" s="84"/>
      <c r="N905" s="84"/>
      <c r="O905" s="84"/>
      <c r="P905" s="85"/>
      <c r="Q905" s="75"/>
      <c r="R905" s="75"/>
      <c r="S905" s="75"/>
      <c r="T905" s="75"/>
      <c r="U905" s="89"/>
      <c r="V905" s="84"/>
      <c r="W905" s="84"/>
      <c r="X905" s="84"/>
      <c r="Y905" s="84"/>
      <c r="Z905" s="84"/>
    </row>
    <row r="906" spans="1:26" ht="15.75" customHeight="1">
      <c r="A906" s="83"/>
      <c r="B906" s="83"/>
      <c r="C906" s="83"/>
      <c r="D906" s="84"/>
      <c r="E906" s="84"/>
      <c r="F906" s="84"/>
      <c r="G906" s="83"/>
      <c r="H906" s="84"/>
      <c r="I906" s="84"/>
      <c r="J906" s="84"/>
      <c r="K906" s="84"/>
      <c r="L906" s="84"/>
      <c r="M906" s="84"/>
      <c r="N906" s="84"/>
      <c r="O906" s="84"/>
      <c r="P906" s="85"/>
      <c r="Q906" s="75"/>
      <c r="R906" s="75"/>
      <c r="S906" s="75"/>
      <c r="T906" s="75"/>
      <c r="U906" s="89"/>
      <c r="V906" s="84"/>
      <c r="W906" s="84"/>
      <c r="X906" s="84"/>
      <c r="Y906" s="84"/>
      <c r="Z906" s="84"/>
    </row>
    <row r="907" spans="1:26" ht="15.75" customHeight="1">
      <c r="A907" s="83"/>
      <c r="B907" s="83"/>
      <c r="C907" s="83"/>
      <c r="D907" s="84"/>
      <c r="E907" s="84"/>
      <c r="F907" s="84"/>
      <c r="G907" s="83"/>
      <c r="H907" s="84"/>
      <c r="I907" s="84"/>
      <c r="J907" s="84"/>
      <c r="K907" s="84"/>
      <c r="L907" s="84"/>
      <c r="M907" s="84"/>
      <c r="N907" s="84"/>
      <c r="O907" s="84"/>
      <c r="P907" s="85"/>
      <c r="Q907" s="75"/>
      <c r="R907" s="75"/>
      <c r="S907" s="75"/>
      <c r="T907" s="75"/>
      <c r="U907" s="89"/>
      <c r="V907" s="84"/>
      <c r="W907" s="84"/>
      <c r="X907" s="84"/>
      <c r="Y907" s="84"/>
      <c r="Z907" s="84"/>
    </row>
    <row r="908" spans="1:26" ht="15.75" customHeight="1">
      <c r="A908" s="83"/>
      <c r="B908" s="83"/>
      <c r="C908" s="83"/>
      <c r="D908" s="84"/>
      <c r="E908" s="84"/>
      <c r="F908" s="84"/>
      <c r="G908" s="83"/>
      <c r="H908" s="84"/>
      <c r="I908" s="84"/>
      <c r="J908" s="84"/>
      <c r="K908" s="84"/>
      <c r="L908" s="84"/>
      <c r="M908" s="84"/>
      <c r="N908" s="84"/>
      <c r="O908" s="84"/>
      <c r="P908" s="85"/>
      <c r="Q908" s="75"/>
      <c r="R908" s="75"/>
      <c r="S908" s="75"/>
      <c r="T908" s="75"/>
      <c r="U908" s="89"/>
      <c r="V908" s="84"/>
      <c r="W908" s="84"/>
      <c r="X908" s="84"/>
      <c r="Y908" s="84"/>
      <c r="Z908" s="84"/>
    </row>
    <row r="909" spans="1:26" ht="15.75" customHeight="1">
      <c r="A909" s="83"/>
      <c r="B909" s="83"/>
      <c r="C909" s="83"/>
      <c r="D909" s="84"/>
      <c r="E909" s="84"/>
      <c r="F909" s="84"/>
      <c r="G909" s="83"/>
      <c r="H909" s="84"/>
      <c r="I909" s="84"/>
      <c r="J909" s="84"/>
      <c r="K909" s="84"/>
      <c r="L909" s="84"/>
      <c r="M909" s="84"/>
      <c r="N909" s="84"/>
      <c r="O909" s="84"/>
      <c r="P909" s="85"/>
      <c r="Q909" s="75"/>
      <c r="R909" s="75"/>
      <c r="S909" s="75"/>
      <c r="T909" s="75"/>
      <c r="U909" s="89"/>
      <c r="V909" s="84"/>
      <c r="W909" s="84"/>
      <c r="X909" s="84"/>
      <c r="Y909" s="84"/>
      <c r="Z909" s="84"/>
    </row>
    <row r="910" spans="1:26" ht="15.75" customHeight="1">
      <c r="A910" s="83"/>
      <c r="B910" s="83"/>
      <c r="C910" s="83"/>
      <c r="D910" s="84"/>
      <c r="E910" s="84"/>
      <c r="F910" s="84"/>
      <c r="G910" s="83"/>
      <c r="H910" s="84"/>
      <c r="I910" s="84"/>
      <c r="J910" s="84"/>
      <c r="K910" s="84"/>
      <c r="L910" s="84"/>
      <c r="M910" s="84"/>
      <c r="N910" s="84"/>
      <c r="O910" s="84"/>
      <c r="P910" s="85"/>
      <c r="Q910" s="75"/>
      <c r="R910" s="75"/>
      <c r="S910" s="75"/>
      <c r="T910" s="75"/>
      <c r="U910" s="89"/>
      <c r="V910" s="84"/>
      <c r="W910" s="84"/>
      <c r="X910" s="84"/>
      <c r="Y910" s="84"/>
      <c r="Z910" s="84"/>
    </row>
    <row r="911" spans="1:26" ht="15.75" customHeight="1">
      <c r="A911" s="83"/>
      <c r="B911" s="83"/>
      <c r="C911" s="83"/>
      <c r="D911" s="84"/>
      <c r="E911" s="84"/>
      <c r="F911" s="84"/>
      <c r="G911" s="83"/>
      <c r="H911" s="84"/>
      <c r="I911" s="84"/>
      <c r="J911" s="84"/>
      <c r="K911" s="84"/>
      <c r="L911" s="84"/>
      <c r="M911" s="84"/>
      <c r="N911" s="84"/>
      <c r="O911" s="84"/>
      <c r="P911" s="85"/>
      <c r="Q911" s="75"/>
      <c r="R911" s="75"/>
      <c r="S911" s="75"/>
      <c r="T911" s="75"/>
      <c r="U911" s="89"/>
      <c r="V911" s="84"/>
      <c r="W911" s="84"/>
      <c r="X911" s="84"/>
      <c r="Y911" s="84"/>
      <c r="Z911" s="84"/>
    </row>
    <row r="912" spans="1:26" ht="15.75" customHeight="1">
      <c r="A912" s="83"/>
      <c r="B912" s="83"/>
      <c r="C912" s="83"/>
      <c r="D912" s="84"/>
      <c r="E912" s="84"/>
      <c r="F912" s="84"/>
      <c r="G912" s="83"/>
      <c r="H912" s="84"/>
      <c r="I912" s="84"/>
      <c r="J912" s="84"/>
      <c r="K912" s="84"/>
      <c r="L912" s="84"/>
      <c r="M912" s="84"/>
      <c r="N912" s="84"/>
      <c r="O912" s="84"/>
      <c r="P912" s="85"/>
      <c r="Q912" s="75"/>
      <c r="R912" s="75"/>
      <c r="S912" s="75"/>
      <c r="T912" s="75"/>
      <c r="U912" s="89"/>
      <c r="V912" s="84"/>
      <c r="W912" s="84"/>
      <c r="X912" s="84"/>
      <c r="Y912" s="84"/>
      <c r="Z912" s="84"/>
    </row>
    <row r="913" spans="1:26" ht="15.75" customHeight="1">
      <c r="A913" s="83"/>
      <c r="B913" s="83"/>
      <c r="C913" s="83"/>
      <c r="D913" s="84"/>
      <c r="E913" s="84"/>
      <c r="F913" s="84"/>
      <c r="G913" s="83"/>
      <c r="H913" s="84"/>
      <c r="I913" s="84"/>
      <c r="J913" s="84"/>
      <c r="K913" s="84"/>
      <c r="L913" s="84"/>
      <c r="M913" s="84"/>
      <c r="N913" s="84"/>
      <c r="O913" s="84"/>
      <c r="P913" s="85"/>
      <c r="Q913" s="75"/>
      <c r="R913" s="75"/>
      <c r="S913" s="75"/>
      <c r="T913" s="75"/>
      <c r="U913" s="89"/>
      <c r="V913" s="84"/>
      <c r="W913" s="84"/>
      <c r="X913" s="84"/>
      <c r="Y913" s="84"/>
      <c r="Z913" s="84"/>
    </row>
    <row r="914" spans="1:26" ht="15.75" customHeight="1">
      <c r="A914" s="83"/>
      <c r="B914" s="83"/>
      <c r="C914" s="83"/>
      <c r="D914" s="84"/>
      <c r="E914" s="84"/>
      <c r="F914" s="84"/>
      <c r="G914" s="83"/>
      <c r="H914" s="84"/>
      <c r="I914" s="84"/>
      <c r="J914" s="84"/>
      <c r="K914" s="84"/>
      <c r="L914" s="84"/>
      <c r="M914" s="84"/>
      <c r="N914" s="84"/>
      <c r="O914" s="84"/>
      <c r="P914" s="85"/>
      <c r="Q914" s="75"/>
      <c r="R914" s="75"/>
      <c r="S914" s="75"/>
      <c r="T914" s="75"/>
      <c r="U914" s="89"/>
      <c r="V914" s="84"/>
      <c r="W914" s="84"/>
      <c r="X914" s="84"/>
      <c r="Y914" s="84"/>
      <c r="Z914" s="84"/>
    </row>
    <row r="915" spans="1:26" ht="15.75" customHeight="1">
      <c r="A915" s="83"/>
      <c r="B915" s="83"/>
      <c r="C915" s="83"/>
      <c r="D915" s="84"/>
      <c r="E915" s="84"/>
      <c r="F915" s="84"/>
      <c r="G915" s="83"/>
      <c r="H915" s="84"/>
      <c r="I915" s="84"/>
      <c r="J915" s="84"/>
      <c r="K915" s="84"/>
      <c r="L915" s="84"/>
      <c r="M915" s="84"/>
      <c r="N915" s="84"/>
      <c r="O915" s="84"/>
      <c r="P915" s="85"/>
      <c r="Q915" s="75"/>
      <c r="R915" s="75"/>
      <c r="S915" s="75"/>
      <c r="T915" s="75"/>
      <c r="U915" s="89"/>
      <c r="V915" s="84"/>
      <c r="W915" s="84"/>
      <c r="X915" s="84"/>
      <c r="Y915" s="84"/>
      <c r="Z915" s="84"/>
    </row>
    <row r="916" spans="1:26" ht="15.75" customHeight="1">
      <c r="A916" s="83"/>
      <c r="B916" s="83"/>
      <c r="C916" s="83"/>
      <c r="D916" s="84"/>
      <c r="E916" s="84"/>
      <c r="F916" s="84"/>
      <c r="G916" s="83"/>
      <c r="H916" s="84"/>
      <c r="I916" s="84"/>
      <c r="J916" s="84"/>
      <c r="K916" s="84"/>
      <c r="L916" s="84"/>
      <c r="M916" s="84"/>
      <c r="N916" s="84"/>
      <c r="O916" s="84"/>
      <c r="P916" s="85"/>
      <c r="Q916" s="75"/>
      <c r="R916" s="75"/>
      <c r="S916" s="75"/>
      <c r="T916" s="75"/>
      <c r="U916" s="89"/>
      <c r="V916" s="84"/>
      <c r="W916" s="84"/>
      <c r="X916" s="84"/>
      <c r="Y916" s="84"/>
      <c r="Z916" s="84"/>
    </row>
    <row r="917" spans="1:26" ht="15.75" customHeight="1">
      <c r="A917" s="83"/>
      <c r="B917" s="83"/>
      <c r="C917" s="83"/>
      <c r="D917" s="84"/>
      <c r="E917" s="84"/>
      <c r="F917" s="84"/>
      <c r="G917" s="83"/>
      <c r="H917" s="84"/>
      <c r="I917" s="84"/>
      <c r="J917" s="84"/>
      <c r="K917" s="84"/>
      <c r="L917" s="84"/>
      <c r="M917" s="84"/>
      <c r="N917" s="84"/>
      <c r="O917" s="84"/>
      <c r="P917" s="85"/>
      <c r="Q917" s="75"/>
      <c r="R917" s="75"/>
      <c r="S917" s="75"/>
      <c r="T917" s="75"/>
      <c r="U917" s="89"/>
      <c r="V917" s="84"/>
      <c r="W917" s="84"/>
      <c r="X917" s="84"/>
      <c r="Y917" s="84"/>
      <c r="Z917" s="84"/>
    </row>
    <row r="918" spans="1:26" ht="15.75" customHeight="1">
      <c r="A918" s="83"/>
      <c r="B918" s="83"/>
      <c r="C918" s="83"/>
      <c r="D918" s="84"/>
      <c r="E918" s="84"/>
      <c r="F918" s="84"/>
      <c r="G918" s="83"/>
      <c r="H918" s="84"/>
      <c r="I918" s="84"/>
      <c r="J918" s="84"/>
      <c r="K918" s="84"/>
      <c r="L918" s="84"/>
      <c r="M918" s="84"/>
      <c r="N918" s="84"/>
      <c r="O918" s="84"/>
      <c r="P918" s="85"/>
      <c r="Q918" s="75"/>
      <c r="R918" s="75"/>
      <c r="S918" s="75"/>
      <c r="T918" s="75"/>
      <c r="U918" s="89"/>
      <c r="V918" s="84"/>
      <c r="W918" s="84"/>
      <c r="X918" s="84"/>
      <c r="Y918" s="84"/>
      <c r="Z918" s="84"/>
    </row>
    <row r="919" spans="1:26" ht="15.75" customHeight="1">
      <c r="A919" s="83"/>
      <c r="B919" s="83"/>
      <c r="C919" s="83"/>
      <c r="D919" s="84"/>
      <c r="E919" s="84"/>
      <c r="F919" s="84"/>
      <c r="G919" s="83"/>
      <c r="H919" s="84"/>
      <c r="I919" s="84"/>
      <c r="J919" s="84"/>
      <c r="K919" s="84"/>
      <c r="L919" s="84"/>
      <c r="M919" s="84"/>
      <c r="N919" s="84"/>
      <c r="O919" s="84"/>
      <c r="P919" s="85"/>
      <c r="Q919" s="75"/>
      <c r="R919" s="75"/>
      <c r="S919" s="75"/>
      <c r="T919" s="75"/>
      <c r="U919" s="89"/>
      <c r="V919" s="84"/>
      <c r="W919" s="84"/>
      <c r="X919" s="84"/>
      <c r="Y919" s="84"/>
      <c r="Z919" s="84"/>
    </row>
    <row r="920" spans="1:26" ht="15.75" customHeight="1">
      <c r="A920" s="83"/>
      <c r="B920" s="83"/>
      <c r="C920" s="83"/>
      <c r="D920" s="84"/>
      <c r="E920" s="84"/>
      <c r="F920" s="84"/>
      <c r="G920" s="83"/>
      <c r="H920" s="84"/>
      <c r="I920" s="84"/>
      <c r="J920" s="84"/>
      <c r="K920" s="84"/>
      <c r="L920" s="84"/>
      <c r="M920" s="84"/>
      <c r="N920" s="84"/>
      <c r="O920" s="84"/>
      <c r="P920" s="85"/>
      <c r="Q920" s="75"/>
      <c r="R920" s="75"/>
      <c r="S920" s="75"/>
      <c r="T920" s="75"/>
      <c r="U920" s="89"/>
      <c r="V920" s="84"/>
      <c r="W920" s="84"/>
      <c r="X920" s="84"/>
      <c r="Y920" s="84"/>
      <c r="Z920" s="84"/>
    </row>
    <row r="921" spans="1:26" ht="15.75" customHeight="1">
      <c r="A921" s="83"/>
      <c r="B921" s="83"/>
      <c r="C921" s="83"/>
      <c r="D921" s="84"/>
      <c r="E921" s="84"/>
      <c r="F921" s="84"/>
      <c r="G921" s="83"/>
      <c r="H921" s="84"/>
      <c r="I921" s="84"/>
      <c r="J921" s="84"/>
      <c r="K921" s="84"/>
      <c r="L921" s="84"/>
      <c r="M921" s="84"/>
      <c r="N921" s="84"/>
      <c r="O921" s="84"/>
      <c r="P921" s="85"/>
      <c r="Q921" s="75"/>
      <c r="R921" s="75"/>
      <c r="S921" s="75"/>
      <c r="T921" s="75"/>
      <c r="U921" s="89"/>
      <c r="V921" s="84"/>
      <c r="W921" s="84"/>
      <c r="X921" s="84"/>
      <c r="Y921" s="84"/>
      <c r="Z921" s="84"/>
    </row>
    <row r="922" spans="1:26" ht="15.75" customHeight="1">
      <c r="A922" s="83"/>
      <c r="B922" s="83"/>
      <c r="C922" s="83"/>
      <c r="D922" s="84"/>
      <c r="E922" s="84"/>
      <c r="F922" s="84"/>
      <c r="G922" s="83"/>
      <c r="H922" s="84"/>
      <c r="I922" s="84"/>
      <c r="J922" s="84"/>
      <c r="K922" s="84"/>
      <c r="L922" s="84"/>
      <c r="M922" s="84"/>
      <c r="N922" s="84"/>
      <c r="O922" s="84"/>
      <c r="P922" s="85"/>
      <c r="Q922" s="75"/>
      <c r="R922" s="75"/>
      <c r="S922" s="75"/>
      <c r="T922" s="75"/>
      <c r="U922" s="89"/>
      <c r="V922" s="84"/>
      <c r="W922" s="84"/>
      <c r="X922" s="84"/>
      <c r="Y922" s="84"/>
      <c r="Z922" s="84"/>
    </row>
    <row r="923" spans="1:26" ht="15.75" customHeight="1">
      <c r="A923" s="83"/>
      <c r="B923" s="83"/>
      <c r="C923" s="83"/>
      <c r="D923" s="84"/>
      <c r="E923" s="84"/>
      <c r="F923" s="84"/>
      <c r="G923" s="83"/>
      <c r="H923" s="84"/>
      <c r="I923" s="84"/>
      <c r="J923" s="84"/>
      <c r="K923" s="84"/>
      <c r="L923" s="84"/>
      <c r="M923" s="84"/>
      <c r="N923" s="84"/>
      <c r="O923" s="84"/>
      <c r="P923" s="85"/>
      <c r="Q923" s="75"/>
      <c r="R923" s="75"/>
      <c r="S923" s="75"/>
      <c r="T923" s="75"/>
      <c r="U923" s="89"/>
      <c r="V923" s="84"/>
      <c r="W923" s="84"/>
      <c r="X923" s="84"/>
      <c r="Y923" s="84"/>
      <c r="Z923" s="84"/>
    </row>
    <row r="924" spans="1:26" ht="15.75" customHeight="1">
      <c r="A924" s="83"/>
      <c r="B924" s="83"/>
      <c r="C924" s="83"/>
      <c r="D924" s="84"/>
      <c r="E924" s="84"/>
      <c r="F924" s="84"/>
      <c r="G924" s="83"/>
      <c r="H924" s="84"/>
      <c r="I924" s="84"/>
      <c r="J924" s="84"/>
      <c r="K924" s="84"/>
      <c r="L924" s="84"/>
      <c r="M924" s="84"/>
      <c r="N924" s="84"/>
      <c r="O924" s="84"/>
      <c r="P924" s="85"/>
      <c r="Q924" s="75"/>
      <c r="R924" s="75"/>
      <c r="S924" s="75"/>
      <c r="T924" s="75"/>
      <c r="U924" s="89"/>
      <c r="V924" s="84"/>
      <c r="W924" s="84"/>
      <c r="X924" s="84"/>
      <c r="Y924" s="84"/>
      <c r="Z924" s="84"/>
    </row>
    <row r="925" spans="1:26" ht="15.75" customHeight="1">
      <c r="A925" s="83"/>
      <c r="B925" s="83"/>
      <c r="C925" s="83"/>
      <c r="D925" s="84"/>
      <c r="E925" s="84"/>
      <c r="F925" s="84"/>
      <c r="G925" s="83"/>
      <c r="H925" s="84"/>
      <c r="I925" s="84"/>
      <c r="J925" s="84"/>
      <c r="K925" s="84"/>
      <c r="L925" s="84"/>
      <c r="M925" s="84"/>
      <c r="N925" s="84"/>
      <c r="O925" s="84"/>
      <c r="P925" s="85"/>
      <c r="Q925" s="75"/>
      <c r="R925" s="75"/>
      <c r="S925" s="75"/>
      <c r="T925" s="75"/>
      <c r="U925" s="89"/>
      <c r="V925" s="84"/>
      <c r="W925" s="84"/>
      <c r="X925" s="84"/>
      <c r="Y925" s="84"/>
      <c r="Z925" s="84"/>
    </row>
    <row r="926" spans="1:26" ht="15.75" customHeight="1">
      <c r="A926" s="83"/>
      <c r="B926" s="83"/>
      <c r="C926" s="83"/>
      <c r="D926" s="84"/>
      <c r="E926" s="84"/>
      <c r="F926" s="84"/>
      <c r="G926" s="83"/>
      <c r="H926" s="84"/>
      <c r="I926" s="84"/>
      <c r="J926" s="84"/>
      <c r="K926" s="84"/>
      <c r="L926" s="84"/>
      <c r="M926" s="84"/>
      <c r="N926" s="84"/>
      <c r="O926" s="84"/>
      <c r="P926" s="85"/>
      <c r="Q926" s="75"/>
      <c r="R926" s="75"/>
      <c r="S926" s="75"/>
      <c r="T926" s="75"/>
      <c r="U926" s="89"/>
      <c r="V926" s="84"/>
      <c r="W926" s="84"/>
      <c r="X926" s="84"/>
      <c r="Y926" s="84"/>
      <c r="Z926" s="84"/>
    </row>
    <row r="927" spans="1:26" ht="15.75" customHeight="1">
      <c r="A927" s="83"/>
      <c r="B927" s="83"/>
      <c r="C927" s="83"/>
      <c r="D927" s="84"/>
      <c r="E927" s="84"/>
      <c r="F927" s="84"/>
      <c r="G927" s="83"/>
      <c r="H927" s="84"/>
      <c r="I927" s="84"/>
      <c r="J927" s="84"/>
      <c r="K927" s="84"/>
      <c r="L927" s="84"/>
      <c r="M927" s="84"/>
      <c r="N927" s="84"/>
      <c r="O927" s="84"/>
      <c r="P927" s="85"/>
      <c r="Q927" s="75"/>
      <c r="R927" s="75"/>
      <c r="S927" s="75"/>
      <c r="T927" s="75"/>
      <c r="U927" s="89"/>
      <c r="V927" s="84"/>
      <c r="W927" s="84"/>
      <c r="X927" s="84"/>
      <c r="Y927" s="84"/>
      <c r="Z927" s="84"/>
    </row>
    <row r="928" spans="1:26" ht="15.75" customHeight="1">
      <c r="A928" s="83"/>
      <c r="B928" s="83"/>
      <c r="C928" s="83"/>
      <c r="D928" s="84"/>
      <c r="E928" s="84"/>
      <c r="F928" s="84"/>
      <c r="G928" s="83"/>
      <c r="H928" s="84"/>
      <c r="I928" s="84"/>
      <c r="J928" s="84"/>
      <c r="K928" s="84"/>
      <c r="L928" s="84"/>
      <c r="M928" s="84"/>
      <c r="N928" s="84"/>
      <c r="O928" s="84"/>
      <c r="P928" s="85"/>
      <c r="Q928" s="75"/>
      <c r="R928" s="75"/>
      <c r="S928" s="75"/>
      <c r="T928" s="75"/>
      <c r="U928" s="89"/>
      <c r="V928" s="84"/>
      <c r="W928" s="84"/>
      <c r="X928" s="84"/>
      <c r="Y928" s="84"/>
      <c r="Z928" s="84"/>
    </row>
    <row r="929" spans="1:26" ht="15.75" customHeight="1">
      <c r="A929" s="83"/>
      <c r="B929" s="83"/>
      <c r="C929" s="83"/>
      <c r="D929" s="84"/>
      <c r="E929" s="84"/>
      <c r="F929" s="84"/>
      <c r="G929" s="83"/>
      <c r="H929" s="84"/>
      <c r="I929" s="84"/>
      <c r="J929" s="84"/>
      <c r="K929" s="84"/>
      <c r="L929" s="84"/>
      <c r="M929" s="84"/>
      <c r="N929" s="84"/>
      <c r="O929" s="84"/>
      <c r="P929" s="85"/>
      <c r="Q929" s="75"/>
      <c r="R929" s="75"/>
      <c r="S929" s="75"/>
      <c r="T929" s="75"/>
      <c r="U929" s="89"/>
      <c r="V929" s="84"/>
      <c r="W929" s="84"/>
      <c r="X929" s="84"/>
      <c r="Y929" s="84"/>
      <c r="Z929" s="84"/>
    </row>
    <row r="930" spans="1:26" ht="15.75" customHeight="1">
      <c r="A930" s="83"/>
      <c r="B930" s="83"/>
      <c r="C930" s="83"/>
      <c r="D930" s="84"/>
      <c r="E930" s="84"/>
      <c r="F930" s="84"/>
      <c r="G930" s="83"/>
      <c r="H930" s="84"/>
      <c r="I930" s="84"/>
      <c r="J930" s="84"/>
      <c r="K930" s="84"/>
      <c r="L930" s="84"/>
      <c r="M930" s="84"/>
      <c r="N930" s="84"/>
      <c r="O930" s="84"/>
      <c r="P930" s="85"/>
      <c r="Q930" s="75"/>
      <c r="R930" s="75"/>
      <c r="S930" s="75"/>
      <c r="T930" s="75"/>
      <c r="U930" s="89"/>
      <c r="V930" s="84"/>
      <c r="W930" s="84"/>
      <c r="X930" s="84"/>
      <c r="Y930" s="84"/>
      <c r="Z930" s="84"/>
    </row>
    <row r="931" spans="1:26" ht="15.75" customHeight="1">
      <c r="A931" s="83"/>
      <c r="B931" s="83"/>
      <c r="C931" s="83"/>
      <c r="D931" s="84"/>
      <c r="E931" s="84"/>
      <c r="F931" s="84"/>
      <c r="G931" s="83"/>
      <c r="H931" s="84"/>
      <c r="I931" s="84"/>
      <c r="J931" s="84"/>
      <c r="K931" s="84"/>
      <c r="L931" s="84"/>
      <c r="M931" s="84"/>
      <c r="N931" s="84"/>
      <c r="O931" s="84"/>
      <c r="P931" s="85"/>
      <c r="Q931" s="75"/>
      <c r="R931" s="75"/>
      <c r="S931" s="75"/>
      <c r="T931" s="75"/>
      <c r="U931" s="89"/>
      <c r="V931" s="84"/>
      <c r="W931" s="84"/>
      <c r="X931" s="84"/>
      <c r="Y931" s="84"/>
      <c r="Z931" s="84"/>
    </row>
    <row r="932" spans="1:26" ht="15.75" customHeight="1">
      <c r="A932" s="83"/>
      <c r="B932" s="83"/>
      <c r="C932" s="83"/>
      <c r="D932" s="84"/>
      <c r="E932" s="84"/>
      <c r="F932" s="84"/>
      <c r="G932" s="83"/>
      <c r="H932" s="84"/>
      <c r="I932" s="84"/>
      <c r="J932" s="84"/>
      <c r="K932" s="84"/>
      <c r="L932" s="84"/>
      <c r="M932" s="84"/>
      <c r="N932" s="84"/>
      <c r="O932" s="84"/>
      <c r="P932" s="85"/>
      <c r="Q932" s="75"/>
      <c r="R932" s="75"/>
      <c r="S932" s="75"/>
      <c r="T932" s="75"/>
      <c r="U932" s="89"/>
      <c r="V932" s="84"/>
      <c r="W932" s="84"/>
      <c r="X932" s="84"/>
      <c r="Y932" s="84"/>
      <c r="Z932" s="84"/>
    </row>
    <row r="933" spans="1:26" ht="15.75" customHeight="1">
      <c r="A933" s="83"/>
      <c r="B933" s="83"/>
      <c r="C933" s="83"/>
      <c r="D933" s="84"/>
      <c r="E933" s="84"/>
      <c r="F933" s="84"/>
      <c r="G933" s="83"/>
      <c r="H933" s="84"/>
      <c r="I933" s="84"/>
      <c r="J933" s="84"/>
      <c r="K933" s="84"/>
      <c r="L933" s="84"/>
      <c r="M933" s="84"/>
      <c r="N933" s="84"/>
      <c r="O933" s="84"/>
      <c r="P933" s="85"/>
      <c r="Q933" s="75"/>
      <c r="R933" s="75"/>
      <c r="S933" s="75"/>
      <c r="T933" s="75"/>
      <c r="U933" s="89"/>
      <c r="V933" s="84"/>
      <c r="W933" s="84"/>
      <c r="X933" s="84"/>
      <c r="Y933" s="84"/>
      <c r="Z933" s="84"/>
    </row>
    <row r="934" spans="1:26" ht="15.75" customHeight="1">
      <c r="A934" s="83"/>
      <c r="B934" s="83"/>
      <c r="C934" s="83"/>
      <c r="D934" s="84"/>
      <c r="E934" s="84"/>
      <c r="F934" s="84"/>
      <c r="G934" s="83"/>
      <c r="H934" s="84"/>
      <c r="I934" s="84"/>
      <c r="J934" s="84"/>
      <c r="K934" s="84"/>
      <c r="L934" s="84"/>
      <c r="M934" s="84"/>
      <c r="N934" s="84"/>
      <c r="O934" s="84"/>
      <c r="P934" s="85"/>
      <c r="Q934" s="75"/>
      <c r="R934" s="75"/>
      <c r="S934" s="75"/>
      <c r="T934" s="75"/>
      <c r="U934" s="89"/>
      <c r="V934" s="84"/>
      <c r="W934" s="84"/>
      <c r="X934" s="84"/>
      <c r="Y934" s="84"/>
      <c r="Z934" s="84"/>
    </row>
    <row r="935" spans="1:26" ht="15.75" customHeight="1">
      <c r="A935" s="83"/>
      <c r="B935" s="83"/>
      <c r="C935" s="83"/>
      <c r="D935" s="84"/>
      <c r="E935" s="84"/>
      <c r="F935" s="84"/>
      <c r="G935" s="83"/>
      <c r="H935" s="84"/>
      <c r="I935" s="84"/>
      <c r="J935" s="84"/>
      <c r="K935" s="84"/>
      <c r="L935" s="84"/>
      <c r="M935" s="84"/>
      <c r="N935" s="84"/>
      <c r="O935" s="84"/>
      <c r="P935" s="85"/>
      <c r="Q935" s="75"/>
      <c r="R935" s="75"/>
      <c r="S935" s="75"/>
      <c r="T935" s="75"/>
      <c r="U935" s="89"/>
      <c r="V935" s="84"/>
      <c r="W935" s="84"/>
      <c r="X935" s="84"/>
      <c r="Y935" s="84"/>
      <c r="Z935" s="84"/>
    </row>
    <row r="936" spans="1:26" ht="15.75" customHeight="1">
      <c r="A936" s="83"/>
      <c r="B936" s="83"/>
      <c r="C936" s="83"/>
      <c r="D936" s="84"/>
      <c r="E936" s="84"/>
      <c r="F936" s="84"/>
      <c r="G936" s="83"/>
      <c r="H936" s="84"/>
      <c r="I936" s="84"/>
      <c r="J936" s="84"/>
      <c r="K936" s="84"/>
      <c r="L936" s="84"/>
      <c r="M936" s="84"/>
      <c r="N936" s="84"/>
      <c r="O936" s="84"/>
      <c r="P936" s="85"/>
      <c r="Q936" s="75"/>
      <c r="R936" s="75"/>
      <c r="S936" s="75"/>
      <c r="T936" s="75"/>
      <c r="U936" s="89"/>
      <c r="V936" s="84"/>
      <c r="W936" s="84"/>
      <c r="X936" s="84"/>
      <c r="Y936" s="84"/>
      <c r="Z936" s="84"/>
    </row>
    <row r="937" spans="1:26" ht="15.75" customHeight="1">
      <c r="A937" s="83"/>
      <c r="B937" s="83"/>
      <c r="C937" s="83"/>
      <c r="D937" s="84"/>
      <c r="E937" s="84"/>
      <c r="F937" s="84"/>
      <c r="G937" s="83"/>
      <c r="H937" s="84"/>
      <c r="I937" s="84"/>
      <c r="J937" s="84"/>
      <c r="K937" s="84"/>
      <c r="L937" s="84"/>
      <c r="M937" s="84"/>
      <c r="N937" s="84"/>
      <c r="O937" s="84"/>
      <c r="P937" s="85"/>
      <c r="Q937" s="75"/>
      <c r="R937" s="75"/>
      <c r="S937" s="75"/>
      <c r="T937" s="75"/>
      <c r="U937" s="89"/>
      <c r="V937" s="84"/>
      <c r="W937" s="84"/>
      <c r="X937" s="84"/>
      <c r="Y937" s="84"/>
      <c r="Z937" s="84"/>
    </row>
    <row r="938" spans="1:26" ht="15.75" customHeight="1">
      <c r="A938" s="83"/>
      <c r="B938" s="83"/>
      <c r="C938" s="83"/>
      <c r="D938" s="84"/>
      <c r="E938" s="84"/>
      <c r="F938" s="84"/>
      <c r="G938" s="83"/>
      <c r="H938" s="84"/>
      <c r="I938" s="84"/>
      <c r="J938" s="84"/>
      <c r="K938" s="84"/>
      <c r="L938" s="84"/>
      <c r="M938" s="84"/>
      <c r="N938" s="84"/>
      <c r="O938" s="84"/>
      <c r="P938" s="85"/>
      <c r="Q938" s="75"/>
      <c r="R938" s="75"/>
      <c r="S938" s="75"/>
      <c r="T938" s="75"/>
      <c r="U938" s="89"/>
      <c r="V938" s="84"/>
      <c r="W938" s="84"/>
      <c r="X938" s="84"/>
      <c r="Y938" s="84"/>
      <c r="Z938" s="84"/>
    </row>
    <row r="939" spans="1:26" ht="15.75" customHeight="1">
      <c r="A939" s="83"/>
      <c r="B939" s="83"/>
      <c r="C939" s="83"/>
      <c r="D939" s="84"/>
      <c r="E939" s="84"/>
      <c r="F939" s="84"/>
      <c r="G939" s="83"/>
      <c r="H939" s="84"/>
      <c r="I939" s="84"/>
      <c r="J939" s="84"/>
      <c r="K939" s="84"/>
      <c r="L939" s="84"/>
      <c r="M939" s="84"/>
      <c r="N939" s="84"/>
      <c r="O939" s="84"/>
      <c r="P939" s="85"/>
      <c r="Q939" s="75"/>
      <c r="R939" s="75"/>
      <c r="S939" s="75"/>
      <c r="T939" s="75"/>
      <c r="U939" s="89"/>
      <c r="V939" s="84"/>
      <c r="W939" s="84"/>
      <c r="X939" s="84"/>
      <c r="Y939" s="84"/>
      <c r="Z939" s="84"/>
    </row>
    <row r="940" spans="1:26" ht="15.75" customHeight="1">
      <c r="A940" s="83"/>
      <c r="B940" s="83"/>
      <c r="C940" s="83"/>
      <c r="D940" s="84"/>
      <c r="E940" s="84"/>
      <c r="F940" s="84"/>
      <c r="G940" s="83"/>
      <c r="H940" s="84"/>
      <c r="I940" s="84"/>
      <c r="J940" s="84"/>
      <c r="K940" s="84"/>
      <c r="L940" s="84"/>
      <c r="M940" s="84"/>
      <c r="N940" s="84"/>
      <c r="O940" s="84"/>
      <c r="P940" s="85"/>
      <c r="Q940" s="75"/>
      <c r="R940" s="75"/>
      <c r="S940" s="75"/>
      <c r="T940" s="75"/>
      <c r="U940" s="89"/>
      <c r="V940" s="84"/>
      <c r="W940" s="84"/>
      <c r="X940" s="84"/>
      <c r="Y940" s="84"/>
      <c r="Z940" s="84"/>
    </row>
    <row r="941" spans="1:26" ht="15.75" customHeight="1">
      <c r="A941" s="83"/>
      <c r="B941" s="83"/>
      <c r="C941" s="83"/>
      <c r="D941" s="84"/>
      <c r="E941" s="84"/>
      <c r="F941" s="84"/>
      <c r="G941" s="83"/>
      <c r="H941" s="84"/>
      <c r="I941" s="84"/>
      <c r="J941" s="84"/>
      <c r="K941" s="84"/>
      <c r="L941" s="84"/>
      <c r="M941" s="84"/>
      <c r="N941" s="84"/>
      <c r="O941" s="84"/>
      <c r="P941" s="85"/>
      <c r="Q941" s="75"/>
      <c r="R941" s="75"/>
      <c r="S941" s="75"/>
      <c r="T941" s="75"/>
      <c r="U941" s="89"/>
      <c r="V941" s="84"/>
      <c r="W941" s="84"/>
      <c r="X941" s="84"/>
      <c r="Y941" s="84"/>
      <c r="Z941" s="84"/>
    </row>
    <row r="942" spans="1:26" ht="15.75" customHeight="1">
      <c r="A942" s="83"/>
      <c r="B942" s="83"/>
      <c r="C942" s="83"/>
      <c r="D942" s="84"/>
      <c r="E942" s="84"/>
      <c r="F942" s="84"/>
      <c r="G942" s="83"/>
      <c r="H942" s="84"/>
      <c r="I942" s="84"/>
      <c r="J942" s="84"/>
      <c r="K942" s="84"/>
      <c r="L942" s="84"/>
      <c r="M942" s="84"/>
      <c r="N942" s="84"/>
      <c r="O942" s="84"/>
      <c r="P942" s="85"/>
      <c r="Q942" s="75"/>
      <c r="R942" s="75"/>
      <c r="S942" s="75"/>
      <c r="T942" s="75"/>
      <c r="U942" s="89"/>
      <c r="V942" s="84"/>
      <c r="W942" s="84"/>
      <c r="X942" s="84"/>
      <c r="Y942" s="84"/>
      <c r="Z942" s="84"/>
    </row>
    <row r="943" spans="1:26" ht="15.75" customHeight="1">
      <c r="A943" s="83"/>
      <c r="B943" s="83"/>
      <c r="C943" s="83"/>
      <c r="D943" s="84"/>
      <c r="E943" s="84"/>
      <c r="F943" s="84"/>
      <c r="G943" s="83"/>
      <c r="H943" s="84"/>
      <c r="I943" s="84"/>
      <c r="J943" s="84"/>
      <c r="K943" s="84"/>
      <c r="L943" s="84"/>
      <c r="M943" s="84"/>
      <c r="N943" s="84"/>
      <c r="O943" s="84"/>
      <c r="P943" s="85"/>
      <c r="Q943" s="75"/>
      <c r="R943" s="75"/>
      <c r="S943" s="75"/>
      <c r="T943" s="75"/>
      <c r="U943" s="89"/>
      <c r="V943" s="84"/>
      <c r="W943" s="84"/>
      <c r="X943" s="84"/>
      <c r="Y943" s="84"/>
      <c r="Z943" s="84"/>
    </row>
    <row r="944" spans="1:26" ht="15.75" customHeight="1">
      <c r="A944" s="83"/>
      <c r="B944" s="83"/>
      <c r="C944" s="83"/>
      <c r="D944" s="84"/>
      <c r="E944" s="84"/>
      <c r="F944" s="84"/>
      <c r="G944" s="83"/>
      <c r="H944" s="84"/>
      <c r="I944" s="84"/>
      <c r="J944" s="84"/>
      <c r="K944" s="84"/>
      <c r="L944" s="84"/>
      <c r="M944" s="84"/>
      <c r="N944" s="84"/>
      <c r="O944" s="84"/>
      <c r="P944" s="85"/>
      <c r="Q944" s="75"/>
      <c r="R944" s="75"/>
      <c r="S944" s="75"/>
      <c r="T944" s="75"/>
      <c r="U944" s="89"/>
      <c r="V944" s="84"/>
      <c r="W944" s="84"/>
      <c r="X944" s="84"/>
      <c r="Y944" s="84"/>
      <c r="Z944" s="84"/>
    </row>
    <row r="945" spans="1:26" ht="15.75" customHeight="1">
      <c r="A945" s="83"/>
      <c r="B945" s="83"/>
      <c r="C945" s="83"/>
      <c r="D945" s="84"/>
      <c r="E945" s="84"/>
      <c r="F945" s="84"/>
      <c r="G945" s="83"/>
      <c r="H945" s="84"/>
      <c r="I945" s="84"/>
      <c r="J945" s="84"/>
      <c r="K945" s="84"/>
      <c r="L945" s="84"/>
      <c r="M945" s="84"/>
      <c r="N945" s="84"/>
      <c r="O945" s="84"/>
      <c r="P945" s="85"/>
      <c r="Q945" s="75"/>
      <c r="R945" s="75"/>
      <c r="S945" s="75"/>
      <c r="T945" s="75"/>
      <c r="U945" s="89"/>
      <c r="V945" s="84"/>
      <c r="W945" s="84"/>
      <c r="X945" s="84"/>
      <c r="Y945" s="84"/>
      <c r="Z945" s="84"/>
    </row>
    <row r="946" spans="1:26" ht="15.75" customHeight="1">
      <c r="A946" s="83"/>
      <c r="B946" s="83"/>
      <c r="C946" s="83"/>
      <c r="D946" s="84"/>
      <c r="E946" s="84"/>
      <c r="F946" s="84"/>
      <c r="G946" s="83"/>
      <c r="H946" s="84"/>
      <c r="I946" s="84"/>
      <c r="J946" s="84"/>
      <c r="K946" s="84"/>
      <c r="L946" s="84"/>
      <c r="M946" s="84"/>
      <c r="N946" s="84"/>
      <c r="O946" s="84"/>
      <c r="P946" s="85"/>
      <c r="Q946" s="75"/>
      <c r="R946" s="75"/>
      <c r="S946" s="75"/>
      <c r="T946" s="75"/>
      <c r="U946" s="89"/>
      <c r="V946" s="84"/>
      <c r="W946" s="84"/>
      <c r="X946" s="84"/>
      <c r="Y946" s="84"/>
      <c r="Z946" s="84"/>
    </row>
    <row r="947" spans="1:26" ht="15.75" customHeight="1">
      <c r="A947" s="83"/>
      <c r="B947" s="83"/>
      <c r="C947" s="83"/>
      <c r="D947" s="84"/>
      <c r="E947" s="84"/>
      <c r="F947" s="84"/>
      <c r="G947" s="83"/>
      <c r="H947" s="84"/>
      <c r="I947" s="84"/>
      <c r="J947" s="84"/>
      <c r="K947" s="84"/>
      <c r="L947" s="84"/>
      <c r="M947" s="84"/>
      <c r="N947" s="84"/>
      <c r="O947" s="84"/>
      <c r="P947" s="85"/>
      <c r="Q947" s="75"/>
      <c r="R947" s="75"/>
      <c r="S947" s="75"/>
      <c r="T947" s="75"/>
      <c r="U947" s="89"/>
      <c r="V947" s="84"/>
      <c r="W947" s="84"/>
      <c r="X947" s="84"/>
      <c r="Y947" s="84"/>
      <c r="Z947" s="84"/>
    </row>
    <row r="948" spans="1:26" ht="15.75" customHeight="1">
      <c r="A948" s="83"/>
      <c r="B948" s="83"/>
      <c r="C948" s="83"/>
      <c r="D948" s="84"/>
      <c r="E948" s="84"/>
      <c r="F948" s="84"/>
      <c r="G948" s="83"/>
      <c r="H948" s="84"/>
      <c r="I948" s="84"/>
      <c r="J948" s="84"/>
      <c r="K948" s="84"/>
      <c r="L948" s="84"/>
      <c r="M948" s="84"/>
      <c r="N948" s="84"/>
      <c r="O948" s="84"/>
      <c r="P948" s="85"/>
      <c r="Q948" s="75"/>
      <c r="R948" s="75"/>
      <c r="S948" s="75"/>
      <c r="T948" s="75"/>
      <c r="U948" s="89"/>
      <c r="V948" s="84"/>
      <c r="W948" s="84"/>
      <c r="X948" s="84"/>
      <c r="Y948" s="84"/>
      <c r="Z948" s="84"/>
    </row>
    <row r="949" spans="1:26" ht="15.75" customHeight="1">
      <c r="A949" s="83"/>
      <c r="B949" s="83"/>
      <c r="C949" s="83"/>
      <c r="D949" s="84"/>
      <c r="E949" s="84"/>
      <c r="F949" s="84"/>
      <c r="G949" s="83"/>
      <c r="H949" s="84"/>
      <c r="I949" s="84"/>
      <c r="J949" s="84"/>
      <c r="K949" s="84"/>
      <c r="L949" s="84"/>
      <c r="M949" s="84"/>
      <c r="N949" s="84"/>
      <c r="O949" s="84"/>
      <c r="P949" s="85"/>
      <c r="Q949" s="75"/>
      <c r="R949" s="75"/>
      <c r="S949" s="75"/>
      <c r="T949" s="75"/>
      <c r="U949" s="89"/>
      <c r="V949" s="84"/>
      <c r="W949" s="84"/>
      <c r="X949" s="84"/>
      <c r="Y949" s="84"/>
      <c r="Z949" s="84"/>
    </row>
    <row r="950" spans="1:26" ht="15.75" customHeight="1">
      <c r="A950" s="83"/>
      <c r="B950" s="83"/>
      <c r="C950" s="83"/>
      <c r="D950" s="84"/>
      <c r="E950" s="84"/>
      <c r="F950" s="84"/>
      <c r="G950" s="83"/>
      <c r="H950" s="84"/>
      <c r="I950" s="84"/>
      <c r="J950" s="84"/>
      <c r="K950" s="84"/>
      <c r="L950" s="84"/>
      <c r="M950" s="84"/>
      <c r="N950" s="84"/>
      <c r="O950" s="84"/>
      <c r="P950" s="85"/>
      <c r="Q950" s="75"/>
      <c r="R950" s="75"/>
      <c r="S950" s="75"/>
      <c r="T950" s="75"/>
      <c r="U950" s="89"/>
      <c r="V950" s="84"/>
      <c r="W950" s="84"/>
      <c r="X950" s="84"/>
      <c r="Y950" s="84"/>
      <c r="Z950" s="84"/>
    </row>
    <row r="951" spans="1:26" ht="15.75" customHeight="1">
      <c r="A951" s="83"/>
      <c r="B951" s="83"/>
      <c r="C951" s="83"/>
      <c r="D951" s="84"/>
      <c r="E951" s="84"/>
      <c r="F951" s="84"/>
      <c r="G951" s="83"/>
      <c r="H951" s="84"/>
      <c r="I951" s="84"/>
      <c r="J951" s="84"/>
      <c r="K951" s="84"/>
      <c r="L951" s="84"/>
      <c r="M951" s="84"/>
      <c r="N951" s="84"/>
      <c r="O951" s="84"/>
      <c r="P951" s="85"/>
      <c r="Q951" s="75"/>
      <c r="R951" s="75"/>
      <c r="S951" s="75"/>
      <c r="T951" s="75"/>
      <c r="U951" s="89"/>
      <c r="V951" s="84"/>
      <c r="W951" s="84"/>
      <c r="X951" s="84"/>
      <c r="Y951" s="84"/>
      <c r="Z951" s="84"/>
    </row>
    <row r="952" spans="1:26" ht="15.75" customHeight="1">
      <c r="A952" s="83"/>
      <c r="B952" s="83"/>
      <c r="C952" s="83"/>
      <c r="D952" s="84"/>
      <c r="E952" s="84"/>
      <c r="F952" s="84"/>
      <c r="G952" s="83"/>
      <c r="H952" s="84"/>
      <c r="I952" s="84"/>
      <c r="J952" s="84"/>
      <c r="K952" s="84"/>
      <c r="L952" s="84"/>
      <c r="M952" s="84"/>
      <c r="N952" s="84"/>
      <c r="O952" s="84"/>
      <c r="P952" s="85"/>
      <c r="Q952" s="75"/>
      <c r="R952" s="75"/>
      <c r="S952" s="75"/>
      <c r="T952" s="75"/>
      <c r="U952" s="89"/>
      <c r="V952" s="84"/>
      <c r="W952" s="84"/>
      <c r="X952" s="84"/>
      <c r="Y952" s="84"/>
      <c r="Z952" s="84"/>
    </row>
    <row r="953" spans="1:26" ht="15.75" customHeight="1">
      <c r="A953" s="83"/>
      <c r="B953" s="83"/>
      <c r="C953" s="83"/>
      <c r="D953" s="84"/>
      <c r="E953" s="84"/>
      <c r="F953" s="84"/>
      <c r="G953" s="83"/>
      <c r="H953" s="84"/>
      <c r="I953" s="84"/>
      <c r="J953" s="84"/>
      <c r="K953" s="84"/>
      <c r="L953" s="84"/>
      <c r="M953" s="84"/>
      <c r="N953" s="84"/>
      <c r="O953" s="84"/>
      <c r="P953" s="85"/>
      <c r="Q953" s="75"/>
      <c r="R953" s="75"/>
      <c r="S953" s="75"/>
      <c r="T953" s="75"/>
      <c r="U953" s="89"/>
      <c r="V953" s="84"/>
      <c r="W953" s="84"/>
      <c r="X953" s="84"/>
      <c r="Y953" s="84"/>
      <c r="Z953" s="84"/>
    </row>
    <row r="954" spans="1:26" ht="15.75" customHeight="1">
      <c r="A954" s="83"/>
      <c r="B954" s="83"/>
      <c r="C954" s="83"/>
      <c r="D954" s="84"/>
      <c r="E954" s="84"/>
      <c r="F954" s="84"/>
      <c r="G954" s="83"/>
      <c r="H954" s="84"/>
      <c r="I954" s="84"/>
      <c r="J954" s="84"/>
      <c r="K954" s="84"/>
      <c r="L954" s="84"/>
      <c r="M954" s="84"/>
      <c r="N954" s="84"/>
      <c r="O954" s="84"/>
      <c r="P954" s="85"/>
      <c r="Q954" s="75"/>
      <c r="R954" s="75"/>
      <c r="S954" s="75"/>
      <c r="T954" s="75"/>
      <c r="U954" s="89"/>
      <c r="V954" s="84"/>
      <c r="W954" s="84"/>
      <c r="X954" s="84"/>
      <c r="Y954" s="84"/>
      <c r="Z954" s="84"/>
    </row>
    <row r="955" spans="1:26" ht="15.75" customHeight="1">
      <c r="A955" s="83"/>
      <c r="B955" s="83"/>
      <c r="C955" s="83"/>
      <c r="D955" s="84"/>
      <c r="E955" s="84"/>
      <c r="F955" s="84"/>
      <c r="G955" s="83"/>
      <c r="H955" s="84"/>
      <c r="I955" s="84"/>
      <c r="J955" s="84"/>
      <c r="K955" s="84"/>
      <c r="L955" s="84"/>
      <c r="M955" s="84"/>
      <c r="N955" s="84"/>
      <c r="O955" s="84"/>
      <c r="P955" s="85"/>
      <c r="Q955" s="75"/>
      <c r="R955" s="75"/>
      <c r="S955" s="75"/>
      <c r="T955" s="75"/>
      <c r="U955" s="89"/>
      <c r="V955" s="84"/>
      <c r="W955" s="84"/>
      <c r="X955" s="84"/>
      <c r="Y955" s="84"/>
      <c r="Z955" s="84"/>
    </row>
    <row r="956" spans="1:26" ht="15.75" customHeight="1">
      <c r="A956" s="83"/>
      <c r="B956" s="83"/>
      <c r="C956" s="83"/>
      <c r="D956" s="84"/>
      <c r="E956" s="84"/>
      <c r="F956" s="84"/>
      <c r="G956" s="83"/>
      <c r="H956" s="84"/>
      <c r="I956" s="84"/>
      <c r="J956" s="84"/>
      <c r="K956" s="84"/>
      <c r="L956" s="84"/>
      <c r="M956" s="84"/>
      <c r="N956" s="84"/>
      <c r="O956" s="84"/>
      <c r="P956" s="85"/>
      <c r="Q956" s="75"/>
      <c r="R956" s="75"/>
      <c r="S956" s="75"/>
      <c r="T956" s="75"/>
      <c r="U956" s="89"/>
      <c r="V956" s="84"/>
      <c r="W956" s="84"/>
      <c r="X956" s="84"/>
      <c r="Y956" s="84"/>
      <c r="Z956" s="84"/>
    </row>
    <row r="957" spans="1:26" ht="15.75" customHeight="1">
      <c r="A957" s="83"/>
      <c r="B957" s="83"/>
      <c r="C957" s="83"/>
      <c r="D957" s="84"/>
      <c r="E957" s="84"/>
      <c r="F957" s="84"/>
      <c r="G957" s="83"/>
      <c r="H957" s="84"/>
      <c r="I957" s="84"/>
      <c r="J957" s="84"/>
      <c r="K957" s="84"/>
      <c r="L957" s="84"/>
      <c r="M957" s="84"/>
      <c r="N957" s="84"/>
      <c r="O957" s="84"/>
      <c r="P957" s="85"/>
      <c r="Q957" s="75"/>
      <c r="R957" s="75"/>
      <c r="S957" s="75"/>
      <c r="T957" s="75"/>
      <c r="U957" s="89"/>
      <c r="V957" s="84"/>
      <c r="W957" s="84"/>
      <c r="X957" s="84"/>
      <c r="Y957" s="84"/>
      <c r="Z957" s="84"/>
    </row>
    <row r="958" spans="1:26" ht="15.75" customHeight="1">
      <c r="A958" s="83"/>
      <c r="B958" s="83"/>
      <c r="C958" s="83"/>
      <c r="D958" s="84"/>
      <c r="E958" s="84"/>
      <c r="F958" s="84"/>
      <c r="G958" s="83"/>
      <c r="H958" s="84"/>
      <c r="I958" s="84"/>
      <c r="J958" s="84"/>
      <c r="K958" s="84"/>
      <c r="L958" s="84"/>
      <c r="M958" s="84"/>
      <c r="N958" s="84"/>
      <c r="O958" s="84"/>
      <c r="P958" s="85"/>
      <c r="Q958" s="75"/>
      <c r="R958" s="75"/>
      <c r="S958" s="75"/>
      <c r="T958" s="75"/>
      <c r="U958" s="89"/>
      <c r="V958" s="84"/>
      <c r="W958" s="84"/>
      <c r="X958" s="84"/>
      <c r="Y958" s="84"/>
      <c r="Z958" s="84"/>
    </row>
    <row r="959" spans="1:26" ht="15.75" customHeight="1">
      <c r="A959" s="83"/>
      <c r="B959" s="83"/>
      <c r="C959" s="83"/>
      <c r="D959" s="84"/>
      <c r="E959" s="84"/>
      <c r="F959" s="84"/>
      <c r="G959" s="83"/>
      <c r="H959" s="84"/>
      <c r="I959" s="84"/>
      <c r="J959" s="84"/>
      <c r="K959" s="84"/>
      <c r="L959" s="84"/>
      <c r="M959" s="84"/>
      <c r="N959" s="84"/>
      <c r="O959" s="84"/>
      <c r="P959" s="85"/>
      <c r="Q959" s="75"/>
      <c r="R959" s="75"/>
      <c r="S959" s="75"/>
      <c r="T959" s="75"/>
      <c r="U959" s="89"/>
      <c r="V959" s="84"/>
      <c r="W959" s="84"/>
      <c r="X959" s="84"/>
      <c r="Y959" s="84"/>
      <c r="Z959" s="84"/>
    </row>
    <row r="960" spans="1:26" ht="15.75" customHeight="1">
      <c r="A960" s="83"/>
      <c r="B960" s="83"/>
      <c r="C960" s="83"/>
      <c r="D960" s="84"/>
      <c r="E960" s="84"/>
      <c r="F960" s="84"/>
      <c r="G960" s="83"/>
      <c r="H960" s="84"/>
      <c r="I960" s="84"/>
      <c r="J960" s="84"/>
      <c r="K960" s="84"/>
      <c r="L960" s="84"/>
      <c r="M960" s="84"/>
      <c r="N960" s="84"/>
      <c r="O960" s="84"/>
      <c r="P960" s="85"/>
      <c r="Q960" s="75"/>
      <c r="R960" s="75"/>
      <c r="S960" s="75"/>
      <c r="T960" s="75"/>
      <c r="U960" s="89"/>
      <c r="V960" s="84"/>
      <c r="W960" s="84"/>
      <c r="X960" s="84"/>
      <c r="Y960" s="84"/>
      <c r="Z960" s="84"/>
    </row>
    <row r="961" spans="1:26" ht="15.75" customHeight="1">
      <c r="A961" s="83"/>
      <c r="B961" s="83"/>
      <c r="C961" s="83"/>
      <c r="D961" s="84"/>
      <c r="E961" s="84"/>
      <c r="F961" s="84"/>
      <c r="G961" s="83"/>
      <c r="H961" s="84"/>
      <c r="I961" s="84"/>
      <c r="J961" s="84"/>
      <c r="K961" s="84"/>
      <c r="L961" s="84"/>
      <c r="M961" s="84"/>
      <c r="N961" s="84"/>
      <c r="O961" s="84"/>
      <c r="P961" s="85"/>
      <c r="Q961" s="75"/>
      <c r="R961" s="75"/>
      <c r="S961" s="75"/>
      <c r="T961" s="75"/>
      <c r="U961" s="89"/>
      <c r="V961" s="84"/>
      <c r="W961" s="84"/>
      <c r="X961" s="84"/>
      <c r="Y961" s="84"/>
      <c r="Z961" s="84"/>
    </row>
    <row r="962" spans="1:26" ht="15.75" customHeight="1">
      <c r="A962" s="83"/>
      <c r="B962" s="83"/>
      <c r="C962" s="83"/>
      <c r="D962" s="84"/>
      <c r="E962" s="84"/>
      <c r="F962" s="84"/>
      <c r="G962" s="83"/>
      <c r="H962" s="84"/>
      <c r="I962" s="84"/>
      <c r="J962" s="84"/>
      <c r="K962" s="84"/>
      <c r="L962" s="84"/>
      <c r="M962" s="84"/>
      <c r="N962" s="84"/>
      <c r="O962" s="84"/>
      <c r="P962" s="85"/>
      <c r="Q962" s="75"/>
      <c r="R962" s="75"/>
      <c r="S962" s="75"/>
      <c r="T962" s="75"/>
      <c r="U962" s="89"/>
      <c r="V962" s="84"/>
      <c r="W962" s="84"/>
      <c r="X962" s="84"/>
      <c r="Y962" s="84"/>
      <c r="Z962" s="84"/>
    </row>
    <row r="963" spans="1:26" ht="15.75" customHeight="1">
      <c r="A963" s="83"/>
      <c r="B963" s="83"/>
      <c r="C963" s="83"/>
      <c r="D963" s="84"/>
      <c r="E963" s="84"/>
      <c r="F963" s="84"/>
      <c r="G963" s="83"/>
      <c r="H963" s="84"/>
      <c r="I963" s="84"/>
      <c r="J963" s="84"/>
      <c r="K963" s="84"/>
      <c r="L963" s="84"/>
      <c r="M963" s="84"/>
      <c r="N963" s="84"/>
      <c r="O963" s="84"/>
      <c r="P963" s="85"/>
      <c r="Q963" s="75"/>
      <c r="R963" s="75"/>
      <c r="S963" s="75"/>
      <c r="T963" s="75"/>
      <c r="U963" s="89"/>
      <c r="V963" s="84"/>
      <c r="W963" s="84"/>
      <c r="X963" s="84"/>
      <c r="Y963" s="84"/>
      <c r="Z963" s="84"/>
    </row>
    <row r="964" spans="1:26" ht="15.75" customHeight="1">
      <c r="A964" s="83"/>
      <c r="B964" s="83"/>
      <c r="C964" s="83"/>
      <c r="D964" s="84"/>
      <c r="E964" s="84"/>
      <c r="F964" s="84"/>
      <c r="G964" s="83"/>
      <c r="H964" s="84"/>
      <c r="I964" s="84"/>
      <c r="J964" s="84"/>
      <c r="K964" s="84"/>
      <c r="L964" s="84"/>
      <c r="M964" s="84"/>
      <c r="N964" s="84"/>
      <c r="O964" s="84"/>
      <c r="P964" s="85"/>
      <c r="Q964" s="75"/>
      <c r="R964" s="75"/>
      <c r="S964" s="75"/>
      <c r="T964" s="75"/>
      <c r="U964" s="89"/>
      <c r="V964" s="84"/>
      <c r="W964" s="84"/>
      <c r="X964" s="84"/>
      <c r="Y964" s="84"/>
      <c r="Z964" s="84"/>
    </row>
    <row r="965" spans="1:26" ht="15.75" customHeight="1">
      <c r="A965" s="83"/>
      <c r="B965" s="83"/>
      <c r="C965" s="83"/>
      <c r="D965" s="84"/>
      <c r="E965" s="84"/>
      <c r="F965" s="84"/>
      <c r="G965" s="83"/>
      <c r="H965" s="84"/>
      <c r="I965" s="84"/>
      <c r="J965" s="84"/>
      <c r="K965" s="84"/>
      <c r="L965" s="84"/>
      <c r="M965" s="84"/>
      <c r="N965" s="84"/>
      <c r="O965" s="84"/>
      <c r="P965" s="85"/>
      <c r="Q965" s="75"/>
      <c r="R965" s="75"/>
      <c r="S965" s="75"/>
      <c r="T965" s="75"/>
      <c r="U965" s="89"/>
      <c r="V965" s="84"/>
      <c r="W965" s="84"/>
      <c r="X965" s="84"/>
      <c r="Y965" s="84"/>
      <c r="Z965" s="84"/>
    </row>
    <row r="966" spans="1:26" ht="15.75" customHeight="1">
      <c r="A966" s="83"/>
      <c r="B966" s="83"/>
      <c r="C966" s="83"/>
      <c r="D966" s="84"/>
      <c r="E966" s="84"/>
      <c r="F966" s="84"/>
      <c r="G966" s="83"/>
      <c r="H966" s="84"/>
      <c r="I966" s="84"/>
      <c r="J966" s="84"/>
      <c r="K966" s="84"/>
      <c r="L966" s="84"/>
      <c r="M966" s="84"/>
      <c r="N966" s="84"/>
      <c r="O966" s="84"/>
      <c r="P966" s="85"/>
      <c r="Q966" s="75"/>
      <c r="R966" s="75"/>
      <c r="S966" s="75"/>
      <c r="T966" s="75"/>
      <c r="U966" s="89"/>
      <c r="V966" s="84"/>
      <c r="W966" s="84"/>
      <c r="X966" s="84"/>
      <c r="Y966" s="84"/>
      <c r="Z966" s="84"/>
    </row>
    <row r="967" spans="1:26" ht="15.75" customHeight="1">
      <c r="A967" s="83"/>
      <c r="B967" s="83"/>
      <c r="C967" s="83"/>
      <c r="D967" s="84"/>
      <c r="E967" s="84"/>
      <c r="F967" s="84"/>
      <c r="G967" s="83"/>
      <c r="H967" s="84"/>
      <c r="I967" s="84"/>
      <c r="J967" s="84"/>
      <c r="K967" s="84"/>
      <c r="L967" s="84"/>
      <c r="M967" s="84"/>
      <c r="N967" s="84"/>
      <c r="O967" s="84"/>
      <c r="P967" s="85"/>
      <c r="Q967" s="75"/>
      <c r="R967" s="75"/>
      <c r="S967" s="75"/>
      <c r="T967" s="75"/>
      <c r="U967" s="89"/>
      <c r="V967" s="84"/>
      <c r="W967" s="84"/>
      <c r="X967" s="84"/>
      <c r="Y967" s="84"/>
      <c r="Z967" s="84"/>
    </row>
    <row r="968" spans="1:26" ht="15.75" customHeight="1">
      <c r="A968" s="83"/>
      <c r="B968" s="83"/>
      <c r="C968" s="83"/>
      <c r="D968" s="84"/>
      <c r="E968" s="84"/>
      <c r="F968" s="84"/>
      <c r="G968" s="83"/>
      <c r="H968" s="84"/>
      <c r="I968" s="84"/>
      <c r="J968" s="84"/>
      <c r="K968" s="84"/>
      <c r="L968" s="84"/>
      <c r="M968" s="84"/>
      <c r="N968" s="84"/>
      <c r="O968" s="84"/>
      <c r="P968" s="85"/>
      <c r="Q968" s="75"/>
      <c r="R968" s="75"/>
      <c r="S968" s="75"/>
      <c r="T968" s="75"/>
      <c r="U968" s="89"/>
      <c r="V968" s="84"/>
      <c r="W968" s="84"/>
      <c r="X968" s="84"/>
      <c r="Y968" s="84"/>
      <c r="Z968" s="84"/>
    </row>
    <row r="969" spans="1:26" ht="15.75" customHeight="1">
      <c r="A969" s="83"/>
      <c r="B969" s="83"/>
      <c r="C969" s="83"/>
      <c r="D969" s="84"/>
      <c r="E969" s="84"/>
      <c r="F969" s="84"/>
      <c r="G969" s="83"/>
      <c r="H969" s="84"/>
      <c r="I969" s="84"/>
      <c r="J969" s="84"/>
      <c r="K969" s="84"/>
      <c r="L969" s="84"/>
      <c r="M969" s="84"/>
      <c r="N969" s="84"/>
      <c r="O969" s="84"/>
      <c r="P969" s="85"/>
      <c r="Q969" s="75"/>
      <c r="R969" s="75"/>
      <c r="S969" s="75"/>
      <c r="T969" s="75"/>
      <c r="U969" s="89"/>
      <c r="V969" s="84"/>
      <c r="W969" s="84"/>
      <c r="X969" s="84"/>
      <c r="Y969" s="84"/>
      <c r="Z969" s="84"/>
    </row>
    <row r="970" spans="1:26" ht="15.75" customHeight="1">
      <c r="A970" s="83"/>
      <c r="B970" s="83"/>
      <c r="C970" s="83"/>
      <c r="D970" s="84"/>
      <c r="E970" s="84"/>
      <c r="F970" s="84"/>
      <c r="G970" s="83"/>
      <c r="H970" s="84"/>
      <c r="I970" s="84"/>
      <c r="J970" s="84"/>
      <c r="K970" s="84"/>
      <c r="L970" s="84"/>
      <c r="M970" s="84"/>
      <c r="N970" s="84"/>
      <c r="O970" s="84"/>
      <c r="P970" s="85"/>
      <c r="Q970" s="75"/>
      <c r="R970" s="75"/>
      <c r="S970" s="75"/>
      <c r="T970" s="75"/>
      <c r="U970" s="89"/>
      <c r="V970" s="84"/>
      <c r="W970" s="84"/>
      <c r="X970" s="84"/>
      <c r="Y970" s="84"/>
      <c r="Z970" s="84"/>
    </row>
    <row r="971" spans="1:26" ht="15.75" customHeight="1">
      <c r="A971" s="83"/>
      <c r="B971" s="83"/>
      <c r="C971" s="83"/>
      <c r="D971" s="84"/>
      <c r="E971" s="84"/>
      <c r="F971" s="84"/>
      <c r="G971" s="83"/>
      <c r="H971" s="84"/>
      <c r="I971" s="84"/>
      <c r="J971" s="84"/>
      <c r="K971" s="84"/>
      <c r="L971" s="84"/>
      <c r="M971" s="84"/>
      <c r="N971" s="84"/>
      <c r="O971" s="84"/>
      <c r="P971" s="85"/>
      <c r="Q971" s="75"/>
      <c r="R971" s="75"/>
      <c r="S971" s="75"/>
      <c r="T971" s="75"/>
      <c r="U971" s="89"/>
      <c r="V971" s="84"/>
      <c r="W971" s="84"/>
      <c r="X971" s="84"/>
      <c r="Y971" s="84"/>
      <c r="Z971" s="84"/>
    </row>
    <row r="972" spans="1:26" ht="15.75" customHeight="1">
      <c r="A972" s="83"/>
      <c r="B972" s="83"/>
      <c r="C972" s="83"/>
      <c r="D972" s="84"/>
      <c r="E972" s="84"/>
      <c r="F972" s="84"/>
      <c r="G972" s="83"/>
      <c r="H972" s="84"/>
      <c r="I972" s="84"/>
      <c r="J972" s="84"/>
      <c r="K972" s="84"/>
      <c r="L972" s="84"/>
      <c r="M972" s="84"/>
      <c r="N972" s="84"/>
      <c r="O972" s="84"/>
      <c r="P972" s="85"/>
      <c r="Q972" s="75"/>
      <c r="R972" s="75"/>
      <c r="S972" s="75"/>
      <c r="T972" s="75"/>
      <c r="U972" s="89"/>
      <c r="V972" s="84"/>
      <c r="W972" s="84"/>
      <c r="X972" s="84"/>
      <c r="Y972" s="84"/>
      <c r="Z972" s="84"/>
    </row>
    <row r="973" spans="1:26" ht="15.75" customHeight="1">
      <c r="A973" s="83"/>
      <c r="B973" s="83"/>
      <c r="C973" s="83"/>
      <c r="D973" s="84"/>
      <c r="E973" s="84"/>
      <c r="F973" s="84"/>
      <c r="G973" s="83"/>
      <c r="H973" s="84"/>
      <c r="I973" s="84"/>
      <c r="J973" s="84"/>
      <c r="K973" s="84"/>
      <c r="L973" s="84"/>
      <c r="M973" s="84"/>
      <c r="N973" s="84"/>
      <c r="O973" s="84"/>
      <c r="P973" s="85"/>
      <c r="Q973" s="75"/>
      <c r="R973" s="75"/>
      <c r="S973" s="75"/>
      <c r="T973" s="75"/>
      <c r="U973" s="89"/>
      <c r="V973" s="84"/>
      <c r="W973" s="84"/>
      <c r="X973" s="84"/>
      <c r="Y973" s="84"/>
      <c r="Z973" s="84"/>
    </row>
    <row r="974" spans="1:26" ht="15.75" customHeight="1">
      <c r="A974" s="83"/>
      <c r="B974" s="83"/>
      <c r="C974" s="83"/>
      <c r="D974" s="84"/>
      <c r="E974" s="84"/>
      <c r="F974" s="84"/>
      <c r="G974" s="83"/>
      <c r="H974" s="84"/>
      <c r="I974" s="84"/>
      <c r="J974" s="84"/>
      <c r="K974" s="84"/>
      <c r="L974" s="84"/>
      <c r="M974" s="84"/>
      <c r="N974" s="84"/>
      <c r="O974" s="84"/>
      <c r="P974" s="85"/>
      <c r="Q974" s="75"/>
      <c r="R974" s="75"/>
      <c r="S974" s="75"/>
      <c r="T974" s="75"/>
      <c r="U974" s="89"/>
      <c r="V974" s="84"/>
      <c r="W974" s="84"/>
      <c r="X974" s="84"/>
      <c r="Y974" s="84"/>
      <c r="Z974" s="84"/>
    </row>
    <row r="975" spans="1:26" ht="15.75" customHeight="1">
      <c r="A975" s="83"/>
      <c r="B975" s="83"/>
      <c r="C975" s="83"/>
      <c r="D975" s="84"/>
      <c r="E975" s="84"/>
      <c r="F975" s="84"/>
      <c r="G975" s="83"/>
      <c r="H975" s="84"/>
      <c r="I975" s="84"/>
      <c r="J975" s="84"/>
      <c r="K975" s="84"/>
      <c r="L975" s="84"/>
      <c r="M975" s="84"/>
      <c r="N975" s="84"/>
      <c r="O975" s="84"/>
      <c r="P975" s="85"/>
      <c r="Q975" s="75"/>
      <c r="R975" s="75"/>
      <c r="S975" s="75"/>
      <c r="T975" s="75"/>
      <c r="U975" s="89"/>
      <c r="V975" s="84"/>
      <c r="W975" s="84"/>
      <c r="X975" s="84"/>
      <c r="Y975" s="84"/>
      <c r="Z975" s="84"/>
    </row>
    <row r="976" spans="1:26" ht="15.75" customHeight="1">
      <c r="A976" s="83"/>
      <c r="B976" s="83"/>
      <c r="C976" s="83"/>
      <c r="D976" s="84"/>
      <c r="E976" s="84"/>
      <c r="F976" s="84"/>
      <c r="G976" s="83"/>
      <c r="H976" s="84"/>
      <c r="I976" s="84"/>
      <c r="J976" s="84"/>
      <c r="K976" s="84"/>
      <c r="L976" s="84"/>
      <c r="M976" s="84"/>
      <c r="N976" s="84"/>
      <c r="O976" s="84"/>
      <c r="P976" s="85"/>
      <c r="Q976" s="75"/>
      <c r="R976" s="75"/>
      <c r="S976" s="75"/>
      <c r="T976" s="75"/>
      <c r="U976" s="89"/>
      <c r="V976" s="84"/>
      <c r="W976" s="84"/>
      <c r="X976" s="84"/>
      <c r="Y976" s="84"/>
      <c r="Z976" s="84"/>
    </row>
    <row r="977" spans="1:26" ht="15.75" customHeight="1">
      <c r="A977" s="83"/>
      <c r="B977" s="83"/>
      <c r="C977" s="83"/>
      <c r="D977" s="84"/>
      <c r="E977" s="84"/>
      <c r="F977" s="84"/>
      <c r="G977" s="83"/>
      <c r="H977" s="84"/>
      <c r="I977" s="84"/>
      <c r="J977" s="84"/>
      <c r="K977" s="84"/>
      <c r="L977" s="84"/>
      <c r="M977" s="84"/>
      <c r="N977" s="84"/>
      <c r="O977" s="84"/>
      <c r="P977" s="85"/>
      <c r="Q977" s="75"/>
      <c r="R977" s="75"/>
      <c r="S977" s="75"/>
      <c r="T977" s="75"/>
      <c r="U977" s="89"/>
      <c r="V977" s="84"/>
      <c r="W977" s="84"/>
      <c r="X977" s="84"/>
      <c r="Y977" s="84"/>
      <c r="Z977" s="84"/>
    </row>
    <row r="978" spans="1:26" ht="15.75" customHeight="1">
      <c r="A978" s="83"/>
      <c r="B978" s="83"/>
      <c r="C978" s="83"/>
      <c r="D978" s="84"/>
      <c r="E978" s="84"/>
      <c r="F978" s="84"/>
      <c r="G978" s="83"/>
      <c r="H978" s="84"/>
      <c r="I978" s="84"/>
      <c r="J978" s="84"/>
      <c r="K978" s="84"/>
      <c r="L978" s="84"/>
      <c r="M978" s="84"/>
      <c r="N978" s="84"/>
      <c r="O978" s="84"/>
      <c r="P978" s="85"/>
      <c r="Q978" s="75"/>
      <c r="R978" s="75"/>
      <c r="S978" s="75"/>
      <c r="T978" s="75"/>
      <c r="U978" s="89"/>
      <c r="V978" s="84"/>
      <c r="W978" s="84"/>
      <c r="X978" s="84"/>
      <c r="Y978" s="84"/>
      <c r="Z978" s="84"/>
    </row>
    <row r="979" spans="1:26" ht="15.75" customHeight="1">
      <c r="A979" s="83"/>
      <c r="B979" s="83"/>
      <c r="C979" s="83"/>
      <c r="D979" s="84"/>
      <c r="E979" s="84"/>
      <c r="F979" s="84"/>
      <c r="G979" s="83"/>
      <c r="H979" s="84"/>
      <c r="I979" s="84"/>
      <c r="J979" s="84"/>
      <c r="K979" s="84"/>
      <c r="L979" s="84"/>
      <c r="M979" s="84"/>
      <c r="N979" s="84"/>
      <c r="O979" s="84"/>
      <c r="P979" s="85"/>
      <c r="Q979" s="75"/>
      <c r="R979" s="75"/>
      <c r="S979" s="75"/>
      <c r="T979" s="75"/>
      <c r="U979" s="89"/>
      <c r="V979" s="84"/>
      <c r="W979" s="84"/>
      <c r="X979" s="84"/>
      <c r="Y979" s="84"/>
      <c r="Z979" s="84"/>
    </row>
    <row r="980" spans="1:26" ht="15.75" customHeight="1">
      <c r="A980" s="83"/>
      <c r="B980" s="83"/>
      <c r="C980" s="83"/>
      <c r="D980" s="84"/>
      <c r="E980" s="84"/>
      <c r="F980" s="84"/>
      <c r="G980" s="83"/>
      <c r="H980" s="84"/>
      <c r="I980" s="84"/>
      <c r="J980" s="84"/>
      <c r="K980" s="84"/>
      <c r="L980" s="84"/>
      <c r="M980" s="84"/>
      <c r="N980" s="84"/>
      <c r="O980" s="84"/>
      <c r="P980" s="85"/>
      <c r="Q980" s="75"/>
      <c r="R980" s="75"/>
      <c r="S980" s="75"/>
      <c r="T980" s="75"/>
      <c r="U980" s="89"/>
      <c r="V980" s="84"/>
      <c r="W980" s="84"/>
      <c r="X980" s="84"/>
      <c r="Y980" s="84"/>
      <c r="Z980" s="84"/>
    </row>
    <row r="981" spans="1:26" ht="15.75" customHeight="1">
      <c r="A981" s="83"/>
      <c r="B981" s="83"/>
      <c r="C981" s="83"/>
      <c r="D981" s="84"/>
      <c r="E981" s="84"/>
      <c r="F981" s="84"/>
      <c r="G981" s="83"/>
      <c r="H981" s="84"/>
      <c r="I981" s="84"/>
      <c r="J981" s="84"/>
      <c r="K981" s="84"/>
      <c r="L981" s="84"/>
      <c r="M981" s="84"/>
      <c r="N981" s="84"/>
      <c r="O981" s="84"/>
      <c r="P981" s="85"/>
      <c r="Q981" s="75"/>
      <c r="R981" s="75"/>
      <c r="S981" s="75"/>
      <c r="T981" s="75"/>
      <c r="U981" s="89"/>
      <c r="V981" s="84"/>
      <c r="W981" s="84"/>
      <c r="X981" s="84"/>
      <c r="Y981" s="84"/>
      <c r="Z981" s="84"/>
    </row>
    <row r="982" spans="1:26" ht="15.75" customHeight="1">
      <c r="A982" s="83"/>
      <c r="B982" s="83"/>
      <c r="C982" s="83"/>
      <c r="D982" s="84"/>
      <c r="E982" s="84"/>
      <c r="F982" s="84"/>
      <c r="G982" s="83"/>
      <c r="H982" s="84"/>
      <c r="I982" s="84"/>
      <c r="J982" s="84"/>
      <c r="K982" s="84"/>
      <c r="L982" s="84"/>
      <c r="M982" s="84"/>
      <c r="N982" s="84"/>
      <c r="O982" s="84"/>
      <c r="P982" s="85"/>
      <c r="Q982" s="75"/>
      <c r="R982" s="75"/>
      <c r="S982" s="75"/>
      <c r="T982" s="75"/>
      <c r="U982" s="89"/>
      <c r="V982" s="84"/>
      <c r="W982" s="84"/>
      <c r="X982" s="84"/>
      <c r="Y982" s="84"/>
      <c r="Z982" s="84"/>
    </row>
    <row r="983" spans="1:26" ht="15.75" customHeight="1">
      <c r="A983" s="83"/>
      <c r="B983" s="83"/>
      <c r="C983" s="83"/>
      <c r="D983" s="84"/>
      <c r="E983" s="84"/>
      <c r="F983" s="84"/>
      <c r="G983" s="83"/>
      <c r="H983" s="84"/>
      <c r="I983" s="84"/>
      <c r="J983" s="84"/>
      <c r="K983" s="84"/>
      <c r="L983" s="84"/>
      <c r="M983" s="84"/>
      <c r="N983" s="84"/>
      <c r="O983" s="84"/>
      <c r="P983" s="85"/>
      <c r="Q983" s="75"/>
      <c r="R983" s="75"/>
      <c r="S983" s="75"/>
      <c r="T983" s="75"/>
      <c r="U983" s="89"/>
      <c r="V983" s="84"/>
      <c r="W983" s="84"/>
      <c r="X983" s="84"/>
      <c r="Y983" s="84"/>
      <c r="Z983" s="84"/>
    </row>
    <row r="984" spans="1:26" ht="15.75" customHeight="1">
      <c r="A984" s="83"/>
      <c r="B984" s="83"/>
      <c r="C984" s="83"/>
      <c r="D984" s="84"/>
      <c r="E984" s="84"/>
      <c r="F984" s="84"/>
      <c r="G984" s="83"/>
      <c r="H984" s="84"/>
      <c r="I984" s="84"/>
      <c r="J984" s="84"/>
      <c r="K984" s="84"/>
      <c r="L984" s="84"/>
      <c r="M984" s="84"/>
      <c r="N984" s="84"/>
      <c r="O984" s="84"/>
      <c r="P984" s="85"/>
      <c r="Q984" s="75"/>
      <c r="R984" s="75"/>
      <c r="S984" s="75"/>
      <c r="T984" s="75"/>
      <c r="U984" s="89"/>
      <c r="V984" s="84"/>
      <c r="W984" s="84"/>
      <c r="X984" s="84"/>
      <c r="Y984" s="84"/>
      <c r="Z984" s="84"/>
    </row>
    <row r="985" spans="1:26" ht="15.75" customHeight="1">
      <c r="A985" s="83"/>
      <c r="B985" s="83"/>
      <c r="C985" s="83"/>
      <c r="D985" s="84"/>
      <c r="E985" s="84"/>
      <c r="F985" s="84"/>
      <c r="G985" s="83"/>
      <c r="H985" s="84"/>
      <c r="I985" s="84"/>
      <c r="J985" s="84"/>
      <c r="K985" s="84"/>
      <c r="L985" s="84"/>
      <c r="M985" s="84"/>
      <c r="N985" s="84"/>
      <c r="O985" s="84"/>
      <c r="P985" s="85"/>
      <c r="Q985" s="75"/>
      <c r="R985" s="75"/>
      <c r="S985" s="75"/>
      <c r="T985" s="75"/>
      <c r="U985" s="89"/>
      <c r="V985" s="84"/>
      <c r="W985" s="84"/>
      <c r="X985" s="84"/>
      <c r="Y985" s="84"/>
      <c r="Z985" s="84"/>
    </row>
    <row r="986" spans="1:26" ht="15.75" customHeight="1">
      <c r="A986" s="83"/>
      <c r="B986" s="83"/>
      <c r="C986" s="83"/>
      <c r="D986" s="84"/>
      <c r="E986" s="84"/>
      <c r="F986" s="84"/>
      <c r="G986" s="83"/>
      <c r="H986" s="84"/>
      <c r="I986" s="84"/>
      <c r="J986" s="84"/>
      <c r="K986" s="84"/>
      <c r="L986" s="84"/>
      <c r="M986" s="84"/>
      <c r="N986" s="84"/>
      <c r="O986" s="84"/>
      <c r="P986" s="85"/>
      <c r="Q986" s="75"/>
      <c r="R986" s="75"/>
      <c r="S986" s="75"/>
      <c r="T986" s="75"/>
      <c r="U986" s="89"/>
      <c r="V986" s="84"/>
      <c r="W986" s="84"/>
      <c r="X986" s="84"/>
      <c r="Y986" s="84"/>
      <c r="Z986" s="84"/>
    </row>
    <row r="987" spans="1:26" ht="15.75" customHeight="1">
      <c r="A987" s="83"/>
      <c r="B987" s="83"/>
      <c r="C987" s="83"/>
      <c r="D987" s="84"/>
      <c r="E987" s="84"/>
      <c r="F987" s="84"/>
      <c r="G987" s="83"/>
      <c r="H987" s="84"/>
      <c r="I987" s="84"/>
      <c r="J987" s="84"/>
      <c r="K987" s="84"/>
      <c r="L987" s="84"/>
      <c r="M987" s="84"/>
      <c r="N987" s="84"/>
      <c r="O987" s="84"/>
      <c r="P987" s="85"/>
      <c r="Q987" s="75"/>
      <c r="R987" s="75"/>
      <c r="S987" s="75"/>
      <c r="T987" s="75"/>
      <c r="U987" s="89"/>
      <c r="V987" s="84"/>
      <c r="W987" s="84"/>
      <c r="X987" s="84"/>
      <c r="Y987" s="84"/>
      <c r="Z987" s="84"/>
    </row>
    <row r="988" spans="1:26" ht="15.75" customHeight="1">
      <c r="A988" s="83"/>
      <c r="B988" s="83"/>
      <c r="C988" s="83"/>
      <c r="D988" s="84"/>
      <c r="E988" s="84"/>
      <c r="F988" s="84"/>
      <c r="G988" s="83"/>
      <c r="H988" s="84"/>
      <c r="I988" s="84"/>
      <c r="J988" s="84"/>
      <c r="K988" s="84"/>
      <c r="L988" s="84"/>
      <c r="M988" s="84"/>
      <c r="N988" s="84"/>
      <c r="O988" s="84"/>
      <c r="P988" s="85"/>
      <c r="Q988" s="75"/>
      <c r="R988" s="75"/>
      <c r="S988" s="75"/>
      <c r="T988" s="75"/>
      <c r="U988" s="89"/>
      <c r="V988" s="84"/>
      <c r="W988" s="84"/>
      <c r="X988" s="84"/>
      <c r="Y988" s="84"/>
      <c r="Z988" s="84"/>
    </row>
    <row r="989" spans="1:26" ht="15.75" customHeight="1">
      <c r="A989" s="83"/>
      <c r="B989" s="83"/>
      <c r="C989" s="83"/>
      <c r="D989" s="84"/>
      <c r="E989" s="84"/>
      <c r="F989" s="84"/>
      <c r="G989" s="83"/>
      <c r="H989" s="84"/>
      <c r="I989" s="84"/>
      <c r="J989" s="84"/>
      <c r="K989" s="84"/>
      <c r="L989" s="84"/>
      <c r="M989" s="84"/>
      <c r="N989" s="84"/>
      <c r="O989" s="84"/>
      <c r="P989" s="85"/>
      <c r="Q989" s="75"/>
      <c r="R989" s="75"/>
      <c r="S989" s="75"/>
      <c r="T989" s="75"/>
      <c r="U989" s="89"/>
      <c r="V989" s="84"/>
      <c r="W989" s="84"/>
      <c r="X989" s="84"/>
      <c r="Y989" s="84"/>
      <c r="Z989" s="84"/>
    </row>
    <row r="990" spans="1:26" ht="15.75" customHeight="1">
      <c r="A990" s="83"/>
      <c r="B990" s="83"/>
      <c r="C990" s="83"/>
      <c r="D990" s="84"/>
      <c r="E990" s="84"/>
      <c r="F990" s="84"/>
      <c r="G990" s="83"/>
      <c r="H990" s="84"/>
      <c r="I990" s="84"/>
      <c r="J990" s="84"/>
      <c r="K990" s="84"/>
      <c r="L990" s="84"/>
      <c r="M990" s="84"/>
      <c r="N990" s="84"/>
      <c r="O990" s="84"/>
      <c r="P990" s="85"/>
      <c r="Q990" s="75"/>
      <c r="R990" s="75"/>
      <c r="S990" s="75"/>
      <c r="T990" s="75"/>
      <c r="U990" s="89"/>
      <c r="V990" s="84"/>
      <c r="W990" s="84"/>
      <c r="X990" s="84"/>
      <c r="Y990" s="84"/>
      <c r="Z990" s="84"/>
    </row>
    <row r="991" spans="1:26" ht="15.75" customHeight="1">
      <c r="A991" s="83"/>
      <c r="B991" s="83"/>
      <c r="C991" s="83"/>
      <c r="D991" s="84"/>
      <c r="E991" s="84"/>
      <c r="F991" s="84"/>
      <c r="G991" s="83"/>
      <c r="H991" s="84"/>
      <c r="I991" s="84"/>
      <c r="J991" s="84"/>
      <c r="K991" s="84"/>
      <c r="L991" s="84"/>
      <c r="M991" s="84"/>
      <c r="N991" s="84"/>
      <c r="O991" s="84"/>
      <c r="P991" s="85"/>
      <c r="Q991" s="75"/>
      <c r="R991" s="75"/>
      <c r="S991" s="75"/>
      <c r="T991" s="75"/>
      <c r="U991" s="89"/>
      <c r="V991" s="84"/>
      <c r="W991" s="84"/>
      <c r="X991" s="84"/>
      <c r="Y991" s="84"/>
      <c r="Z991" s="84"/>
    </row>
    <row r="992" spans="1:26" ht="15.75" customHeight="1">
      <c r="A992" s="83"/>
      <c r="B992" s="83"/>
      <c r="C992" s="83"/>
      <c r="D992" s="84"/>
      <c r="E992" s="84"/>
      <c r="F992" s="84"/>
      <c r="G992" s="83"/>
      <c r="H992" s="84"/>
      <c r="I992" s="84"/>
      <c r="J992" s="84"/>
      <c r="K992" s="84"/>
      <c r="L992" s="84"/>
      <c r="M992" s="84"/>
      <c r="N992" s="84"/>
      <c r="O992" s="84"/>
      <c r="P992" s="85"/>
      <c r="Q992" s="75"/>
      <c r="R992" s="75"/>
      <c r="S992" s="75"/>
      <c r="T992" s="75"/>
      <c r="U992" s="89"/>
      <c r="V992" s="84"/>
      <c r="W992" s="84"/>
      <c r="X992" s="84"/>
      <c r="Y992" s="84"/>
      <c r="Z992" s="84"/>
    </row>
    <row r="993" spans="1:26" ht="15.75" customHeight="1">
      <c r="A993" s="83"/>
      <c r="B993" s="83"/>
      <c r="C993" s="83"/>
      <c r="D993" s="84"/>
      <c r="E993" s="84"/>
      <c r="F993" s="84"/>
      <c r="G993" s="83"/>
      <c r="H993" s="84"/>
      <c r="I993" s="84"/>
      <c r="J993" s="84"/>
      <c r="K993" s="84"/>
      <c r="L993" s="84"/>
      <c r="M993" s="84"/>
      <c r="N993" s="84"/>
      <c r="O993" s="84"/>
      <c r="P993" s="85"/>
      <c r="Q993" s="75"/>
      <c r="R993" s="75"/>
      <c r="S993" s="75"/>
      <c r="T993" s="75"/>
      <c r="U993" s="89"/>
      <c r="V993" s="84"/>
      <c r="W993" s="84"/>
      <c r="X993" s="84"/>
      <c r="Y993" s="84"/>
      <c r="Z993" s="84"/>
    </row>
    <row r="994" spans="1:26" ht="15.75" customHeight="1">
      <c r="A994" s="83"/>
      <c r="B994" s="83"/>
      <c r="C994" s="83"/>
      <c r="D994" s="84"/>
      <c r="E994" s="84"/>
      <c r="F994" s="84"/>
      <c r="G994" s="83"/>
      <c r="H994" s="84"/>
      <c r="I994" s="84"/>
      <c r="J994" s="84"/>
      <c r="K994" s="84"/>
      <c r="L994" s="84"/>
      <c r="M994" s="84"/>
      <c r="N994" s="84"/>
      <c r="O994" s="84"/>
      <c r="P994" s="85"/>
      <c r="Q994" s="75"/>
      <c r="R994" s="75"/>
      <c r="S994" s="75"/>
      <c r="T994" s="75"/>
      <c r="U994" s="89"/>
      <c r="V994" s="84"/>
      <c r="W994" s="84"/>
      <c r="X994" s="84"/>
      <c r="Y994" s="84"/>
      <c r="Z994" s="84"/>
    </row>
    <row r="995" spans="1:26" ht="15.75" customHeight="1">
      <c r="A995" s="83"/>
      <c r="B995" s="83"/>
      <c r="C995" s="83"/>
      <c r="D995" s="84"/>
      <c r="E995" s="84"/>
      <c r="F995" s="84"/>
      <c r="G995" s="83"/>
      <c r="H995" s="84"/>
      <c r="I995" s="84"/>
      <c r="J995" s="84"/>
      <c r="K995" s="84"/>
      <c r="L995" s="84"/>
      <c r="M995" s="84"/>
      <c r="N995" s="84"/>
      <c r="O995" s="84"/>
      <c r="P995" s="85"/>
      <c r="Q995" s="75"/>
      <c r="R995" s="75"/>
      <c r="S995" s="75"/>
      <c r="T995" s="75"/>
      <c r="U995" s="89"/>
      <c r="V995" s="84"/>
      <c r="W995" s="84"/>
      <c r="X995" s="84"/>
      <c r="Y995" s="84"/>
      <c r="Z995" s="84"/>
    </row>
    <row r="996" spans="1:26" ht="15.75" customHeight="1">
      <c r="A996" s="83"/>
      <c r="B996" s="83"/>
      <c r="C996" s="83"/>
      <c r="D996" s="84"/>
      <c r="E996" s="84"/>
      <c r="F996" s="84"/>
      <c r="G996" s="83"/>
      <c r="H996" s="84"/>
      <c r="I996" s="84"/>
      <c r="J996" s="84"/>
      <c r="K996" s="84"/>
      <c r="L996" s="84"/>
      <c r="M996" s="84"/>
      <c r="N996" s="84"/>
      <c r="O996" s="84"/>
      <c r="P996" s="85"/>
      <c r="Q996" s="75"/>
      <c r="R996" s="75"/>
      <c r="S996" s="75"/>
      <c r="T996" s="75"/>
      <c r="U996" s="89"/>
      <c r="V996" s="84"/>
      <c r="W996" s="84"/>
      <c r="X996" s="84"/>
      <c r="Y996" s="84"/>
      <c r="Z996" s="84"/>
    </row>
    <row r="997" spans="1:26" ht="15.75" customHeight="1">
      <c r="A997" s="83"/>
      <c r="B997" s="83"/>
      <c r="C997" s="83"/>
      <c r="D997" s="84"/>
      <c r="E997" s="84"/>
      <c r="F997" s="84"/>
      <c r="G997" s="83"/>
      <c r="H997" s="84"/>
      <c r="I997" s="84"/>
      <c r="J997" s="84"/>
      <c r="K997" s="84"/>
      <c r="L997" s="84"/>
      <c r="M997" s="84"/>
      <c r="N997" s="84"/>
      <c r="O997" s="84"/>
      <c r="P997" s="85"/>
      <c r="Q997" s="75"/>
      <c r="R997" s="75"/>
      <c r="S997" s="75"/>
      <c r="T997" s="75"/>
      <c r="U997" s="89"/>
      <c r="V997" s="84"/>
      <c r="W997" s="84"/>
      <c r="X997" s="84"/>
      <c r="Y997" s="84"/>
      <c r="Z997" s="84"/>
    </row>
    <row r="998" spans="1:26" ht="15.75" customHeight="1">
      <c r="A998" s="83"/>
      <c r="B998" s="83"/>
      <c r="C998" s="83"/>
      <c r="D998" s="84"/>
      <c r="E998" s="84"/>
      <c r="F998" s="84"/>
      <c r="G998" s="83"/>
      <c r="H998" s="84"/>
      <c r="I998" s="84"/>
      <c r="J998" s="84"/>
      <c r="K998" s="84"/>
      <c r="L998" s="84"/>
      <c r="M998" s="84"/>
      <c r="N998" s="84"/>
      <c r="O998" s="84"/>
      <c r="P998" s="85"/>
      <c r="Q998" s="75"/>
      <c r="R998" s="75"/>
      <c r="S998" s="75"/>
      <c r="T998" s="75"/>
      <c r="U998" s="89"/>
      <c r="V998" s="84"/>
      <c r="W998" s="84"/>
      <c r="X998" s="84"/>
      <c r="Y998" s="84"/>
      <c r="Z998" s="84"/>
    </row>
    <row r="999" spans="1:26" ht="15.75" customHeight="1">
      <c r="A999" s="83"/>
      <c r="B999" s="83"/>
      <c r="C999" s="83"/>
      <c r="D999" s="84"/>
      <c r="E999" s="84"/>
      <c r="F999" s="84"/>
      <c r="G999" s="83"/>
      <c r="H999" s="84"/>
      <c r="I999" s="84"/>
      <c r="J999" s="84"/>
      <c r="K999" s="84"/>
      <c r="L999" s="84"/>
      <c r="M999" s="84"/>
      <c r="N999" s="84"/>
      <c r="O999" s="84"/>
      <c r="P999" s="85"/>
      <c r="Q999" s="75"/>
      <c r="R999" s="75"/>
      <c r="S999" s="75"/>
      <c r="T999" s="75"/>
      <c r="U999" s="89"/>
      <c r="V999" s="84"/>
      <c r="W999" s="84"/>
      <c r="X999" s="84"/>
      <c r="Y999" s="84"/>
      <c r="Z999" s="84"/>
    </row>
    <row r="1000" spans="1:26" ht="15.75" customHeight="1">
      <c r="A1000" s="83"/>
      <c r="B1000" s="83"/>
      <c r="C1000" s="83"/>
      <c r="D1000" s="84"/>
      <c r="E1000" s="84"/>
      <c r="F1000" s="84"/>
      <c r="G1000" s="83"/>
      <c r="H1000" s="84"/>
      <c r="I1000" s="84"/>
      <c r="J1000" s="84"/>
      <c r="K1000" s="84"/>
      <c r="L1000" s="84"/>
      <c r="M1000" s="84"/>
      <c r="N1000" s="84"/>
      <c r="O1000" s="84"/>
      <c r="P1000" s="85"/>
      <c r="Q1000" s="75"/>
      <c r="R1000" s="75"/>
      <c r="S1000" s="75"/>
      <c r="T1000" s="75"/>
      <c r="U1000" s="89"/>
      <c r="V1000" s="84"/>
      <c r="W1000" s="84"/>
      <c r="X1000" s="84"/>
      <c r="Y1000" s="84"/>
      <c r="Z1000" s="84"/>
    </row>
    <row r="1001" spans="1:26" ht="15.75" customHeight="1">
      <c r="A1001" s="83"/>
      <c r="B1001" s="83"/>
      <c r="C1001" s="83"/>
      <c r="D1001" s="84"/>
      <c r="E1001" s="84"/>
      <c r="F1001" s="84"/>
      <c r="G1001" s="83"/>
      <c r="H1001" s="84"/>
      <c r="I1001" s="84"/>
      <c r="J1001" s="84"/>
      <c r="K1001" s="84"/>
      <c r="L1001" s="84"/>
      <c r="M1001" s="84"/>
      <c r="N1001" s="84"/>
      <c r="O1001" s="84"/>
      <c r="P1001" s="85"/>
      <c r="Q1001" s="75"/>
      <c r="R1001" s="75"/>
      <c r="S1001" s="75"/>
      <c r="T1001" s="75"/>
      <c r="U1001" s="89"/>
      <c r="V1001" s="84"/>
      <c r="W1001" s="84"/>
      <c r="X1001" s="84"/>
      <c r="Y1001" s="84"/>
      <c r="Z1001" s="84"/>
    </row>
    <row r="1002" spans="1:26" ht="15.75" customHeight="1">
      <c r="A1002" s="83"/>
      <c r="B1002" s="83"/>
      <c r="C1002" s="83"/>
      <c r="D1002" s="84"/>
      <c r="E1002" s="84"/>
      <c r="F1002" s="84"/>
      <c r="G1002" s="83"/>
      <c r="H1002" s="84"/>
      <c r="I1002" s="84"/>
      <c r="J1002" s="84"/>
      <c r="K1002" s="84"/>
      <c r="L1002" s="84"/>
      <c r="M1002" s="84"/>
      <c r="N1002" s="84"/>
      <c r="O1002" s="84"/>
      <c r="P1002" s="85"/>
      <c r="Q1002" s="75"/>
      <c r="R1002" s="75"/>
      <c r="S1002" s="75"/>
      <c r="T1002" s="75"/>
      <c r="U1002" s="89"/>
      <c r="V1002" s="84"/>
      <c r="W1002" s="84"/>
      <c r="X1002" s="84"/>
      <c r="Y1002" s="84"/>
      <c r="Z1002" s="84"/>
    </row>
    <row r="1003" spans="1:26" ht="15.75" customHeight="1">
      <c r="A1003" s="83"/>
      <c r="B1003" s="83"/>
      <c r="C1003" s="83"/>
      <c r="D1003" s="84"/>
      <c r="E1003" s="84"/>
      <c r="F1003" s="84"/>
      <c r="G1003" s="83"/>
      <c r="H1003" s="84"/>
      <c r="I1003" s="84"/>
      <c r="J1003" s="84"/>
      <c r="K1003" s="84"/>
      <c r="L1003" s="84"/>
      <c r="M1003" s="84"/>
      <c r="N1003" s="84"/>
      <c r="O1003" s="84"/>
      <c r="P1003" s="85"/>
      <c r="Q1003" s="75"/>
      <c r="R1003" s="75"/>
      <c r="S1003" s="75"/>
      <c r="T1003" s="75"/>
      <c r="U1003" s="89"/>
      <c r="V1003" s="84"/>
      <c r="W1003" s="84"/>
      <c r="X1003" s="84"/>
      <c r="Y1003" s="84"/>
      <c r="Z1003" s="84"/>
    </row>
    <row r="1004" spans="1:26" ht="15.75" customHeight="1">
      <c r="A1004" s="83"/>
      <c r="B1004" s="83"/>
      <c r="C1004" s="83"/>
      <c r="D1004" s="84"/>
      <c r="E1004" s="84"/>
      <c r="F1004" s="84"/>
      <c r="G1004" s="83"/>
      <c r="H1004" s="84"/>
      <c r="I1004" s="84"/>
      <c r="J1004" s="84"/>
      <c r="K1004" s="84"/>
      <c r="L1004" s="84"/>
      <c r="M1004" s="84"/>
      <c r="N1004" s="84"/>
      <c r="O1004" s="84"/>
      <c r="P1004" s="85"/>
      <c r="Q1004" s="75"/>
      <c r="R1004" s="75"/>
      <c r="S1004" s="75"/>
      <c r="T1004" s="75"/>
      <c r="U1004" s="89"/>
      <c r="V1004" s="84"/>
      <c r="W1004" s="84"/>
      <c r="X1004" s="84"/>
      <c r="Y1004" s="84"/>
      <c r="Z1004" s="84"/>
    </row>
    <row r="1005" spans="1:26" ht="15.75" customHeight="1">
      <c r="A1005" s="83"/>
      <c r="B1005" s="83"/>
      <c r="C1005" s="83"/>
      <c r="D1005" s="84"/>
      <c r="E1005" s="84"/>
      <c r="F1005" s="84"/>
      <c r="G1005" s="83"/>
      <c r="H1005" s="84"/>
      <c r="I1005" s="84"/>
      <c r="J1005" s="84"/>
      <c r="K1005" s="84"/>
      <c r="L1005" s="84"/>
      <c r="M1005" s="84"/>
      <c r="N1005" s="84"/>
      <c r="O1005" s="84"/>
      <c r="P1005" s="85"/>
      <c r="Q1005" s="75"/>
      <c r="R1005" s="75"/>
      <c r="S1005" s="75"/>
      <c r="T1005" s="75"/>
      <c r="U1005" s="89"/>
      <c r="V1005" s="84"/>
      <c r="W1005" s="84"/>
      <c r="X1005" s="84"/>
      <c r="Y1005" s="84"/>
      <c r="Z1005" s="84"/>
    </row>
    <row r="1006" spans="1:26" ht="15.75" customHeight="1">
      <c r="A1006" s="83"/>
      <c r="B1006" s="83"/>
      <c r="C1006" s="83"/>
      <c r="D1006" s="84"/>
      <c r="E1006" s="84"/>
      <c r="F1006" s="84"/>
      <c r="G1006" s="83"/>
      <c r="H1006" s="84"/>
      <c r="I1006" s="84"/>
      <c r="J1006" s="84"/>
      <c r="K1006" s="84"/>
      <c r="L1006" s="84"/>
      <c r="M1006" s="84"/>
      <c r="N1006" s="84"/>
      <c r="O1006" s="84"/>
      <c r="P1006" s="85"/>
      <c r="Q1006" s="75"/>
      <c r="R1006" s="75"/>
      <c r="S1006" s="75"/>
      <c r="T1006" s="75"/>
      <c r="U1006" s="89"/>
      <c r="V1006" s="84"/>
      <c r="W1006" s="84"/>
      <c r="X1006" s="84"/>
      <c r="Y1006" s="84"/>
      <c r="Z1006" s="84"/>
    </row>
  </sheetData>
  <conditionalFormatting sqref="T1:T1006">
    <cfRule type="cellIs" dxfId="22" priority="1" operator="equal">
      <formula>"true"</formula>
    </cfRule>
  </conditionalFormatting>
  <conditionalFormatting sqref="Q1:Q1006">
    <cfRule type="cellIs" dxfId="21" priority="2" operator="equal">
      <formula>"true"</formula>
    </cfRule>
  </conditionalFormatting>
  <conditionalFormatting sqref="R1:R1006">
    <cfRule type="cellIs" dxfId="20" priority="3" operator="equal">
      <formula>"true"</formula>
    </cfRule>
  </conditionalFormatting>
  <conditionalFormatting sqref="S1:S1006">
    <cfRule type="cellIs" dxfId="19" priority="4" operator="equal">
      <formula>"true"</formula>
    </cfRule>
  </conditionalFormatting>
  <conditionalFormatting sqref="T1:T1006">
    <cfRule type="cellIs" dxfId="18" priority="5" operator="equal">
      <formula>"true"</formula>
    </cfRule>
  </conditionalFormatting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E6B8AF"/>
    <outlinePr summaryBelow="0" summaryRight="0"/>
    <pageSetUpPr fitToPage="1"/>
  </sheetPr>
  <dimension ref="A1:P1000"/>
  <sheetViews>
    <sheetView workbookViewId="0">
      <pane ySplit="4" topLeftCell="A5" activePane="bottomLeft" state="frozen"/>
      <selection pane="bottomLeft" activeCell="B6" sqref="B6"/>
    </sheetView>
  </sheetViews>
  <sheetFormatPr defaultColWidth="14.453125" defaultRowHeight="15" customHeight="1"/>
  <cols>
    <col min="1" max="1" width="10.08984375" customWidth="1"/>
    <col min="2" max="2" width="11.81640625" customWidth="1"/>
    <col min="3" max="3" width="51.7265625" hidden="1" customWidth="1"/>
    <col min="4" max="4" width="52.26953125" customWidth="1"/>
    <col min="5" max="5" width="50.26953125" customWidth="1"/>
    <col min="6" max="6" width="14.453125" customWidth="1"/>
    <col min="7" max="7" width="16.54296875" customWidth="1"/>
    <col min="8" max="8" width="14.453125" customWidth="1"/>
    <col min="9" max="9" width="15.453125" customWidth="1"/>
    <col min="10" max="10" width="17.54296875" customWidth="1"/>
    <col min="11" max="16" width="14.453125" customWidth="1"/>
  </cols>
  <sheetData>
    <row r="1" spans="1:16" ht="15.75" customHeight="1">
      <c r="A1" s="167"/>
      <c r="B1" s="168" t="s">
        <v>1168</v>
      </c>
      <c r="C1" s="169"/>
      <c r="D1" s="170" t="s">
        <v>1169</v>
      </c>
      <c r="E1" s="169"/>
      <c r="F1" s="171"/>
      <c r="G1" s="172"/>
      <c r="H1" s="172"/>
      <c r="I1" s="172"/>
      <c r="J1" s="167"/>
      <c r="K1" s="167"/>
      <c r="L1" s="167"/>
      <c r="M1" s="173"/>
      <c r="N1" s="167"/>
    </row>
    <row r="2" spans="1:16" ht="15.75" customHeight="1">
      <c r="A2" s="167"/>
      <c r="B2" s="174" t="s">
        <v>1170</v>
      </c>
      <c r="C2" s="169"/>
      <c r="D2" s="169"/>
      <c r="E2" s="169"/>
      <c r="F2" s="171"/>
      <c r="G2" s="172"/>
      <c r="H2" s="172"/>
      <c r="I2" s="172"/>
      <c r="J2" s="167"/>
      <c r="K2" s="167"/>
      <c r="L2" s="167"/>
      <c r="M2" s="173"/>
      <c r="N2" s="167"/>
    </row>
    <row r="3" spans="1:16" ht="15.75" customHeight="1">
      <c r="A3" s="175" t="s">
        <v>1171</v>
      </c>
      <c r="B3" s="176"/>
      <c r="C3" s="177"/>
      <c r="D3" s="177"/>
      <c r="E3" s="177"/>
      <c r="F3" s="178"/>
      <c r="G3" s="179"/>
      <c r="H3" s="179"/>
      <c r="I3" s="179"/>
      <c r="J3" s="176"/>
      <c r="K3" s="176"/>
      <c r="L3" s="176"/>
      <c r="M3" s="180"/>
      <c r="N3" s="176"/>
    </row>
    <row r="4" spans="1:16" ht="50.25" customHeight="1">
      <c r="A4" s="181" t="s">
        <v>1172</v>
      </c>
      <c r="B4" s="182" t="s">
        <v>1173</v>
      </c>
      <c r="C4" s="183" t="s">
        <v>109</v>
      </c>
      <c r="D4" s="184" t="s">
        <v>1174</v>
      </c>
      <c r="E4" s="183" t="s">
        <v>1175</v>
      </c>
      <c r="F4" s="185" t="s">
        <v>1176</v>
      </c>
      <c r="G4" s="186" t="s">
        <v>1177</v>
      </c>
      <c r="H4" s="186" t="s">
        <v>1178</v>
      </c>
      <c r="I4" s="186" t="s">
        <v>1179</v>
      </c>
      <c r="J4" s="187" t="s">
        <v>1180</v>
      </c>
      <c r="K4" s="182" t="s">
        <v>1181</v>
      </c>
      <c r="L4" s="182" t="s">
        <v>1182</v>
      </c>
      <c r="M4" s="188" t="s">
        <v>1183</v>
      </c>
      <c r="N4" s="182" t="s">
        <v>1184</v>
      </c>
    </row>
    <row r="5" spans="1:16" ht="15.75" customHeight="1">
      <c r="A5" s="189" t="s">
        <v>1185</v>
      </c>
      <c r="B5" s="388">
        <v>200</v>
      </c>
      <c r="C5" s="190"/>
      <c r="D5" s="391"/>
      <c r="E5" s="191" t="s">
        <v>1186</v>
      </c>
      <c r="F5" s="187"/>
      <c r="G5" s="386" t="e">
        <f>AVERAGE(F5:F8)</f>
        <v>#DIV/0!</v>
      </c>
      <c r="H5" s="385"/>
      <c r="I5" s="385"/>
      <c r="J5" s="190"/>
      <c r="K5" s="381"/>
      <c r="L5" s="381"/>
      <c r="M5" s="384">
        <f>(L5-K5)</f>
        <v>0</v>
      </c>
      <c r="N5" s="385">
        <f>PRODUCT(M5,M5)</f>
        <v>0</v>
      </c>
      <c r="O5" s="192"/>
    </row>
    <row r="6" spans="1:16" ht="15.75" customHeight="1">
      <c r="A6" s="189" t="s">
        <v>1187</v>
      </c>
      <c r="B6" s="382"/>
      <c r="C6" s="390" t="s">
        <v>1188</v>
      </c>
      <c r="D6" s="382"/>
      <c r="E6" s="193" t="s">
        <v>1189</v>
      </c>
      <c r="F6" s="187"/>
      <c r="G6" s="382"/>
      <c r="H6" s="382"/>
      <c r="I6" s="382"/>
      <c r="J6" s="190"/>
      <c r="K6" s="382"/>
      <c r="L6" s="382"/>
      <c r="M6" s="382"/>
      <c r="N6" s="382"/>
      <c r="O6" s="192"/>
    </row>
    <row r="7" spans="1:16" ht="20.25" customHeight="1">
      <c r="A7" s="189" t="s">
        <v>1190</v>
      </c>
      <c r="B7" s="382"/>
      <c r="C7" s="383"/>
      <c r="D7" s="382"/>
      <c r="E7" s="194" t="s">
        <v>1191</v>
      </c>
      <c r="F7" s="187"/>
      <c r="G7" s="382"/>
      <c r="H7" s="382"/>
      <c r="I7" s="382"/>
      <c r="J7" s="190"/>
      <c r="K7" s="382"/>
      <c r="L7" s="382"/>
      <c r="M7" s="382"/>
      <c r="N7" s="382"/>
      <c r="O7" s="192"/>
      <c r="P7" s="192"/>
    </row>
    <row r="8" spans="1:16" ht="165.75" customHeight="1">
      <c r="A8" s="189" t="s">
        <v>1192</v>
      </c>
      <c r="B8" s="383"/>
      <c r="C8" s="190"/>
      <c r="D8" s="383"/>
      <c r="E8" s="195" t="s">
        <v>1193</v>
      </c>
      <c r="F8" s="187"/>
      <c r="G8" s="383"/>
      <c r="H8" s="383"/>
      <c r="I8" s="383"/>
      <c r="J8" s="190"/>
      <c r="K8" s="383"/>
      <c r="L8" s="383"/>
      <c r="M8" s="383"/>
      <c r="N8" s="383"/>
      <c r="O8" s="192"/>
      <c r="P8" s="192"/>
    </row>
    <row r="9" spans="1:16" ht="15.75" customHeight="1">
      <c r="A9" s="189" t="s">
        <v>1194</v>
      </c>
      <c r="B9" s="388">
        <v>400</v>
      </c>
      <c r="C9" s="190"/>
      <c r="D9" s="391"/>
      <c r="E9" s="196" t="s">
        <v>1195</v>
      </c>
      <c r="F9" s="187"/>
      <c r="G9" s="386" t="e">
        <f>AVERAGE(F9:F12)</f>
        <v>#DIV/0!</v>
      </c>
      <c r="H9" s="385"/>
      <c r="I9" s="385"/>
      <c r="J9" s="190"/>
      <c r="K9" s="381"/>
      <c r="L9" s="381"/>
      <c r="M9" s="384">
        <f>(L9-K9)</f>
        <v>0</v>
      </c>
      <c r="N9" s="385">
        <f>PRODUCT(M9,M9)</f>
        <v>0</v>
      </c>
      <c r="O9" s="192"/>
      <c r="P9" s="192"/>
    </row>
    <row r="10" spans="1:16" ht="15.75" customHeight="1">
      <c r="A10" s="189" t="s">
        <v>1196</v>
      </c>
      <c r="B10" s="382"/>
      <c r="C10" s="190"/>
      <c r="D10" s="382"/>
      <c r="E10" s="196" t="s">
        <v>1197</v>
      </c>
      <c r="F10" s="187"/>
      <c r="G10" s="382"/>
      <c r="H10" s="382"/>
      <c r="I10" s="382"/>
      <c r="J10" s="190"/>
      <c r="K10" s="382"/>
      <c r="L10" s="382"/>
      <c r="M10" s="382"/>
      <c r="N10" s="382"/>
      <c r="O10" s="192"/>
      <c r="P10" s="192"/>
    </row>
    <row r="11" spans="1:16" ht="15.75" customHeight="1">
      <c r="A11" s="189" t="s">
        <v>1198</v>
      </c>
      <c r="B11" s="382"/>
      <c r="C11" s="190" t="s">
        <v>1188</v>
      </c>
      <c r="D11" s="382"/>
      <c r="E11" s="197" t="s">
        <v>1199</v>
      </c>
      <c r="F11" s="187"/>
      <c r="G11" s="382"/>
      <c r="H11" s="382"/>
      <c r="I11" s="382"/>
      <c r="J11" s="190"/>
      <c r="K11" s="382"/>
      <c r="L11" s="382"/>
      <c r="M11" s="382"/>
      <c r="N11" s="382"/>
      <c r="O11" s="192"/>
      <c r="P11" s="192"/>
    </row>
    <row r="12" spans="1:16" ht="148.5" customHeight="1">
      <c r="A12" s="189" t="s">
        <v>1200</v>
      </c>
      <c r="B12" s="383"/>
      <c r="C12" s="190"/>
      <c r="D12" s="383"/>
      <c r="E12" s="198" t="s">
        <v>1201</v>
      </c>
      <c r="F12" s="187"/>
      <c r="G12" s="383"/>
      <c r="H12" s="383"/>
      <c r="I12" s="383"/>
      <c r="J12" s="190"/>
      <c r="K12" s="383"/>
      <c r="L12" s="383"/>
      <c r="M12" s="383"/>
      <c r="N12" s="383"/>
      <c r="O12" s="192"/>
      <c r="P12" s="192"/>
    </row>
    <row r="13" spans="1:16" ht="15.75" customHeight="1">
      <c r="A13" s="189" t="s">
        <v>1202</v>
      </c>
      <c r="B13" s="388">
        <v>600</v>
      </c>
      <c r="C13" s="190"/>
      <c r="D13" s="391"/>
      <c r="E13" s="199" t="s">
        <v>1203</v>
      </c>
      <c r="F13" s="187"/>
      <c r="G13" s="386" t="e">
        <f>AVERAGE(F13:F16)</f>
        <v>#DIV/0!</v>
      </c>
      <c r="H13" s="385"/>
      <c r="I13" s="385"/>
      <c r="J13" s="190"/>
      <c r="K13" s="381"/>
      <c r="L13" s="381"/>
      <c r="M13" s="384">
        <f>(L13-K13)</f>
        <v>0</v>
      </c>
      <c r="N13" s="385">
        <f>PRODUCT(M13,M13)</f>
        <v>0</v>
      </c>
    </row>
    <row r="14" spans="1:16" ht="15.75" customHeight="1">
      <c r="A14" s="189" t="s">
        <v>1204</v>
      </c>
      <c r="B14" s="382"/>
      <c r="C14" s="190" t="s">
        <v>1205</v>
      </c>
      <c r="D14" s="382"/>
      <c r="E14" s="199" t="s">
        <v>1206</v>
      </c>
      <c r="F14" s="187"/>
      <c r="G14" s="382"/>
      <c r="H14" s="382"/>
      <c r="I14" s="382"/>
      <c r="J14" s="190"/>
      <c r="K14" s="382"/>
      <c r="L14" s="382"/>
      <c r="M14" s="382"/>
      <c r="N14" s="382"/>
      <c r="P14" s="200"/>
    </row>
    <row r="15" spans="1:16" ht="15.75" customHeight="1">
      <c r="A15" s="189" t="s">
        <v>1207</v>
      </c>
      <c r="B15" s="382"/>
      <c r="C15" s="190" t="s">
        <v>1208</v>
      </c>
      <c r="D15" s="382"/>
      <c r="E15" s="201" t="s">
        <v>1209</v>
      </c>
      <c r="F15" s="187"/>
      <c r="G15" s="382"/>
      <c r="H15" s="382"/>
      <c r="I15" s="382"/>
      <c r="J15" s="190"/>
      <c r="K15" s="382"/>
      <c r="L15" s="382"/>
      <c r="M15" s="382"/>
      <c r="N15" s="382"/>
    </row>
    <row r="16" spans="1:16" ht="159.75" customHeight="1">
      <c r="A16" s="189" t="s">
        <v>1210</v>
      </c>
      <c r="B16" s="383"/>
      <c r="C16" s="190" t="s">
        <v>1211</v>
      </c>
      <c r="D16" s="383"/>
      <c r="E16" s="202" t="s">
        <v>1212</v>
      </c>
      <c r="F16" s="187"/>
      <c r="G16" s="383"/>
      <c r="H16" s="383"/>
      <c r="I16" s="383"/>
      <c r="J16" s="190"/>
      <c r="K16" s="383"/>
      <c r="L16" s="383"/>
      <c r="M16" s="383"/>
      <c r="N16" s="383"/>
    </row>
    <row r="17" spans="1:14" ht="15.75" customHeight="1">
      <c r="A17" s="189" t="s">
        <v>1213</v>
      </c>
      <c r="B17" s="388">
        <v>800</v>
      </c>
      <c r="C17" s="190"/>
      <c r="D17" s="391"/>
      <c r="E17" s="195" t="s">
        <v>1214</v>
      </c>
      <c r="F17" s="187"/>
      <c r="G17" s="386" t="e">
        <f>AVERAGE(F17:F20)</f>
        <v>#DIV/0!</v>
      </c>
      <c r="H17" s="385"/>
      <c r="I17" s="385"/>
      <c r="J17" s="190"/>
      <c r="K17" s="381"/>
      <c r="L17" s="381"/>
      <c r="M17" s="384">
        <f>(L17-K17)</f>
        <v>0</v>
      </c>
      <c r="N17" s="385">
        <f>PRODUCT(M17,M17)</f>
        <v>0</v>
      </c>
    </row>
    <row r="18" spans="1:14" ht="15.75" customHeight="1">
      <c r="A18" s="189" t="s">
        <v>1215</v>
      </c>
      <c r="B18" s="382"/>
      <c r="C18" s="190" t="s">
        <v>1216</v>
      </c>
      <c r="D18" s="382"/>
      <c r="E18" s="203" t="s">
        <v>1217</v>
      </c>
      <c r="F18" s="187"/>
      <c r="G18" s="382"/>
      <c r="H18" s="382"/>
      <c r="I18" s="382"/>
      <c r="J18" s="190"/>
      <c r="K18" s="382"/>
      <c r="L18" s="382"/>
      <c r="M18" s="382"/>
      <c r="N18" s="382"/>
    </row>
    <row r="19" spans="1:14" ht="15.75" customHeight="1">
      <c r="A19" s="189" t="s">
        <v>1218</v>
      </c>
      <c r="B19" s="382"/>
      <c r="C19" s="190" t="s">
        <v>1219</v>
      </c>
      <c r="D19" s="382"/>
      <c r="E19" s="193" t="s">
        <v>1220</v>
      </c>
      <c r="F19" s="187"/>
      <c r="G19" s="382"/>
      <c r="H19" s="382"/>
      <c r="I19" s="382"/>
      <c r="J19" s="190"/>
      <c r="K19" s="382"/>
      <c r="L19" s="382"/>
      <c r="M19" s="382"/>
      <c r="N19" s="382"/>
    </row>
    <row r="20" spans="1:14" ht="173.25" customHeight="1">
      <c r="A20" s="189" t="s">
        <v>1221</v>
      </c>
      <c r="B20" s="383"/>
      <c r="C20" s="190"/>
      <c r="D20" s="383"/>
      <c r="E20" s="203" t="s">
        <v>1222</v>
      </c>
      <c r="F20" s="204"/>
      <c r="G20" s="383"/>
      <c r="H20" s="383"/>
      <c r="I20" s="383"/>
      <c r="J20" s="190"/>
      <c r="K20" s="383"/>
      <c r="L20" s="383"/>
      <c r="M20" s="383"/>
      <c r="N20" s="383"/>
    </row>
    <row r="21" spans="1:14" ht="15.75" customHeight="1">
      <c r="A21" s="189" t="s">
        <v>1223</v>
      </c>
      <c r="B21" s="388">
        <v>1000</v>
      </c>
      <c r="C21" s="190" t="s">
        <v>1224</v>
      </c>
      <c r="D21" s="390"/>
      <c r="E21" s="205" t="s">
        <v>1225</v>
      </c>
      <c r="F21" s="187"/>
      <c r="G21" s="386" t="e">
        <f>AVERAGE(F21:F24)</f>
        <v>#DIV/0!</v>
      </c>
      <c r="H21" s="385"/>
      <c r="I21" s="385"/>
      <c r="J21" s="190"/>
      <c r="K21" s="381"/>
      <c r="L21" s="381"/>
      <c r="M21" s="384">
        <f>(L21-K21)</f>
        <v>0</v>
      </c>
      <c r="N21" s="385">
        <f>PRODUCT(M21,M21)</f>
        <v>0</v>
      </c>
    </row>
    <row r="22" spans="1:14" ht="15.75" customHeight="1">
      <c r="A22" s="189" t="s">
        <v>1226</v>
      </c>
      <c r="B22" s="382"/>
      <c r="C22" s="190" t="s">
        <v>1227</v>
      </c>
      <c r="D22" s="382"/>
      <c r="E22" s="206" t="s">
        <v>1228</v>
      </c>
      <c r="F22" s="187"/>
      <c r="G22" s="382"/>
      <c r="H22" s="382"/>
      <c r="I22" s="382"/>
      <c r="J22" s="190"/>
      <c r="K22" s="382"/>
      <c r="L22" s="382"/>
      <c r="M22" s="382"/>
      <c r="N22" s="382"/>
    </row>
    <row r="23" spans="1:14" ht="15.75" customHeight="1">
      <c r="A23" s="189" t="s">
        <v>1229</v>
      </c>
      <c r="B23" s="382"/>
      <c r="C23" s="190" t="s">
        <v>1230</v>
      </c>
      <c r="D23" s="382"/>
      <c r="E23" s="207" t="s">
        <v>1231</v>
      </c>
      <c r="F23" s="187"/>
      <c r="G23" s="382"/>
      <c r="H23" s="382"/>
      <c r="I23" s="382"/>
      <c r="J23" s="190"/>
      <c r="K23" s="382"/>
      <c r="L23" s="382"/>
      <c r="M23" s="382"/>
      <c r="N23" s="382"/>
    </row>
    <row r="24" spans="1:14" ht="137.25" customHeight="1">
      <c r="A24" s="189" t="s">
        <v>1232</v>
      </c>
      <c r="B24" s="383"/>
      <c r="C24" s="190" t="s">
        <v>1233</v>
      </c>
      <c r="D24" s="383"/>
      <c r="E24" s="208" t="s">
        <v>1234</v>
      </c>
      <c r="F24" s="187"/>
      <c r="G24" s="383"/>
      <c r="H24" s="383"/>
      <c r="I24" s="383"/>
      <c r="J24" s="190"/>
      <c r="K24" s="383"/>
      <c r="L24" s="383"/>
      <c r="M24" s="383"/>
      <c r="N24" s="383"/>
    </row>
    <row r="25" spans="1:14" ht="15.75" customHeight="1">
      <c r="A25" s="189" t="s">
        <v>1235</v>
      </c>
      <c r="B25" s="388">
        <v>1200</v>
      </c>
      <c r="C25" s="390" t="s">
        <v>1236</v>
      </c>
      <c r="D25" s="390"/>
      <c r="E25" s="201" t="s">
        <v>1237</v>
      </c>
      <c r="F25" s="187"/>
      <c r="G25" s="386" t="e">
        <f>AVERAGE(F25:F28)</f>
        <v>#DIV/0!</v>
      </c>
      <c r="H25" s="385"/>
      <c r="I25" s="385"/>
      <c r="J25" s="190"/>
      <c r="K25" s="381"/>
      <c r="L25" s="381"/>
      <c r="M25" s="384">
        <f>(L25-K25)</f>
        <v>0</v>
      </c>
      <c r="N25" s="385">
        <f>PRODUCT(M25,M25)</f>
        <v>0</v>
      </c>
    </row>
    <row r="26" spans="1:14" ht="15.75" customHeight="1">
      <c r="A26" s="189" t="s">
        <v>1238</v>
      </c>
      <c r="B26" s="382"/>
      <c r="C26" s="383"/>
      <c r="D26" s="382"/>
      <c r="E26" s="201" t="s">
        <v>1228</v>
      </c>
      <c r="F26" s="187"/>
      <c r="G26" s="382"/>
      <c r="H26" s="382"/>
      <c r="I26" s="382"/>
      <c r="J26" s="190"/>
      <c r="K26" s="382"/>
      <c r="L26" s="382"/>
      <c r="M26" s="382"/>
      <c r="N26" s="382"/>
    </row>
    <row r="27" spans="1:14" ht="15.75" customHeight="1">
      <c r="A27" s="189" t="s">
        <v>1239</v>
      </c>
      <c r="B27" s="382"/>
      <c r="C27" s="190" t="s">
        <v>1240</v>
      </c>
      <c r="D27" s="382"/>
      <c r="E27" s="209"/>
      <c r="F27" s="187"/>
      <c r="G27" s="382"/>
      <c r="H27" s="382"/>
      <c r="I27" s="382"/>
      <c r="J27" s="190"/>
      <c r="K27" s="382"/>
      <c r="L27" s="382"/>
      <c r="M27" s="382"/>
      <c r="N27" s="382"/>
    </row>
    <row r="28" spans="1:14" ht="163.5" customHeight="1">
      <c r="A28" s="189" t="s">
        <v>1241</v>
      </c>
      <c r="B28" s="383"/>
      <c r="C28" s="190" t="s">
        <v>1242</v>
      </c>
      <c r="D28" s="383"/>
      <c r="E28" s="190"/>
      <c r="F28" s="187"/>
      <c r="G28" s="383"/>
      <c r="H28" s="383"/>
      <c r="I28" s="383"/>
      <c r="J28" s="190"/>
      <c r="K28" s="383"/>
      <c r="L28" s="383"/>
      <c r="M28" s="383"/>
      <c r="N28" s="383"/>
    </row>
    <row r="29" spans="1:14" ht="15.75" customHeight="1">
      <c r="A29" s="189" t="s">
        <v>1243</v>
      </c>
      <c r="B29" s="388">
        <v>1400</v>
      </c>
      <c r="C29" s="390" t="s">
        <v>1244</v>
      </c>
      <c r="D29" s="190"/>
      <c r="E29" s="210"/>
      <c r="F29" s="187"/>
      <c r="G29" s="386" t="e">
        <f>AVERAGE(F29:F32)</f>
        <v>#DIV/0!</v>
      </c>
      <c r="H29" s="385"/>
      <c r="I29" s="385"/>
      <c r="J29" s="190"/>
      <c r="K29" s="381"/>
      <c r="L29" s="381"/>
      <c r="M29" s="384">
        <f>(L29-K29)</f>
        <v>0</v>
      </c>
      <c r="N29" s="385">
        <f>PRODUCT(M29,M29)</f>
        <v>0</v>
      </c>
    </row>
    <row r="30" spans="1:14" ht="15.75" customHeight="1">
      <c r="A30" s="189" t="s">
        <v>1245</v>
      </c>
      <c r="B30" s="382"/>
      <c r="C30" s="383"/>
      <c r="D30" s="190"/>
      <c r="E30" s="210"/>
      <c r="F30" s="187"/>
      <c r="G30" s="382"/>
      <c r="H30" s="382"/>
      <c r="I30" s="382"/>
      <c r="J30" s="190"/>
      <c r="K30" s="382"/>
      <c r="L30" s="382"/>
      <c r="M30" s="382"/>
      <c r="N30" s="382"/>
    </row>
    <row r="31" spans="1:14" ht="15.75" customHeight="1">
      <c r="A31" s="189" t="s">
        <v>1246</v>
      </c>
      <c r="B31" s="382"/>
      <c r="C31" s="390" t="s">
        <v>1247</v>
      </c>
      <c r="D31" s="190"/>
      <c r="E31" s="210"/>
      <c r="F31" s="187"/>
      <c r="G31" s="382"/>
      <c r="H31" s="382"/>
      <c r="I31" s="382"/>
      <c r="J31" s="190"/>
      <c r="K31" s="382"/>
      <c r="L31" s="382"/>
      <c r="M31" s="382"/>
      <c r="N31" s="382"/>
    </row>
    <row r="32" spans="1:14" ht="15.75" customHeight="1">
      <c r="A32" s="189" t="s">
        <v>1248</v>
      </c>
      <c r="B32" s="383"/>
      <c r="C32" s="383"/>
      <c r="D32" s="190"/>
      <c r="E32" s="210"/>
      <c r="F32" s="187"/>
      <c r="G32" s="383"/>
      <c r="H32" s="383"/>
      <c r="I32" s="383"/>
      <c r="J32" s="190"/>
      <c r="K32" s="383"/>
      <c r="L32" s="383"/>
      <c r="M32" s="383"/>
      <c r="N32" s="383"/>
    </row>
    <row r="33" spans="1:14" ht="15.75" customHeight="1">
      <c r="A33" s="189" t="s">
        <v>1249</v>
      </c>
      <c r="B33" s="388">
        <v>1600</v>
      </c>
      <c r="C33" s="190"/>
      <c r="D33" s="211"/>
      <c r="E33" s="212"/>
      <c r="F33" s="187"/>
      <c r="G33" s="386" t="e">
        <f>AVERAGE(F33:F36)</f>
        <v>#DIV/0!</v>
      </c>
      <c r="H33" s="385"/>
      <c r="I33" s="385"/>
      <c r="J33" s="190"/>
      <c r="K33" s="381"/>
      <c r="L33" s="381"/>
      <c r="M33" s="384">
        <f>(L33-K33)</f>
        <v>0</v>
      </c>
      <c r="N33" s="385">
        <f>PRODUCT(M33,M33)</f>
        <v>0</v>
      </c>
    </row>
    <row r="34" spans="1:14" ht="15.75" customHeight="1">
      <c r="A34" s="189" t="s">
        <v>1250</v>
      </c>
      <c r="B34" s="382"/>
      <c r="C34" s="190" t="s">
        <v>1251</v>
      </c>
      <c r="D34" s="190"/>
      <c r="E34" s="210"/>
      <c r="F34" s="187"/>
      <c r="G34" s="382"/>
      <c r="H34" s="382"/>
      <c r="I34" s="382"/>
      <c r="J34" s="190"/>
      <c r="K34" s="382"/>
      <c r="L34" s="382"/>
      <c r="M34" s="382"/>
      <c r="N34" s="382"/>
    </row>
    <row r="35" spans="1:14" ht="15.75" customHeight="1">
      <c r="A35" s="189" t="s">
        <v>1252</v>
      </c>
      <c r="B35" s="382"/>
      <c r="C35" s="190" t="s">
        <v>1253</v>
      </c>
      <c r="D35" s="190"/>
      <c r="E35" s="210"/>
      <c r="F35" s="187"/>
      <c r="G35" s="382"/>
      <c r="H35" s="382"/>
      <c r="I35" s="382"/>
      <c r="J35" s="190"/>
      <c r="K35" s="382"/>
      <c r="L35" s="382"/>
      <c r="M35" s="382"/>
      <c r="N35" s="382"/>
    </row>
    <row r="36" spans="1:14" ht="15.75" customHeight="1">
      <c r="A36" s="189" t="s">
        <v>1254</v>
      </c>
      <c r="B36" s="383"/>
      <c r="C36" s="190"/>
      <c r="D36" s="211"/>
      <c r="E36" s="212"/>
      <c r="F36" s="187"/>
      <c r="G36" s="383"/>
      <c r="H36" s="383"/>
      <c r="I36" s="383"/>
      <c r="J36" s="190"/>
      <c r="K36" s="383"/>
      <c r="L36" s="383"/>
      <c r="M36" s="383"/>
      <c r="N36" s="383"/>
    </row>
    <row r="37" spans="1:14" ht="15.75" customHeight="1">
      <c r="A37" s="189" t="s">
        <v>1255</v>
      </c>
      <c r="B37" s="388">
        <v>1800</v>
      </c>
      <c r="C37" s="389" t="s">
        <v>1256</v>
      </c>
      <c r="D37" s="190"/>
      <c r="E37" s="210"/>
      <c r="F37" s="187"/>
      <c r="G37" s="386" t="e">
        <f>AVERAGE(F37:F40)</f>
        <v>#DIV/0!</v>
      </c>
      <c r="H37" s="385"/>
      <c r="I37" s="385"/>
      <c r="J37" s="190"/>
      <c r="K37" s="381"/>
      <c r="L37" s="381"/>
      <c r="M37" s="384">
        <f>(L37-K37)</f>
        <v>0</v>
      </c>
      <c r="N37" s="385">
        <f>PRODUCT(M37,M37)</f>
        <v>0</v>
      </c>
    </row>
    <row r="38" spans="1:14" ht="15.75" customHeight="1">
      <c r="A38" s="189" t="s">
        <v>1257</v>
      </c>
      <c r="B38" s="382"/>
      <c r="C38" s="383"/>
      <c r="D38" s="190"/>
      <c r="E38" s="189"/>
      <c r="F38" s="187"/>
      <c r="G38" s="382"/>
      <c r="H38" s="382"/>
      <c r="I38" s="382"/>
      <c r="J38" s="190"/>
      <c r="K38" s="382"/>
      <c r="L38" s="382"/>
      <c r="M38" s="382"/>
      <c r="N38" s="382"/>
    </row>
    <row r="39" spans="1:14" ht="13.5" customHeight="1">
      <c r="A39" s="189" t="s">
        <v>1258</v>
      </c>
      <c r="B39" s="382"/>
      <c r="C39" s="190" t="s">
        <v>1259</v>
      </c>
      <c r="D39" s="190"/>
      <c r="E39" s="210"/>
      <c r="F39" s="187"/>
      <c r="G39" s="382"/>
      <c r="H39" s="382"/>
      <c r="I39" s="382"/>
      <c r="J39" s="190"/>
      <c r="K39" s="382"/>
      <c r="L39" s="382"/>
      <c r="M39" s="382"/>
      <c r="N39" s="382"/>
    </row>
    <row r="40" spans="1:14" ht="15.75" customHeight="1">
      <c r="A40" s="189" t="s">
        <v>1260</v>
      </c>
      <c r="B40" s="383"/>
      <c r="C40" s="190" t="s">
        <v>1261</v>
      </c>
      <c r="D40" s="190"/>
      <c r="E40" s="210"/>
      <c r="F40" s="187"/>
      <c r="G40" s="383"/>
      <c r="H40" s="383"/>
      <c r="I40" s="383"/>
      <c r="J40" s="190"/>
      <c r="K40" s="383"/>
      <c r="L40" s="383"/>
      <c r="M40" s="383"/>
      <c r="N40" s="383"/>
    </row>
    <row r="41" spans="1:14" ht="15.75" customHeight="1">
      <c r="A41" s="189" t="s">
        <v>1262</v>
      </c>
      <c r="B41" s="388">
        <v>2000</v>
      </c>
      <c r="C41" s="190" t="s">
        <v>1263</v>
      </c>
      <c r="D41" s="190"/>
      <c r="E41" s="210"/>
      <c r="F41" s="187"/>
      <c r="G41" s="386" t="e">
        <f>AVERAGE(F41:F44)</f>
        <v>#DIV/0!</v>
      </c>
      <c r="H41" s="385"/>
      <c r="I41" s="385"/>
      <c r="J41" s="190"/>
      <c r="K41" s="381"/>
      <c r="L41" s="381"/>
      <c r="M41" s="384">
        <f>(L41-K41)</f>
        <v>0</v>
      </c>
      <c r="N41" s="385">
        <f>PRODUCT(M41,M41)</f>
        <v>0</v>
      </c>
    </row>
    <row r="42" spans="1:14" ht="15.75" customHeight="1">
      <c r="A42" s="189" t="s">
        <v>1264</v>
      </c>
      <c r="B42" s="382"/>
      <c r="C42" s="190"/>
      <c r="D42" s="211"/>
      <c r="E42" s="212"/>
      <c r="F42" s="187"/>
      <c r="G42" s="382"/>
      <c r="H42" s="382"/>
      <c r="I42" s="382"/>
      <c r="J42" s="190"/>
      <c r="K42" s="382"/>
      <c r="L42" s="382"/>
      <c r="M42" s="382"/>
      <c r="N42" s="382"/>
    </row>
    <row r="43" spans="1:14" ht="15.75" customHeight="1">
      <c r="A43" s="189" t="s">
        <v>1265</v>
      </c>
      <c r="B43" s="382"/>
      <c r="C43" s="190" t="s">
        <v>1266</v>
      </c>
      <c r="D43" s="190"/>
      <c r="E43" s="210"/>
      <c r="F43" s="187"/>
      <c r="G43" s="382"/>
      <c r="H43" s="382"/>
      <c r="I43" s="382"/>
      <c r="J43" s="190"/>
      <c r="K43" s="382"/>
      <c r="L43" s="382"/>
      <c r="M43" s="382"/>
      <c r="N43" s="382"/>
    </row>
    <row r="44" spans="1:14" ht="15.75" customHeight="1">
      <c r="A44" s="189" t="s">
        <v>1267</v>
      </c>
      <c r="B44" s="383"/>
      <c r="C44" s="190"/>
      <c r="D44" s="211"/>
      <c r="E44" s="212"/>
      <c r="F44" s="187"/>
      <c r="G44" s="383"/>
      <c r="H44" s="383"/>
      <c r="I44" s="383"/>
      <c r="J44" s="190"/>
      <c r="K44" s="383"/>
      <c r="L44" s="383"/>
      <c r="M44" s="383"/>
      <c r="N44" s="383"/>
    </row>
    <row r="45" spans="1:14" ht="15.75" customHeight="1">
      <c r="A45" s="189" t="s">
        <v>1268</v>
      </c>
      <c r="B45" s="388">
        <v>2200</v>
      </c>
      <c r="C45" s="190" t="s">
        <v>1269</v>
      </c>
      <c r="D45" s="213"/>
      <c r="E45" s="214"/>
      <c r="F45" s="187"/>
      <c r="G45" s="386" t="e">
        <f>AVERAGE(F45:F48)</f>
        <v>#DIV/0!</v>
      </c>
      <c r="H45" s="385"/>
      <c r="I45" s="385"/>
      <c r="J45" s="190"/>
      <c r="K45" s="381"/>
      <c r="L45" s="381"/>
      <c r="M45" s="384">
        <f>(L45-K45)</f>
        <v>0</v>
      </c>
      <c r="N45" s="385">
        <f>PRODUCT(M45,M45)</f>
        <v>0</v>
      </c>
    </row>
    <row r="46" spans="1:14" ht="15.75" customHeight="1">
      <c r="A46" s="189" t="s">
        <v>1270</v>
      </c>
      <c r="B46" s="382"/>
      <c r="C46" s="190"/>
      <c r="D46" s="211"/>
      <c r="E46" s="212"/>
      <c r="F46" s="187"/>
      <c r="G46" s="382"/>
      <c r="H46" s="382"/>
      <c r="I46" s="382"/>
      <c r="J46" s="190"/>
      <c r="K46" s="382"/>
      <c r="L46" s="382"/>
      <c r="M46" s="382"/>
      <c r="N46" s="382"/>
    </row>
    <row r="47" spans="1:14" ht="15.75" customHeight="1">
      <c r="A47" s="189" t="s">
        <v>1271</v>
      </c>
      <c r="B47" s="382"/>
      <c r="C47" s="190" t="s">
        <v>1272</v>
      </c>
      <c r="D47" s="190"/>
      <c r="E47" s="190"/>
      <c r="F47" s="187"/>
      <c r="G47" s="382"/>
      <c r="H47" s="382"/>
      <c r="I47" s="382"/>
      <c r="J47" s="190"/>
      <c r="K47" s="382"/>
      <c r="L47" s="382"/>
      <c r="M47" s="382"/>
      <c r="N47" s="382"/>
    </row>
    <row r="48" spans="1:14" ht="15.75" customHeight="1">
      <c r="A48" s="189" t="s">
        <v>1273</v>
      </c>
      <c r="B48" s="383"/>
      <c r="C48" s="190" t="s">
        <v>1274</v>
      </c>
      <c r="D48" s="190"/>
      <c r="E48" s="190"/>
      <c r="F48" s="187"/>
      <c r="G48" s="383"/>
      <c r="H48" s="383"/>
      <c r="I48" s="383"/>
      <c r="J48" s="190"/>
      <c r="K48" s="383"/>
      <c r="L48" s="383"/>
      <c r="M48" s="383"/>
      <c r="N48" s="383"/>
    </row>
    <row r="49" spans="1:14" ht="15.75" customHeight="1">
      <c r="A49" s="167"/>
      <c r="B49" s="167"/>
      <c r="C49" s="167"/>
      <c r="D49" s="167"/>
      <c r="E49" s="167"/>
      <c r="F49" s="215" t="s">
        <v>1275</v>
      </c>
      <c r="G49" s="172" t="e">
        <f t="shared" ref="G49:H49" si="0">AVERAGE(G5:G48)</f>
        <v>#DIV/0!</v>
      </c>
      <c r="H49" s="216" t="e">
        <f t="shared" si="0"/>
        <v>#DIV/0!</v>
      </c>
      <c r="I49" s="216" t="e">
        <f>AVERAGE(I17:I48)</f>
        <v>#DIV/0!</v>
      </c>
      <c r="J49" s="167"/>
      <c r="K49" s="167"/>
      <c r="L49" s="167"/>
      <c r="M49" s="217" t="s">
        <v>1276</v>
      </c>
      <c r="N49" s="218">
        <f>SUM(N17:N48)</f>
        <v>0</v>
      </c>
    </row>
    <row r="50" spans="1:14" ht="15.75" customHeight="1">
      <c r="F50" s="219"/>
      <c r="G50" s="220"/>
      <c r="H50" s="221"/>
      <c r="M50" s="222" t="s">
        <v>1277</v>
      </c>
      <c r="N50" s="17">
        <f>1-((6*N49)/(512-8))</f>
        <v>1</v>
      </c>
    </row>
    <row r="51" spans="1:14" ht="15.75" customHeight="1">
      <c r="F51" s="219"/>
      <c r="G51" s="220"/>
      <c r="H51" s="221"/>
      <c r="I51" s="220"/>
      <c r="M51" s="222" t="s">
        <v>1278</v>
      </c>
      <c r="N51" s="223" t="e">
        <f>N50*((8-2)/(1-N50^(2)))^(1/2)</f>
        <v>#DIV/0!</v>
      </c>
    </row>
    <row r="52" spans="1:14" ht="15.75" customHeight="1">
      <c r="F52" s="219"/>
      <c r="G52" s="220"/>
      <c r="H52" s="220"/>
      <c r="I52" s="220"/>
      <c r="M52" s="222" t="s">
        <v>1279</v>
      </c>
      <c r="N52" s="223" t="e">
        <f>ABS(N51)</f>
        <v>#DIV/0!</v>
      </c>
    </row>
    <row r="53" spans="1:14" ht="15.75" customHeight="1">
      <c r="F53" s="219"/>
      <c r="G53" s="220"/>
      <c r="H53" s="220"/>
      <c r="I53" s="220"/>
      <c r="M53" s="222"/>
    </row>
    <row r="54" spans="1:14" ht="15.75" customHeight="1">
      <c r="F54" s="219"/>
      <c r="G54" s="220"/>
      <c r="H54" s="220"/>
      <c r="I54" s="220"/>
      <c r="M54" s="222"/>
    </row>
    <row r="55" spans="1:14" ht="15.75" customHeight="1">
      <c r="F55" s="219"/>
      <c r="G55" s="220"/>
      <c r="H55" s="220"/>
      <c r="I55" s="220"/>
      <c r="M55" s="222"/>
    </row>
    <row r="56" spans="1:14" ht="15.75" customHeight="1">
      <c r="F56" s="219"/>
      <c r="G56" s="220"/>
      <c r="H56" s="220"/>
      <c r="I56" s="220"/>
      <c r="M56" s="222"/>
    </row>
    <row r="57" spans="1:14" ht="15.75" customHeight="1">
      <c r="F57" s="219"/>
      <c r="G57" s="220"/>
      <c r="H57" s="220"/>
      <c r="I57" s="220"/>
      <c r="M57" s="222"/>
    </row>
    <row r="58" spans="1:14" ht="15.75" customHeight="1">
      <c r="F58" s="219"/>
      <c r="G58" s="220"/>
      <c r="H58" s="220"/>
      <c r="I58" s="220"/>
      <c r="M58" s="222"/>
    </row>
    <row r="59" spans="1:14" ht="15.75" customHeight="1">
      <c r="F59" s="219"/>
      <c r="G59" s="220"/>
      <c r="H59" s="220"/>
      <c r="I59" s="220"/>
      <c r="M59" s="222"/>
    </row>
    <row r="60" spans="1:14" ht="15.75" customHeight="1">
      <c r="F60" s="219"/>
      <c r="G60" s="220"/>
      <c r="H60" s="220"/>
      <c r="I60" s="220"/>
      <c r="M60" s="222"/>
    </row>
    <row r="61" spans="1:14" ht="15.75" customHeight="1">
      <c r="F61" s="219"/>
      <c r="G61" s="220"/>
      <c r="H61" s="220"/>
      <c r="I61" s="220"/>
      <c r="M61" s="222"/>
    </row>
    <row r="62" spans="1:14" ht="15.75" customHeight="1">
      <c r="F62" s="219"/>
      <c r="G62" s="220"/>
      <c r="H62" s="220"/>
      <c r="I62" s="220"/>
      <c r="M62" s="222"/>
    </row>
    <row r="63" spans="1:14" ht="15.75" customHeight="1">
      <c r="F63" s="219"/>
      <c r="G63" s="220"/>
      <c r="H63" s="220"/>
      <c r="I63" s="220"/>
      <c r="M63" s="222"/>
    </row>
    <row r="64" spans="1:14" ht="15.75" customHeight="1">
      <c r="F64" s="219"/>
      <c r="G64" s="220"/>
      <c r="H64" s="220"/>
      <c r="I64" s="220"/>
      <c r="M64" s="222"/>
    </row>
    <row r="65" spans="6:13" ht="15.75" customHeight="1">
      <c r="F65" s="219"/>
      <c r="G65" s="220"/>
      <c r="H65" s="220"/>
      <c r="I65" s="220"/>
      <c r="M65" s="222"/>
    </row>
    <row r="66" spans="6:13" ht="15.75" customHeight="1">
      <c r="F66" s="219"/>
      <c r="G66" s="220"/>
      <c r="H66" s="220"/>
      <c r="I66" s="220"/>
      <c r="M66" s="222"/>
    </row>
    <row r="67" spans="6:13" ht="15.75" customHeight="1">
      <c r="F67" s="219"/>
      <c r="G67" s="220"/>
      <c r="H67" s="220"/>
      <c r="I67" s="220"/>
      <c r="M67" s="222"/>
    </row>
    <row r="68" spans="6:13" ht="15.75" customHeight="1">
      <c r="F68" s="219"/>
      <c r="G68" s="220"/>
      <c r="H68" s="220"/>
      <c r="I68" s="220"/>
      <c r="M68" s="222"/>
    </row>
    <row r="69" spans="6:13" ht="15.75" customHeight="1">
      <c r="F69" s="219"/>
      <c r="G69" s="220"/>
      <c r="H69" s="220"/>
      <c r="I69" s="220"/>
      <c r="M69" s="222"/>
    </row>
    <row r="70" spans="6:13" ht="15.75" customHeight="1">
      <c r="F70" s="219"/>
      <c r="G70" s="220"/>
      <c r="H70" s="220"/>
      <c r="I70" s="220"/>
      <c r="M70" s="222"/>
    </row>
    <row r="71" spans="6:13" ht="15.75" customHeight="1">
      <c r="F71" s="219"/>
      <c r="G71" s="220"/>
      <c r="H71" s="220"/>
      <c r="I71" s="220"/>
      <c r="M71" s="222"/>
    </row>
    <row r="72" spans="6:13" ht="15.75" customHeight="1">
      <c r="F72" s="219"/>
      <c r="G72" s="220"/>
      <c r="H72" s="220"/>
      <c r="I72" s="220"/>
      <c r="M72" s="222"/>
    </row>
    <row r="73" spans="6:13" ht="15.75" customHeight="1">
      <c r="F73" s="219"/>
      <c r="G73" s="220"/>
      <c r="H73" s="220"/>
      <c r="I73" s="220"/>
      <c r="M73" s="222"/>
    </row>
    <row r="74" spans="6:13" ht="15.75" customHeight="1">
      <c r="F74" s="219"/>
      <c r="G74" s="220"/>
      <c r="H74" s="220"/>
      <c r="I74" s="220"/>
      <c r="M74" s="222"/>
    </row>
    <row r="75" spans="6:13" ht="15.75" customHeight="1">
      <c r="F75" s="219"/>
      <c r="G75" s="220"/>
      <c r="H75" s="220"/>
      <c r="I75" s="220"/>
      <c r="M75" s="222"/>
    </row>
    <row r="76" spans="6:13" ht="15.75" customHeight="1">
      <c r="F76" s="219"/>
      <c r="G76" s="220"/>
      <c r="H76" s="220"/>
      <c r="I76" s="220"/>
      <c r="M76" s="222"/>
    </row>
    <row r="77" spans="6:13" ht="15.75" customHeight="1">
      <c r="F77" s="219"/>
      <c r="G77" s="220"/>
      <c r="H77" s="220"/>
      <c r="I77" s="220"/>
      <c r="M77" s="222"/>
    </row>
    <row r="78" spans="6:13" ht="15.75" customHeight="1">
      <c r="F78" s="219"/>
      <c r="G78" s="220"/>
      <c r="H78" s="220"/>
      <c r="I78" s="220"/>
      <c r="M78" s="222"/>
    </row>
    <row r="79" spans="6:13" ht="15.75" customHeight="1">
      <c r="F79" s="219"/>
      <c r="G79" s="220"/>
      <c r="H79" s="220"/>
      <c r="I79" s="220"/>
      <c r="M79" s="222"/>
    </row>
    <row r="80" spans="6:13" ht="15.75" customHeight="1">
      <c r="F80" s="219"/>
      <c r="G80" s="220"/>
      <c r="H80" s="220"/>
      <c r="I80" s="220"/>
      <c r="M80" s="222"/>
    </row>
    <row r="81" spans="6:13" ht="15.75" customHeight="1">
      <c r="F81" s="219"/>
      <c r="G81" s="220"/>
      <c r="H81" s="220"/>
      <c r="I81" s="220"/>
      <c r="M81" s="222"/>
    </row>
    <row r="82" spans="6:13" ht="15.75" customHeight="1">
      <c r="F82" s="219"/>
      <c r="G82" s="220"/>
      <c r="H82" s="220"/>
      <c r="I82" s="220"/>
      <c r="M82" s="222"/>
    </row>
    <row r="83" spans="6:13" ht="15.75" customHeight="1">
      <c r="F83" s="219"/>
      <c r="G83" s="220"/>
      <c r="H83" s="220"/>
      <c r="I83" s="220"/>
      <c r="M83" s="222"/>
    </row>
    <row r="84" spans="6:13" ht="15.75" customHeight="1">
      <c r="F84" s="219"/>
      <c r="G84" s="220"/>
      <c r="H84" s="220"/>
      <c r="I84" s="220"/>
      <c r="M84" s="222"/>
    </row>
    <row r="85" spans="6:13" ht="15.75" customHeight="1">
      <c r="F85" s="219"/>
      <c r="G85" s="220"/>
      <c r="H85" s="220"/>
      <c r="I85" s="220"/>
      <c r="M85" s="222"/>
    </row>
    <row r="86" spans="6:13" ht="15.75" customHeight="1">
      <c r="F86" s="219"/>
      <c r="G86" s="220"/>
      <c r="H86" s="220"/>
      <c r="I86" s="220"/>
      <c r="M86" s="222"/>
    </row>
    <row r="87" spans="6:13" ht="15.75" customHeight="1">
      <c r="F87" s="219"/>
      <c r="G87" s="220"/>
      <c r="H87" s="220"/>
      <c r="I87" s="220"/>
      <c r="M87" s="222"/>
    </row>
    <row r="88" spans="6:13" ht="15.75" customHeight="1">
      <c r="F88" s="219"/>
      <c r="G88" s="220"/>
      <c r="H88" s="220"/>
      <c r="I88" s="220"/>
      <c r="M88" s="222"/>
    </row>
    <row r="89" spans="6:13" ht="15.75" customHeight="1">
      <c r="F89" s="219"/>
      <c r="G89" s="220"/>
      <c r="H89" s="220"/>
      <c r="I89" s="220"/>
      <c r="M89" s="222"/>
    </row>
    <row r="90" spans="6:13" ht="15.75" customHeight="1">
      <c r="F90" s="219"/>
      <c r="G90" s="220"/>
      <c r="H90" s="220"/>
      <c r="I90" s="220"/>
      <c r="M90" s="222"/>
    </row>
    <row r="91" spans="6:13" ht="15.75" customHeight="1">
      <c r="F91" s="219"/>
      <c r="G91" s="220"/>
      <c r="H91" s="220"/>
      <c r="I91" s="220"/>
      <c r="M91" s="222"/>
    </row>
    <row r="92" spans="6:13" ht="15.75" customHeight="1">
      <c r="F92" s="219"/>
      <c r="G92" s="220"/>
      <c r="H92" s="220"/>
      <c r="I92" s="220"/>
      <c r="M92" s="222"/>
    </row>
    <row r="93" spans="6:13" ht="15.75" customHeight="1">
      <c r="F93" s="219"/>
      <c r="G93" s="220"/>
      <c r="H93" s="220"/>
      <c r="I93" s="220"/>
      <c r="M93" s="222"/>
    </row>
    <row r="94" spans="6:13" ht="15.75" customHeight="1">
      <c r="F94" s="219"/>
      <c r="G94" s="220"/>
      <c r="H94" s="220"/>
      <c r="I94" s="220"/>
      <c r="M94" s="222"/>
    </row>
    <row r="95" spans="6:13" ht="15.75" customHeight="1">
      <c r="F95" s="219"/>
      <c r="G95" s="220"/>
      <c r="H95" s="220"/>
      <c r="I95" s="220"/>
      <c r="M95" s="222"/>
    </row>
    <row r="96" spans="6:13" ht="15.75" customHeight="1">
      <c r="F96" s="219"/>
      <c r="G96" s="220"/>
      <c r="H96" s="220"/>
      <c r="I96" s="220"/>
      <c r="M96" s="222"/>
    </row>
    <row r="97" spans="6:13" ht="15.75" customHeight="1">
      <c r="F97" s="219"/>
      <c r="G97" s="220"/>
      <c r="H97" s="220"/>
      <c r="I97" s="220"/>
      <c r="M97" s="222"/>
    </row>
    <row r="98" spans="6:13" ht="15.75" customHeight="1">
      <c r="F98" s="219"/>
      <c r="G98" s="220"/>
      <c r="H98" s="220"/>
      <c r="I98" s="220"/>
      <c r="M98" s="222"/>
    </row>
    <row r="99" spans="6:13" ht="15.75" customHeight="1">
      <c r="F99" s="219"/>
      <c r="G99" s="220"/>
      <c r="H99" s="220"/>
      <c r="I99" s="220"/>
      <c r="M99" s="222"/>
    </row>
    <row r="100" spans="6:13" ht="15.75" customHeight="1">
      <c r="F100" s="219"/>
      <c r="G100" s="220"/>
      <c r="H100" s="220"/>
      <c r="I100" s="220"/>
      <c r="M100" s="222"/>
    </row>
    <row r="101" spans="6:13" ht="15.75" customHeight="1">
      <c r="F101" s="219"/>
      <c r="G101" s="220"/>
      <c r="H101" s="220"/>
      <c r="I101" s="220"/>
      <c r="M101" s="222"/>
    </row>
    <row r="102" spans="6:13" ht="15.75" customHeight="1">
      <c r="F102" s="219"/>
      <c r="G102" s="220"/>
      <c r="H102" s="220"/>
      <c r="I102" s="220"/>
      <c r="M102" s="222"/>
    </row>
    <row r="103" spans="6:13" ht="15.75" customHeight="1">
      <c r="F103" s="219"/>
      <c r="G103" s="220"/>
      <c r="H103" s="220"/>
      <c r="I103" s="220"/>
      <c r="M103" s="222"/>
    </row>
    <row r="104" spans="6:13" ht="15.75" customHeight="1">
      <c r="F104" s="219"/>
      <c r="G104" s="220"/>
      <c r="H104" s="220"/>
      <c r="I104" s="220"/>
      <c r="M104" s="222"/>
    </row>
    <row r="105" spans="6:13" ht="15.75" customHeight="1">
      <c r="F105" s="219"/>
      <c r="G105" s="220"/>
      <c r="H105" s="220"/>
      <c r="I105" s="220"/>
      <c r="M105" s="222"/>
    </row>
    <row r="106" spans="6:13" ht="15.75" customHeight="1">
      <c r="F106" s="219"/>
      <c r="G106" s="220"/>
      <c r="H106" s="220"/>
      <c r="I106" s="220"/>
      <c r="M106" s="222"/>
    </row>
    <row r="107" spans="6:13" ht="15.75" customHeight="1">
      <c r="F107" s="219"/>
      <c r="G107" s="220"/>
      <c r="H107" s="220"/>
      <c r="I107" s="220"/>
      <c r="M107" s="222"/>
    </row>
    <row r="108" spans="6:13" ht="15.75" customHeight="1">
      <c r="F108" s="219"/>
      <c r="G108" s="220"/>
      <c r="H108" s="220"/>
      <c r="I108" s="220"/>
      <c r="M108" s="222"/>
    </row>
    <row r="109" spans="6:13" ht="15.75" customHeight="1">
      <c r="F109" s="219"/>
      <c r="G109" s="220"/>
      <c r="H109" s="220"/>
      <c r="I109" s="220"/>
      <c r="M109" s="222"/>
    </row>
    <row r="110" spans="6:13" ht="15.75" customHeight="1">
      <c r="F110" s="219"/>
      <c r="G110" s="220"/>
      <c r="H110" s="220"/>
      <c r="I110" s="220"/>
      <c r="M110" s="222"/>
    </row>
    <row r="111" spans="6:13" ht="15.75" customHeight="1">
      <c r="F111" s="219"/>
      <c r="G111" s="220"/>
      <c r="H111" s="220"/>
      <c r="I111" s="220"/>
      <c r="M111" s="222"/>
    </row>
    <row r="112" spans="6:13" ht="15.75" customHeight="1">
      <c r="F112" s="219"/>
      <c r="G112" s="220"/>
      <c r="H112" s="220"/>
      <c r="I112" s="220"/>
      <c r="M112" s="222"/>
    </row>
    <row r="113" spans="2:13" ht="15.75" customHeight="1">
      <c r="F113" s="219"/>
      <c r="G113" s="220"/>
      <c r="H113" s="220"/>
      <c r="I113" s="220"/>
      <c r="M113" s="222"/>
    </row>
    <row r="114" spans="2:13" ht="15.75" customHeight="1">
      <c r="F114" s="219"/>
      <c r="G114" s="220"/>
      <c r="H114" s="220"/>
      <c r="I114" s="220"/>
      <c r="M114" s="222"/>
    </row>
    <row r="115" spans="2:13" ht="15.75" customHeight="1">
      <c r="F115" s="219"/>
      <c r="G115" s="220"/>
      <c r="H115" s="220"/>
      <c r="I115" s="220"/>
      <c r="M115" s="222"/>
    </row>
    <row r="116" spans="2:13" ht="15.75" customHeight="1">
      <c r="F116" s="219"/>
      <c r="G116" s="220"/>
      <c r="H116" s="220"/>
      <c r="I116" s="220"/>
      <c r="M116" s="222"/>
    </row>
    <row r="117" spans="2:13" ht="15.75" customHeight="1">
      <c r="F117" s="219"/>
      <c r="G117" s="220"/>
      <c r="H117" s="220"/>
      <c r="I117" s="220"/>
      <c r="M117" s="222"/>
    </row>
    <row r="118" spans="2:13" ht="15.75" customHeight="1">
      <c r="F118" s="219"/>
      <c r="G118" s="220"/>
      <c r="H118" s="220"/>
      <c r="I118" s="220"/>
      <c r="M118" s="222"/>
    </row>
    <row r="119" spans="2:13" ht="15.75" customHeight="1">
      <c r="F119" s="219"/>
      <c r="G119" s="220"/>
      <c r="H119" s="220"/>
      <c r="I119" s="220"/>
      <c r="M119" s="222"/>
    </row>
    <row r="120" spans="2:13" ht="15.75" customHeight="1">
      <c r="F120" s="219"/>
      <c r="G120" s="220"/>
      <c r="H120" s="220"/>
      <c r="I120" s="220"/>
      <c r="M120" s="222"/>
    </row>
    <row r="121" spans="2:13" ht="15.75" customHeight="1">
      <c r="B121" s="387"/>
      <c r="C121" s="387"/>
      <c r="D121" s="225"/>
      <c r="E121" s="225"/>
      <c r="F121" s="226"/>
      <c r="G121" s="224"/>
      <c r="H121" s="224"/>
      <c r="I121" s="224"/>
      <c r="J121" s="225"/>
      <c r="M121" s="222"/>
    </row>
    <row r="122" spans="2:13" ht="15.75" customHeight="1">
      <c r="B122" s="372"/>
      <c r="C122" s="372"/>
      <c r="D122" s="225"/>
      <c r="E122" s="225"/>
      <c r="F122" s="226"/>
      <c r="G122" s="224"/>
      <c r="H122" s="227"/>
      <c r="I122" s="224"/>
      <c r="J122" s="225"/>
      <c r="M122" s="222"/>
    </row>
    <row r="123" spans="2:13" ht="15.75" customHeight="1">
      <c r="B123" s="372"/>
      <c r="C123" s="372"/>
      <c r="D123" s="225"/>
      <c r="E123" s="225"/>
      <c r="F123" s="226"/>
      <c r="G123" s="224"/>
      <c r="H123" s="224"/>
      <c r="I123" s="224"/>
      <c r="J123" s="225"/>
      <c r="M123" s="222"/>
    </row>
    <row r="124" spans="2:13" ht="15.75" customHeight="1">
      <c r="B124" s="372"/>
      <c r="C124" s="372"/>
      <c r="D124" s="225"/>
      <c r="E124" s="225"/>
      <c r="F124" s="226"/>
      <c r="G124" s="224"/>
      <c r="H124" s="224"/>
      <c r="I124" s="224"/>
      <c r="J124" s="225"/>
      <c r="M124" s="222"/>
    </row>
    <row r="125" spans="2:13" ht="15.75" customHeight="1">
      <c r="B125" s="387"/>
      <c r="C125" s="387"/>
      <c r="D125" s="225"/>
      <c r="E125" s="225"/>
      <c r="F125" s="226"/>
      <c r="G125" s="224"/>
      <c r="H125" s="224"/>
      <c r="I125" s="224"/>
      <c r="J125" s="225"/>
      <c r="M125" s="222"/>
    </row>
    <row r="126" spans="2:13" ht="15.75" customHeight="1">
      <c r="B126" s="372"/>
      <c r="C126" s="372"/>
      <c r="D126" s="225"/>
      <c r="E126" s="225"/>
      <c r="F126" s="226"/>
      <c r="G126" s="224"/>
      <c r="H126" s="224"/>
      <c r="I126" s="224"/>
      <c r="J126" s="225"/>
      <c r="M126" s="222"/>
    </row>
    <row r="127" spans="2:13" ht="15.75" customHeight="1">
      <c r="B127" s="372"/>
      <c r="C127" s="372"/>
      <c r="D127" s="225"/>
      <c r="E127" s="225"/>
      <c r="F127" s="226"/>
      <c r="G127" s="224"/>
      <c r="H127" s="224"/>
      <c r="I127" s="224"/>
      <c r="J127" s="225"/>
      <c r="M127" s="222"/>
    </row>
    <row r="128" spans="2:13" ht="15.75" customHeight="1">
      <c r="B128" s="372"/>
      <c r="C128" s="372"/>
      <c r="D128" s="225"/>
      <c r="E128" s="225"/>
      <c r="F128" s="226"/>
      <c r="G128" s="224"/>
      <c r="H128" s="224"/>
      <c r="I128" s="224"/>
      <c r="J128" s="225"/>
      <c r="M128" s="222"/>
    </row>
    <row r="129" spans="2:13" ht="15.75" customHeight="1">
      <c r="B129" s="387"/>
      <c r="C129" s="387"/>
      <c r="D129" s="225"/>
      <c r="E129" s="225"/>
      <c r="F129" s="226"/>
      <c r="G129" s="224"/>
      <c r="H129" s="224"/>
      <c r="I129" s="224"/>
      <c r="J129" s="225"/>
      <c r="M129" s="222"/>
    </row>
    <row r="130" spans="2:13" ht="15.75" customHeight="1">
      <c r="B130" s="372"/>
      <c r="C130" s="372"/>
      <c r="D130" s="225"/>
      <c r="E130" s="225"/>
      <c r="F130" s="226"/>
      <c r="G130" s="224"/>
      <c r="H130" s="224"/>
      <c r="I130" s="224"/>
      <c r="J130" s="225"/>
      <c r="M130" s="222"/>
    </row>
    <row r="131" spans="2:13" ht="15.75" customHeight="1">
      <c r="B131" s="372"/>
      <c r="C131" s="372"/>
      <c r="D131" s="225"/>
      <c r="E131" s="225"/>
      <c r="F131" s="226"/>
      <c r="G131" s="224"/>
      <c r="H131" s="224"/>
      <c r="I131" s="224"/>
      <c r="J131" s="225"/>
      <c r="M131" s="222"/>
    </row>
    <row r="132" spans="2:13" ht="15.75" customHeight="1">
      <c r="B132" s="372"/>
      <c r="C132" s="372"/>
      <c r="D132" s="225"/>
      <c r="E132" s="225"/>
      <c r="F132" s="226"/>
      <c r="G132" s="224"/>
      <c r="H132" s="224"/>
      <c r="I132" s="224"/>
      <c r="J132" s="225"/>
      <c r="M132" s="222"/>
    </row>
    <row r="133" spans="2:13" ht="15.75" customHeight="1">
      <c r="F133" s="219"/>
      <c r="G133" s="220"/>
      <c r="H133" s="220"/>
      <c r="I133" s="220"/>
      <c r="M133" s="222"/>
    </row>
    <row r="134" spans="2:13" ht="15.75" customHeight="1">
      <c r="F134" s="219"/>
      <c r="G134" s="220"/>
      <c r="H134" s="220"/>
      <c r="I134" s="220"/>
      <c r="M134" s="222"/>
    </row>
    <row r="135" spans="2:13" ht="15.75" customHeight="1">
      <c r="F135" s="219"/>
      <c r="G135" s="220"/>
      <c r="H135" s="220"/>
      <c r="I135" s="220"/>
      <c r="M135" s="222"/>
    </row>
    <row r="136" spans="2:13" ht="15.75" customHeight="1">
      <c r="F136" s="219"/>
      <c r="G136" s="220"/>
      <c r="H136" s="220"/>
      <c r="I136" s="220"/>
      <c r="M136" s="222"/>
    </row>
    <row r="137" spans="2:13" ht="15.75" customHeight="1">
      <c r="F137" s="219"/>
      <c r="G137" s="220"/>
      <c r="H137" s="220"/>
      <c r="I137" s="220"/>
      <c r="M137" s="222"/>
    </row>
    <row r="138" spans="2:13" ht="15.75" customHeight="1">
      <c r="F138" s="219"/>
      <c r="G138" s="220"/>
      <c r="H138" s="220"/>
      <c r="I138" s="220"/>
      <c r="M138" s="222"/>
    </row>
    <row r="139" spans="2:13" ht="15.75" customHeight="1">
      <c r="F139" s="219"/>
      <c r="G139" s="220"/>
      <c r="H139" s="220"/>
      <c r="I139" s="220"/>
      <c r="M139" s="222"/>
    </row>
    <row r="140" spans="2:13" ht="15.75" customHeight="1">
      <c r="F140" s="219"/>
      <c r="G140" s="220"/>
      <c r="H140" s="220"/>
      <c r="I140" s="220"/>
      <c r="M140" s="222"/>
    </row>
    <row r="141" spans="2:13" ht="15.75" customHeight="1">
      <c r="F141" s="219"/>
      <c r="G141" s="220"/>
      <c r="H141" s="220"/>
      <c r="I141" s="220"/>
      <c r="M141" s="222"/>
    </row>
    <row r="142" spans="2:13" ht="15.75" customHeight="1">
      <c r="F142" s="219"/>
      <c r="G142" s="220"/>
      <c r="H142" s="220"/>
      <c r="I142" s="220"/>
      <c r="M142" s="222"/>
    </row>
    <row r="143" spans="2:13" ht="15.75" customHeight="1">
      <c r="F143" s="219"/>
      <c r="G143" s="220"/>
      <c r="H143" s="220"/>
      <c r="I143" s="220"/>
      <c r="M143" s="222"/>
    </row>
    <row r="144" spans="2:13" ht="15.75" customHeight="1">
      <c r="F144" s="219"/>
      <c r="G144" s="220"/>
      <c r="H144" s="220"/>
      <c r="I144" s="220"/>
      <c r="M144" s="222"/>
    </row>
    <row r="145" spans="6:13" ht="15.75" customHeight="1">
      <c r="F145" s="219"/>
      <c r="G145" s="220"/>
      <c r="H145" s="220"/>
      <c r="I145" s="220"/>
      <c r="M145" s="222"/>
    </row>
    <row r="146" spans="6:13" ht="15.75" customHeight="1">
      <c r="F146" s="219"/>
      <c r="G146" s="220"/>
      <c r="H146" s="220"/>
      <c r="I146" s="220"/>
      <c r="M146" s="222"/>
    </row>
    <row r="147" spans="6:13" ht="15.75" customHeight="1">
      <c r="F147" s="219"/>
      <c r="G147" s="220"/>
      <c r="H147" s="220"/>
      <c r="I147" s="220"/>
      <c r="M147" s="222"/>
    </row>
    <row r="148" spans="6:13" ht="15.75" customHeight="1">
      <c r="F148" s="219"/>
      <c r="G148" s="220"/>
      <c r="H148" s="220"/>
      <c r="I148" s="220"/>
      <c r="M148" s="222"/>
    </row>
    <row r="149" spans="6:13" ht="15.75" customHeight="1">
      <c r="F149" s="219"/>
      <c r="G149" s="220"/>
      <c r="H149" s="220"/>
      <c r="I149" s="220"/>
      <c r="M149" s="222"/>
    </row>
    <row r="150" spans="6:13" ht="15.75" customHeight="1">
      <c r="F150" s="219"/>
      <c r="G150" s="220"/>
      <c r="H150" s="220"/>
      <c r="I150" s="220"/>
      <c r="M150" s="222"/>
    </row>
    <row r="151" spans="6:13" ht="15.75" customHeight="1">
      <c r="F151" s="219"/>
      <c r="G151" s="220"/>
      <c r="H151" s="220"/>
      <c r="I151" s="220"/>
      <c r="M151" s="222"/>
    </row>
    <row r="152" spans="6:13" ht="15.75" customHeight="1">
      <c r="F152" s="219"/>
      <c r="G152" s="220"/>
      <c r="H152" s="220"/>
      <c r="I152" s="220"/>
      <c r="M152" s="222"/>
    </row>
    <row r="153" spans="6:13" ht="15.75" customHeight="1">
      <c r="F153" s="219"/>
      <c r="G153" s="220"/>
      <c r="H153" s="220"/>
      <c r="I153" s="220"/>
      <c r="M153" s="222"/>
    </row>
    <row r="154" spans="6:13" ht="15.75" customHeight="1">
      <c r="F154" s="219"/>
      <c r="G154" s="220"/>
      <c r="H154" s="220"/>
      <c r="I154" s="220"/>
      <c r="M154" s="222"/>
    </row>
    <row r="155" spans="6:13" ht="15.75" customHeight="1">
      <c r="F155" s="219"/>
      <c r="G155" s="220"/>
      <c r="H155" s="220"/>
      <c r="I155" s="220"/>
      <c r="M155" s="222"/>
    </row>
    <row r="156" spans="6:13" ht="15.75" customHeight="1">
      <c r="F156" s="219"/>
      <c r="G156" s="220"/>
      <c r="H156" s="220"/>
      <c r="I156" s="220"/>
      <c r="M156" s="222"/>
    </row>
    <row r="157" spans="6:13" ht="15.75" customHeight="1">
      <c r="F157" s="219"/>
      <c r="G157" s="220"/>
      <c r="H157" s="220"/>
      <c r="I157" s="220"/>
      <c r="M157" s="222"/>
    </row>
    <row r="158" spans="6:13" ht="15.75" customHeight="1">
      <c r="F158" s="219"/>
      <c r="G158" s="220"/>
      <c r="H158" s="220"/>
      <c r="I158" s="220"/>
      <c r="M158" s="222"/>
    </row>
    <row r="159" spans="6:13" ht="15.75" customHeight="1">
      <c r="F159" s="219"/>
      <c r="G159" s="220"/>
      <c r="H159" s="220"/>
      <c r="I159" s="220"/>
      <c r="M159" s="222"/>
    </row>
    <row r="160" spans="6:13" ht="15.75" customHeight="1">
      <c r="F160" s="219"/>
      <c r="G160" s="220"/>
      <c r="H160" s="220"/>
      <c r="I160" s="220"/>
      <c r="M160" s="222"/>
    </row>
    <row r="161" spans="6:13" ht="15.75" customHeight="1">
      <c r="F161" s="219"/>
      <c r="G161" s="220"/>
      <c r="H161" s="220"/>
      <c r="I161" s="220"/>
      <c r="M161" s="222"/>
    </row>
    <row r="162" spans="6:13" ht="15.75" customHeight="1">
      <c r="F162" s="219"/>
      <c r="G162" s="220"/>
      <c r="H162" s="220"/>
      <c r="I162" s="220"/>
      <c r="M162" s="222"/>
    </row>
    <row r="163" spans="6:13" ht="15.75" customHeight="1">
      <c r="F163" s="219"/>
      <c r="G163" s="220"/>
      <c r="H163" s="220"/>
      <c r="I163" s="220"/>
      <c r="M163" s="222"/>
    </row>
    <row r="164" spans="6:13" ht="15.75" customHeight="1">
      <c r="F164" s="219"/>
      <c r="G164" s="220"/>
      <c r="H164" s="220"/>
      <c r="I164" s="220"/>
      <c r="M164" s="222"/>
    </row>
    <row r="165" spans="6:13" ht="15.75" customHeight="1">
      <c r="F165" s="219"/>
      <c r="G165" s="220"/>
      <c r="H165" s="220"/>
      <c r="I165" s="220"/>
      <c r="M165" s="222"/>
    </row>
    <row r="166" spans="6:13" ht="15.75" customHeight="1">
      <c r="F166" s="219"/>
      <c r="G166" s="220"/>
      <c r="H166" s="220"/>
      <c r="I166" s="220"/>
      <c r="M166" s="222"/>
    </row>
    <row r="167" spans="6:13" ht="15.75" customHeight="1">
      <c r="F167" s="219"/>
      <c r="G167" s="220"/>
      <c r="H167" s="220"/>
      <c r="I167" s="220"/>
      <c r="M167" s="222"/>
    </row>
    <row r="168" spans="6:13" ht="15.75" customHeight="1">
      <c r="F168" s="219"/>
      <c r="G168" s="220"/>
      <c r="H168" s="220"/>
      <c r="I168" s="220"/>
      <c r="M168" s="222"/>
    </row>
    <row r="169" spans="6:13" ht="15.75" customHeight="1">
      <c r="F169" s="219"/>
      <c r="G169" s="220"/>
      <c r="H169" s="220"/>
      <c r="I169" s="220"/>
      <c r="M169" s="222"/>
    </row>
    <row r="170" spans="6:13" ht="15.75" customHeight="1">
      <c r="F170" s="219"/>
      <c r="G170" s="220"/>
      <c r="H170" s="220"/>
      <c r="I170" s="220"/>
      <c r="M170" s="222"/>
    </row>
    <row r="171" spans="6:13" ht="15.75" customHeight="1">
      <c r="F171" s="219"/>
      <c r="G171" s="220"/>
      <c r="H171" s="220"/>
      <c r="I171" s="220"/>
      <c r="M171" s="222"/>
    </row>
    <row r="172" spans="6:13" ht="15.75" customHeight="1">
      <c r="F172" s="219"/>
      <c r="G172" s="220"/>
      <c r="H172" s="220"/>
      <c r="I172" s="220"/>
      <c r="M172" s="222"/>
    </row>
    <row r="173" spans="6:13" ht="15.75" customHeight="1">
      <c r="F173" s="219"/>
      <c r="G173" s="220"/>
      <c r="H173" s="220"/>
      <c r="I173" s="220"/>
      <c r="M173" s="222"/>
    </row>
    <row r="174" spans="6:13" ht="15.75" customHeight="1">
      <c r="F174" s="219"/>
      <c r="G174" s="220"/>
      <c r="H174" s="220"/>
      <c r="I174" s="220"/>
      <c r="M174" s="222"/>
    </row>
    <row r="175" spans="6:13" ht="15.75" customHeight="1">
      <c r="F175" s="219"/>
      <c r="G175" s="220"/>
      <c r="H175" s="220"/>
      <c r="I175" s="220"/>
      <c r="M175" s="222"/>
    </row>
    <row r="176" spans="6:13" ht="15.75" customHeight="1">
      <c r="F176" s="219"/>
      <c r="G176" s="220"/>
      <c r="H176" s="220"/>
      <c r="I176" s="220"/>
      <c r="M176" s="222"/>
    </row>
    <row r="177" spans="6:13" ht="15.75" customHeight="1">
      <c r="F177" s="219"/>
      <c r="G177" s="220"/>
      <c r="H177" s="220"/>
      <c r="I177" s="220"/>
      <c r="M177" s="222"/>
    </row>
    <row r="178" spans="6:13" ht="15.75" customHeight="1">
      <c r="F178" s="219"/>
      <c r="G178" s="220"/>
      <c r="H178" s="220"/>
      <c r="I178" s="220"/>
      <c r="M178" s="222"/>
    </row>
    <row r="179" spans="6:13" ht="15.75" customHeight="1">
      <c r="F179" s="219"/>
      <c r="G179" s="220"/>
      <c r="H179" s="220"/>
      <c r="I179" s="220"/>
      <c r="M179" s="222"/>
    </row>
    <row r="180" spans="6:13" ht="15.75" customHeight="1">
      <c r="F180" s="219"/>
      <c r="G180" s="220"/>
      <c r="H180" s="220"/>
      <c r="I180" s="220"/>
      <c r="M180" s="222"/>
    </row>
    <row r="181" spans="6:13" ht="15.75" customHeight="1">
      <c r="F181" s="219"/>
      <c r="G181" s="220"/>
      <c r="H181" s="220"/>
      <c r="I181" s="220"/>
      <c r="M181" s="222"/>
    </row>
    <row r="182" spans="6:13" ht="15.75" customHeight="1">
      <c r="F182" s="219"/>
      <c r="G182" s="220"/>
      <c r="H182" s="220"/>
      <c r="I182" s="220"/>
      <c r="M182" s="222"/>
    </row>
    <row r="183" spans="6:13" ht="15.75" customHeight="1">
      <c r="F183" s="219"/>
      <c r="G183" s="220"/>
      <c r="H183" s="220"/>
      <c r="I183" s="220"/>
      <c r="M183" s="222"/>
    </row>
    <row r="184" spans="6:13" ht="15.75" customHeight="1">
      <c r="F184" s="219"/>
      <c r="G184" s="220"/>
      <c r="H184" s="220"/>
      <c r="I184" s="220"/>
      <c r="M184" s="222"/>
    </row>
    <row r="185" spans="6:13" ht="15.75" customHeight="1">
      <c r="F185" s="219"/>
      <c r="G185" s="220"/>
      <c r="H185" s="220"/>
      <c r="I185" s="220"/>
      <c r="M185" s="222"/>
    </row>
    <row r="186" spans="6:13" ht="15.75" customHeight="1">
      <c r="F186" s="219"/>
      <c r="G186" s="220"/>
      <c r="H186" s="220"/>
      <c r="I186" s="220"/>
      <c r="M186" s="222"/>
    </row>
    <row r="187" spans="6:13" ht="15.75" customHeight="1">
      <c r="F187" s="219"/>
      <c r="G187" s="220"/>
      <c r="H187" s="220"/>
      <c r="I187" s="220"/>
      <c r="M187" s="222"/>
    </row>
    <row r="188" spans="6:13" ht="15.75" customHeight="1">
      <c r="F188" s="219"/>
      <c r="G188" s="220"/>
      <c r="H188" s="220"/>
      <c r="I188" s="220"/>
      <c r="M188" s="222"/>
    </row>
    <row r="189" spans="6:13" ht="15.75" customHeight="1">
      <c r="F189" s="219"/>
      <c r="G189" s="220"/>
      <c r="H189" s="220"/>
      <c r="I189" s="220"/>
      <c r="M189" s="222"/>
    </row>
    <row r="190" spans="6:13" ht="15.75" customHeight="1">
      <c r="F190" s="219"/>
      <c r="G190" s="220"/>
      <c r="H190" s="220"/>
      <c r="I190" s="220"/>
      <c r="M190" s="222"/>
    </row>
    <row r="191" spans="6:13" ht="15.75" customHeight="1">
      <c r="F191" s="219"/>
      <c r="G191" s="220"/>
      <c r="H191" s="220"/>
      <c r="I191" s="220"/>
      <c r="M191" s="222"/>
    </row>
    <row r="192" spans="6:13" ht="15.75" customHeight="1">
      <c r="F192" s="219"/>
      <c r="G192" s="220"/>
      <c r="H192" s="220"/>
      <c r="I192" s="220"/>
      <c r="M192" s="222"/>
    </row>
    <row r="193" spans="6:13" ht="15.75" customHeight="1">
      <c r="F193" s="219"/>
      <c r="G193" s="220"/>
      <c r="H193" s="220"/>
      <c r="I193" s="220"/>
      <c r="M193" s="222"/>
    </row>
    <row r="194" spans="6:13" ht="15.75" customHeight="1">
      <c r="F194" s="219"/>
      <c r="G194" s="220"/>
      <c r="H194" s="220"/>
      <c r="I194" s="220"/>
      <c r="M194" s="222"/>
    </row>
    <row r="195" spans="6:13" ht="15.75" customHeight="1">
      <c r="F195" s="219"/>
      <c r="G195" s="220"/>
      <c r="H195" s="220"/>
      <c r="I195" s="220"/>
      <c r="M195" s="222"/>
    </row>
    <row r="196" spans="6:13" ht="15.75" customHeight="1">
      <c r="F196" s="219"/>
      <c r="G196" s="220"/>
      <c r="H196" s="220"/>
      <c r="I196" s="220"/>
      <c r="M196" s="222"/>
    </row>
    <row r="197" spans="6:13" ht="15.75" customHeight="1">
      <c r="F197" s="219"/>
      <c r="G197" s="220"/>
      <c r="H197" s="220"/>
      <c r="I197" s="220"/>
      <c r="M197" s="222"/>
    </row>
    <row r="198" spans="6:13" ht="15.75" customHeight="1">
      <c r="F198" s="219"/>
      <c r="G198" s="220"/>
      <c r="H198" s="220"/>
      <c r="I198" s="220"/>
      <c r="M198" s="222"/>
    </row>
    <row r="199" spans="6:13" ht="15.75" customHeight="1">
      <c r="F199" s="219"/>
      <c r="G199" s="220"/>
      <c r="H199" s="220"/>
      <c r="I199" s="220"/>
      <c r="M199" s="222"/>
    </row>
    <row r="200" spans="6:13" ht="15.75" customHeight="1">
      <c r="F200" s="219"/>
      <c r="G200" s="220"/>
      <c r="H200" s="220"/>
      <c r="I200" s="220"/>
      <c r="M200" s="222"/>
    </row>
    <row r="201" spans="6:13" ht="15.75" customHeight="1">
      <c r="F201" s="219"/>
      <c r="G201" s="220"/>
      <c r="H201" s="220"/>
      <c r="I201" s="220"/>
      <c r="M201" s="222"/>
    </row>
    <row r="202" spans="6:13" ht="15.75" customHeight="1">
      <c r="F202" s="219"/>
      <c r="G202" s="220"/>
      <c r="H202" s="220"/>
      <c r="I202" s="220"/>
      <c r="M202" s="222"/>
    </row>
    <row r="203" spans="6:13" ht="15.75" customHeight="1">
      <c r="F203" s="219"/>
      <c r="G203" s="220"/>
      <c r="H203" s="220"/>
      <c r="I203" s="220"/>
      <c r="M203" s="222"/>
    </row>
    <row r="204" spans="6:13" ht="15.75" customHeight="1">
      <c r="F204" s="219"/>
      <c r="G204" s="220"/>
      <c r="H204" s="220"/>
      <c r="I204" s="220"/>
      <c r="M204" s="222"/>
    </row>
    <row r="205" spans="6:13" ht="15.75" customHeight="1">
      <c r="F205" s="219"/>
      <c r="G205" s="220"/>
      <c r="H205" s="220"/>
      <c r="I205" s="220"/>
      <c r="M205" s="222"/>
    </row>
    <row r="206" spans="6:13" ht="15.75" customHeight="1">
      <c r="F206" s="219"/>
      <c r="G206" s="220"/>
      <c r="H206" s="220"/>
      <c r="I206" s="220"/>
      <c r="M206" s="222"/>
    </row>
    <row r="207" spans="6:13" ht="15.75" customHeight="1">
      <c r="F207" s="219"/>
      <c r="G207" s="220"/>
      <c r="H207" s="220"/>
      <c r="I207" s="220"/>
      <c r="M207" s="222"/>
    </row>
    <row r="208" spans="6:13" ht="15.75" customHeight="1">
      <c r="F208" s="219"/>
      <c r="G208" s="220"/>
      <c r="H208" s="220"/>
      <c r="I208" s="220"/>
      <c r="M208" s="222"/>
    </row>
    <row r="209" spans="6:13" ht="15.75" customHeight="1">
      <c r="F209" s="219"/>
      <c r="G209" s="220"/>
      <c r="H209" s="220"/>
      <c r="I209" s="220"/>
      <c r="M209" s="222"/>
    </row>
    <row r="210" spans="6:13" ht="15.75" customHeight="1">
      <c r="F210" s="219"/>
      <c r="G210" s="220"/>
      <c r="H210" s="220"/>
      <c r="I210" s="220"/>
      <c r="M210" s="222"/>
    </row>
    <row r="211" spans="6:13" ht="15.75" customHeight="1">
      <c r="F211" s="219"/>
      <c r="G211" s="220"/>
      <c r="H211" s="220"/>
      <c r="I211" s="220"/>
      <c r="M211" s="222"/>
    </row>
    <row r="212" spans="6:13" ht="15.75" customHeight="1">
      <c r="F212" s="219"/>
      <c r="G212" s="220"/>
      <c r="H212" s="220"/>
      <c r="I212" s="220"/>
      <c r="M212" s="222"/>
    </row>
    <row r="213" spans="6:13" ht="15.75" customHeight="1">
      <c r="F213" s="219"/>
      <c r="G213" s="220"/>
      <c r="H213" s="220"/>
      <c r="I213" s="220"/>
      <c r="M213" s="222"/>
    </row>
    <row r="214" spans="6:13" ht="15.75" customHeight="1">
      <c r="F214" s="219"/>
      <c r="G214" s="220"/>
      <c r="H214" s="220"/>
      <c r="I214" s="220"/>
      <c r="M214" s="222"/>
    </row>
    <row r="215" spans="6:13" ht="15.75" customHeight="1">
      <c r="F215" s="219"/>
      <c r="G215" s="220"/>
      <c r="H215" s="220"/>
      <c r="I215" s="220"/>
      <c r="M215" s="222"/>
    </row>
    <row r="216" spans="6:13" ht="15.75" customHeight="1">
      <c r="F216" s="219"/>
      <c r="G216" s="220"/>
      <c r="H216" s="220"/>
      <c r="I216" s="220"/>
      <c r="M216" s="222"/>
    </row>
    <row r="217" spans="6:13" ht="15.75" customHeight="1">
      <c r="F217" s="219"/>
      <c r="G217" s="220"/>
      <c r="H217" s="220"/>
      <c r="I217" s="220"/>
      <c r="M217" s="222"/>
    </row>
    <row r="218" spans="6:13" ht="15.75" customHeight="1">
      <c r="F218" s="219"/>
      <c r="G218" s="220"/>
      <c r="H218" s="220"/>
      <c r="I218" s="220"/>
      <c r="M218" s="222"/>
    </row>
    <row r="219" spans="6:13" ht="15.75" customHeight="1">
      <c r="F219" s="219"/>
      <c r="G219" s="220"/>
      <c r="H219" s="220"/>
      <c r="I219" s="220"/>
      <c r="M219" s="222"/>
    </row>
    <row r="220" spans="6:13" ht="15.75" customHeight="1">
      <c r="F220" s="219"/>
      <c r="G220" s="220"/>
      <c r="H220" s="220"/>
      <c r="I220" s="220"/>
      <c r="M220" s="222"/>
    </row>
    <row r="221" spans="6:13" ht="15.75" customHeight="1">
      <c r="F221" s="219"/>
      <c r="G221" s="220"/>
      <c r="H221" s="220"/>
      <c r="I221" s="220"/>
      <c r="M221" s="222"/>
    </row>
    <row r="222" spans="6:13" ht="15.75" customHeight="1">
      <c r="F222" s="219"/>
      <c r="G222" s="220"/>
      <c r="H222" s="220"/>
      <c r="I222" s="220"/>
      <c r="M222" s="222"/>
    </row>
    <row r="223" spans="6:13" ht="15.75" customHeight="1">
      <c r="F223" s="219"/>
      <c r="G223" s="220"/>
      <c r="H223" s="220"/>
      <c r="I223" s="220"/>
      <c r="M223" s="222"/>
    </row>
    <row r="224" spans="6:13" ht="15.75" customHeight="1">
      <c r="F224" s="219"/>
      <c r="G224" s="220"/>
      <c r="H224" s="220"/>
      <c r="I224" s="220"/>
      <c r="M224" s="222"/>
    </row>
    <row r="225" spans="6:13" ht="15.75" customHeight="1">
      <c r="F225" s="219"/>
      <c r="G225" s="220"/>
      <c r="H225" s="220"/>
      <c r="I225" s="220"/>
      <c r="M225" s="222"/>
    </row>
    <row r="226" spans="6:13" ht="15.75" customHeight="1">
      <c r="F226" s="219"/>
      <c r="G226" s="220"/>
      <c r="H226" s="220"/>
      <c r="I226" s="220"/>
      <c r="M226" s="222"/>
    </row>
    <row r="227" spans="6:13" ht="15.75" customHeight="1">
      <c r="F227" s="219"/>
      <c r="G227" s="220"/>
      <c r="H227" s="220"/>
      <c r="I227" s="220"/>
      <c r="M227" s="222"/>
    </row>
    <row r="228" spans="6:13" ht="15.75" customHeight="1">
      <c r="F228" s="219"/>
      <c r="G228" s="220"/>
      <c r="H228" s="220"/>
      <c r="I228" s="220"/>
      <c r="M228" s="222"/>
    </row>
    <row r="229" spans="6:13" ht="15.75" customHeight="1">
      <c r="F229" s="219"/>
      <c r="G229" s="220"/>
      <c r="H229" s="220"/>
      <c r="I229" s="220"/>
      <c r="M229" s="222"/>
    </row>
    <row r="230" spans="6:13" ht="15.75" customHeight="1">
      <c r="F230" s="219"/>
      <c r="G230" s="220"/>
      <c r="H230" s="220"/>
      <c r="I230" s="220"/>
      <c r="M230" s="222"/>
    </row>
    <row r="231" spans="6:13" ht="15.75" customHeight="1">
      <c r="F231" s="219"/>
      <c r="G231" s="220"/>
      <c r="H231" s="220"/>
      <c r="I231" s="220"/>
      <c r="M231" s="222"/>
    </row>
    <row r="232" spans="6:13" ht="15.75" customHeight="1">
      <c r="F232" s="219"/>
      <c r="G232" s="220"/>
      <c r="H232" s="220"/>
      <c r="I232" s="220"/>
      <c r="M232" s="222"/>
    </row>
    <row r="233" spans="6:13" ht="15.75" customHeight="1">
      <c r="F233" s="219"/>
      <c r="G233" s="220"/>
      <c r="H233" s="220"/>
      <c r="I233" s="220"/>
      <c r="M233" s="222"/>
    </row>
    <row r="234" spans="6:13" ht="15.75" customHeight="1">
      <c r="F234" s="219"/>
      <c r="G234" s="220"/>
      <c r="H234" s="220"/>
      <c r="I234" s="220"/>
      <c r="M234" s="222"/>
    </row>
    <row r="235" spans="6:13" ht="15.75" customHeight="1">
      <c r="F235" s="219"/>
      <c r="G235" s="220"/>
      <c r="H235" s="220"/>
      <c r="I235" s="220"/>
      <c r="M235" s="222"/>
    </row>
    <row r="236" spans="6:13" ht="15.75" customHeight="1">
      <c r="F236" s="219"/>
      <c r="G236" s="220"/>
      <c r="H236" s="220"/>
      <c r="I236" s="220"/>
      <c r="M236" s="222"/>
    </row>
    <row r="237" spans="6:13" ht="15.75" customHeight="1">
      <c r="F237" s="219"/>
      <c r="G237" s="220"/>
      <c r="H237" s="220"/>
      <c r="I237" s="220"/>
      <c r="M237" s="222"/>
    </row>
    <row r="238" spans="6:13" ht="15.75" customHeight="1">
      <c r="F238" s="219"/>
      <c r="G238" s="220"/>
      <c r="H238" s="220"/>
      <c r="I238" s="220"/>
      <c r="M238" s="222"/>
    </row>
    <row r="239" spans="6:13" ht="15.75" customHeight="1">
      <c r="F239" s="219"/>
      <c r="G239" s="220"/>
      <c r="H239" s="220"/>
      <c r="I239" s="220"/>
      <c r="M239" s="222"/>
    </row>
    <row r="240" spans="6:13" ht="15.75" customHeight="1">
      <c r="F240" s="219"/>
      <c r="G240" s="220"/>
      <c r="H240" s="220"/>
      <c r="I240" s="220"/>
      <c r="M240" s="222"/>
    </row>
    <row r="241" spans="6:13" ht="15.75" customHeight="1">
      <c r="F241" s="219"/>
      <c r="G241" s="220"/>
      <c r="H241" s="220"/>
      <c r="I241" s="220"/>
      <c r="M241" s="222"/>
    </row>
    <row r="242" spans="6:13" ht="15.75" customHeight="1">
      <c r="F242" s="219"/>
      <c r="G242" s="220"/>
      <c r="H242" s="220"/>
      <c r="I242" s="220"/>
      <c r="M242" s="222"/>
    </row>
    <row r="243" spans="6:13" ht="15.75" customHeight="1">
      <c r="F243" s="219"/>
      <c r="G243" s="220"/>
      <c r="H243" s="220"/>
      <c r="I243" s="220"/>
      <c r="M243" s="222"/>
    </row>
    <row r="244" spans="6:13" ht="15.75" customHeight="1">
      <c r="F244" s="219"/>
      <c r="G244" s="220"/>
      <c r="H244" s="220"/>
      <c r="I244" s="220"/>
      <c r="M244" s="222"/>
    </row>
    <row r="245" spans="6:13" ht="15.75" customHeight="1">
      <c r="F245" s="219"/>
      <c r="G245" s="220"/>
      <c r="H245" s="220"/>
      <c r="I245" s="220"/>
      <c r="M245" s="222"/>
    </row>
    <row r="246" spans="6:13" ht="15.75" customHeight="1">
      <c r="F246" s="219"/>
      <c r="G246" s="220"/>
      <c r="H246" s="220"/>
      <c r="I246" s="220"/>
      <c r="M246" s="222"/>
    </row>
    <row r="247" spans="6:13" ht="15.75" customHeight="1">
      <c r="F247" s="219"/>
      <c r="G247" s="220"/>
      <c r="H247" s="220"/>
      <c r="I247" s="220"/>
      <c r="M247" s="222"/>
    </row>
    <row r="248" spans="6:13" ht="15.75" customHeight="1">
      <c r="F248" s="219"/>
      <c r="G248" s="220"/>
      <c r="H248" s="220"/>
      <c r="I248" s="220"/>
      <c r="M248" s="222"/>
    </row>
    <row r="249" spans="6:13" ht="15.75" customHeight="1">
      <c r="F249" s="219"/>
      <c r="G249" s="220"/>
      <c r="H249" s="220"/>
      <c r="I249" s="220"/>
      <c r="M249" s="222"/>
    </row>
    <row r="250" spans="6:13" ht="15.75" customHeight="1">
      <c r="F250" s="219"/>
      <c r="G250" s="220"/>
      <c r="H250" s="220"/>
      <c r="I250" s="220"/>
      <c r="M250" s="222"/>
    </row>
    <row r="251" spans="6:13" ht="15.75" customHeight="1">
      <c r="F251" s="219"/>
      <c r="G251" s="220"/>
      <c r="H251" s="220"/>
      <c r="I251" s="220"/>
      <c r="M251" s="222"/>
    </row>
    <row r="252" spans="6:13" ht="15.75" customHeight="1">
      <c r="F252" s="219"/>
      <c r="G252" s="220"/>
      <c r="H252" s="220"/>
      <c r="I252" s="220"/>
      <c r="M252" s="222"/>
    </row>
    <row r="253" spans="6:13" ht="15.75" customHeight="1"/>
    <row r="254" spans="6:13" ht="15.75" customHeight="1"/>
    <row r="255" spans="6:13" ht="15.75" customHeight="1"/>
    <row r="256" spans="6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5">
    <mergeCell ref="K21:K24"/>
    <mergeCell ref="L21:L24"/>
    <mergeCell ref="M21:M24"/>
    <mergeCell ref="N21:N24"/>
    <mergeCell ref="K25:K28"/>
    <mergeCell ref="L25:L28"/>
    <mergeCell ref="M25:M28"/>
    <mergeCell ref="N25:N28"/>
    <mergeCell ref="D21:D24"/>
    <mergeCell ref="D25:D28"/>
    <mergeCell ref="B5:B8"/>
    <mergeCell ref="B9:B12"/>
    <mergeCell ref="G9:G12"/>
    <mergeCell ref="H9:H12"/>
    <mergeCell ref="I9:I12"/>
    <mergeCell ref="B13:B16"/>
    <mergeCell ref="I13:I16"/>
    <mergeCell ref="M17:M20"/>
    <mergeCell ref="N17:N20"/>
    <mergeCell ref="D9:D12"/>
    <mergeCell ref="D13:D16"/>
    <mergeCell ref="B17:B20"/>
    <mergeCell ref="D17:D20"/>
    <mergeCell ref="M5:M8"/>
    <mergeCell ref="N5:N8"/>
    <mergeCell ref="D5:D8"/>
    <mergeCell ref="G5:G8"/>
    <mergeCell ref="H5:H8"/>
    <mergeCell ref="I5:I8"/>
    <mergeCell ref="K5:K8"/>
    <mergeCell ref="L5:L8"/>
    <mergeCell ref="C6:C7"/>
    <mergeCell ref="K37:K40"/>
    <mergeCell ref="L37:L40"/>
    <mergeCell ref="M37:M40"/>
    <mergeCell ref="N37:N40"/>
    <mergeCell ref="G45:G48"/>
    <mergeCell ref="H45:H48"/>
    <mergeCell ref="I45:I48"/>
    <mergeCell ref="K45:K48"/>
    <mergeCell ref="L45:L48"/>
    <mergeCell ref="M45:M48"/>
    <mergeCell ref="N45:N48"/>
    <mergeCell ref="G41:G44"/>
    <mergeCell ref="H41:H44"/>
    <mergeCell ref="I41:I44"/>
    <mergeCell ref="K41:K44"/>
    <mergeCell ref="L41:L44"/>
    <mergeCell ref="M41:M44"/>
    <mergeCell ref="N41:N44"/>
    <mergeCell ref="M29:M32"/>
    <mergeCell ref="N29:N32"/>
    <mergeCell ref="B29:B32"/>
    <mergeCell ref="B33:B36"/>
    <mergeCell ref="B37:B40"/>
    <mergeCell ref="C37:C38"/>
    <mergeCell ref="B41:B44"/>
    <mergeCell ref="B45:B48"/>
    <mergeCell ref="C29:C30"/>
    <mergeCell ref="G29:G32"/>
    <mergeCell ref="H29:H32"/>
    <mergeCell ref="I29:I32"/>
    <mergeCell ref="K29:K32"/>
    <mergeCell ref="L29:L32"/>
    <mergeCell ref="C31:C32"/>
    <mergeCell ref="G33:G36"/>
    <mergeCell ref="H33:H36"/>
    <mergeCell ref="I33:I36"/>
    <mergeCell ref="K33:K36"/>
    <mergeCell ref="L33:L36"/>
    <mergeCell ref="M33:M36"/>
    <mergeCell ref="N33:N36"/>
    <mergeCell ref="G37:G40"/>
    <mergeCell ref="H37:H40"/>
    <mergeCell ref="G13:G16"/>
    <mergeCell ref="H13:H16"/>
    <mergeCell ref="G17:G20"/>
    <mergeCell ref="H17:H20"/>
    <mergeCell ref="I17:I20"/>
    <mergeCell ref="H21:H24"/>
    <mergeCell ref="I21:I24"/>
    <mergeCell ref="B125:B128"/>
    <mergeCell ref="B129:B132"/>
    <mergeCell ref="C129:C132"/>
    <mergeCell ref="G21:G24"/>
    <mergeCell ref="G25:G28"/>
    <mergeCell ref="H25:H28"/>
    <mergeCell ref="I25:I28"/>
    <mergeCell ref="B121:B124"/>
    <mergeCell ref="C121:C124"/>
    <mergeCell ref="C125:C128"/>
    <mergeCell ref="I37:I40"/>
    <mergeCell ref="B21:B24"/>
    <mergeCell ref="B25:B28"/>
    <mergeCell ref="C25:C26"/>
    <mergeCell ref="L9:L12"/>
    <mergeCell ref="M9:M12"/>
    <mergeCell ref="N9:N12"/>
    <mergeCell ref="K9:K12"/>
    <mergeCell ref="K13:K16"/>
    <mergeCell ref="L13:L16"/>
    <mergeCell ref="M13:M16"/>
    <mergeCell ref="N13:N16"/>
    <mergeCell ref="K17:K20"/>
    <mergeCell ref="L17:L20"/>
  </mergeCells>
  <hyperlinks>
    <hyperlink ref="D1" r:id="rId1" xr:uid="{00000000-0004-0000-0800-000000000000}"/>
  </hyperlinks>
  <printOptions horizontalCentered="1" gridLines="1"/>
  <pageMargins left="0.7" right="0.7" top="0.75" bottom="0.75" header="0" footer="0"/>
  <pageSetup paperSize="9" fitToHeight="0" pageOrder="overThenDown" orientation="landscape" cellComments="atEnd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M1001"/>
  <sheetViews>
    <sheetView workbookViewId="0"/>
  </sheetViews>
  <sheetFormatPr defaultColWidth="14.453125" defaultRowHeight="15" customHeight="1"/>
  <cols>
    <col min="3" max="3" width="15.08984375" customWidth="1"/>
  </cols>
  <sheetData>
    <row r="1" spans="1:13">
      <c r="A1" s="228" t="s">
        <v>1280</v>
      </c>
      <c r="B1" s="228" t="s">
        <v>541</v>
      </c>
      <c r="C1" s="229">
        <v>1103123008</v>
      </c>
      <c r="D1" s="228" t="s">
        <v>542</v>
      </c>
      <c r="E1" s="228" t="s">
        <v>543</v>
      </c>
      <c r="F1" s="229">
        <v>114.15816770000001</v>
      </c>
      <c r="G1" s="229">
        <v>22.284623549999999</v>
      </c>
      <c r="H1" s="229">
        <v>99.522705060000007</v>
      </c>
      <c r="I1" s="229">
        <v>3.8</v>
      </c>
      <c r="J1" s="228" t="s">
        <v>115</v>
      </c>
      <c r="K1" s="229">
        <v>34.4</v>
      </c>
      <c r="L1" s="228" t="s">
        <v>115</v>
      </c>
      <c r="M1" s="229">
        <v>30.6</v>
      </c>
    </row>
    <row r="2" spans="1:13">
      <c r="A2" s="228" t="s">
        <v>1281</v>
      </c>
      <c r="B2" s="228" t="s">
        <v>538</v>
      </c>
      <c r="C2" s="229">
        <v>1103124226</v>
      </c>
      <c r="D2" s="228" t="s">
        <v>539</v>
      </c>
      <c r="E2" s="228" t="s">
        <v>540</v>
      </c>
      <c r="F2" s="229">
        <v>114.1583588</v>
      </c>
      <c r="G2" s="229">
        <v>22.283442170000001</v>
      </c>
      <c r="H2" s="229">
        <v>199.99366509999999</v>
      </c>
      <c r="I2" s="229">
        <v>3.6</v>
      </c>
      <c r="J2" s="228" t="s">
        <v>126</v>
      </c>
      <c r="K2" s="229">
        <v>185.9</v>
      </c>
      <c r="L2" s="228" t="s">
        <v>115</v>
      </c>
      <c r="M2" s="229">
        <v>182.3</v>
      </c>
    </row>
    <row r="3" spans="1:13">
      <c r="A3" s="228" t="s">
        <v>1282</v>
      </c>
      <c r="B3" s="228" t="s">
        <v>549</v>
      </c>
      <c r="C3" s="229">
        <v>1103124531</v>
      </c>
      <c r="D3" s="228" t="s">
        <v>550</v>
      </c>
      <c r="E3" s="228" t="s">
        <v>551</v>
      </c>
      <c r="F3" s="229">
        <v>114.15915529999999</v>
      </c>
      <c r="G3" s="229">
        <v>22.28300407</v>
      </c>
      <c r="H3" s="229">
        <v>197.59692759999999</v>
      </c>
      <c r="I3" s="229">
        <v>3.7</v>
      </c>
      <c r="J3" s="228" t="s">
        <v>115</v>
      </c>
      <c r="K3" s="229">
        <v>182</v>
      </c>
      <c r="L3" s="228" t="s">
        <v>115</v>
      </c>
      <c r="M3" s="229">
        <v>178.3</v>
      </c>
    </row>
    <row r="4" spans="1:13">
      <c r="A4" s="228" t="s">
        <v>1283</v>
      </c>
      <c r="B4" s="228" t="s">
        <v>545</v>
      </c>
      <c r="C4" s="229">
        <v>1103124028</v>
      </c>
      <c r="D4" s="228" t="s">
        <v>546</v>
      </c>
      <c r="E4" s="228" t="s">
        <v>547</v>
      </c>
      <c r="F4" s="229">
        <v>114.15954379999999</v>
      </c>
      <c r="G4" s="229">
        <v>22.283562939999999</v>
      </c>
      <c r="H4" s="229">
        <v>123.8986372</v>
      </c>
      <c r="I4" s="229">
        <v>3.9</v>
      </c>
      <c r="J4" s="228" t="s">
        <v>115</v>
      </c>
      <c r="K4" s="229">
        <v>30.1</v>
      </c>
      <c r="L4" s="228" t="s">
        <v>115</v>
      </c>
      <c r="M4" s="229">
        <v>26.2</v>
      </c>
    </row>
    <row r="5" spans="1:13">
      <c r="A5" s="228" t="s">
        <v>1284</v>
      </c>
      <c r="B5" s="228" t="s">
        <v>558</v>
      </c>
      <c r="C5" s="229">
        <v>1103125246</v>
      </c>
      <c r="D5" s="228" t="s">
        <v>559</v>
      </c>
      <c r="E5" s="228" t="s">
        <v>560</v>
      </c>
      <c r="F5" s="229">
        <v>114.1584381</v>
      </c>
      <c r="G5" s="229">
        <v>22.282230460000001</v>
      </c>
      <c r="H5" s="229">
        <v>306.96544640000002</v>
      </c>
      <c r="I5" s="229">
        <v>3.7</v>
      </c>
      <c r="J5" s="228" t="s">
        <v>115</v>
      </c>
      <c r="K5" s="229">
        <v>127.5</v>
      </c>
      <c r="L5" s="228" t="s">
        <v>115</v>
      </c>
      <c r="M5" s="229">
        <v>123.8</v>
      </c>
    </row>
    <row r="6" spans="1:13">
      <c r="A6" s="228" t="s">
        <v>1285</v>
      </c>
      <c r="B6" s="228" t="s">
        <v>1286</v>
      </c>
      <c r="C6" s="229">
        <v>1103125889</v>
      </c>
      <c r="D6" s="228" t="s">
        <v>1287</v>
      </c>
      <c r="E6" s="228" t="s">
        <v>1288</v>
      </c>
      <c r="F6" s="229">
        <v>114.1585436</v>
      </c>
      <c r="G6" s="229">
        <v>22.281495159999999</v>
      </c>
      <c r="H6" s="229">
        <v>449.71862800000002</v>
      </c>
      <c r="I6" s="229">
        <v>3.8</v>
      </c>
      <c r="J6" s="228" t="s">
        <v>126</v>
      </c>
      <c r="K6" s="229">
        <v>127.5</v>
      </c>
      <c r="L6" s="228" t="s">
        <v>115</v>
      </c>
      <c r="M6" s="229">
        <v>123.7</v>
      </c>
    </row>
    <row r="7" spans="1:13">
      <c r="A7" s="228" t="s">
        <v>1289</v>
      </c>
      <c r="B7" s="228" t="s">
        <v>1290</v>
      </c>
      <c r="C7" s="229">
        <v>1103125853</v>
      </c>
      <c r="D7" s="228" t="s">
        <v>1291</v>
      </c>
      <c r="E7" s="228" t="s">
        <v>1292</v>
      </c>
      <c r="F7" s="229">
        <v>114.1577702</v>
      </c>
      <c r="G7" s="229">
        <v>22.281507319999999</v>
      </c>
      <c r="H7" s="229">
        <v>378.13011289999997</v>
      </c>
      <c r="I7" s="229">
        <v>4</v>
      </c>
      <c r="J7" s="228" t="s">
        <v>126</v>
      </c>
      <c r="K7" s="229">
        <v>158.30000000000001</v>
      </c>
      <c r="L7" s="228" t="s">
        <v>115</v>
      </c>
      <c r="M7" s="229">
        <v>154.30000000000001</v>
      </c>
    </row>
    <row r="8" spans="1:13">
      <c r="A8" s="228" t="s">
        <v>1293</v>
      </c>
      <c r="B8" s="228" t="s">
        <v>552</v>
      </c>
      <c r="C8" s="229">
        <v>1103124903</v>
      </c>
      <c r="D8" s="228" t="s">
        <v>553</v>
      </c>
      <c r="E8" s="228" t="s">
        <v>554</v>
      </c>
      <c r="F8" s="229">
        <v>114.1577892</v>
      </c>
      <c r="G8" s="229">
        <v>22.282554059999999</v>
      </c>
      <c r="H8" s="229">
        <v>318.37809270000002</v>
      </c>
      <c r="I8" s="229">
        <v>3.7</v>
      </c>
      <c r="J8" s="228" t="s">
        <v>115</v>
      </c>
      <c r="K8" s="229">
        <v>109</v>
      </c>
      <c r="L8" s="228">
        <v>3</v>
      </c>
      <c r="M8" s="229">
        <v>105.3</v>
      </c>
    </row>
    <row r="9" spans="1:13">
      <c r="A9" s="228" t="s">
        <v>1294</v>
      </c>
      <c r="B9" s="228" t="s">
        <v>1295</v>
      </c>
      <c r="C9" s="229">
        <v>1103126580</v>
      </c>
      <c r="D9" s="228" t="s">
        <v>1296</v>
      </c>
      <c r="E9" s="228" t="s">
        <v>1297</v>
      </c>
      <c r="F9" s="229">
        <v>114.1585176</v>
      </c>
      <c r="G9" s="229">
        <v>22.280496939999999</v>
      </c>
      <c r="H9" s="229">
        <v>579.72594489999994</v>
      </c>
      <c r="I9" s="229">
        <v>3.7</v>
      </c>
      <c r="J9" s="228" t="s">
        <v>115</v>
      </c>
      <c r="K9" s="229">
        <v>185.4</v>
      </c>
      <c r="L9" s="228" t="s">
        <v>115</v>
      </c>
      <c r="M9" s="229">
        <v>181.7</v>
      </c>
    </row>
    <row r="10" spans="1:13">
      <c r="A10" s="228" t="s">
        <v>1298</v>
      </c>
      <c r="B10" s="228" t="s">
        <v>561</v>
      </c>
      <c r="C10" s="229">
        <v>1103125983</v>
      </c>
      <c r="D10" s="228" t="s">
        <v>562</v>
      </c>
      <c r="E10" s="228" t="s">
        <v>563</v>
      </c>
      <c r="F10" s="229">
        <v>114.1591631</v>
      </c>
      <c r="G10" s="229">
        <v>22.281224989999998</v>
      </c>
      <c r="H10" s="229">
        <v>530.31681690000005</v>
      </c>
      <c r="I10" s="229">
        <v>3.7</v>
      </c>
      <c r="J10" s="228" t="s">
        <v>115</v>
      </c>
      <c r="K10" s="229">
        <v>84.1</v>
      </c>
      <c r="L10" s="228">
        <v>3</v>
      </c>
      <c r="M10" s="229">
        <v>80.400000000000006</v>
      </c>
    </row>
    <row r="11" spans="1:13">
      <c r="A11" s="228" t="s">
        <v>1299</v>
      </c>
      <c r="B11" s="228" t="s">
        <v>1300</v>
      </c>
      <c r="C11" s="229">
        <v>1103126642</v>
      </c>
      <c r="D11" s="228" t="s">
        <v>1301</v>
      </c>
      <c r="E11" s="228" t="s">
        <v>1302</v>
      </c>
      <c r="F11" s="229">
        <v>114.15901100000001</v>
      </c>
      <c r="G11" s="229">
        <v>22.28043036</v>
      </c>
      <c r="H11" s="229">
        <v>620.77646110000001</v>
      </c>
      <c r="I11" s="229">
        <v>3.7</v>
      </c>
      <c r="J11" s="228" t="s">
        <v>115</v>
      </c>
      <c r="K11" s="229">
        <v>189.8</v>
      </c>
      <c r="L11" s="228">
        <v>3</v>
      </c>
      <c r="M11" s="229">
        <v>186.1</v>
      </c>
    </row>
    <row r="12" spans="1:13">
      <c r="A12" s="228" t="s">
        <v>1303</v>
      </c>
      <c r="B12" s="228" t="s">
        <v>1304</v>
      </c>
      <c r="C12" s="229">
        <v>1103127201</v>
      </c>
      <c r="D12" s="228" t="s">
        <v>1305</v>
      </c>
      <c r="E12" s="228" t="s">
        <v>1306</v>
      </c>
      <c r="F12" s="229">
        <v>114.1605385</v>
      </c>
      <c r="G12" s="229">
        <v>22.279542500000002</v>
      </c>
      <c r="H12" s="229">
        <v>966.8065871</v>
      </c>
      <c r="I12" s="229">
        <v>7.2</v>
      </c>
      <c r="J12" s="228" t="s">
        <v>126</v>
      </c>
      <c r="K12" s="229">
        <v>288.7</v>
      </c>
      <c r="L12" s="228">
        <v>3</v>
      </c>
      <c r="M12" s="229">
        <v>281.5</v>
      </c>
    </row>
    <row r="13" spans="1:13">
      <c r="A13" s="228" t="s">
        <v>1307</v>
      </c>
      <c r="B13" s="228" t="s">
        <v>1308</v>
      </c>
      <c r="C13" s="229">
        <v>1103126706</v>
      </c>
      <c r="D13" s="228" t="s">
        <v>1309</v>
      </c>
      <c r="E13" s="228" t="s">
        <v>1310</v>
      </c>
      <c r="F13" s="229">
        <v>114.1595453</v>
      </c>
      <c r="G13" s="229">
        <v>22.2802969</v>
      </c>
      <c r="H13" s="229">
        <v>675.01335129999995</v>
      </c>
      <c r="I13" s="229">
        <v>3.7</v>
      </c>
      <c r="J13" s="228" t="s">
        <v>115</v>
      </c>
      <c r="K13" s="229">
        <v>180.9</v>
      </c>
      <c r="L13" s="228" t="s">
        <v>115</v>
      </c>
      <c r="M13" s="229">
        <v>177.2</v>
      </c>
    </row>
    <row r="14" spans="1:13">
      <c r="A14" s="228" t="s">
        <v>1159</v>
      </c>
      <c r="B14" s="228" t="s">
        <v>1311</v>
      </c>
      <c r="C14" s="229">
        <v>1103127307</v>
      </c>
      <c r="D14" s="228" t="s">
        <v>1312</v>
      </c>
      <c r="E14" s="228" t="s">
        <v>1313</v>
      </c>
      <c r="F14" s="229">
        <v>114.1596737</v>
      </c>
      <c r="G14" s="229">
        <v>22.279441569999999</v>
      </c>
      <c r="H14" s="229">
        <v>788.49331180000001</v>
      </c>
      <c r="I14" s="229">
        <v>21</v>
      </c>
      <c r="J14" s="228" t="s">
        <v>115</v>
      </c>
      <c r="K14" s="229">
        <v>36.200000000000003</v>
      </c>
      <c r="L14" s="228" t="s">
        <v>115</v>
      </c>
      <c r="M14" s="229">
        <v>15.2</v>
      </c>
    </row>
    <row r="15" spans="1:13">
      <c r="A15" s="228" t="s">
        <v>1314</v>
      </c>
      <c r="B15" s="228" t="s">
        <v>1315</v>
      </c>
      <c r="C15" s="229">
        <v>1103126848</v>
      </c>
      <c r="D15" s="228" t="s">
        <v>1316</v>
      </c>
      <c r="E15" s="228" t="s">
        <v>1317</v>
      </c>
      <c r="F15" s="229">
        <v>114.1601375</v>
      </c>
      <c r="G15" s="229">
        <v>22.28021008</v>
      </c>
      <c r="H15" s="229">
        <v>749.60577190000004</v>
      </c>
      <c r="I15" s="229">
        <v>4.5999999999999996</v>
      </c>
      <c r="J15" s="228" t="s">
        <v>126</v>
      </c>
      <c r="K15" s="229">
        <v>78.3</v>
      </c>
      <c r="L15" s="228" t="s">
        <v>115</v>
      </c>
      <c r="M15" s="229">
        <v>73.7</v>
      </c>
    </row>
    <row r="16" spans="1:13">
      <c r="A16" s="228" t="s">
        <v>1318</v>
      </c>
      <c r="B16" s="228" t="s">
        <v>1319</v>
      </c>
      <c r="C16" s="229">
        <v>1103127404</v>
      </c>
      <c r="D16" s="228" t="s">
        <v>1320</v>
      </c>
      <c r="E16" s="228" t="s">
        <v>1321</v>
      </c>
      <c r="F16" s="229">
        <v>114.16005989999999</v>
      </c>
      <c r="G16" s="229">
        <v>22.27918339</v>
      </c>
      <c r="H16" s="229">
        <v>1027.988625</v>
      </c>
      <c r="I16" s="229">
        <v>13.8</v>
      </c>
      <c r="J16" s="228" t="s">
        <v>126</v>
      </c>
      <c r="K16" s="229">
        <v>25.2</v>
      </c>
      <c r="L16" s="228" t="s">
        <v>115</v>
      </c>
      <c r="M16" s="229">
        <v>11.4</v>
      </c>
    </row>
    <row r="17" spans="1:13">
      <c r="A17" s="228" t="s">
        <v>1322</v>
      </c>
      <c r="B17" s="228" t="s">
        <v>577</v>
      </c>
      <c r="C17" s="229">
        <v>1103127344</v>
      </c>
      <c r="D17" s="228" t="s">
        <v>578</v>
      </c>
      <c r="E17" s="228" t="s">
        <v>579</v>
      </c>
      <c r="F17" s="229">
        <v>114.16157130000001</v>
      </c>
      <c r="G17" s="229">
        <v>22.27927815</v>
      </c>
      <c r="H17" s="229">
        <v>937.77031220000003</v>
      </c>
      <c r="I17" s="229">
        <v>7</v>
      </c>
      <c r="J17" s="228" t="s">
        <v>126</v>
      </c>
      <c r="K17" s="229">
        <v>310.3</v>
      </c>
      <c r="L17" s="228" t="s">
        <v>115</v>
      </c>
      <c r="M17" s="229">
        <v>303.3</v>
      </c>
    </row>
    <row r="18" spans="1:13">
      <c r="A18" s="228" t="s">
        <v>1323</v>
      </c>
      <c r="B18" s="228" t="s">
        <v>1324</v>
      </c>
      <c r="C18" s="229">
        <v>1103127911</v>
      </c>
      <c r="D18" s="228" t="s">
        <v>1325</v>
      </c>
      <c r="E18" s="228" t="s">
        <v>1326</v>
      </c>
      <c r="F18" s="229">
        <v>114.16055590000001</v>
      </c>
      <c r="G18" s="229">
        <v>22.278461849999999</v>
      </c>
      <c r="H18" s="229">
        <v>1051.2282290000001</v>
      </c>
      <c r="I18" s="229">
        <v>19.399999999999999</v>
      </c>
      <c r="J18" s="228" t="s">
        <v>115</v>
      </c>
      <c r="K18" s="229">
        <v>213.4</v>
      </c>
      <c r="L18" s="228">
        <v>3</v>
      </c>
      <c r="M18" s="229">
        <v>194</v>
      </c>
    </row>
    <row r="19" spans="1:13">
      <c r="A19" s="228" t="s">
        <v>1327</v>
      </c>
      <c r="B19" s="228" t="s">
        <v>1304</v>
      </c>
      <c r="C19" s="229">
        <v>1103127201</v>
      </c>
      <c r="D19" s="228" t="s">
        <v>1305</v>
      </c>
      <c r="E19" s="228" t="s">
        <v>1306</v>
      </c>
      <c r="F19" s="229">
        <v>114.1605385</v>
      </c>
      <c r="G19" s="229">
        <v>22.279542500000002</v>
      </c>
      <c r="H19" s="229">
        <v>966.8065871</v>
      </c>
      <c r="I19" s="229">
        <v>7.2</v>
      </c>
      <c r="J19" s="228" t="s">
        <v>126</v>
      </c>
      <c r="K19" s="229">
        <v>288.7</v>
      </c>
      <c r="L19" s="228">
        <v>3</v>
      </c>
      <c r="M19" s="229">
        <v>281.5</v>
      </c>
    </row>
    <row r="20" spans="1:13">
      <c r="A20" s="228" t="s">
        <v>1328</v>
      </c>
      <c r="B20" s="228" t="s">
        <v>1329</v>
      </c>
      <c r="C20" s="229">
        <v>1103128636</v>
      </c>
      <c r="D20" s="228" t="s">
        <v>1330</v>
      </c>
      <c r="E20" s="228" t="s">
        <v>1331</v>
      </c>
      <c r="F20" s="229">
        <v>114.1591731</v>
      </c>
      <c r="G20" s="229">
        <v>22.27769412</v>
      </c>
      <c r="H20" s="229">
        <v>1206.842022</v>
      </c>
      <c r="I20" s="229">
        <v>26</v>
      </c>
      <c r="J20" s="228" t="s">
        <v>762</v>
      </c>
      <c r="K20" s="229">
        <v>117.4</v>
      </c>
      <c r="L20" s="228" t="s">
        <v>115</v>
      </c>
      <c r="M20" s="229">
        <v>91.4</v>
      </c>
    </row>
    <row r="21" spans="1:13">
      <c r="A21" s="228" t="s">
        <v>1332</v>
      </c>
      <c r="B21" s="228" t="s">
        <v>1333</v>
      </c>
      <c r="C21" s="229">
        <v>1103128212</v>
      </c>
      <c r="D21" s="228" t="s">
        <v>1334</v>
      </c>
      <c r="E21" s="228" t="s">
        <v>1335</v>
      </c>
      <c r="F21" s="229">
        <v>114.1586315</v>
      </c>
      <c r="G21" s="229">
        <v>22.278086040000002</v>
      </c>
      <c r="H21" s="229">
        <v>1219.356822</v>
      </c>
      <c r="I21" s="229">
        <v>39.4</v>
      </c>
      <c r="J21" s="228" t="s">
        <v>762</v>
      </c>
      <c r="K21" s="229">
        <v>56.8</v>
      </c>
      <c r="L21" s="228" t="s">
        <v>115</v>
      </c>
      <c r="M21" s="229">
        <v>17.399999999999999</v>
      </c>
    </row>
    <row r="22" spans="1:13">
      <c r="A22" s="228" t="s">
        <v>1336</v>
      </c>
      <c r="B22" s="228" t="s">
        <v>1337</v>
      </c>
      <c r="C22" s="229">
        <v>1103128772</v>
      </c>
      <c r="D22" s="228" t="s">
        <v>1338</v>
      </c>
      <c r="E22" s="228" t="s">
        <v>1339</v>
      </c>
      <c r="F22" s="229">
        <v>114.1584774</v>
      </c>
      <c r="G22" s="229">
        <v>22.2774772</v>
      </c>
      <c r="H22" s="229">
        <v>1219.356822</v>
      </c>
      <c r="I22" s="229">
        <v>42.4</v>
      </c>
      <c r="J22" s="228" t="s">
        <v>762</v>
      </c>
      <c r="K22" s="229">
        <v>56.8</v>
      </c>
      <c r="L22" s="228">
        <v>3</v>
      </c>
      <c r="M22" s="229">
        <v>14.4</v>
      </c>
    </row>
    <row r="23" spans="1:13" ht="15" customHeight="1">
      <c r="C23" s="230"/>
    </row>
    <row r="24" spans="1:13" ht="15" customHeight="1">
      <c r="C24" s="230"/>
    </row>
    <row r="25" spans="1:13" ht="15" customHeight="1">
      <c r="C25" s="230"/>
    </row>
    <row r="26" spans="1:13" ht="15" customHeight="1">
      <c r="C26" s="230"/>
    </row>
    <row r="27" spans="1:13" ht="15" customHeight="1">
      <c r="C27" s="230"/>
    </row>
    <row r="28" spans="1:13" ht="15" customHeight="1">
      <c r="C28" s="230"/>
    </row>
    <row r="29" spans="1:13" ht="15" customHeight="1">
      <c r="C29" s="230"/>
    </row>
    <row r="30" spans="1:13" ht="15" customHeight="1">
      <c r="C30" s="230"/>
    </row>
    <row r="31" spans="1:13" ht="15" customHeight="1">
      <c r="C31" s="230"/>
    </row>
    <row r="32" spans="1:13" ht="15" customHeight="1">
      <c r="C32" s="230"/>
    </row>
    <row r="33" spans="3:3" ht="15" customHeight="1">
      <c r="C33" s="230"/>
    </row>
    <row r="34" spans="3:3" ht="15" customHeight="1">
      <c r="C34" s="230"/>
    </row>
    <row r="35" spans="3:3" ht="15" customHeight="1">
      <c r="C35" s="230"/>
    </row>
    <row r="36" spans="3:3" ht="15" customHeight="1">
      <c r="C36" s="230"/>
    </row>
    <row r="37" spans="3:3" ht="15" customHeight="1">
      <c r="C37" s="230"/>
    </row>
    <row r="38" spans="3:3" ht="15" customHeight="1">
      <c r="C38" s="230"/>
    </row>
    <row r="39" spans="3:3" ht="15" customHeight="1">
      <c r="C39" s="230"/>
    </row>
    <row r="40" spans="3:3" ht="15" customHeight="1">
      <c r="C40" s="230"/>
    </row>
    <row r="41" spans="3:3" ht="15" customHeight="1">
      <c r="C41" s="230"/>
    </row>
    <row r="42" spans="3:3" ht="15" customHeight="1">
      <c r="C42" s="230"/>
    </row>
    <row r="43" spans="3:3" ht="15" customHeight="1">
      <c r="C43" s="230"/>
    </row>
    <row r="44" spans="3:3" ht="15" customHeight="1">
      <c r="C44" s="230"/>
    </row>
    <row r="45" spans="3:3" ht="15" customHeight="1">
      <c r="C45" s="230"/>
    </row>
    <row r="46" spans="3:3" ht="15" customHeight="1">
      <c r="C46" s="230"/>
    </row>
    <row r="47" spans="3:3" ht="15" customHeight="1">
      <c r="C47" s="230"/>
    </row>
    <row r="48" spans="3:3" ht="15" customHeight="1">
      <c r="C48" s="230"/>
    </row>
    <row r="49" spans="3:3" ht="15" customHeight="1">
      <c r="C49" s="230"/>
    </row>
    <row r="50" spans="3:3" ht="15" customHeight="1">
      <c r="C50" s="230"/>
    </row>
    <row r="51" spans="3:3" ht="15" customHeight="1">
      <c r="C51" s="230"/>
    </row>
    <row r="52" spans="3:3" ht="15" customHeight="1">
      <c r="C52" s="230"/>
    </row>
    <row r="53" spans="3:3" ht="15" customHeight="1">
      <c r="C53" s="230"/>
    </row>
    <row r="54" spans="3:3" ht="15" customHeight="1">
      <c r="C54" s="230"/>
    </row>
    <row r="55" spans="3:3" ht="15" customHeight="1">
      <c r="C55" s="230"/>
    </row>
    <row r="56" spans="3:3" ht="15" customHeight="1">
      <c r="C56" s="230"/>
    </row>
    <row r="57" spans="3:3" ht="15" customHeight="1">
      <c r="C57" s="230"/>
    </row>
    <row r="58" spans="3:3" ht="15" customHeight="1">
      <c r="C58" s="230"/>
    </row>
    <row r="59" spans="3:3" ht="15" customHeight="1">
      <c r="C59" s="230"/>
    </row>
    <row r="60" spans="3:3" ht="15" customHeight="1">
      <c r="C60" s="230"/>
    </row>
    <row r="61" spans="3:3" ht="15" customHeight="1">
      <c r="C61" s="230"/>
    </row>
    <row r="62" spans="3:3" ht="15" customHeight="1">
      <c r="C62" s="230"/>
    </row>
    <row r="63" spans="3:3" ht="15" customHeight="1">
      <c r="C63" s="230"/>
    </row>
    <row r="64" spans="3:3" ht="15" customHeight="1">
      <c r="C64" s="230"/>
    </row>
    <row r="65" spans="3:3" ht="15" customHeight="1">
      <c r="C65" s="230"/>
    </row>
    <row r="66" spans="3:3" ht="15" customHeight="1">
      <c r="C66" s="230"/>
    </row>
    <row r="67" spans="3:3" ht="15" customHeight="1">
      <c r="C67" s="230"/>
    </row>
    <row r="68" spans="3:3" ht="15" customHeight="1">
      <c r="C68" s="230"/>
    </row>
    <row r="69" spans="3:3" ht="15" customHeight="1">
      <c r="C69" s="230"/>
    </row>
    <row r="70" spans="3:3" ht="15" customHeight="1">
      <c r="C70" s="230"/>
    </row>
    <row r="71" spans="3:3" ht="15" customHeight="1">
      <c r="C71" s="230"/>
    </row>
    <row r="72" spans="3:3" ht="15" customHeight="1">
      <c r="C72" s="230"/>
    </row>
    <row r="73" spans="3:3" ht="15" customHeight="1">
      <c r="C73" s="230"/>
    </row>
    <row r="74" spans="3:3" ht="15" customHeight="1">
      <c r="C74" s="230"/>
    </row>
    <row r="75" spans="3:3" ht="15" customHeight="1">
      <c r="C75" s="230"/>
    </row>
    <row r="76" spans="3:3" ht="15" customHeight="1">
      <c r="C76" s="230"/>
    </row>
    <row r="77" spans="3:3" ht="15" customHeight="1">
      <c r="C77" s="230"/>
    </row>
    <row r="78" spans="3:3" ht="15" customHeight="1">
      <c r="C78" s="230"/>
    </row>
    <row r="79" spans="3:3" ht="15" customHeight="1">
      <c r="C79" s="230"/>
    </row>
    <row r="80" spans="3:3" ht="15" customHeight="1">
      <c r="C80" s="230"/>
    </row>
    <row r="81" spans="3:3" ht="15" customHeight="1">
      <c r="C81" s="230"/>
    </row>
    <row r="82" spans="3:3" ht="15" customHeight="1">
      <c r="C82" s="230"/>
    </row>
    <row r="83" spans="3:3" ht="15" customHeight="1">
      <c r="C83" s="230"/>
    </row>
    <row r="84" spans="3:3" ht="15" customHeight="1">
      <c r="C84" s="230"/>
    </row>
    <row r="85" spans="3:3" ht="15" customHeight="1">
      <c r="C85" s="230"/>
    </row>
    <row r="86" spans="3:3" ht="15" customHeight="1">
      <c r="C86" s="230"/>
    </row>
    <row r="87" spans="3:3" ht="15" customHeight="1">
      <c r="C87" s="230"/>
    </row>
    <row r="88" spans="3:3" ht="15" customHeight="1">
      <c r="C88" s="230"/>
    </row>
    <row r="89" spans="3:3" ht="15" customHeight="1">
      <c r="C89" s="230"/>
    </row>
    <row r="90" spans="3:3" ht="15" customHeight="1">
      <c r="C90" s="230"/>
    </row>
    <row r="91" spans="3:3" ht="15" customHeight="1">
      <c r="C91" s="230"/>
    </row>
    <row r="92" spans="3:3" ht="15" customHeight="1">
      <c r="C92" s="230"/>
    </row>
    <row r="93" spans="3:3" ht="15" customHeight="1">
      <c r="C93" s="230"/>
    </row>
    <row r="94" spans="3:3" ht="15" customHeight="1">
      <c r="C94" s="230"/>
    </row>
    <row r="95" spans="3:3" ht="15" customHeight="1">
      <c r="C95" s="230"/>
    </row>
    <row r="96" spans="3:3" ht="15" customHeight="1">
      <c r="C96" s="230"/>
    </row>
    <row r="97" spans="3:3" ht="15" customHeight="1">
      <c r="C97" s="230"/>
    </row>
    <row r="98" spans="3:3" ht="15" customHeight="1">
      <c r="C98" s="230"/>
    </row>
    <row r="99" spans="3:3" ht="15" customHeight="1">
      <c r="C99" s="230"/>
    </row>
    <row r="100" spans="3:3" ht="15" customHeight="1">
      <c r="C100" s="230"/>
    </row>
    <row r="101" spans="3:3" ht="15" customHeight="1">
      <c r="C101" s="230"/>
    </row>
    <row r="102" spans="3:3" ht="15" customHeight="1">
      <c r="C102" s="230"/>
    </row>
    <row r="103" spans="3:3" ht="15" customHeight="1">
      <c r="C103" s="230"/>
    </row>
    <row r="104" spans="3:3" ht="15" customHeight="1">
      <c r="C104" s="230"/>
    </row>
    <row r="105" spans="3:3" ht="15" customHeight="1">
      <c r="C105" s="230"/>
    </row>
    <row r="106" spans="3:3" ht="15" customHeight="1">
      <c r="C106" s="230"/>
    </row>
    <row r="107" spans="3:3" ht="15" customHeight="1">
      <c r="C107" s="230"/>
    </row>
    <row r="108" spans="3:3" ht="15" customHeight="1">
      <c r="C108" s="230"/>
    </row>
    <row r="109" spans="3:3" ht="15" customHeight="1">
      <c r="C109" s="230"/>
    </row>
    <row r="110" spans="3:3" ht="15" customHeight="1">
      <c r="C110" s="230"/>
    </row>
    <row r="111" spans="3:3" ht="15" customHeight="1">
      <c r="C111" s="230"/>
    </row>
    <row r="112" spans="3:3" ht="15" customHeight="1">
      <c r="C112" s="230"/>
    </row>
    <row r="113" spans="3:3" ht="15" customHeight="1">
      <c r="C113" s="230"/>
    </row>
    <row r="114" spans="3:3" ht="15" customHeight="1">
      <c r="C114" s="230"/>
    </row>
    <row r="115" spans="3:3" ht="15" customHeight="1">
      <c r="C115" s="230"/>
    </row>
    <row r="116" spans="3:3" ht="15" customHeight="1">
      <c r="C116" s="230"/>
    </row>
    <row r="117" spans="3:3" ht="15" customHeight="1">
      <c r="C117" s="230"/>
    </row>
    <row r="118" spans="3:3" ht="15" customHeight="1">
      <c r="C118" s="230"/>
    </row>
    <row r="119" spans="3:3" ht="15" customHeight="1">
      <c r="C119" s="230"/>
    </row>
    <row r="120" spans="3:3" ht="15" customHeight="1">
      <c r="C120" s="230"/>
    </row>
    <row r="121" spans="3:3" ht="15" customHeight="1">
      <c r="C121" s="230"/>
    </row>
    <row r="122" spans="3:3" ht="15" customHeight="1">
      <c r="C122" s="230"/>
    </row>
    <row r="123" spans="3:3" ht="15" customHeight="1">
      <c r="C123" s="230"/>
    </row>
    <row r="124" spans="3:3" ht="15" customHeight="1">
      <c r="C124" s="230"/>
    </row>
    <row r="125" spans="3:3" ht="15" customHeight="1">
      <c r="C125" s="230"/>
    </row>
    <row r="126" spans="3:3" ht="15" customHeight="1">
      <c r="C126" s="230"/>
    </row>
    <row r="127" spans="3:3" ht="15" customHeight="1">
      <c r="C127" s="230"/>
    </row>
    <row r="128" spans="3:3" ht="15" customHeight="1">
      <c r="C128" s="230"/>
    </row>
    <row r="129" spans="3:3" ht="15" customHeight="1">
      <c r="C129" s="230"/>
    </row>
    <row r="130" spans="3:3" ht="15" customHeight="1">
      <c r="C130" s="230"/>
    </row>
    <row r="131" spans="3:3" ht="15" customHeight="1">
      <c r="C131" s="230"/>
    </row>
    <row r="132" spans="3:3" ht="15" customHeight="1">
      <c r="C132" s="230"/>
    </row>
    <row r="133" spans="3:3" ht="15" customHeight="1">
      <c r="C133" s="230"/>
    </row>
    <row r="134" spans="3:3" ht="15" customHeight="1">
      <c r="C134" s="230"/>
    </row>
    <row r="135" spans="3:3" ht="15" customHeight="1">
      <c r="C135" s="230"/>
    </row>
    <row r="136" spans="3:3" ht="15" customHeight="1">
      <c r="C136" s="230"/>
    </row>
    <row r="137" spans="3:3" ht="15" customHeight="1">
      <c r="C137" s="230"/>
    </row>
    <row r="138" spans="3:3" ht="15" customHeight="1">
      <c r="C138" s="230"/>
    </row>
    <row r="139" spans="3:3" ht="15" customHeight="1">
      <c r="C139" s="230"/>
    </row>
    <row r="140" spans="3:3" ht="15" customHeight="1">
      <c r="C140" s="230"/>
    </row>
    <row r="141" spans="3:3" ht="15" customHeight="1">
      <c r="C141" s="230"/>
    </row>
    <row r="142" spans="3:3" ht="15" customHeight="1">
      <c r="C142" s="230"/>
    </row>
    <row r="143" spans="3:3" ht="15" customHeight="1">
      <c r="C143" s="230"/>
    </row>
    <row r="144" spans="3:3" ht="15" customHeight="1">
      <c r="C144" s="230"/>
    </row>
    <row r="145" spans="3:3" ht="15" customHeight="1">
      <c r="C145" s="230"/>
    </row>
    <row r="146" spans="3:3" ht="15" customHeight="1">
      <c r="C146" s="230"/>
    </row>
    <row r="147" spans="3:3" ht="15" customHeight="1">
      <c r="C147" s="230"/>
    </row>
    <row r="148" spans="3:3" ht="15" customHeight="1">
      <c r="C148" s="230"/>
    </row>
    <row r="149" spans="3:3" ht="15" customHeight="1">
      <c r="C149" s="230"/>
    </row>
    <row r="150" spans="3:3" ht="15" customHeight="1">
      <c r="C150" s="230"/>
    </row>
    <row r="151" spans="3:3" ht="15" customHeight="1">
      <c r="C151" s="230"/>
    </row>
    <row r="152" spans="3:3" ht="15" customHeight="1">
      <c r="C152" s="230"/>
    </row>
    <row r="153" spans="3:3" ht="15" customHeight="1">
      <c r="C153" s="230"/>
    </row>
    <row r="154" spans="3:3" ht="15" customHeight="1">
      <c r="C154" s="230"/>
    </row>
    <row r="155" spans="3:3" ht="15" customHeight="1">
      <c r="C155" s="230"/>
    </row>
    <row r="156" spans="3:3" ht="15" customHeight="1">
      <c r="C156" s="230"/>
    </row>
    <row r="157" spans="3:3" ht="15" customHeight="1">
      <c r="C157" s="230"/>
    </row>
    <row r="158" spans="3:3" ht="15" customHeight="1">
      <c r="C158" s="230"/>
    </row>
    <row r="159" spans="3:3" ht="15" customHeight="1">
      <c r="C159" s="230"/>
    </row>
    <row r="160" spans="3:3" ht="15" customHeight="1">
      <c r="C160" s="230"/>
    </row>
    <row r="161" spans="3:3" ht="15" customHeight="1">
      <c r="C161" s="230"/>
    </row>
    <row r="162" spans="3:3" ht="15" customHeight="1">
      <c r="C162" s="230"/>
    </row>
    <row r="163" spans="3:3" ht="15" customHeight="1">
      <c r="C163" s="230"/>
    </row>
    <row r="164" spans="3:3" ht="15" customHeight="1">
      <c r="C164" s="230"/>
    </row>
    <row r="165" spans="3:3" ht="15" customHeight="1">
      <c r="C165" s="230"/>
    </row>
    <row r="166" spans="3:3" ht="15" customHeight="1">
      <c r="C166" s="230"/>
    </row>
    <row r="167" spans="3:3" ht="15" customHeight="1">
      <c r="C167" s="230"/>
    </row>
    <row r="168" spans="3:3" ht="15" customHeight="1">
      <c r="C168" s="230"/>
    </row>
    <row r="169" spans="3:3" ht="15" customHeight="1">
      <c r="C169" s="230"/>
    </row>
    <row r="170" spans="3:3" ht="15" customHeight="1">
      <c r="C170" s="230"/>
    </row>
    <row r="171" spans="3:3" ht="15" customHeight="1">
      <c r="C171" s="230"/>
    </row>
    <row r="172" spans="3:3" ht="15" customHeight="1">
      <c r="C172" s="230"/>
    </row>
    <row r="173" spans="3:3" ht="15" customHeight="1">
      <c r="C173" s="230"/>
    </row>
    <row r="174" spans="3:3" ht="15" customHeight="1">
      <c r="C174" s="230"/>
    </row>
    <row r="175" spans="3:3" ht="15" customHeight="1">
      <c r="C175" s="230"/>
    </row>
    <row r="176" spans="3:3" ht="15" customHeight="1">
      <c r="C176" s="230"/>
    </row>
    <row r="177" spans="3:3" ht="15" customHeight="1">
      <c r="C177" s="230"/>
    </row>
    <row r="178" spans="3:3" ht="15" customHeight="1">
      <c r="C178" s="230"/>
    </row>
    <row r="179" spans="3:3" ht="15" customHeight="1">
      <c r="C179" s="230"/>
    </row>
    <row r="180" spans="3:3" ht="15" customHeight="1">
      <c r="C180" s="230"/>
    </row>
    <row r="181" spans="3:3" ht="15" customHeight="1">
      <c r="C181" s="230"/>
    </row>
    <row r="182" spans="3:3" ht="15" customHeight="1">
      <c r="C182" s="230"/>
    </row>
    <row r="183" spans="3:3" ht="15" customHeight="1">
      <c r="C183" s="230"/>
    </row>
    <row r="184" spans="3:3" ht="15" customHeight="1">
      <c r="C184" s="230"/>
    </row>
    <row r="185" spans="3:3" ht="15" customHeight="1">
      <c r="C185" s="230"/>
    </row>
    <row r="186" spans="3:3" ht="15" customHeight="1">
      <c r="C186" s="230"/>
    </row>
    <row r="187" spans="3:3" ht="15" customHeight="1">
      <c r="C187" s="230"/>
    </row>
    <row r="188" spans="3:3" ht="15" customHeight="1">
      <c r="C188" s="230"/>
    </row>
    <row r="189" spans="3:3" ht="15" customHeight="1">
      <c r="C189" s="230"/>
    </row>
    <row r="190" spans="3:3" ht="15" customHeight="1">
      <c r="C190" s="230"/>
    </row>
    <row r="191" spans="3:3" ht="15" customHeight="1">
      <c r="C191" s="230"/>
    </row>
    <row r="192" spans="3:3" ht="15" customHeight="1">
      <c r="C192" s="230"/>
    </row>
    <row r="193" spans="3:3" ht="15" customHeight="1">
      <c r="C193" s="230"/>
    </row>
    <row r="194" spans="3:3" ht="15" customHeight="1">
      <c r="C194" s="230"/>
    </row>
    <row r="195" spans="3:3" ht="15" customHeight="1">
      <c r="C195" s="230"/>
    </row>
    <row r="196" spans="3:3" ht="15" customHeight="1">
      <c r="C196" s="230"/>
    </row>
    <row r="197" spans="3:3" ht="15" customHeight="1">
      <c r="C197" s="230"/>
    </row>
    <row r="198" spans="3:3" ht="15" customHeight="1">
      <c r="C198" s="230"/>
    </row>
    <row r="199" spans="3:3" ht="15" customHeight="1">
      <c r="C199" s="230"/>
    </row>
    <row r="200" spans="3:3" ht="15" customHeight="1">
      <c r="C200" s="230"/>
    </row>
    <row r="201" spans="3:3" ht="15" customHeight="1">
      <c r="C201" s="230"/>
    </row>
    <row r="202" spans="3:3" ht="15" customHeight="1">
      <c r="C202" s="230"/>
    </row>
    <row r="203" spans="3:3" ht="15" customHeight="1">
      <c r="C203" s="230"/>
    </row>
    <row r="204" spans="3:3" ht="15" customHeight="1">
      <c r="C204" s="230"/>
    </row>
    <row r="205" spans="3:3" ht="15" customHeight="1">
      <c r="C205" s="230"/>
    </row>
    <row r="206" spans="3:3" ht="15" customHeight="1">
      <c r="C206" s="230"/>
    </row>
    <row r="207" spans="3:3" ht="15" customHeight="1">
      <c r="C207" s="230"/>
    </row>
    <row r="208" spans="3:3" ht="15" customHeight="1">
      <c r="C208" s="230"/>
    </row>
    <row r="209" spans="3:3" ht="15" customHeight="1">
      <c r="C209" s="230"/>
    </row>
    <row r="210" spans="3:3" ht="15" customHeight="1">
      <c r="C210" s="230"/>
    </row>
    <row r="211" spans="3:3" ht="15" customHeight="1">
      <c r="C211" s="230"/>
    </row>
    <row r="212" spans="3:3" ht="15" customHeight="1">
      <c r="C212" s="230"/>
    </row>
    <row r="213" spans="3:3" ht="15" customHeight="1">
      <c r="C213" s="230"/>
    </row>
    <row r="214" spans="3:3" ht="15" customHeight="1">
      <c r="C214" s="230"/>
    </row>
    <row r="215" spans="3:3" ht="15" customHeight="1">
      <c r="C215" s="230"/>
    </row>
    <row r="216" spans="3:3" ht="15" customHeight="1">
      <c r="C216" s="230"/>
    </row>
    <row r="217" spans="3:3" ht="15" customHeight="1">
      <c r="C217" s="230"/>
    </row>
    <row r="218" spans="3:3" ht="15" customHeight="1">
      <c r="C218" s="230"/>
    </row>
    <row r="219" spans="3:3" ht="15" customHeight="1">
      <c r="C219" s="230"/>
    </row>
    <row r="220" spans="3:3" ht="15" customHeight="1">
      <c r="C220" s="230"/>
    </row>
    <row r="221" spans="3:3" ht="15" customHeight="1">
      <c r="C221" s="230"/>
    </row>
    <row r="222" spans="3:3" ht="15" customHeight="1">
      <c r="C222" s="230"/>
    </row>
    <row r="223" spans="3:3" ht="15" customHeight="1">
      <c r="C223" s="230"/>
    </row>
    <row r="224" spans="3:3" ht="15" customHeight="1">
      <c r="C224" s="230"/>
    </row>
    <row r="225" spans="3:3" ht="15" customHeight="1">
      <c r="C225" s="230"/>
    </row>
    <row r="226" spans="3:3" ht="15" customHeight="1">
      <c r="C226" s="230"/>
    </row>
    <row r="227" spans="3:3" ht="15" customHeight="1">
      <c r="C227" s="230"/>
    </row>
    <row r="228" spans="3:3" ht="15" customHeight="1">
      <c r="C228" s="230"/>
    </row>
    <row r="229" spans="3:3" ht="15" customHeight="1">
      <c r="C229" s="230"/>
    </row>
    <row r="230" spans="3:3" ht="15" customHeight="1">
      <c r="C230" s="230"/>
    </row>
    <row r="231" spans="3:3" ht="15" customHeight="1">
      <c r="C231" s="230"/>
    </row>
    <row r="232" spans="3:3" ht="15" customHeight="1">
      <c r="C232" s="230"/>
    </row>
    <row r="233" spans="3:3" ht="15" customHeight="1">
      <c r="C233" s="230"/>
    </row>
    <row r="234" spans="3:3" ht="15" customHeight="1">
      <c r="C234" s="230"/>
    </row>
    <row r="235" spans="3:3" ht="15" customHeight="1">
      <c r="C235" s="230"/>
    </row>
    <row r="236" spans="3:3" ht="15" customHeight="1">
      <c r="C236" s="230"/>
    </row>
    <row r="237" spans="3:3" ht="15" customHeight="1">
      <c r="C237" s="230"/>
    </row>
    <row r="238" spans="3:3" ht="15" customHeight="1">
      <c r="C238" s="230"/>
    </row>
    <row r="239" spans="3:3" ht="15" customHeight="1">
      <c r="C239" s="230"/>
    </row>
    <row r="240" spans="3:3" ht="15" customHeight="1">
      <c r="C240" s="230"/>
    </row>
    <row r="241" spans="3:3" ht="15" customHeight="1">
      <c r="C241" s="230"/>
    </row>
    <row r="242" spans="3:3" ht="15" customHeight="1">
      <c r="C242" s="230"/>
    </row>
    <row r="243" spans="3:3" ht="15" customHeight="1">
      <c r="C243" s="230"/>
    </row>
    <row r="244" spans="3:3" ht="15" customHeight="1">
      <c r="C244" s="230"/>
    </row>
    <row r="245" spans="3:3" ht="15" customHeight="1">
      <c r="C245" s="230"/>
    </row>
    <row r="246" spans="3:3" ht="15" customHeight="1">
      <c r="C246" s="230"/>
    </row>
    <row r="247" spans="3:3" ht="15" customHeight="1">
      <c r="C247" s="230"/>
    </row>
    <row r="248" spans="3:3" ht="15" customHeight="1">
      <c r="C248" s="230"/>
    </row>
    <row r="249" spans="3:3" ht="15" customHeight="1">
      <c r="C249" s="230"/>
    </row>
    <row r="250" spans="3:3" ht="15" customHeight="1">
      <c r="C250" s="230"/>
    </row>
    <row r="251" spans="3:3" ht="15" customHeight="1">
      <c r="C251" s="230"/>
    </row>
    <row r="252" spans="3:3" ht="15" customHeight="1">
      <c r="C252" s="230"/>
    </row>
    <row r="253" spans="3:3" ht="15" customHeight="1">
      <c r="C253" s="230"/>
    </row>
    <row r="254" spans="3:3" ht="15" customHeight="1">
      <c r="C254" s="230"/>
    </row>
    <row r="255" spans="3:3" ht="15" customHeight="1">
      <c r="C255" s="230"/>
    </row>
    <row r="256" spans="3:3" ht="15" customHeight="1">
      <c r="C256" s="230"/>
    </row>
    <row r="257" spans="3:3" ht="15" customHeight="1">
      <c r="C257" s="230"/>
    </row>
    <row r="258" spans="3:3" ht="15" customHeight="1">
      <c r="C258" s="230"/>
    </row>
    <row r="259" spans="3:3" ht="15" customHeight="1">
      <c r="C259" s="230"/>
    </row>
    <row r="260" spans="3:3" ht="15" customHeight="1">
      <c r="C260" s="230"/>
    </row>
    <row r="261" spans="3:3" ht="15" customHeight="1">
      <c r="C261" s="230"/>
    </row>
    <row r="262" spans="3:3" ht="15" customHeight="1">
      <c r="C262" s="230"/>
    </row>
    <row r="263" spans="3:3" ht="15" customHeight="1">
      <c r="C263" s="230"/>
    </row>
    <row r="264" spans="3:3" ht="15" customHeight="1">
      <c r="C264" s="230"/>
    </row>
    <row r="265" spans="3:3" ht="15" customHeight="1">
      <c r="C265" s="230"/>
    </row>
    <row r="266" spans="3:3" ht="15" customHeight="1">
      <c r="C266" s="230"/>
    </row>
    <row r="267" spans="3:3" ht="15" customHeight="1">
      <c r="C267" s="230"/>
    </row>
    <row r="268" spans="3:3" ht="15" customHeight="1">
      <c r="C268" s="230"/>
    </row>
    <row r="269" spans="3:3" ht="15" customHeight="1">
      <c r="C269" s="230"/>
    </row>
    <row r="270" spans="3:3" ht="15" customHeight="1">
      <c r="C270" s="230"/>
    </row>
    <row r="271" spans="3:3" ht="15" customHeight="1">
      <c r="C271" s="230"/>
    </row>
    <row r="272" spans="3:3" ht="15" customHeight="1">
      <c r="C272" s="230"/>
    </row>
    <row r="273" spans="3:3" ht="15" customHeight="1">
      <c r="C273" s="230"/>
    </row>
    <row r="274" spans="3:3" ht="15" customHeight="1">
      <c r="C274" s="230"/>
    </row>
    <row r="275" spans="3:3" ht="15" customHeight="1">
      <c r="C275" s="230"/>
    </row>
    <row r="276" spans="3:3" ht="15" customHeight="1">
      <c r="C276" s="230"/>
    </row>
    <row r="277" spans="3:3" ht="15" customHeight="1">
      <c r="C277" s="230"/>
    </row>
    <row r="278" spans="3:3" ht="15" customHeight="1">
      <c r="C278" s="230"/>
    </row>
    <row r="279" spans="3:3" ht="15" customHeight="1">
      <c r="C279" s="230"/>
    </row>
    <row r="280" spans="3:3" ht="15" customHeight="1">
      <c r="C280" s="230"/>
    </row>
    <row r="281" spans="3:3" ht="15" customHeight="1">
      <c r="C281" s="230"/>
    </row>
    <row r="282" spans="3:3" ht="15" customHeight="1">
      <c r="C282" s="230"/>
    </row>
    <row r="283" spans="3:3" ht="15" customHeight="1">
      <c r="C283" s="230"/>
    </row>
    <row r="284" spans="3:3" ht="15" customHeight="1">
      <c r="C284" s="230"/>
    </row>
    <row r="285" spans="3:3" ht="15" customHeight="1">
      <c r="C285" s="230"/>
    </row>
    <row r="286" spans="3:3" ht="15" customHeight="1">
      <c r="C286" s="230"/>
    </row>
    <row r="287" spans="3:3" ht="15" customHeight="1">
      <c r="C287" s="230"/>
    </row>
    <row r="288" spans="3:3" ht="15" customHeight="1">
      <c r="C288" s="230"/>
    </row>
    <row r="289" spans="3:3" ht="15" customHeight="1">
      <c r="C289" s="230"/>
    </row>
    <row r="290" spans="3:3" ht="15" customHeight="1">
      <c r="C290" s="230"/>
    </row>
    <row r="291" spans="3:3" ht="15" customHeight="1">
      <c r="C291" s="230"/>
    </row>
    <row r="292" spans="3:3" ht="15" customHeight="1">
      <c r="C292" s="230"/>
    </row>
    <row r="293" spans="3:3" ht="15" customHeight="1">
      <c r="C293" s="230"/>
    </row>
    <row r="294" spans="3:3" ht="15" customHeight="1">
      <c r="C294" s="230"/>
    </row>
    <row r="295" spans="3:3" ht="15" customHeight="1">
      <c r="C295" s="230"/>
    </row>
    <row r="296" spans="3:3" ht="15" customHeight="1">
      <c r="C296" s="230"/>
    </row>
    <row r="297" spans="3:3" ht="15" customHeight="1">
      <c r="C297" s="230"/>
    </row>
    <row r="298" spans="3:3" ht="15" customHeight="1">
      <c r="C298" s="230"/>
    </row>
    <row r="299" spans="3:3" ht="15" customHeight="1">
      <c r="C299" s="230"/>
    </row>
    <row r="300" spans="3:3" ht="15" customHeight="1">
      <c r="C300" s="230"/>
    </row>
    <row r="301" spans="3:3" ht="15" customHeight="1">
      <c r="C301" s="230"/>
    </row>
    <row r="302" spans="3:3" ht="15" customHeight="1">
      <c r="C302" s="230"/>
    </row>
    <row r="303" spans="3:3" ht="15" customHeight="1">
      <c r="C303" s="230"/>
    </row>
    <row r="304" spans="3:3" ht="15" customHeight="1">
      <c r="C304" s="230"/>
    </row>
    <row r="305" spans="3:3" ht="15" customHeight="1">
      <c r="C305" s="230"/>
    </row>
    <row r="306" spans="3:3" ht="15" customHeight="1">
      <c r="C306" s="230"/>
    </row>
    <row r="307" spans="3:3" ht="15" customHeight="1">
      <c r="C307" s="230"/>
    </row>
    <row r="308" spans="3:3" ht="15" customHeight="1">
      <c r="C308" s="230"/>
    </row>
    <row r="309" spans="3:3" ht="15" customHeight="1">
      <c r="C309" s="230"/>
    </row>
    <row r="310" spans="3:3" ht="15" customHeight="1">
      <c r="C310" s="230"/>
    </row>
    <row r="311" spans="3:3" ht="15" customHeight="1">
      <c r="C311" s="230"/>
    </row>
    <row r="312" spans="3:3" ht="15" customHeight="1">
      <c r="C312" s="230"/>
    </row>
    <row r="313" spans="3:3" ht="15" customHeight="1">
      <c r="C313" s="230"/>
    </row>
    <row r="314" spans="3:3" ht="15" customHeight="1">
      <c r="C314" s="230"/>
    </row>
    <row r="315" spans="3:3" ht="15" customHeight="1">
      <c r="C315" s="230"/>
    </row>
    <row r="316" spans="3:3" ht="15" customHeight="1">
      <c r="C316" s="230"/>
    </row>
    <row r="317" spans="3:3" ht="15" customHeight="1">
      <c r="C317" s="230"/>
    </row>
    <row r="318" spans="3:3" ht="15" customHeight="1">
      <c r="C318" s="230"/>
    </row>
    <row r="319" spans="3:3" ht="15" customHeight="1">
      <c r="C319" s="230"/>
    </row>
    <row r="320" spans="3:3" ht="15" customHeight="1">
      <c r="C320" s="230"/>
    </row>
    <row r="321" spans="3:3" ht="15" customHeight="1">
      <c r="C321" s="230"/>
    </row>
    <row r="322" spans="3:3" ht="15" customHeight="1">
      <c r="C322" s="230"/>
    </row>
    <row r="323" spans="3:3" ht="15" customHeight="1">
      <c r="C323" s="230"/>
    </row>
    <row r="324" spans="3:3" ht="15" customHeight="1">
      <c r="C324" s="230"/>
    </row>
    <row r="325" spans="3:3" ht="15" customHeight="1">
      <c r="C325" s="230"/>
    </row>
    <row r="326" spans="3:3" ht="15" customHeight="1">
      <c r="C326" s="230"/>
    </row>
    <row r="327" spans="3:3" ht="15" customHeight="1">
      <c r="C327" s="230"/>
    </row>
    <row r="328" spans="3:3" ht="15" customHeight="1">
      <c r="C328" s="230"/>
    </row>
    <row r="329" spans="3:3" ht="15" customHeight="1">
      <c r="C329" s="230"/>
    </row>
    <row r="330" spans="3:3" ht="15" customHeight="1">
      <c r="C330" s="230"/>
    </row>
    <row r="331" spans="3:3" ht="15" customHeight="1">
      <c r="C331" s="230"/>
    </row>
    <row r="332" spans="3:3" ht="15" customHeight="1">
      <c r="C332" s="230"/>
    </row>
    <row r="333" spans="3:3" ht="15" customHeight="1">
      <c r="C333" s="230"/>
    </row>
    <row r="334" spans="3:3" ht="15" customHeight="1">
      <c r="C334" s="230"/>
    </row>
    <row r="335" spans="3:3" ht="15" customHeight="1">
      <c r="C335" s="230"/>
    </row>
    <row r="336" spans="3:3" ht="15" customHeight="1">
      <c r="C336" s="230"/>
    </row>
    <row r="337" spans="3:3" ht="15" customHeight="1">
      <c r="C337" s="230"/>
    </row>
    <row r="338" spans="3:3" ht="15" customHeight="1">
      <c r="C338" s="230"/>
    </row>
    <row r="339" spans="3:3" ht="15" customHeight="1">
      <c r="C339" s="230"/>
    </row>
    <row r="340" spans="3:3" ht="15" customHeight="1">
      <c r="C340" s="230"/>
    </row>
    <row r="341" spans="3:3" ht="15" customHeight="1">
      <c r="C341" s="230"/>
    </row>
    <row r="342" spans="3:3" ht="15" customHeight="1">
      <c r="C342" s="230"/>
    </row>
    <row r="343" spans="3:3" ht="15" customHeight="1">
      <c r="C343" s="230"/>
    </row>
    <row r="344" spans="3:3" ht="15" customHeight="1">
      <c r="C344" s="230"/>
    </row>
    <row r="345" spans="3:3" ht="15" customHeight="1">
      <c r="C345" s="230"/>
    </row>
    <row r="346" spans="3:3" ht="15" customHeight="1">
      <c r="C346" s="230"/>
    </row>
    <row r="347" spans="3:3" ht="15" customHeight="1">
      <c r="C347" s="230"/>
    </row>
    <row r="348" spans="3:3" ht="15" customHeight="1">
      <c r="C348" s="230"/>
    </row>
    <row r="349" spans="3:3" ht="15" customHeight="1">
      <c r="C349" s="230"/>
    </row>
    <row r="350" spans="3:3" ht="15" customHeight="1">
      <c r="C350" s="230"/>
    </row>
    <row r="351" spans="3:3" ht="15" customHeight="1">
      <c r="C351" s="230"/>
    </row>
    <row r="352" spans="3:3" ht="15" customHeight="1">
      <c r="C352" s="230"/>
    </row>
    <row r="353" spans="3:3" ht="15" customHeight="1">
      <c r="C353" s="230"/>
    </row>
    <row r="354" spans="3:3" ht="15" customHeight="1">
      <c r="C354" s="230"/>
    </row>
    <row r="355" spans="3:3" ht="15" customHeight="1">
      <c r="C355" s="230"/>
    </row>
    <row r="356" spans="3:3" ht="15" customHeight="1">
      <c r="C356" s="230"/>
    </row>
    <row r="357" spans="3:3" ht="15" customHeight="1">
      <c r="C357" s="230"/>
    </row>
    <row r="358" spans="3:3" ht="15" customHeight="1">
      <c r="C358" s="230"/>
    </row>
    <row r="359" spans="3:3" ht="15" customHeight="1">
      <c r="C359" s="230"/>
    </row>
    <row r="360" spans="3:3" ht="15" customHeight="1">
      <c r="C360" s="230"/>
    </row>
    <row r="361" spans="3:3" ht="15" customHeight="1">
      <c r="C361" s="230"/>
    </row>
    <row r="362" spans="3:3" ht="15" customHeight="1">
      <c r="C362" s="230"/>
    </row>
    <row r="363" spans="3:3" ht="15" customHeight="1">
      <c r="C363" s="230"/>
    </row>
    <row r="364" spans="3:3" ht="15" customHeight="1">
      <c r="C364" s="230"/>
    </row>
    <row r="365" spans="3:3" ht="15" customHeight="1">
      <c r="C365" s="230"/>
    </row>
    <row r="366" spans="3:3" ht="15" customHeight="1">
      <c r="C366" s="230"/>
    </row>
    <row r="367" spans="3:3" ht="15" customHeight="1">
      <c r="C367" s="230"/>
    </row>
    <row r="368" spans="3:3" ht="15" customHeight="1">
      <c r="C368" s="230"/>
    </row>
    <row r="369" spans="3:3" ht="15" customHeight="1">
      <c r="C369" s="230"/>
    </row>
    <row r="370" spans="3:3" ht="15" customHeight="1">
      <c r="C370" s="230"/>
    </row>
    <row r="371" spans="3:3" ht="15" customHeight="1">
      <c r="C371" s="230"/>
    </row>
    <row r="372" spans="3:3" ht="15" customHeight="1">
      <c r="C372" s="230"/>
    </row>
    <row r="373" spans="3:3" ht="15" customHeight="1">
      <c r="C373" s="230"/>
    </row>
    <row r="374" spans="3:3" ht="15" customHeight="1">
      <c r="C374" s="230"/>
    </row>
    <row r="375" spans="3:3" ht="15" customHeight="1">
      <c r="C375" s="230"/>
    </row>
    <row r="376" spans="3:3" ht="15" customHeight="1">
      <c r="C376" s="230"/>
    </row>
    <row r="377" spans="3:3" ht="15" customHeight="1">
      <c r="C377" s="230"/>
    </row>
    <row r="378" spans="3:3" ht="15" customHeight="1">
      <c r="C378" s="230"/>
    </row>
    <row r="379" spans="3:3" ht="15" customHeight="1">
      <c r="C379" s="230"/>
    </row>
    <row r="380" spans="3:3" ht="15" customHeight="1">
      <c r="C380" s="230"/>
    </row>
    <row r="381" spans="3:3" ht="15" customHeight="1">
      <c r="C381" s="230"/>
    </row>
    <row r="382" spans="3:3" ht="15" customHeight="1">
      <c r="C382" s="230"/>
    </row>
    <row r="383" spans="3:3" ht="15" customHeight="1">
      <c r="C383" s="230"/>
    </row>
    <row r="384" spans="3:3" ht="15" customHeight="1">
      <c r="C384" s="230"/>
    </row>
    <row r="385" spans="3:3" ht="15" customHeight="1">
      <c r="C385" s="230"/>
    </row>
    <row r="386" spans="3:3" ht="15" customHeight="1">
      <c r="C386" s="230"/>
    </row>
    <row r="387" spans="3:3" ht="15" customHeight="1">
      <c r="C387" s="230"/>
    </row>
    <row r="388" spans="3:3" ht="15" customHeight="1">
      <c r="C388" s="230"/>
    </row>
    <row r="389" spans="3:3" ht="15" customHeight="1">
      <c r="C389" s="230"/>
    </row>
    <row r="390" spans="3:3" ht="15" customHeight="1">
      <c r="C390" s="230"/>
    </row>
    <row r="391" spans="3:3" ht="15" customHeight="1">
      <c r="C391" s="230"/>
    </row>
    <row r="392" spans="3:3" ht="15" customHeight="1">
      <c r="C392" s="230"/>
    </row>
    <row r="393" spans="3:3" ht="15" customHeight="1">
      <c r="C393" s="230"/>
    </row>
    <row r="394" spans="3:3" ht="15" customHeight="1">
      <c r="C394" s="230"/>
    </row>
    <row r="395" spans="3:3" ht="15" customHeight="1">
      <c r="C395" s="230"/>
    </row>
    <row r="396" spans="3:3" ht="15" customHeight="1">
      <c r="C396" s="230"/>
    </row>
    <row r="397" spans="3:3" ht="15" customHeight="1">
      <c r="C397" s="230"/>
    </row>
    <row r="398" spans="3:3" ht="15" customHeight="1">
      <c r="C398" s="230"/>
    </row>
    <row r="399" spans="3:3" ht="15" customHeight="1">
      <c r="C399" s="230"/>
    </row>
    <row r="400" spans="3:3" ht="15" customHeight="1">
      <c r="C400" s="230"/>
    </row>
    <row r="401" spans="3:3" ht="15" customHeight="1">
      <c r="C401" s="230"/>
    </row>
    <row r="402" spans="3:3" ht="15" customHeight="1">
      <c r="C402" s="230"/>
    </row>
    <row r="403" spans="3:3" ht="15" customHeight="1">
      <c r="C403" s="230"/>
    </row>
    <row r="404" spans="3:3" ht="15" customHeight="1">
      <c r="C404" s="230"/>
    </row>
    <row r="405" spans="3:3" ht="15" customHeight="1">
      <c r="C405" s="230"/>
    </row>
    <row r="406" spans="3:3" ht="15" customHeight="1">
      <c r="C406" s="230"/>
    </row>
    <row r="407" spans="3:3" ht="15" customHeight="1">
      <c r="C407" s="230"/>
    </row>
    <row r="408" spans="3:3" ht="15" customHeight="1">
      <c r="C408" s="230"/>
    </row>
    <row r="409" spans="3:3" ht="15" customHeight="1">
      <c r="C409" s="230"/>
    </row>
    <row r="410" spans="3:3" ht="15" customHeight="1">
      <c r="C410" s="230"/>
    </row>
    <row r="411" spans="3:3" ht="15" customHeight="1">
      <c r="C411" s="230"/>
    </row>
    <row r="412" spans="3:3" ht="15" customHeight="1">
      <c r="C412" s="230"/>
    </row>
    <row r="413" spans="3:3" ht="15" customHeight="1">
      <c r="C413" s="230"/>
    </row>
    <row r="414" spans="3:3" ht="15" customHeight="1">
      <c r="C414" s="230"/>
    </row>
    <row r="415" spans="3:3" ht="15" customHeight="1">
      <c r="C415" s="230"/>
    </row>
    <row r="416" spans="3:3" ht="15" customHeight="1">
      <c r="C416" s="230"/>
    </row>
    <row r="417" spans="3:3" ht="15" customHeight="1">
      <c r="C417" s="230"/>
    </row>
    <row r="418" spans="3:3" ht="15" customHeight="1">
      <c r="C418" s="230"/>
    </row>
    <row r="419" spans="3:3" ht="15" customHeight="1">
      <c r="C419" s="230"/>
    </row>
    <row r="420" spans="3:3" ht="15" customHeight="1">
      <c r="C420" s="230"/>
    </row>
    <row r="421" spans="3:3" ht="15" customHeight="1">
      <c r="C421" s="230"/>
    </row>
    <row r="422" spans="3:3" ht="15" customHeight="1">
      <c r="C422" s="230"/>
    </row>
    <row r="423" spans="3:3" ht="15" customHeight="1">
      <c r="C423" s="230"/>
    </row>
    <row r="424" spans="3:3" ht="15" customHeight="1">
      <c r="C424" s="230"/>
    </row>
    <row r="425" spans="3:3" ht="15" customHeight="1">
      <c r="C425" s="230"/>
    </row>
    <row r="426" spans="3:3" ht="15" customHeight="1">
      <c r="C426" s="230"/>
    </row>
    <row r="427" spans="3:3" ht="15" customHeight="1">
      <c r="C427" s="230"/>
    </row>
    <row r="428" spans="3:3" ht="15" customHeight="1">
      <c r="C428" s="230"/>
    </row>
    <row r="429" spans="3:3" ht="15" customHeight="1">
      <c r="C429" s="230"/>
    </row>
    <row r="430" spans="3:3" ht="15" customHeight="1">
      <c r="C430" s="230"/>
    </row>
    <row r="431" spans="3:3" ht="15" customHeight="1">
      <c r="C431" s="230"/>
    </row>
    <row r="432" spans="3:3" ht="15" customHeight="1">
      <c r="C432" s="230"/>
    </row>
    <row r="433" spans="3:3" ht="15" customHeight="1">
      <c r="C433" s="230"/>
    </row>
    <row r="434" spans="3:3" ht="15" customHeight="1">
      <c r="C434" s="230"/>
    </row>
    <row r="435" spans="3:3" ht="15" customHeight="1">
      <c r="C435" s="230"/>
    </row>
    <row r="436" spans="3:3" ht="15" customHeight="1">
      <c r="C436" s="230"/>
    </row>
    <row r="437" spans="3:3" ht="15" customHeight="1">
      <c r="C437" s="230"/>
    </row>
    <row r="438" spans="3:3" ht="15" customHeight="1">
      <c r="C438" s="230"/>
    </row>
    <row r="439" spans="3:3" ht="15" customHeight="1">
      <c r="C439" s="230"/>
    </row>
    <row r="440" spans="3:3" ht="15" customHeight="1">
      <c r="C440" s="230"/>
    </row>
    <row r="441" spans="3:3" ht="15" customHeight="1">
      <c r="C441" s="230"/>
    </row>
    <row r="442" spans="3:3" ht="15" customHeight="1">
      <c r="C442" s="230"/>
    </row>
    <row r="443" spans="3:3" ht="15" customHeight="1">
      <c r="C443" s="230"/>
    </row>
    <row r="444" spans="3:3" ht="15" customHeight="1">
      <c r="C444" s="230"/>
    </row>
    <row r="445" spans="3:3" ht="15" customHeight="1">
      <c r="C445" s="230"/>
    </row>
    <row r="446" spans="3:3" ht="15" customHeight="1">
      <c r="C446" s="230"/>
    </row>
    <row r="447" spans="3:3" ht="15" customHeight="1">
      <c r="C447" s="230"/>
    </row>
    <row r="448" spans="3:3" ht="15" customHeight="1">
      <c r="C448" s="230"/>
    </row>
    <row r="449" spans="3:3" ht="15" customHeight="1">
      <c r="C449" s="230"/>
    </row>
    <row r="450" spans="3:3" ht="15" customHeight="1">
      <c r="C450" s="230"/>
    </row>
    <row r="451" spans="3:3" ht="15" customHeight="1">
      <c r="C451" s="230"/>
    </row>
    <row r="452" spans="3:3" ht="15" customHeight="1">
      <c r="C452" s="230"/>
    </row>
    <row r="453" spans="3:3" ht="15" customHeight="1">
      <c r="C453" s="230"/>
    </row>
    <row r="454" spans="3:3" ht="15" customHeight="1">
      <c r="C454" s="230"/>
    </row>
    <row r="455" spans="3:3" ht="15" customHeight="1">
      <c r="C455" s="230"/>
    </row>
    <row r="456" spans="3:3" ht="15" customHeight="1">
      <c r="C456" s="230"/>
    </row>
    <row r="457" spans="3:3" ht="15" customHeight="1">
      <c r="C457" s="230"/>
    </row>
    <row r="458" spans="3:3" ht="15" customHeight="1">
      <c r="C458" s="230"/>
    </row>
    <row r="459" spans="3:3" ht="15" customHeight="1">
      <c r="C459" s="230"/>
    </row>
    <row r="460" spans="3:3" ht="15" customHeight="1">
      <c r="C460" s="230"/>
    </row>
    <row r="461" spans="3:3" ht="15" customHeight="1">
      <c r="C461" s="230"/>
    </row>
    <row r="462" spans="3:3" ht="15" customHeight="1">
      <c r="C462" s="230"/>
    </row>
    <row r="463" spans="3:3" ht="15" customHeight="1">
      <c r="C463" s="230"/>
    </row>
    <row r="464" spans="3:3" ht="15" customHeight="1">
      <c r="C464" s="230"/>
    </row>
    <row r="465" spans="3:3" ht="15" customHeight="1">
      <c r="C465" s="230"/>
    </row>
    <row r="466" spans="3:3" ht="15" customHeight="1">
      <c r="C466" s="230"/>
    </row>
    <row r="467" spans="3:3" ht="15" customHeight="1">
      <c r="C467" s="230"/>
    </row>
    <row r="468" spans="3:3" ht="15" customHeight="1">
      <c r="C468" s="230"/>
    </row>
    <row r="469" spans="3:3" ht="15" customHeight="1">
      <c r="C469" s="230"/>
    </row>
    <row r="470" spans="3:3" ht="15" customHeight="1">
      <c r="C470" s="230"/>
    </row>
    <row r="471" spans="3:3" ht="15" customHeight="1">
      <c r="C471" s="230"/>
    </row>
    <row r="472" spans="3:3" ht="15" customHeight="1">
      <c r="C472" s="230"/>
    </row>
    <row r="473" spans="3:3" ht="15" customHeight="1">
      <c r="C473" s="230"/>
    </row>
    <row r="474" spans="3:3" ht="15" customHeight="1">
      <c r="C474" s="230"/>
    </row>
    <row r="475" spans="3:3" ht="15" customHeight="1">
      <c r="C475" s="230"/>
    </row>
    <row r="476" spans="3:3" ht="15" customHeight="1">
      <c r="C476" s="230"/>
    </row>
    <row r="477" spans="3:3" ht="15" customHeight="1">
      <c r="C477" s="230"/>
    </row>
    <row r="478" spans="3:3" ht="15" customHeight="1">
      <c r="C478" s="230"/>
    </row>
    <row r="479" spans="3:3" ht="15" customHeight="1">
      <c r="C479" s="230"/>
    </row>
    <row r="480" spans="3:3" ht="15" customHeight="1">
      <c r="C480" s="230"/>
    </row>
    <row r="481" spans="3:3" ht="15" customHeight="1">
      <c r="C481" s="230"/>
    </row>
    <row r="482" spans="3:3" ht="15" customHeight="1">
      <c r="C482" s="230"/>
    </row>
    <row r="483" spans="3:3" ht="15" customHeight="1">
      <c r="C483" s="230"/>
    </row>
    <row r="484" spans="3:3" ht="15" customHeight="1">
      <c r="C484" s="230"/>
    </row>
    <row r="485" spans="3:3" ht="15" customHeight="1">
      <c r="C485" s="230"/>
    </row>
    <row r="486" spans="3:3" ht="15" customHeight="1">
      <c r="C486" s="230"/>
    </row>
    <row r="487" spans="3:3" ht="15" customHeight="1">
      <c r="C487" s="230"/>
    </row>
    <row r="488" spans="3:3" ht="15" customHeight="1">
      <c r="C488" s="230"/>
    </row>
    <row r="489" spans="3:3" ht="15" customHeight="1">
      <c r="C489" s="230"/>
    </row>
    <row r="490" spans="3:3" ht="15" customHeight="1">
      <c r="C490" s="230"/>
    </row>
    <row r="491" spans="3:3" ht="15" customHeight="1">
      <c r="C491" s="230"/>
    </row>
    <row r="492" spans="3:3" ht="15" customHeight="1">
      <c r="C492" s="230"/>
    </row>
    <row r="493" spans="3:3" ht="15" customHeight="1">
      <c r="C493" s="230"/>
    </row>
    <row r="494" spans="3:3" ht="15" customHeight="1">
      <c r="C494" s="230"/>
    </row>
    <row r="495" spans="3:3" ht="15" customHeight="1">
      <c r="C495" s="230"/>
    </row>
    <row r="496" spans="3:3" ht="15" customHeight="1">
      <c r="C496" s="230"/>
    </row>
    <row r="497" spans="3:3" ht="15" customHeight="1">
      <c r="C497" s="230"/>
    </row>
    <row r="498" spans="3:3" ht="15" customHeight="1">
      <c r="C498" s="230"/>
    </row>
    <row r="499" spans="3:3" ht="15" customHeight="1">
      <c r="C499" s="230"/>
    </row>
    <row r="500" spans="3:3" ht="15" customHeight="1">
      <c r="C500" s="230"/>
    </row>
    <row r="501" spans="3:3" ht="15" customHeight="1">
      <c r="C501" s="230"/>
    </row>
    <row r="502" spans="3:3" ht="15" customHeight="1">
      <c r="C502" s="230"/>
    </row>
    <row r="503" spans="3:3" ht="15" customHeight="1">
      <c r="C503" s="230"/>
    </row>
    <row r="504" spans="3:3" ht="15" customHeight="1">
      <c r="C504" s="230"/>
    </row>
    <row r="505" spans="3:3" ht="15" customHeight="1">
      <c r="C505" s="230"/>
    </row>
    <row r="506" spans="3:3" ht="15" customHeight="1">
      <c r="C506" s="230"/>
    </row>
    <row r="507" spans="3:3" ht="15" customHeight="1">
      <c r="C507" s="230"/>
    </row>
    <row r="508" spans="3:3" ht="15" customHeight="1">
      <c r="C508" s="230"/>
    </row>
    <row r="509" spans="3:3" ht="15" customHeight="1">
      <c r="C509" s="230"/>
    </row>
    <row r="510" spans="3:3" ht="15" customHeight="1">
      <c r="C510" s="230"/>
    </row>
    <row r="511" spans="3:3" ht="15" customHeight="1">
      <c r="C511" s="230"/>
    </row>
    <row r="512" spans="3:3" ht="15" customHeight="1">
      <c r="C512" s="230"/>
    </row>
    <row r="513" spans="3:3" ht="15" customHeight="1">
      <c r="C513" s="230"/>
    </row>
    <row r="514" spans="3:3" ht="15" customHeight="1">
      <c r="C514" s="230"/>
    </row>
    <row r="515" spans="3:3" ht="15" customHeight="1">
      <c r="C515" s="230"/>
    </row>
    <row r="516" spans="3:3" ht="15" customHeight="1">
      <c r="C516" s="230"/>
    </row>
    <row r="517" spans="3:3" ht="15" customHeight="1">
      <c r="C517" s="230"/>
    </row>
    <row r="518" spans="3:3" ht="15" customHeight="1">
      <c r="C518" s="230"/>
    </row>
    <row r="519" spans="3:3" ht="15" customHeight="1">
      <c r="C519" s="230"/>
    </row>
    <row r="520" spans="3:3" ht="15" customHeight="1">
      <c r="C520" s="230"/>
    </row>
    <row r="521" spans="3:3" ht="15" customHeight="1">
      <c r="C521" s="230"/>
    </row>
    <row r="522" spans="3:3" ht="15" customHeight="1">
      <c r="C522" s="230"/>
    </row>
    <row r="523" spans="3:3" ht="15" customHeight="1">
      <c r="C523" s="230"/>
    </row>
    <row r="524" spans="3:3" ht="15" customHeight="1">
      <c r="C524" s="230"/>
    </row>
    <row r="525" spans="3:3" ht="15" customHeight="1">
      <c r="C525" s="230"/>
    </row>
    <row r="526" spans="3:3" ht="15" customHeight="1">
      <c r="C526" s="230"/>
    </row>
    <row r="527" spans="3:3" ht="15" customHeight="1">
      <c r="C527" s="230"/>
    </row>
    <row r="528" spans="3:3" ht="15" customHeight="1">
      <c r="C528" s="230"/>
    </row>
    <row r="529" spans="3:3" ht="15" customHeight="1">
      <c r="C529" s="230"/>
    </row>
    <row r="530" spans="3:3" ht="15" customHeight="1">
      <c r="C530" s="230"/>
    </row>
    <row r="531" spans="3:3" ht="15" customHeight="1">
      <c r="C531" s="230"/>
    </row>
    <row r="532" spans="3:3" ht="15" customHeight="1">
      <c r="C532" s="230"/>
    </row>
    <row r="533" spans="3:3" ht="15" customHeight="1">
      <c r="C533" s="230"/>
    </row>
    <row r="534" spans="3:3" ht="15" customHeight="1">
      <c r="C534" s="230"/>
    </row>
    <row r="535" spans="3:3" ht="15" customHeight="1">
      <c r="C535" s="230"/>
    </row>
    <row r="536" spans="3:3" ht="15" customHeight="1">
      <c r="C536" s="230"/>
    </row>
    <row r="537" spans="3:3" ht="15" customHeight="1">
      <c r="C537" s="230"/>
    </row>
    <row r="538" spans="3:3" ht="15" customHeight="1">
      <c r="C538" s="230"/>
    </row>
    <row r="539" spans="3:3" ht="15" customHeight="1">
      <c r="C539" s="230"/>
    </row>
    <row r="540" spans="3:3" ht="15" customHeight="1">
      <c r="C540" s="230"/>
    </row>
    <row r="541" spans="3:3" ht="15" customHeight="1">
      <c r="C541" s="230"/>
    </row>
    <row r="542" spans="3:3" ht="15" customHeight="1">
      <c r="C542" s="230"/>
    </row>
    <row r="543" spans="3:3" ht="15" customHeight="1">
      <c r="C543" s="230"/>
    </row>
    <row r="544" spans="3:3" ht="15" customHeight="1">
      <c r="C544" s="230"/>
    </row>
    <row r="545" spans="3:3" ht="15" customHeight="1">
      <c r="C545" s="230"/>
    </row>
    <row r="546" spans="3:3" ht="15" customHeight="1">
      <c r="C546" s="230"/>
    </row>
    <row r="547" spans="3:3" ht="15" customHeight="1">
      <c r="C547" s="230"/>
    </row>
    <row r="548" spans="3:3" ht="15" customHeight="1">
      <c r="C548" s="230"/>
    </row>
    <row r="549" spans="3:3" ht="15" customHeight="1">
      <c r="C549" s="230"/>
    </row>
    <row r="550" spans="3:3" ht="15" customHeight="1">
      <c r="C550" s="230"/>
    </row>
    <row r="551" spans="3:3" ht="15" customHeight="1">
      <c r="C551" s="230"/>
    </row>
    <row r="552" spans="3:3" ht="15" customHeight="1">
      <c r="C552" s="230"/>
    </row>
    <row r="553" spans="3:3" ht="15" customHeight="1">
      <c r="C553" s="230"/>
    </row>
    <row r="554" spans="3:3" ht="15" customHeight="1">
      <c r="C554" s="230"/>
    </row>
    <row r="555" spans="3:3" ht="15" customHeight="1">
      <c r="C555" s="230"/>
    </row>
    <row r="556" spans="3:3" ht="15" customHeight="1">
      <c r="C556" s="230"/>
    </row>
    <row r="557" spans="3:3" ht="15" customHeight="1">
      <c r="C557" s="230"/>
    </row>
    <row r="558" spans="3:3" ht="15" customHeight="1">
      <c r="C558" s="230"/>
    </row>
    <row r="559" spans="3:3" ht="15" customHeight="1">
      <c r="C559" s="230"/>
    </row>
    <row r="560" spans="3:3" ht="15" customHeight="1">
      <c r="C560" s="230"/>
    </row>
    <row r="561" spans="3:3" ht="15" customHeight="1">
      <c r="C561" s="230"/>
    </row>
    <row r="562" spans="3:3" ht="15" customHeight="1">
      <c r="C562" s="230"/>
    </row>
    <row r="563" spans="3:3" ht="15" customHeight="1">
      <c r="C563" s="230"/>
    </row>
    <row r="564" spans="3:3" ht="15" customHeight="1">
      <c r="C564" s="230"/>
    </row>
    <row r="565" spans="3:3" ht="15" customHeight="1">
      <c r="C565" s="230"/>
    </row>
    <row r="566" spans="3:3" ht="15" customHeight="1">
      <c r="C566" s="230"/>
    </row>
    <row r="567" spans="3:3" ht="15" customHeight="1">
      <c r="C567" s="230"/>
    </row>
    <row r="568" spans="3:3" ht="15" customHeight="1">
      <c r="C568" s="230"/>
    </row>
    <row r="569" spans="3:3" ht="15" customHeight="1">
      <c r="C569" s="230"/>
    </row>
    <row r="570" spans="3:3" ht="15" customHeight="1">
      <c r="C570" s="230"/>
    </row>
    <row r="571" spans="3:3" ht="15" customHeight="1">
      <c r="C571" s="230"/>
    </row>
    <row r="572" spans="3:3" ht="15" customHeight="1">
      <c r="C572" s="230"/>
    </row>
    <row r="573" spans="3:3" ht="15" customHeight="1">
      <c r="C573" s="230"/>
    </row>
    <row r="574" spans="3:3" ht="15" customHeight="1">
      <c r="C574" s="230"/>
    </row>
    <row r="575" spans="3:3" ht="15" customHeight="1">
      <c r="C575" s="230"/>
    </row>
    <row r="576" spans="3:3" ht="15" customHeight="1">
      <c r="C576" s="230"/>
    </row>
    <row r="577" spans="3:3" ht="15" customHeight="1">
      <c r="C577" s="230"/>
    </row>
    <row r="578" spans="3:3" ht="15" customHeight="1">
      <c r="C578" s="230"/>
    </row>
    <row r="579" spans="3:3" ht="15" customHeight="1">
      <c r="C579" s="230"/>
    </row>
    <row r="580" spans="3:3" ht="15" customHeight="1">
      <c r="C580" s="230"/>
    </row>
    <row r="581" spans="3:3" ht="15" customHeight="1">
      <c r="C581" s="230"/>
    </row>
    <row r="582" spans="3:3" ht="15" customHeight="1">
      <c r="C582" s="230"/>
    </row>
    <row r="583" spans="3:3" ht="15" customHeight="1">
      <c r="C583" s="230"/>
    </row>
    <row r="584" spans="3:3" ht="15" customHeight="1">
      <c r="C584" s="230"/>
    </row>
    <row r="585" spans="3:3" ht="15" customHeight="1">
      <c r="C585" s="230"/>
    </row>
    <row r="586" spans="3:3" ht="15" customHeight="1">
      <c r="C586" s="230"/>
    </row>
    <row r="587" spans="3:3" ht="15" customHeight="1">
      <c r="C587" s="230"/>
    </row>
    <row r="588" spans="3:3" ht="15" customHeight="1">
      <c r="C588" s="230"/>
    </row>
    <row r="589" spans="3:3" ht="15" customHeight="1">
      <c r="C589" s="230"/>
    </row>
    <row r="590" spans="3:3" ht="15" customHeight="1">
      <c r="C590" s="230"/>
    </row>
    <row r="591" spans="3:3" ht="15" customHeight="1">
      <c r="C591" s="230"/>
    </row>
    <row r="592" spans="3:3" ht="15" customHeight="1">
      <c r="C592" s="230"/>
    </row>
    <row r="593" spans="3:3" ht="15" customHeight="1">
      <c r="C593" s="230"/>
    </row>
    <row r="594" spans="3:3" ht="15" customHeight="1">
      <c r="C594" s="230"/>
    </row>
    <row r="595" spans="3:3" ht="15" customHeight="1">
      <c r="C595" s="230"/>
    </row>
    <row r="596" spans="3:3" ht="15" customHeight="1">
      <c r="C596" s="230"/>
    </row>
    <row r="597" spans="3:3" ht="15" customHeight="1">
      <c r="C597" s="230"/>
    </row>
    <row r="598" spans="3:3" ht="15" customHeight="1">
      <c r="C598" s="230"/>
    </row>
    <row r="599" spans="3:3" ht="15" customHeight="1">
      <c r="C599" s="230"/>
    </row>
    <row r="600" spans="3:3" ht="15" customHeight="1">
      <c r="C600" s="230"/>
    </row>
    <row r="601" spans="3:3" ht="15" customHeight="1">
      <c r="C601" s="230"/>
    </row>
    <row r="602" spans="3:3" ht="15" customHeight="1">
      <c r="C602" s="230"/>
    </row>
    <row r="603" spans="3:3" ht="15" customHeight="1">
      <c r="C603" s="230"/>
    </row>
    <row r="604" spans="3:3" ht="15" customHeight="1">
      <c r="C604" s="230"/>
    </row>
    <row r="605" spans="3:3" ht="15" customHeight="1">
      <c r="C605" s="230"/>
    </row>
    <row r="606" spans="3:3" ht="15" customHeight="1">
      <c r="C606" s="230"/>
    </row>
    <row r="607" spans="3:3" ht="15" customHeight="1">
      <c r="C607" s="230"/>
    </row>
    <row r="608" spans="3:3" ht="15" customHeight="1">
      <c r="C608" s="230"/>
    </row>
    <row r="609" spans="3:3" ht="15" customHeight="1">
      <c r="C609" s="230"/>
    </row>
    <row r="610" spans="3:3" ht="15" customHeight="1">
      <c r="C610" s="230"/>
    </row>
    <row r="611" spans="3:3" ht="15" customHeight="1">
      <c r="C611" s="230"/>
    </row>
    <row r="612" spans="3:3" ht="15" customHeight="1">
      <c r="C612" s="230"/>
    </row>
    <row r="613" spans="3:3" ht="15" customHeight="1">
      <c r="C613" s="230"/>
    </row>
    <row r="614" spans="3:3" ht="15" customHeight="1">
      <c r="C614" s="230"/>
    </row>
    <row r="615" spans="3:3" ht="15" customHeight="1">
      <c r="C615" s="230"/>
    </row>
    <row r="616" spans="3:3" ht="15" customHeight="1">
      <c r="C616" s="230"/>
    </row>
    <row r="617" spans="3:3" ht="15" customHeight="1">
      <c r="C617" s="230"/>
    </row>
    <row r="618" spans="3:3" ht="15" customHeight="1">
      <c r="C618" s="230"/>
    </row>
    <row r="619" spans="3:3" ht="15" customHeight="1">
      <c r="C619" s="230"/>
    </row>
    <row r="620" spans="3:3" ht="15" customHeight="1">
      <c r="C620" s="230"/>
    </row>
    <row r="621" spans="3:3" ht="15" customHeight="1">
      <c r="C621" s="230"/>
    </row>
    <row r="622" spans="3:3" ht="15" customHeight="1">
      <c r="C622" s="230"/>
    </row>
    <row r="623" spans="3:3" ht="15" customHeight="1">
      <c r="C623" s="230"/>
    </row>
    <row r="624" spans="3:3" ht="15" customHeight="1">
      <c r="C624" s="230"/>
    </row>
    <row r="625" spans="3:3" ht="15" customHeight="1">
      <c r="C625" s="230"/>
    </row>
    <row r="626" spans="3:3" ht="15" customHeight="1">
      <c r="C626" s="230"/>
    </row>
    <row r="627" spans="3:3" ht="15" customHeight="1">
      <c r="C627" s="230"/>
    </row>
    <row r="628" spans="3:3" ht="15" customHeight="1">
      <c r="C628" s="230"/>
    </row>
    <row r="629" spans="3:3" ht="15" customHeight="1">
      <c r="C629" s="230"/>
    </row>
    <row r="630" spans="3:3" ht="15" customHeight="1">
      <c r="C630" s="230"/>
    </row>
    <row r="631" spans="3:3" ht="15" customHeight="1">
      <c r="C631" s="230"/>
    </row>
    <row r="632" spans="3:3" ht="15" customHeight="1">
      <c r="C632" s="230"/>
    </row>
    <row r="633" spans="3:3" ht="15" customHeight="1">
      <c r="C633" s="230"/>
    </row>
    <row r="634" spans="3:3" ht="15" customHeight="1">
      <c r="C634" s="230"/>
    </row>
    <row r="635" spans="3:3" ht="15" customHeight="1">
      <c r="C635" s="230"/>
    </row>
    <row r="636" spans="3:3" ht="15" customHeight="1">
      <c r="C636" s="230"/>
    </row>
    <row r="637" spans="3:3" ht="15" customHeight="1">
      <c r="C637" s="230"/>
    </row>
    <row r="638" spans="3:3" ht="15" customHeight="1">
      <c r="C638" s="230"/>
    </row>
    <row r="639" spans="3:3" ht="15" customHeight="1">
      <c r="C639" s="230"/>
    </row>
    <row r="640" spans="3:3" ht="15" customHeight="1">
      <c r="C640" s="230"/>
    </row>
    <row r="641" spans="3:3" ht="15" customHeight="1">
      <c r="C641" s="230"/>
    </row>
    <row r="642" spans="3:3" ht="15" customHeight="1">
      <c r="C642" s="230"/>
    </row>
    <row r="643" spans="3:3" ht="15" customHeight="1">
      <c r="C643" s="230"/>
    </row>
    <row r="644" spans="3:3" ht="15" customHeight="1">
      <c r="C644" s="230"/>
    </row>
    <row r="645" spans="3:3" ht="15" customHeight="1">
      <c r="C645" s="230"/>
    </row>
    <row r="646" spans="3:3" ht="15" customHeight="1">
      <c r="C646" s="230"/>
    </row>
    <row r="647" spans="3:3" ht="15" customHeight="1">
      <c r="C647" s="230"/>
    </row>
    <row r="648" spans="3:3" ht="15" customHeight="1">
      <c r="C648" s="230"/>
    </row>
    <row r="649" spans="3:3" ht="15" customHeight="1">
      <c r="C649" s="230"/>
    </row>
    <row r="650" spans="3:3" ht="15" customHeight="1">
      <c r="C650" s="230"/>
    </row>
    <row r="651" spans="3:3" ht="15" customHeight="1">
      <c r="C651" s="230"/>
    </row>
    <row r="652" spans="3:3" ht="15" customHeight="1">
      <c r="C652" s="230"/>
    </row>
    <row r="653" spans="3:3" ht="15" customHeight="1">
      <c r="C653" s="230"/>
    </row>
    <row r="654" spans="3:3" ht="15" customHeight="1">
      <c r="C654" s="230"/>
    </row>
    <row r="655" spans="3:3" ht="15" customHeight="1">
      <c r="C655" s="230"/>
    </row>
    <row r="656" spans="3:3" ht="15" customHeight="1">
      <c r="C656" s="230"/>
    </row>
    <row r="657" spans="3:3" ht="15" customHeight="1">
      <c r="C657" s="230"/>
    </row>
    <row r="658" spans="3:3" ht="15" customHeight="1">
      <c r="C658" s="230"/>
    </row>
    <row r="659" spans="3:3" ht="15" customHeight="1">
      <c r="C659" s="230"/>
    </row>
    <row r="660" spans="3:3" ht="15" customHeight="1">
      <c r="C660" s="230"/>
    </row>
    <row r="661" spans="3:3" ht="15" customHeight="1">
      <c r="C661" s="230"/>
    </row>
    <row r="662" spans="3:3" ht="15" customHeight="1">
      <c r="C662" s="230"/>
    </row>
    <row r="663" spans="3:3" ht="15" customHeight="1">
      <c r="C663" s="230"/>
    </row>
    <row r="664" spans="3:3" ht="15" customHeight="1">
      <c r="C664" s="230"/>
    </row>
    <row r="665" spans="3:3" ht="15" customHeight="1">
      <c r="C665" s="230"/>
    </row>
    <row r="666" spans="3:3" ht="15" customHeight="1">
      <c r="C666" s="230"/>
    </row>
    <row r="667" spans="3:3" ht="15" customHeight="1">
      <c r="C667" s="230"/>
    </row>
    <row r="668" spans="3:3" ht="15" customHeight="1">
      <c r="C668" s="230"/>
    </row>
    <row r="669" spans="3:3" ht="15" customHeight="1">
      <c r="C669" s="230"/>
    </row>
    <row r="670" spans="3:3" ht="15" customHeight="1">
      <c r="C670" s="230"/>
    </row>
    <row r="671" spans="3:3" ht="15" customHeight="1">
      <c r="C671" s="230"/>
    </row>
    <row r="672" spans="3:3" ht="15" customHeight="1">
      <c r="C672" s="230"/>
    </row>
    <row r="673" spans="3:3" ht="15" customHeight="1">
      <c r="C673" s="230"/>
    </row>
    <row r="674" spans="3:3" ht="15" customHeight="1">
      <c r="C674" s="230"/>
    </row>
    <row r="675" spans="3:3" ht="15" customHeight="1">
      <c r="C675" s="230"/>
    </row>
    <row r="676" spans="3:3" ht="15" customHeight="1">
      <c r="C676" s="230"/>
    </row>
    <row r="677" spans="3:3" ht="15" customHeight="1">
      <c r="C677" s="230"/>
    </row>
    <row r="678" spans="3:3" ht="15" customHeight="1">
      <c r="C678" s="230"/>
    </row>
    <row r="679" spans="3:3" ht="15" customHeight="1">
      <c r="C679" s="230"/>
    </row>
    <row r="680" spans="3:3" ht="15" customHeight="1">
      <c r="C680" s="230"/>
    </row>
    <row r="681" spans="3:3" ht="15" customHeight="1">
      <c r="C681" s="230"/>
    </row>
    <row r="682" spans="3:3" ht="15" customHeight="1">
      <c r="C682" s="230"/>
    </row>
    <row r="683" spans="3:3" ht="15" customHeight="1">
      <c r="C683" s="230"/>
    </row>
    <row r="684" spans="3:3" ht="15" customHeight="1">
      <c r="C684" s="230"/>
    </row>
    <row r="685" spans="3:3" ht="15" customHeight="1">
      <c r="C685" s="230"/>
    </row>
    <row r="686" spans="3:3" ht="15" customHeight="1">
      <c r="C686" s="230"/>
    </row>
    <row r="687" spans="3:3" ht="15" customHeight="1">
      <c r="C687" s="230"/>
    </row>
    <row r="688" spans="3:3" ht="15" customHeight="1">
      <c r="C688" s="230"/>
    </row>
    <row r="689" spans="3:3" ht="15" customHeight="1">
      <c r="C689" s="230"/>
    </row>
    <row r="690" spans="3:3" ht="15" customHeight="1">
      <c r="C690" s="230"/>
    </row>
    <row r="691" spans="3:3" ht="15" customHeight="1">
      <c r="C691" s="230"/>
    </row>
    <row r="692" spans="3:3" ht="15" customHeight="1">
      <c r="C692" s="230"/>
    </row>
    <row r="693" spans="3:3" ht="15" customHeight="1">
      <c r="C693" s="230"/>
    </row>
    <row r="694" spans="3:3" ht="15" customHeight="1">
      <c r="C694" s="230"/>
    </row>
    <row r="695" spans="3:3" ht="15" customHeight="1">
      <c r="C695" s="230"/>
    </row>
    <row r="696" spans="3:3" ht="15" customHeight="1">
      <c r="C696" s="230"/>
    </row>
    <row r="697" spans="3:3" ht="15" customHeight="1">
      <c r="C697" s="230"/>
    </row>
    <row r="698" spans="3:3" ht="15" customHeight="1">
      <c r="C698" s="230"/>
    </row>
    <row r="699" spans="3:3" ht="15" customHeight="1">
      <c r="C699" s="230"/>
    </row>
    <row r="700" spans="3:3" ht="15" customHeight="1">
      <c r="C700" s="230"/>
    </row>
    <row r="701" spans="3:3" ht="15" customHeight="1">
      <c r="C701" s="230"/>
    </row>
    <row r="702" spans="3:3" ht="15" customHeight="1">
      <c r="C702" s="230"/>
    </row>
    <row r="703" spans="3:3" ht="15" customHeight="1">
      <c r="C703" s="230"/>
    </row>
    <row r="704" spans="3:3" ht="15" customHeight="1">
      <c r="C704" s="230"/>
    </row>
    <row r="705" spans="3:3" ht="15" customHeight="1">
      <c r="C705" s="230"/>
    </row>
    <row r="706" spans="3:3" ht="15" customHeight="1">
      <c r="C706" s="230"/>
    </row>
    <row r="707" spans="3:3" ht="15" customHeight="1">
      <c r="C707" s="230"/>
    </row>
    <row r="708" spans="3:3" ht="15" customHeight="1">
      <c r="C708" s="230"/>
    </row>
    <row r="709" spans="3:3" ht="15" customHeight="1">
      <c r="C709" s="230"/>
    </row>
    <row r="710" spans="3:3" ht="15" customHeight="1">
      <c r="C710" s="230"/>
    </row>
    <row r="711" spans="3:3" ht="15" customHeight="1">
      <c r="C711" s="230"/>
    </row>
    <row r="712" spans="3:3" ht="15" customHeight="1">
      <c r="C712" s="230"/>
    </row>
    <row r="713" spans="3:3" ht="15" customHeight="1">
      <c r="C713" s="230"/>
    </row>
    <row r="714" spans="3:3" ht="15" customHeight="1">
      <c r="C714" s="230"/>
    </row>
    <row r="715" spans="3:3" ht="15" customHeight="1">
      <c r="C715" s="230"/>
    </row>
    <row r="716" spans="3:3" ht="15" customHeight="1">
      <c r="C716" s="230"/>
    </row>
    <row r="717" spans="3:3" ht="15" customHeight="1">
      <c r="C717" s="230"/>
    </row>
    <row r="718" spans="3:3" ht="15" customHeight="1">
      <c r="C718" s="230"/>
    </row>
    <row r="719" spans="3:3" ht="15" customHeight="1">
      <c r="C719" s="230"/>
    </row>
    <row r="720" spans="3:3" ht="15" customHeight="1">
      <c r="C720" s="230"/>
    </row>
    <row r="721" spans="3:3" ht="15" customHeight="1">
      <c r="C721" s="230"/>
    </row>
    <row r="722" spans="3:3" ht="15" customHeight="1">
      <c r="C722" s="230"/>
    </row>
    <row r="723" spans="3:3" ht="15" customHeight="1">
      <c r="C723" s="230"/>
    </row>
    <row r="724" spans="3:3" ht="15" customHeight="1">
      <c r="C724" s="230"/>
    </row>
    <row r="725" spans="3:3" ht="15" customHeight="1">
      <c r="C725" s="230"/>
    </row>
    <row r="726" spans="3:3" ht="15" customHeight="1">
      <c r="C726" s="230"/>
    </row>
    <row r="727" spans="3:3" ht="15" customHeight="1">
      <c r="C727" s="230"/>
    </row>
    <row r="728" spans="3:3" ht="15" customHeight="1">
      <c r="C728" s="230"/>
    </row>
    <row r="729" spans="3:3" ht="15" customHeight="1">
      <c r="C729" s="230"/>
    </row>
    <row r="730" spans="3:3" ht="15" customHeight="1">
      <c r="C730" s="230"/>
    </row>
    <row r="731" spans="3:3" ht="15" customHeight="1">
      <c r="C731" s="230"/>
    </row>
    <row r="732" spans="3:3" ht="15" customHeight="1">
      <c r="C732" s="230"/>
    </row>
    <row r="733" spans="3:3" ht="15" customHeight="1">
      <c r="C733" s="230"/>
    </row>
    <row r="734" spans="3:3" ht="15" customHeight="1">
      <c r="C734" s="230"/>
    </row>
    <row r="735" spans="3:3" ht="15" customHeight="1">
      <c r="C735" s="230"/>
    </row>
    <row r="736" spans="3:3" ht="15" customHeight="1">
      <c r="C736" s="230"/>
    </row>
    <row r="737" spans="3:3" ht="15" customHeight="1">
      <c r="C737" s="230"/>
    </row>
    <row r="738" spans="3:3" ht="15" customHeight="1">
      <c r="C738" s="230"/>
    </row>
    <row r="739" spans="3:3" ht="15" customHeight="1">
      <c r="C739" s="230"/>
    </row>
    <row r="740" spans="3:3" ht="15" customHeight="1">
      <c r="C740" s="230"/>
    </row>
    <row r="741" spans="3:3" ht="15" customHeight="1">
      <c r="C741" s="230"/>
    </row>
    <row r="742" spans="3:3" ht="15" customHeight="1">
      <c r="C742" s="230"/>
    </row>
    <row r="743" spans="3:3" ht="15" customHeight="1">
      <c r="C743" s="230"/>
    </row>
    <row r="744" spans="3:3" ht="15" customHeight="1">
      <c r="C744" s="230"/>
    </row>
    <row r="745" spans="3:3" ht="15" customHeight="1">
      <c r="C745" s="230"/>
    </row>
    <row r="746" spans="3:3" ht="15" customHeight="1">
      <c r="C746" s="230"/>
    </row>
    <row r="747" spans="3:3" ht="15" customHeight="1">
      <c r="C747" s="230"/>
    </row>
    <row r="748" spans="3:3" ht="15" customHeight="1">
      <c r="C748" s="230"/>
    </row>
    <row r="749" spans="3:3" ht="15" customHeight="1">
      <c r="C749" s="230"/>
    </row>
    <row r="750" spans="3:3" ht="15" customHeight="1">
      <c r="C750" s="230"/>
    </row>
    <row r="751" spans="3:3" ht="15" customHeight="1">
      <c r="C751" s="230"/>
    </row>
    <row r="752" spans="3:3" ht="15" customHeight="1">
      <c r="C752" s="230"/>
    </row>
    <row r="753" spans="3:3" ht="15" customHeight="1">
      <c r="C753" s="230"/>
    </row>
    <row r="754" spans="3:3" ht="15" customHeight="1">
      <c r="C754" s="230"/>
    </row>
    <row r="755" spans="3:3" ht="15" customHeight="1">
      <c r="C755" s="230"/>
    </row>
    <row r="756" spans="3:3" ht="15" customHeight="1">
      <c r="C756" s="230"/>
    </row>
    <row r="757" spans="3:3" ht="15" customHeight="1">
      <c r="C757" s="230"/>
    </row>
    <row r="758" spans="3:3" ht="15" customHeight="1">
      <c r="C758" s="230"/>
    </row>
    <row r="759" spans="3:3" ht="15" customHeight="1">
      <c r="C759" s="230"/>
    </row>
    <row r="760" spans="3:3" ht="15" customHeight="1">
      <c r="C760" s="230"/>
    </row>
    <row r="761" spans="3:3" ht="15" customHeight="1">
      <c r="C761" s="230"/>
    </row>
    <row r="762" spans="3:3" ht="15" customHeight="1">
      <c r="C762" s="230"/>
    </row>
    <row r="763" spans="3:3" ht="15" customHeight="1">
      <c r="C763" s="230"/>
    </row>
    <row r="764" spans="3:3" ht="15" customHeight="1">
      <c r="C764" s="230"/>
    </row>
    <row r="765" spans="3:3" ht="15" customHeight="1">
      <c r="C765" s="230"/>
    </row>
    <row r="766" spans="3:3" ht="15" customHeight="1">
      <c r="C766" s="230"/>
    </row>
    <row r="767" spans="3:3" ht="15" customHeight="1">
      <c r="C767" s="230"/>
    </row>
    <row r="768" spans="3:3" ht="15" customHeight="1">
      <c r="C768" s="230"/>
    </row>
    <row r="769" spans="3:3" ht="15" customHeight="1">
      <c r="C769" s="230"/>
    </row>
    <row r="770" spans="3:3" ht="15" customHeight="1">
      <c r="C770" s="230"/>
    </row>
    <row r="771" spans="3:3" ht="15" customHeight="1">
      <c r="C771" s="230"/>
    </row>
    <row r="772" spans="3:3" ht="15" customHeight="1">
      <c r="C772" s="230"/>
    </row>
    <row r="773" spans="3:3" ht="15" customHeight="1">
      <c r="C773" s="230"/>
    </row>
    <row r="774" spans="3:3" ht="15" customHeight="1">
      <c r="C774" s="230"/>
    </row>
    <row r="775" spans="3:3" ht="15" customHeight="1">
      <c r="C775" s="230"/>
    </row>
    <row r="776" spans="3:3" ht="15" customHeight="1">
      <c r="C776" s="230"/>
    </row>
    <row r="777" spans="3:3" ht="15" customHeight="1">
      <c r="C777" s="230"/>
    </row>
    <row r="778" spans="3:3" ht="15" customHeight="1">
      <c r="C778" s="230"/>
    </row>
    <row r="779" spans="3:3" ht="15" customHeight="1">
      <c r="C779" s="230"/>
    </row>
    <row r="780" spans="3:3" ht="15" customHeight="1">
      <c r="C780" s="230"/>
    </row>
    <row r="781" spans="3:3" ht="15" customHeight="1">
      <c r="C781" s="230"/>
    </row>
    <row r="782" spans="3:3" ht="15" customHeight="1">
      <c r="C782" s="230"/>
    </row>
    <row r="783" spans="3:3" ht="15" customHeight="1">
      <c r="C783" s="230"/>
    </row>
    <row r="784" spans="3:3" ht="15" customHeight="1">
      <c r="C784" s="230"/>
    </row>
    <row r="785" spans="3:3" ht="15" customHeight="1">
      <c r="C785" s="230"/>
    </row>
    <row r="786" spans="3:3" ht="15" customHeight="1">
      <c r="C786" s="230"/>
    </row>
    <row r="787" spans="3:3" ht="15" customHeight="1">
      <c r="C787" s="230"/>
    </row>
    <row r="788" spans="3:3" ht="15" customHeight="1">
      <c r="C788" s="230"/>
    </row>
    <row r="789" spans="3:3" ht="15" customHeight="1">
      <c r="C789" s="230"/>
    </row>
    <row r="790" spans="3:3" ht="15" customHeight="1">
      <c r="C790" s="230"/>
    </row>
    <row r="791" spans="3:3" ht="15" customHeight="1">
      <c r="C791" s="230"/>
    </row>
    <row r="792" spans="3:3" ht="15" customHeight="1">
      <c r="C792" s="230"/>
    </row>
    <row r="793" spans="3:3" ht="15" customHeight="1">
      <c r="C793" s="230"/>
    </row>
    <row r="794" spans="3:3" ht="15" customHeight="1">
      <c r="C794" s="230"/>
    </row>
    <row r="795" spans="3:3" ht="15" customHeight="1">
      <c r="C795" s="230"/>
    </row>
    <row r="796" spans="3:3" ht="15" customHeight="1">
      <c r="C796" s="230"/>
    </row>
    <row r="797" spans="3:3" ht="15" customHeight="1">
      <c r="C797" s="230"/>
    </row>
    <row r="798" spans="3:3" ht="15" customHeight="1">
      <c r="C798" s="230"/>
    </row>
    <row r="799" spans="3:3" ht="15" customHeight="1">
      <c r="C799" s="230"/>
    </row>
    <row r="800" spans="3:3" ht="15" customHeight="1">
      <c r="C800" s="230"/>
    </row>
    <row r="801" spans="3:3" ht="15" customHeight="1">
      <c r="C801" s="230"/>
    </row>
    <row r="802" spans="3:3" ht="15" customHeight="1">
      <c r="C802" s="230"/>
    </row>
    <row r="803" spans="3:3" ht="15" customHeight="1">
      <c r="C803" s="230"/>
    </row>
    <row r="804" spans="3:3" ht="15" customHeight="1">
      <c r="C804" s="230"/>
    </row>
    <row r="805" spans="3:3" ht="15" customHeight="1">
      <c r="C805" s="230"/>
    </row>
    <row r="806" spans="3:3" ht="15" customHeight="1">
      <c r="C806" s="230"/>
    </row>
    <row r="807" spans="3:3" ht="15" customHeight="1">
      <c r="C807" s="230"/>
    </row>
    <row r="808" spans="3:3" ht="15" customHeight="1">
      <c r="C808" s="230"/>
    </row>
    <row r="809" spans="3:3" ht="15" customHeight="1">
      <c r="C809" s="230"/>
    </row>
    <row r="810" spans="3:3" ht="15" customHeight="1">
      <c r="C810" s="230"/>
    </row>
    <row r="811" spans="3:3" ht="15" customHeight="1">
      <c r="C811" s="230"/>
    </row>
    <row r="812" spans="3:3" ht="15" customHeight="1">
      <c r="C812" s="230"/>
    </row>
    <row r="813" spans="3:3" ht="15" customHeight="1">
      <c r="C813" s="230"/>
    </row>
    <row r="814" spans="3:3" ht="15" customHeight="1">
      <c r="C814" s="230"/>
    </row>
    <row r="815" spans="3:3" ht="15" customHeight="1">
      <c r="C815" s="230"/>
    </row>
    <row r="816" spans="3:3" ht="15" customHeight="1">
      <c r="C816" s="230"/>
    </row>
    <row r="817" spans="3:3" ht="15" customHeight="1">
      <c r="C817" s="230"/>
    </row>
    <row r="818" spans="3:3" ht="15" customHeight="1">
      <c r="C818" s="230"/>
    </row>
    <row r="819" spans="3:3" ht="15" customHeight="1">
      <c r="C819" s="230"/>
    </row>
    <row r="820" spans="3:3" ht="15" customHeight="1">
      <c r="C820" s="230"/>
    </row>
    <row r="821" spans="3:3" ht="15" customHeight="1">
      <c r="C821" s="230"/>
    </row>
    <row r="822" spans="3:3" ht="15" customHeight="1">
      <c r="C822" s="230"/>
    </row>
    <row r="823" spans="3:3" ht="15" customHeight="1">
      <c r="C823" s="230"/>
    </row>
    <row r="824" spans="3:3" ht="15" customHeight="1">
      <c r="C824" s="230"/>
    </row>
    <row r="825" spans="3:3" ht="15" customHeight="1">
      <c r="C825" s="230"/>
    </row>
    <row r="826" spans="3:3" ht="15" customHeight="1">
      <c r="C826" s="230"/>
    </row>
    <row r="827" spans="3:3" ht="15" customHeight="1">
      <c r="C827" s="230"/>
    </row>
    <row r="828" spans="3:3" ht="15" customHeight="1">
      <c r="C828" s="230"/>
    </row>
    <row r="829" spans="3:3" ht="15" customHeight="1">
      <c r="C829" s="230"/>
    </row>
    <row r="830" spans="3:3" ht="15" customHeight="1">
      <c r="C830" s="230"/>
    </row>
    <row r="831" spans="3:3" ht="15" customHeight="1">
      <c r="C831" s="230"/>
    </row>
    <row r="832" spans="3:3" ht="15" customHeight="1">
      <c r="C832" s="230"/>
    </row>
    <row r="833" spans="3:3" ht="15" customHeight="1">
      <c r="C833" s="230"/>
    </row>
    <row r="834" spans="3:3" ht="15" customHeight="1">
      <c r="C834" s="230"/>
    </row>
    <row r="835" spans="3:3" ht="15" customHeight="1">
      <c r="C835" s="230"/>
    </row>
    <row r="836" spans="3:3" ht="15" customHeight="1">
      <c r="C836" s="230"/>
    </row>
    <row r="837" spans="3:3" ht="15" customHeight="1">
      <c r="C837" s="230"/>
    </row>
    <row r="838" spans="3:3" ht="15" customHeight="1">
      <c r="C838" s="230"/>
    </row>
    <row r="839" spans="3:3" ht="15" customHeight="1">
      <c r="C839" s="230"/>
    </row>
    <row r="840" spans="3:3" ht="15" customHeight="1">
      <c r="C840" s="230"/>
    </row>
    <row r="841" spans="3:3" ht="15" customHeight="1">
      <c r="C841" s="230"/>
    </row>
    <row r="842" spans="3:3" ht="15" customHeight="1">
      <c r="C842" s="230"/>
    </row>
    <row r="843" spans="3:3" ht="15" customHeight="1">
      <c r="C843" s="230"/>
    </row>
    <row r="844" spans="3:3" ht="15" customHeight="1">
      <c r="C844" s="230"/>
    </row>
    <row r="845" spans="3:3" ht="15" customHeight="1">
      <c r="C845" s="230"/>
    </row>
    <row r="846" spans="3:3" ht="15" customHeight="1">
      <c r="C846" s="230"/>
    </row>
    <row r="847" spans="3:3" ht="15" customHeight="1">
      <c r="C847" s="230"/>
    </row>
    <row r="848" spans="3:3" ht="15" customHeight="1">
      <c r="C848" s="230"/>
    </row>
    <row r="849" spans="3:3" ht="15" customHeight="1">
      <c r="C849" s="230"/>
    </row>
    <row r="850" spans="3:3" ht="15" customHeight="1">
      <c r="C850" s="230"/>
    </row>
    <row r="851" spans="3:3" ht="15" customHeight="1">
      <c r="C851" s="230"/>
    </row>
    <row r="852" spans="3:3" ht="15" customHeight="1">
      <c r="C852" s="230"/>
    </row>
    <row r="853" spans="3:3" ht="15" customHeight="1">
      <c r="C853" s="230"/>
    </row>
    <row r="854" spans="3:3" ht="15" customHeight="1">
      <c r="C854" s="230"/>
    </row>
    <row r="855" spans="3:3" ht="15" customHeight="1">
      <c r="C855" s="230"/>
    </row>
    <row r="856" spans="3:3" ht="15" customHeight="1">
      <c r="C856" s="230"/>
    </row>
    <row r="857" spans="3:3" ht="15" customHeight="1">
      <c r="C857" s="230"/>
    </row>
    <row r="858" spans="3:3" ht="15" customHeight="1">
      <c r="C858" s="230"/>
    </row>
    <row r="859" spans="3:3" ht="15" customHeight="1">
      <c r="C859" s="230"/>
    </row>
    <row r="860" spans="3:3" ht="15" customHeight="1">
      <c r="C860" s="230"/>
    </row>
    <row r="861" spans="3:3" ht="15" customHeight="1">
      <c r="C861" s="230"/>
    </row>
    <row r="862" spans="3:3" ht="15" customHeight="1">
      <c r="C862" s="230"/>
    </row>
    <row r="863" spans="3:3" ht="15" customHeight="1">
      <c r="C863" s="230"/>
    </row>
    <row r="864" spans="3:3" ht="15" customHeight="1">
      <c r="C864" s="230"/>
    </row>
    <row r="865" spans="3:3" ht="15" customHeight="1">
      <c r="C865" s="230"/>
    </row>
    <row r="866" spans="3:3" ht="15" customHeight="1">
      <c r="C866" s="230"/>
    </row>
    <row r="867" spans="3:3" ht="15" customHeight="1">
      <c r="C867" s="230"/>
    </row>
    <row r="868" spans="3:3" ht="15" customHeight="1">
      <c r="C868" s="230"/>
    </row>
    <row r="869" spans="3:3" ht="15" customHeight="1">
      <c r="C869" s="230"/>
    </row>
    <row r="870" spans="3:3" ht="15" customHeight="1">
      <c r="C870" s="230"/>
    </row>
    <row r="871" spans="3:3" ht="15" customHeight="1">
      <c r="C871" s="230"/>
    </row>
    <row r="872" spans="3:3" ht="15" customHeight="1">
      <c r="C872" s="230"/>
    </row>
    <row r="873" spans="3:3" ht="15" customHeight="1">
      <c r="C873" s="230"/>
    </row>
    <row r="874" spans="3:3" ht="15" customHeight="1">
      <c r="C874" s="230"/>
    </row>
    <row r="875" spans="3:3" ht="15" customHeight="1">
      <c r="C875" s="230"/>
    </row>
    <row r="876" spans="3:3" ht="15" customHeight="1">
      <c r="C876" s="230"/>
    </row>
    <row r="877" spans="3:3" ht="15" customHeight="1">
      <c r="C877" s="230"/>
    </row>
    <row r="878" spans="3:3" ht="15" customHeight="1">
      <c r="C878" s="230"/>
    </row>
    <row r="879" spans="3:3" ht="15" customHeight="1">
      <c r="C879" s="230"/>
    </row>
    <row r="880" spans="3:3" ht="15" customHeight="1">
      <c r="C880" s="230"/>
    </row>
    <row r="881" spans="3:3" ht="15" customHeight="1">
      <c r="C881" s="230"/>
    </row>
    <row r="882" spans="3:3" ht="15" customHeight="1">
      <c r="C882" s="230"/>
    </row>
    <row r="883" spans="3:3" ht="15" customHeight="1">
      <c r="C883" s="230"/>
    </row>
    <row r="884" spans="3:3" ht="15" customHeight="1">
      <c r="C884" s="230"/>
    </row>
    <row r="885" spans="3:3" ht="15" customHeight="1">
      <c r="C885" s="230"/>
    </row>
    <row r="886" spans="3:3" ht="15" customHeight="1">
      <c r="C886" s="230"/>
    </row>
    <row r="887" spans="3:3" ht="15" customHeight="1">
      <c r="C887" s="230"/>
    </row>
    <row r="888" spans="3:3" ht="15" customHeight="1">
      <c r="C888" s="230"/>
    </row>
    <row r="889" spans="3:3" ht="15" customHeight="1">
      <c r="C889" s="230"/>
    </row>
    <row r="890" spans="3:3" ht="15" customHeight="1">
      <c r="C890" s="230"/>
    </row>
    <row r="891" spans="3:3" ht="15" customHeight="1">
      <c r="C891" s="230"/>
    </row>
    <row r="892" spans="3:3" ht="15" customHeight="1">
      <c r="C892" s="230"/>
    </row>
    <row r="893" spans="3:3" ht="15" customHeight="1">
      <c r="C893" s="230"/>
    </row>
    <row r="894" spans="3:3" ht="15" customHeight="1">
      <c r="C894" s="230"/>
    </row>
    <row r="895" spans="3:3" ht="15" customHeight="1">
      <c r="C895" s="230"/>
    </row>
    <row r="896" spans="3:3" ht="15" customHeight="1">
      <c r="C896" s="230"/>
    </row>
    <row r="897" spans="3:3" ht="15" customHeight="1">
      <c r="C897" s="230"/>
    </row>
    <row r="898" spans="3:3" ht="15" customHeight="1">
      <c r="C898" s="230"/>
    </row>
    <row r="899" spans="3:3" ht="15" customHeight="1">
      <c r="C899" s="230"/>
    </row>
    <row r="900" spans="3:3" ht="15" customHeight="1">
      <c r="C900" s="230"/>
    </row>
    <row r="901" spans="3:3" ht="15" customHeight="1">
      <c r="C901" s="230"/>
    </row>
    <row r="902" spans="3:3" ht="15" customHeight="1">
      <c r="C902" s="230"/>
    </row>
    <row r="903" spans="3:3" ht="15" customHeight="1">
      <c r="C903" s="230"/>
    </row>
    <row r="904" spans="3:3" ht="15" customHeight="1">
      <c r="C904" s="230"/>
    </row>
    <row r="905" spans="3:3" ht="15" customHeight="1">
      <c r="C905" s="230"/>
    </row>
    <row r="906" spans="3:3" ht="15" customHeight="1">
      <c r="C906" s="230"/>
    </row>
    <row r="907" spans="3:3" ht="15" customHeight="1">
      <c r="C907" s="230"/>
    </row>
    <row r="908" spans="3:3" ht="15" customHeight="1">
      <c r="C908" s="230"/>
    </row>
    <row r="909" spans="3:3" ht="15" customHeight="1">
      <c r="C909" s="230"/>
    </row>
    <row r="910" spans="3:3" ht="15" customHeight="1">
      <c r="C910" s="230"/>
    </row>
    <row r="911" spans="3:3" ht="15" customHeight="1">
      <c r="C911" s="230"/>
    </row>
    <row r="912" spans="3:3" ht="15" customHeight="1">
      <c r="C912" s="230"/>
    </row>
    <row r="913" spans="3:3" ht="15" customHeight="1">
      <c r="C913" s="230"/>
    </row>
    <row r="914" spans="3:3" ht="15" customHeight="1">
      <c r="C914" s="230"/>
    </row>
    <row r="915" spans="3:3" ht="15" customHeight="1">
      <c r="C915" s="230"/>
    </row>
    <row r="916" spans="3:3" ht="15" customHeight="1">
      <c r="C916" s="230"/>
    </row>
    <row r="917" spans="3:3" ht="15" customHeight="1">
      <c r="C917" s="230"/>
    </row>
    <row r="918" spans="3:3" ht="15" customHeight="1">
      <c r="C918" s="230"/>
    </row>
    <row r="919" spans="3:3" ht="15" customHeight="1">
      <c r="C919" s="230"/>
    </row>
    <row r="920" spans="3:3" ht="15" customHeight="1">
      <c r="C920" s="230"/>
    </row>
    <row r="921" spans="3:3" ht="15" customHeight="1">
      <c r="C921" s="230"/>
    </row>
    <row r="922" spans="3:3" ht="15" customHeight="1">
      <c r="C922" s="230"/>
    </row>
    <row r="923" spans="3:3" ht="15" customHeight="1">
      <c r="C923" s="230"/>
    </row>
    <row r="924" spans="3:3" ht="15" customHeight="1">
      <c r="C924" s="230"/>
    </row>
    <row r="925" spans="3:3" ht="15" customHeight="1">
      <c r="C925" s="230"/>
    </row>
    <row r="926" spans="3:3" ht="15" customHeight="1">
      <c r="C926" s="230"/>
    </row>
    <row r="927" spans="3:3" ht="15" customHeight="1">
      <c r="C927" s="230"/>
    </row>
    <row r="928" spans="3:3" ht="15" customHeight="1">
      <c r="C928" s="230"/>
    </row>
    <row r="929" spans="3:3" ht="15" customHeight="1">
      <c r="C929" s="230"/>
    </row>
    <row r="930" spans="3:3" ht="15" customHeight="1">
      <c r="C930" s="230"/>
    </row>
    <row r="931" spans="3:3" ht="15" customHeight="1">
      <c r="C931" s="230"/>
    </row>
    <row r="932" spans="3:3" ht="15" customHeight="1">
      <c r="C932" s="230"/>
    </row>
    <row r="933" spans="3:3" ht="15" customHeight="1">
      <c r="C933" s="230"/>
    </row>
    <row r="934" spans="3:3" ht="15" customHeight="1">
      <c r="C934" s="230"/>
    </row>
    <row r="935" spans="3:3" ht="15" customHeight="1">
      <c r="C935" s="230"/>
    </row>
    <row r="936" spans="3:3" ht="15" customHeight="1">
      <c r="C936" s="230"/>
    </row>
    <row r="937" spans="3:3" ht="15" customHeight="1">
      <c r="C937" s="230"/>
    </row>
    <row r="938" spans="3:3" ht="15" customHeight="1">
      <c r="C938" s="230"/>
    </row>
    <row r="939" spans="3:3" ht="15" customHeight="1">
      <c r="C939" s="230"/>
    </row>
    <row r="940" spans="3:3" ht="15" customHeight="1">
      <c r="C940" s="230"/>
    </row>
    <row r="941" spans="3:3" ht="15" customHeight="1">
      <c r="C941" s="230"/>
    </row>
    <row r="942" spans="3:3" ht="15" customHeight="1">
      <c r="C942" s="230"/>
    </row>
    <row r="943" spans="3:3" ht="15" customHeight="1">
      <c r="C943" s="230"/>
    </row>
    <row r="944" spans="3:3" ht="15" customHeight="1">
      <c r="C944" s="230"/>
    </row>
    <row r="945" spans="3:3" ht="15" customHeight="1">
      <c r="C945" s="230"/>
    </row>
    <row r="946" spans="3:3" ht="15" customHeight="1">
      <c r="C946" s="230"/>
    </row>
    <row r="947" spans="3:3" ht="15" customHeight="1">
      <c r="C947" s="230"/>
    </row>
    <row r="948" spans="3:3" ht="15" customHeight="1">
      <c r="C948" s="230"/>
    </row>
    <row r="949" spans="3:3" ht="15" customHeight="1">
      <c r="C949" s="230"/>
    </row>
    <row r="950" spans="3:3" ht="15" customHeight="1">
      <c r="C950" s="230"/>
    </row>
    <row r="951" spans="3:3" ht="15" customHeight="1">
      <c r="C951" s="230"/>
    </row>
    <row r="952" spans="3:3" ht="15" customHeight="1">
      <c r="C952" s="230"/>
    </row>
    <row r="953" spans="3:3" ht="15" customHeight="1">
      <c r="C953" s="230"/>
    </row>
    <row r="954" spans="3:3" ht="15" customHeight="1">
      <c r="C954" s="230"/>
    </row>
    <row r="955" spans="3:3" ht="15" customHeight="1">
      <c r="C955" s="230"/>
    </row>
    <row r="956" spans="3:3" ht="15" customHeight="1">
      <c r="C956" s="230"/>
    </row>
    <row r="957" spans="3:3" ht="15" customHeight="1">
      <c r="C957" s="230"/>
    </row>
    <row r="958" spans="3:3" ht="15" customHeight="1">
      <c r="C958" s="230"/>
    </row>
    <row r="959" spans="3:3" ht="15" customHeight="1">
      <c r="C959" s="230"/>
    </row>
    <row r="960" spans="3:3" ht="15" customHeight="1">
      <c r="C960" s="230"/>
    </row>
    <row r="961" spans="3:3" ht="15" customHeight="1">
      <c r="C961" s="230"/>
    </row>
    <row r="962" spans="3:3" ht="15" customHeight="1">
      <c r="C962" s="230"/>
    </row>
    <row r="963" spans="3:3" ht="15" customHeight="1">
      <c r="C963" s="230"/>
    </row>
    <row r="964" spans="3:3" ht="15" customHeight="1">
      <c r="C964" s="230"/>
    </row>
    <row r="965" spans="3:3" ht="15" customHeight="1">
      <c r="C965" s="230"/>
    </row>
    <row r="966" spans="3:3" ht="15" customHeight="1">
      <c r="C966" s="230"/>
    </row>
    <row r="967" spans="3:3" ht="15" customHeight="1">
      <c r="C967" s="230"/>
    </row>
    <row r="968" spans="3:3" ht="15" customHeight="1">
      <c r="C968" s="230"/>
    </row>
    <row r="969" spans="3:3" ht="15" customHeight="1">
      <c r="C969" s="230"/>
    </row>
    <row r="970" spans="3:3" ht="15" customHeight="1">
      <c r="C970" s="230"/>
    </row>
    <row r="971" spans="3:3" ht="15" customHeight="1">
      <c r="C971" s="230"/>
    </row>
    <row r="972" spans="3:3" ht="15" customHeight="1">
      <c r="C972" s="230"/>
    </row>
    <row r="973" spans="3:3" ht="15" customHeight="1">
      <c r="C973" s="230"/>
    </row>
    <row r="974" spans="3:3" ht="15" customHeight="1">
      <c r="C974" s="230"/>
    </row>
    <row r="975" spans="3:3" ht="15" customHeight="1">
      <c r="C975" s="230"/>
    </row>
    <row r="976" spans="3:3" ht="15" customHeight="1">
      <c r="C976" s="230"/>
    </row>
    <row r="977" spans="3:3" ht="15" customHeight="1">
      <c r="C977" s="230"/>
    </row>
    <row r="978" spans="3:3" ht="15" customHeight="1">
      <c r="C978" s="230"/>
    </row>
    <row r="979" spans="3:3" ht="15" customHeight="1">
      <c r="C979" s="230"/>
    </row>
    <row r="980" spans="3:3" ht="15" customHeight="1">
      <c r="C980" s="230"/>
    </row>
    <row r="981" spans="3:3" ht="15" customHeight="1">
      <c r="C981" s="230"/>
    </row>
    <row r="982" spans="3:3" ht="15" customHeight="1">
      <c r="C982" s="230"/>
    </row>
    <row r="983" spans="3:3" ht="15" customHeight="1">
      <c r="C983" s="230"/>
    </row>
    <row r="984" spans="3:3" ht="15" customHeight="1">
      <c r="C984" s="230"/>
    </row>
    <row r="985" spans="3:3" ht="15" customHeight="1">
      <c r="C985" s="230"/>
    </row>
    <row r="986" spans="3:3" ht="15" customHeight="1">
      <c r="C986" s="230"/>
    </row>
    <row r="987" spans="3:3" ht="15" customHeight="1">
      <c r="C987" s="230"/>
    </row>
    <row r="988" spans="3:3" ht="15" customHeight="1">
      <c r="C988" s="230"/>
    </row>
    <row r="989" spans="3:3" ht="15" customHeight="1">
      <c r="C989" s="230"/>
    </row>
    <row r="990" spans="3:3" ht="15" customHeight="1">
      <c r="C990" s="230"/>
    </row>
    <row r="991" spans="3:3" ht="15" customHeight="1">
      <c r="C991" s="230"/>
    </row>
    <row r="992" spans="3:3" ht="15" customHeight="1">
      <c r="C992" s="230"/>
    </row>
    <row r="993" spans="3:3" ht="15" customHeight="1">
      <c r="C993" s="230"/>
    </row>
    <row r="994" spans="3:3" ht="15" customHeight="1">
      <c r="C994" s="230"/>
    </row>
    <row r="995" spans="3:3" ht="15" customHeight="1">
      <c r="C995" s="230"/>
    </row>
    <row r="996" spans="3:3" ht="15" customHeight="1">
      <c r="C996" s="230"/>
    </row>
    <row r="997" spans="3:3" ht="15" customHeight="1">
      <c r="C997" s="230"/>
    </row>
    <row r="998" spans="3:3" ht="15" customHeight="1">
      <c r="C998" s="230"/>
    </row>
    <row r="999" spans="3:3" ht="15" customHeight="1">
      <c r="C999" s="230"/>
    </row>
    <row r="1000" spans="3:3" ht="15" customHeight="1">
      <c r="C1000" s="230"/>
    </row>
    <row r="1001" spans="3:3" ht="15" customHeight="1">
      <c r="C1001" s="23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D9EAD3"/>
    <outlinePr summaryBelow="0" summaryRight="0"/>
  </sheetPr>
  <dimension ref="A1:AC1001"/>
  <sheetViews>
    <sheetView workbookViewId="0"/>
  </sheetViews>
  <sheetFormatPr defaultColWidth="14.453125" defaultRowHeight="15" customHeight="1"/>
  <cols>
    <col min="1" max="1" width="3.7265625" customWidth="1"/>
    <col min="2" max="2" width="10.08984375" customWidth="1"/>
    <col min="3" max="3" width="10.54296875" customWidth="1"/>
    <col min="4" max="4" width="10.81640625" customWidth="1"/>
    <col min="5" max="5" width="10.54296875" customWidth="1"/>
    <col min="6" max="6" width="10.81640625" customWidth="1"/>
    <col min="12" max="12" width="4.81640625" customWidth="1"/>
    <col min="13" max="13" width="22.54296875" customWidth="1"/>
  </cols>
  <sheetData>
    <row r="1" spans="1:29" ht="15" customHeight="1">
      <c r="A1" s="90" t="s">
        <v>95</v>
      </c>
      <c r="B1" s="91" t="s">
        <v>40</v>
      </c>
      <c r="C1" s="90" t="s">
        <v>515</v>
      </c>
      <c r="D1" s="92" t="s">
        <v>516</v>
      </c>
      <c r="E1" s="92" t="s">
        <v>517</v>
      </c>
      <c r="F1" s="92" t="s">
        <v>518</v>
      </c>
      <c r="G1" s="93" t="s">
        <v>519</v>
      </c>
      <c r="H1" s="94" t="s">
        <v>520</v>
      </c>
      <c r="I1" s="90" t="s">
        <v>521</v>
      </c>
      <c r="J1" s="90" t="s">
        <v>522</v>
      </c>
      <c r="K1" s="90" t="s">
        <v>523</v>
      </c>
      <c r="L1" s="95"/>
      <c r="M1" s="379" t="s">
        <v>524</v>
      </c>
      <c r="N1" s="372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</row>
    <row r="2" spans="1:29" ht="15" customHeight="1">
      <c r="A2" s="96">
        <v>0</v>
      </c>
      <c r="B2" s="97">
        <f>VLOOKUP(A2,S!B:D,3,FALSE)</f>
        <v>200</v>
      </c>
      <c r="C2" s="98">
        <f ca="1">IFERROR(__xludf.DUMMYFUNCTION("IFERROR(AVERAGE(QUERY(S_all,""SELECT U WHERE B=""&amp;$A2)))"),26.25)</f>
        <v>26.25</v>
      </c>
      <c r="D2" s="98">
        <f ca="1">IFERROR(__xludf.DUMMYFUNCTION("IFERROR(STDEV(QUERY(S_all,""SELECT U WHERE B=""&amp;$A2)))"),26.2852937336957)</f>
        <v>26.285293733695699</v>
      </c>
      <c r="E2" s="98">
        <f ca="1">IFERROR(__xludf.DUMMYFUNCTION("IFERROR(AVERAGE(QUERY(S_all,""SELECT U WHERE B=""&amp;$A2&amp;"" AND Q=FALSE AND R=FALSE"")))"),49)</f>
        <v>49</v>
      </c>
      <c r="F2" s="98">
        <f ca="1">IFERROR(__xludf.DUMMYFUNCTION("IFERROR(STDEV(QUERY(S_all,""SELECT U WHERE B=""&amp;$A2&amp;"" AND Q=FALSE AND R=FALSE"")))"),1.41421356237309)</f>
        <v>1.41421356237309</v>
      </c>
      <c r="G2" s="99">
        <f ca="1">IFERROR(__xludf.DUMMYFUNCTION("IFERROR(AVERAGE(QUERY(S_all,""SELECT U WHERE B=""&amp;$A2&amp;"" AND Q=FALSE AND R=FALSE AND U&gt;=""&amp;S_mean-2*S_sd&amp;"" AND U&lt;=""&amp;S_mean+2*S_sd)))"),49)</f>
        <v>49</v>
      </c>
      <c r="H2" s="98">
        <f ca="1">IFERROR(__xludf.DUMMYFUNCTION("IFERROR(STDEV(QUERY(S_all,""SELECT U WHERE B=""&amp;$A2&amp;"" AND Q=FALSE AND R=FALSE AND U&gt;=""&amp;S_mean-2*S_sd&amp;"" AND U&lt;=""&amp;S_mean+2*S_sd)))"),1.41421356237309)</f>
        <v>1.41421356237309</v>
      </c>
      <c r="I2" s="100">
        <f ca="1">IFERROR(__xludf.DUMMYFUNCTION("IFERROR(IF(ISBLANK(G2),,RANK.AVG(B2,QUERY(B$2:G$7,""SELECT B WHERE G IS NOT NULL""),TRUE)))"),1)</f>
        <v>1</v>
      </c>
      <c r="J2" s="100">
        <v>5</v>
      </c>
      <c r="K2" s="100">
        <f t="shared" ref="K2:K7" ca="1" si="0">IF(ISBLANK(G2),,(I2-J2)^2)</f>
        <v>16</v>
      </c>
      <c r="L2" s="101"/>
      <c r="M2" s="21" t="s">
        <v>525</v>
      </c>
      <c r="N2" s="102">
        <f ca="1">IFERROR(__xludf.DUMMYFUNCTION("AVERAGE(QUERY(S_all,""SELECT U""))"),28.7083333333333)</f>
        <v>28.7083333333333</v>
      </c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</row>
    <row r="3" spans="1:29" ht="15" customHeight="1">
      <c r="A3" s="96">
        <v>1</v>
      </c>
      <c r="B3" s="97">
        <f>VLOOKUP(A3,S!B:D,3,FALSE)</f>
        <v>400</v>
      </c>
      <c r="C3" s="98">
        <f ca="1">IFERROR(__xludf.DUMMYFUNCTION("IFERROR(AVERAGE(QUERY(S_all,""SELECT U WHERE B=""&amp;$A3)))"),34.25)</f>
        <v>34.25</v>
      </c>
      <c r="D3" s="98">
        <f ca="1">IFERROR(__xludf.DUMMYFUNCTION("IFERROR(STDEV(QUERY(S_all,""SELECT U WHERE B=""&amp;$A3)))"),7.27438428093173)</f>
        <v>7.2743842809317298</v>
      </c>
      <c r="E3" s="98">
        <f ca="1">IFERROR(__xludf.DUMMYFUNCTION("IFERROR(AVERAGE(QUERY(S_all,""SELECT U WHERE B=""&amp;$A3&amp;"" AND Q=FALSE AND R=FALSE"")))"),34)</f>
        <v>34</v>
      </c>
      <c r="F3" s="98">
        <f ca="1">IFERROR(__xludf.DUMMYFUNCTION("IFERROR(STDEV(QUERY(S_all,""SELECT U WHERE B=""&amp;$A3&amp;"" AND Q=FALSE AND R=FALSE"")))"),8.88819441731558)</f>
        <v>8.8881944173155798</v>
      </c>
      <c r="G3" s="99">
        <f ca="1">IFERROR(__xludf.DUMMYFUNCTION("IFERROR(AVERAGE(QUERY(S_all,""SELECT U WHERE B=""&amp;$A3&amp;"" AND Q=FALSE AND R=FALSE AND U&gt;=""&amp;S_mean-2*S_sd&amp;"" AND U&lt;=""&amp;S_mean+2*S_sd)))"),34)</f>
        <v>34</v>
      </c>
      <c r="H3" s="98">
        <f ca="1">IFERROR(__xludf.DUMMYFUNCTION("IFERROR(STDEV(QUERY(S_all,""SELECT U WHERE B=""&amp;$A3&amp;"" AND Q=FALSE AND R=FALSE AND U&gt;=""&amp;S_mean-2*S_sd&amp;"" AND U&lt;=""&amp;S_mean+2*S_sd)))"),8.88819441731558)</f>
        <v>8.8881944173155798</v>
      </c>
      <c r="I3" s="100">
        <f ca="1">IFERROR(__xludf.DUMMYFUNCTION("IFERROR(IF(ISBLANK(G3),,RANK.AVG(B3,QUERY(B$2:G$7,""SELECT B WHERE G IS NOT NULL""),TRUE)))"),2)</f>
        <v>2</v>
      </c>
      <c r="J3" s="100">
        <v>3</v>
      </c>
      <c r="K3" s="100">
        <f t="shared" ca="1" si="0"/>
        <v>1</v>
      </c>
      <c r="L3" s="101"/>
      <c r="M3" s="21" t="s">
        <v>526</v>
      </c>
      <c r="N3" s="103">
        <f ca="1">IFERROR(__xludf.DUMMYFUNCTION("STDEV(QUERY(S_all,""SELECT U""))"),23.3041872831372)</f>
        <v>23.3041872831372</v>
      </c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</row>
    <row r="4" spans="1:29" ht="15" customHeight="1">
      <c r="A4" s="96">
        <v>2</v>
      </c>
      <c r="B4" s="97">
        <f>VLOOKUP(A4,S!B:D,3,FALSE)</f>
        <v>600</v>
      </c>
      <c r="C4" s="98">
        <f ca="1">IFERROR(__xludf.DUMMYFUNCTION("IFERROR(AVERAGE(QUERY(S_all,""SELECT U WHERE B=""&amp;$A4)))"),22.75)</f>
        <v>22.75</v>
      </c>
      <c r="D4" s="98">
        <f ca="1">IFERROR(__xludf.DUMMYFUNCTION("IFERROR(STDEV(QUERY(S_all,""SELECT U WHERE B=""&amp;$A4)))"),15.4784796841722)</f>
        <v>15.4784796841722</v>
      </c>
      <c r="E4" s="98">
        <f ca="1">IFERROR(__xludf.DUMMYFUNCTION("IFERROR(AVERAGE(QUERY(S_all,""SELECT U WHERE B=""&amp;$A4&amp;"" AND Q=FALSE AND R=FALSE"")))"),30.3333333333333)</f>
        <v>30.3333333333333</v>
      </c>
      <c r="F4" s="98">
        <f ca="1">IFERROR(__xludf.DUMMYFUNCTION("IFERROR(STDEV(QUERY(S_all,""SELECT U WHERE B=""&amp;$A4&amp;"" AND Q=FALSE AND R=FALSE"")))"),3.78593889720018)</f>
        <v>3.7859388972001802</v>
      </c>
      <c r="G4" s="99">
        <f ca="1">IFERROR(__xludf.DUMMYFUNCTION("IFERROR(AVERAGE(QUERY(S_all,""SELECT U WHERE B=""&amp;$A4&amp;"" AND Q=FALSE AND R=FALSE AND U&gt;=""&amp;S_mean-2*S_sd&amp;"" AND U&lt;=""&amp;S_mean+2*S_sd)))"),30.3333333333333)</f>
        <v>30.3333333333333</v>
      </c>
      <c r="H4" s="98">
        <f ca="1">IFERROR(__xludf.DUMMYFUNCTION("IFERROR(STDEV(QUERY(S_all,""SELECT U WHERE B=""&amp;$A4&amp;"" AND Q=FALSE AND R=FALSE AND U&gt;=""&amp;S_mean-2*S_sd&amp;"" AND U&lt;=""&amp;S_mean+2*S_sd)))"),3.78593889720018)</f>
        <v>3.7859388972001802</v>
      </c>
      <c r="I4" s="100">
        <f ca="1">IFERROR(__xludf.DUMMYFUNCTION("IFERROR(IF(ISBLANK(G4),,RANK.AVG(B4,QUERY(B$2:G$7,""SELECT B WHERE G IS NOT NULL""),TRUE)))"),3)</f>
        <v>3</v>
      </c>
      <c r="J4" s="100">
        <v>2</v>
      </c>
      <c r="K4" s="100">
        <f t="shared" ca="1" si="0"/>
        <v>1</v>
      </c>
      <c r="L4" s="101"/>
      <c r="M4" s="21" t="s">
        <v>527</v>
      </c>
      <c r="N4" s="102">
        <f ca="1">IFERROR(__xludf.DUMMYFUNCTION("AVERAGE(QUERY(S_all,""SELECT U WHERE Q=FALSE AND R=FALSE""))"),40.0714285714285)</f>
        <v>40.071428571428498</v>
      </c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</row>
    <row r="5" spans="1:29" ht="15" customHeight="1">
      <c r="A5" s="96">
        <v>3</v>
      </c>
      <c r="B5" s="97">
        <f>VLOOKUP(A5,S!B:D,3,FALSE)</f>
        <v>800</v>
      </c>
      <c r="C5" s="98">
        <f ca="1">IFERROR(__xludf.DUMMYFUNCTION("IFERROR(AVERAGE(QUERY(S_all,""SELECT U WHERE B=""&amp;$A5)))"),33.5)</f>
        <v>33.5</v>
      </c>
      <c r="D5" s="98">
        <f ca="1">IFERROR(__xludf.DUMMYFUNCTION("IFERROR(STDEV(QUERY(S_all,""SELECT U WHERE B=""&amp;$A5)))"),30.3369961158538)</f>
        <v>30.3369961158538</v>
      </c>
      <c r="E5" s="98">
        <f ca="1">IFERROR(__xludf.DUMMYFUNCTION("IFERROR(AVERAGE(QUERY(S_all,""SELECT U WHERE B=""&amp;$A5&amp;"" AND Q=FALSE AND R=FALSE"")))"),43.6666666666666)</f>
        <v>43.6666666666666</v>
      </c>
      <c r="F5" s="98">
        <f ca="1">IFERROR(__xludf.DUMMYFUNCTION("IFERROR(STDEV(QUERY(S_all,""SELECT U WHERE B=""&amp;$A5&amp;"" AND Q=FALSE AND R=FALSE"")))"),27.5741424768447)</f>
        <v>27.574142476844699</v>
      </c>
      <c r="G5" s="99">
        <f ca="1">IFERROR(__xludf.DUMMYFUNCTION("IFERROR(AVERAGE(QUERY(S_all,""SELECT U WHERE B=""&amp;$A5&amp;"" AND Q=FALSE AND R=FALSE AND U&gt;=""&amp;S_mean-2*S_sd&amp;"" AND U&lt;=""&amp;S_mean+2*S_sd)))"),43.6666666666666)</f>
        <v>43.6666666666666</v>
      </c>
      <c r="H5" s="98">
        <f ca="1">IFERROR(__xludf.DUMMYFUNCTION("IFERROR(STDEV(QUERY(S_all,""SELECT U WHERE B=""&amp;$A5&amp;"" AND Q=FALSE AND R=FALSE AND U&gt;=""&amp;S_mean-2*S_sd&amp;"" AND U&lt;=""&amp;S_mean+2*S_sd)))"),27.5741424768447)</f>
        <v>27.574142476844699</v>
      </c>
      <c r="I5" s="100">
        <f ca="1">IFERROR(__xludf.DUMMYFUNCTION("IFERROR(IF(ISBLANK(G5),,RANK.AVG(B5,QUERY(B$2:G$7,""SELECT B WHERE G IS NOT NULL""),TRUE)))"),4)</f>
        <v>4</v>
      </c>
      <c r="J5" s="100">
        <v>4</v>
      </c>
      <c r="K5" s="100">
        <f t="shared" ca="1" si="0"/>
        <v>0</v>
      </c>
      <c r="L5" s="101"/>
      <c r="M5" s="21" t="s">
        <v>528</v>
      </c>
      <c r="N5" s="103">
        <f ca="1">IFERROR(__xludf.DUMMYFUNCTION("STDEV(QUERY(S_all,""SELECT U WHERE Q=FALSE AND R=FALSE""))"),16.5783189540031)</f>
        <v>16.578318954003102</v>
      </c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</row>
    <row r="6" spans="1:29" ht="15" customHeight="1">
      <c r="A6" s="96">
        <v>4</v>
      </c>
      <c r="B6" s="97">
        <f>VLOOKUP(A6,S!B:D,3,FALSE)</f>
        <v>1000</v>
      </c>
      <c r="C6" s="98">
        <f ca="1">IFERROR(__xludf.DUMMYFUNCTION("IFERROR(AVERAGE(QUERY(S_all,""SELECT U WHERE B=""&amp;$A6)))"),46.75)</f>
        <v>46.75</v>
      </c>
      <c r="D6" s="98">
        <f ca="1">IFERROR(__xludf.DUMMYFUNCTION("IFERROR(STDEV(QUERY(S_all,""SELECT U WHERE B=""&amp;$A6)))"),32.9987373495815)</f>
        <v>32.998737349581504</v>
      </c>
      <c r="E6" s="98">
        <f ca="1">IFERROR(__xludf.DUMMYFUNCTION("IFERROR(AVERAGE(QUERY(S_all,""SELECT U WHERE B=""&amp;$A6&amp;"" AND Q=FALSE AND R=FALSE"")))"),58.5)</f>
        <v>58.5</v>
      </c>
      <c r="F6" s="98">
        <f ca="1">IFERROR(__xludf.DUMMYFUNCTION("IFERROR(STDEV(QUERY(S_all,""SELECT U WHERE B=""&amp;$A6&amp;"" AND Q=FALSE AND R=FALSE"")))"),16.2634559672905)</f>
        <v>16.263455967290501</v>
      </c>
      <c r="G6" s="99">
        <f ca="1">IFERROR(__xludf.DUMMYFUNCTION("IFERROR(AVERAGE(QUERY(S_all,""SELECT U WHERE B=""&amp;$A6&amp;"" AND Q=FALSE AND R=FALSE AND U&gt;=""&amp;S_mean-2*S_sd&amp;"" AND U&lt;=""&amp;S_mean+2*S_sd)))"),58.5)</f>
        <v>58.5</v>
      </c>
      <c r="H6" s="98">
        <f ca="1">IFERROR(__xludf.DUMMYFUNCTION("IFERROR(STDEV(QUERY(S_all,""SELECT U WHERE B=""&amp;$A6&amp;"" AND Q=FALSE AND R=FALSE AND U&gt;=""&amp;S_mean-2*S_sd&amp;"" AND U&lt;=""&amp;S_mean+2*S_sd)))"),16.2634559672905)</f>
        <v>16.263455967290501</v>
      </c>
      <c r="I6" s="100">
        <f ca="1">IFERROR(__xludf.DUMMYFUNCTION("IFERROR(IF(ISBLANK(G6),,RANK.AVG(B6,QUERY(B$2:G$7,""SELECT B WHERE G IS NOT NULL""),TRUE)))"),5)</f>
        <v>5</v>
      </c>
      <c r="J6" s="100">
        <v>6</v>
      </c>
      <c r="K6" s="100">
        <f t="shared" ca="1" si="0"/>
        <v>1</v>
      </c>
      <c r="L6" s="101"/>
      <c r="M6" s="21" t="s">
        <v>529</v>
      </c>
      <c r="N6" s="104">
        <f ca="1">N4+2*N5</f>
        <v>73.228066479434702</v>
      </c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</row>
    <row r="7" spans="1:29" ht="15" customHeight="1">
      <c r="A7" s="96">
        <v>5</v>
      </c>
      <c r="B7" s="97">
        <f>VLOOKUP(A7,S!B:D,3,FALSE)</f>
        <v>1200</v>
      </c>
      <c r="C7" s="98">
        <f ca="1">IFERROR(__xludf.DUMMYFUNCTION("IFERROR(AVERAGE(QUERY(S_all,""SELECT U WHERE B=""&amp;$A7)))"),8.75)</f>
        <v>8.75</v>
      </c>
      <c r="D7" s="98">
        <f ca="1">IFERROR(__xludf.DUMMYFUNCTION("IFERROR(STDEV(QUERY(S_all,""SELECT U WHERE B=""&amp;$A7)))"),8.88350531415762)</f>
        <v>8.8835053141576203</v>
      </c>
      <c r="E7" s="98">
        <f ca="1">IFERROR(__xludf.DUMMYFUNCTION("IFERROR(AVERAGE(QUERY(S_all,""SELECT U WHERE B=""&amp;$A7&amp;"" AND Q=FALSE AND R=FALSE"")))"),22)</f>
        <v>22</v>
      </c>
      <c r="F7" s="98" t="str">
        <f ca="1">IFERROR(__xludf.DUMMYFUNCTION("IFERROR(STDEV(QUERY(S_all,""SELECT U WHERE B=""&amp;$A7&amp;"" AND Q=FALSE AND R=FALSE"")))"),"")</f>
        <v/>
      </c>
      <c r="G7" s="99">
        <f ca="1">IFERROR(__xludf.DUMMYFUNCTION("IFERROR(AVERAGE(QUERY(S_all,""SELECT U WHERE B=""&amp;$A7&amp;"" AND Q=FALSE AND R=FALSE AND U&gt;=""&amp;S_mean-2*S_sd&amp;"" AND U&lt;=""&amp;S_mean+2*S_sd)))"),22)</f>
        <v>22</v>
      </c>
      <c r="H7" s="98" t="str">
        <f ca="1">IFERROR(__xludf.DUMMYFUNCTION("IFERROR(STDEV(QUERY(S_all,""SELECT U WHERE B=""&amp;$A7&amp;"" AND Q=FALSE AND R=FALSE AND U&gt;=""&amp;S_mean-2*S_sd&amp;"" AND U&lt;=""&amp;S_mean+2*S_sd)))"),"")</f>
        <v/>
      </c>
      <c r="I7" s="100">
        <f ca="1">IFERROR(__xludf.DUMMYFUNCTION("IFERROR(IF(ISBLANK(G7),,RANK.AVG(B7,QUERY(B$2:G$7,""SELECT B WHERE G IS NOT NULL""),TRUE)))"),6)</f>
        <v>6</v>
      </c>
      <c r="J7" s="100">
        <v>1</v>
      </c>
      <c r="K7" s="100">
        <f t="shared" ca="1" si="0"/>
        <v>25</v>
      </c>
      <c r="L7" s="101"/>
      <c r="M7" s="21" t="s">
        <v>530</v>
      </c>
      <c r="N7" s="104">
        <f ca="1">N4-2*N5</f>
        <v>6.9147906634222949</v>
      </c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</row>
    <row r="8" spans="1:29" ht="15" customHeight="1">
      <c r="A8" s="96"/>
      <c r="B8" s="97"/>
      <c r="C8" s="98"/>
      <c r="D8" s="98"/>
      <c r="E8" s="98"/>
      <c r="F8" s="98"/>
      <c r="G8" s="99"/>
      <c r="H8" s="98"/>
      <c r="I8" s="100"/>
      <c r="J8" s="100"/>
      <c r="K8" s="100"/>
      <c r="L8" s="101"/>
      <c r="M8" s="21" t="s">
        <v>531</v>
      </c>
      <c r="N8" s="104">
        <f ca="1">IFERROR(__xludf.DUMMYFUNCTION("AVERAGE(QUERY(S_all,""SELECT U WHERE Q=FALSE AND R=FALSE AND U&gt;""&amp;S_mean-2*S_sd&amp;"" AND U&lt;""&amp;S_mean+2*S_sd))"),40.0714285714285)</f>
        <v>40.071428571428498</v>
      </c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</row>
    <row r="9" spans="1:29" ht="15" customHeight="1">
      <c r="A9" s="96"/>
      <c r="B9" s="97"/>
      <c r="C9" s="98"/>
      <c r="D9" s="98"/>
      <c r="E9" s="98">
        <f ca="1">AVERAGE(E2:E7)</f>
        <v>39.583333333333314</v>
      </c>
      <c r="F9" s="98"/>
      <c r="G9" s="99"/>
      <c r="H9" s="98"/>
      <c r="I9" s="100"/>
      <c r="J9" s="100"/>
      <c r="K9" s="100"/>
      <c r="L9" s="101"/>
      <c r="M9" s="21" t="s">
        <v>532</v>
      </c>
      <c r="N9" s="104">
        <f ca="1">IFERROR(__xludf.DUMMYFUNCTION("STDEV(QUERY(S_all,""SELECT U WHERE Q=FALSE AND R=FALSE AND U&gt;""&amp;S_mean-2*S_sd&amp;"" AND U&lt;""&amp;S_mean+2*S_sd))"),16.5783189540031)</f>
        <v>16.578318954003102</v>
      </c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</row>
    <row r="10" spans="1:29" ht="15" customHeight="1">
      <c r="A10" s="96"/>
      <c r="B10" s="97"/>
      <c r="C10" s="98"/>
      <c r="D10" s="98"/>
      <c r="E10" s="98"/>
      <c r="F10" s="98"/>
      <c r="G10" s="99"/>
      <c r="H10" s="98"/>
      <c r="I10" s="100"/>
      <c r="J10" s="100"/>
      <c r="K10" s="100"/>
      <c r="L10" s="101"/>
      <c r="M10" s="105" t="s">
        <v>533</v>
      </c>
      <c r="N10" s="106">
        <f ca="1">COUNT(S_d2)</f>
        <v>6</v>
      </c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</row>
    <row r="11" spans="1:29" ht="15" customHeight="1">
      <c r="A11" s="96"/>
      <c r="B11" s="97"/>
      <c r="C11" s="98"/>
      <c r="D11" s="98"/>
      <c r="E11" s="98"/>
      <c r="F11" s="98"/>
      <c r="G11" s="99"/>
      <c r="H11" s="98"/>
      <c r="I11" s="100"/>
      <c r="J11" s="100"/>
      <c r="K11" s="100"/>
      <c r="L11" s="101"/>
      <c r="M11" s="21" t="s">
        <v>534</v>
      </c>
      <c r="N11" s="107">
        <f ca="1">1-(6*SUM(S_d2)/(N10^3-N10))</f>
        <v>-0.25714285714285712</v>
      </c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</row>
    <row r="12" spans="1:29" ht="15" customHeight="1">
      <c r="A12" s="96"/>
      <c r="B12" s="97"/>
      <c r="C12" s="98"/>
      <c r="D12" s="98"/>
      <c r="E12" s="98"/>
      <c r="F12" s="98"/>
      <c r="G12" s="99"/>
      <c r="H12" s="98"/>
      <c r="I12" s="100"/>
      <c r="J12" s="100"/>
      <c r="K12" s="100"/>
      <c r="L12" s="101"/>
      <c r="M12" s="21" t="s">
        <v>315</v>
      </c>
      <c r="N12" s="107">
        <f ca="1">SQRT(N11^2*(N10-2)/(1-N11^2))</f>
        <v>0.53218115639017427</v>
      </c>
      <c r="O12" s="108"/>
      <c r="P12" s="109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</row>
    <row r="13" spans="1:29" ht="13">
      <c r="A13" s="96"/>
      <c r="B13" s="97"/>
      <c r="C13" s="98"/>
      <c r="D13" s="98"/>
      <c r="E13" s="98"/>
      <c r="F13" s="98"/>
      <c r="G13" s="99"/>
      <c r="H13" s="98"/>
      <c r="I13" s="100"/>
      <c r="J13" s="100"/>
      <c r="K13" s="100"/>
      <c r="L13" s="101"/>
      <c r="M13" s="110" t="s">
        <v>535</v>
      </c>
      <c r="N13" s="111">
        <f ca="1">_xlfn.T.INV.2T(0.05,N10-2)</f>
        <v>2.7764451051977934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</row>
    <row r="14" spans="1:29" ht="13">
      <c r="A14" s="96"/>
      <c r="B14" s="97"/>
      <c r="C14" s="98"/>
      <c r="D14" s="98"/>
      <c r="E14" s="98"/>
      <c r="F14" s="98"/>
      <c r="G14" s="99"/>
      <c r="H14" s="98"/>
      <c r="I14" s="100"/>
      <c r="J14" s="100"/>
      <c r="K14" s="100"/>
      <c r="L14" s="101"/>
      <c r="M14" s="21" t="s">
        <v>91</v>
      </c>
      <c r="N14" s="112" t="b">
        <f ca="1">N12&gt;N13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</row>
    <row r="15" spans="1:29" ht="13">
      <c r="A15" s="96"/>
      <c r="B15" s="97"/>
      <c r="C15" s="98"/>
      <c r="D15" s="98"/>
      <c r="E15" s="98"/>
      <c r="F15" s="98"/>
      <c r="G15" s="99"/>
      <c r="H15" s="98"/>
      <c r="I15" s="100"/>
      <c r="J15" s="100"/>
      <c r="K15" s="100"/>
      <c r="L15" s="101"/>
      <c r="M15" s="101"/>
      <c r="N15" s="112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</row>
    <row r="16" spans="1:29" ht="13">
      <c r="A16" s="96"/>
      <c r="B16" s="97"/>
      <c r="C16" s="98"/>
      <c r="D16" s="98"/>
      <c r="E16" s="98"/>
      <c r="F16" s="98"/>
      <c r="G16" s="99"/>
      <c r="H16" s="98"/>
      <c r="I16" s="100"/>
      <c r="J16" s="100"/>
      <c r="K16" s="100"/>
      <c r="L16" s="101"/>
      <c r="N16" s="113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</row>
    <row r="17" spans="1:29" ht="13">
      <c r="A17" s="96"/>
      <c r="B17" s="97"/>
      <c r="C17" s="98"/>
      <c r="D17" s="98"/>
      <c r="E17" s="98"/>
      <c r="F17" s="98"/>
      <c r="G17" s="99"/>
      <c r="H17" s="98"/>
      <c r="I17" s="100"/>
      <c r="J17" s="100"/>
      <c r="K17" s="100"/>
      <c r="L17" s="101"/>
      <c r="N17" s="113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</row>
    <row r="18" spans="1:29" ht="13">
      <c r="A18" s="96"/>
      <c r="B18" s="97"/>
      <c r="C18" s="98"/>
      <c r="D18" s="98"/>
      <c r="E18" s="98"/>
      <c r="F18" s="98"/>
      <c r="G18" s="99"/>
      <c r="H18" s="98"/>
      <c r="I18" s="100"/>
      <c r="J18" s="100"/>
      <c r="K18" s="100"/>
      <c r="L18" s="101"/>
      <c r="N18" s="113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</row>
    <row r="19" spans="1:29" ht="13">
      <c r="A19" s="96"/>
      <c r="B19" s="97"/>
      <c r="C19" s="98"/>
      <c r="D19" s="98"/>
      <c r="E19" s="98"/>
      <c r="F19" s="98"/>
      <c r="G19" s="99"/>
      <c r="H19" s="98"/>
      <c r="I19" s="100"/>
      <c r="J19" s="100"/>
      <c r="K19" s="100"/>
      <c r="L19" s="101"/>
      <c r="N19" s="113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</row>
    <row r="20" spans="1:29" ht="13">
      <c r="A20" s="96"/>
      <c r="B20" s="97"/>
      <c r="C20" s="98"/>
      <c r="D20" s="98"/>
      <c r="E20" s="98"/>
      <c r="F20" s="98"/>
      <c r="G20" s="99"/>
      <c r="H20" s="98"/>
      <c r="I20" s="100"/>
      <c r="J20" s="100"/>
      <c r="K20" s="100"/>
      <c r="L20" s="101"/>
      <c r="M20" s="101"/>
      <c r="N20" s="112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</row>
    <row r="21" spans="1:29" ht="13">
      <c r="A21" s="96"/>
      <c r="B21" s="97"/>
      <c r="C21" s="98"/>
      <c r="D21" s="98"/>
      <c r="E21" s="98"/>
      <c r="F21" s="98"/>
      <c r="G21" s="99"/>
      <c r="H21" s="98"/>
      <c r="I21" s="100"/>
      <c r="J21" s="100"/>
      <c r="K21" s="100"/>
      <c r="L21" s="101"/>
      <c r="M21" s="101"/>
      <c r="N21" s="112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</row>
    <row r="22" spans="1:29" ht="13">
      <c r="A22" s="96"/>
      <c r="B22" s="97"/>
      <c r="C22" s="98"/>
      <c r="D22" s="98"/>
      <c r="E22" s="98"/>
      <c r="F22" s="98"/>
      <c r="G22" s="99"/>
      <c r="H22" s="98"/>
      <c r="I22" s="100"/>
      <c r="J22" s="100"/>
      <c r="K22" s="100"/>
      <c r="L22" s="101"/>
      <c r="M22" s="101"/>
      <c r="N22" s="112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</row>
    <row r="23" spans="1:29" ht="13">
      <c r="A23" s="96"/>
      <c r="B23" s="97"/>
      <c r="C23" s="98"/>
      <c r="D23" s="98"/>
      <c r="E23" s="98"/>
      <c r="F23" s="98"/>
      <c r="G23" s="99"/>
      <c r="H23" s="98"/>
      <c r="I23" s="100"/>
      <c r="J23" s="100"/>
      <c r="K23" s="100"/>
      <c r="L23" s="101"/>
      <c r="M23" s="101"/>
      <c r="N23" s="112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</row>
    <row r="24" spans="1:29" ht="13">
      <c r="A24" s="96"/>
      <c r="B24" s="97"/>
      <c r="C24" s="98"/>
      <c r="D24" s="98"/>
      <c r="E24" s="98"/>
      <c r="F24" s="98"/>
      <c r="G24" s="99"/>
      <c r="H24" s="98"/>
      <c r="I24" s="100"/>
      <c r="J24" s="100"/>
      <c r="K24" s="100"/>
      <c r="L24" s="101"/>
      <c r="M24" s="101"/>
      <c r="N24" s="112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</row>
    <row r="25" spans="1:29" ht="13">
      <c r="A25" s="96"/>
      <c r="B25" s="97"/>
      <c r="C25" s="98"/>
      <c r="D25" s="98"/>
      <c r="E25" s="98"/>
      <c r="F25" s="98"/>
      <c r="G25" s="99"/>
      <c r="H25" s="98"/>
      <c r="I25" s="100"/>
      <c r="J25" s="100"/>
      <c r="K25" s="100"/>
      <c r="L25" s="101"/>
      <c r="M25" s="101"/>
      <c r="N25" s="112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</row>
    <row r="26" spans="1:29" ht="13">
      <c r="A26" s="96"/>
      <c r="B26" s="97"/>
      <c r="C26" s="98"/>
      <c r="D26" s="98"/>
      <c r="E26" s="98"/>
      <c r="F26" s="98"/>
      <c r="G26" s="99"/>
      <c r="H26" s="98"/>
      <c r="I26" s="100"/>
      <c r="J26" s="100"/>
      <c r="K26" s="100"/>
      <c r="L26" s="101"/>
      <c r="M26" s="101"/>
      <c r="N26" s="112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</row>
    <row r="27" spans="1:29" ht="13">
      <c r="A27" s="96"/>
      <c r="B27" s="97"/>
      <c r="C27" s="98"/>
      <c r="D27" s="98"/>
      <c r="E27" s="98"/>
      <c r="F27" s="98"/>
      <c r="G27" s="99"/>
      <c r="H27" s="98"/>
      <c r="I27" s="100"/>
      <c r="J27" s="100"/>
      <c r="K27" s="100"/>
      <c r="L27" s="101"/>
      <c r="M27" s="101"/>
      <c r="N27" s="112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</row>
    <row r="28" spans="1:29" ht="13">
      <c r="A28" s="96"/>
      <c r="B28" s="97"/>
      <c r="C28" s="98"/>
      <c r="D28" s="98"/>
      <c r="E28" s="98"/>
      <c r="F28" s="98"/>
      <c r="G28" s="99"/>
      <c r="H28" s="98"/>
      <c r="I28" s="100"/>
      <c r="J28" s="100"/>
      <c r="K28" s="100"/>
      <c r="L28" s="101"/>
      <c r="M28" s="101"/>
      <c r="N28" s="112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</row>
    <row r="29" spans="1:29" ht="13">
      <c r="A29" s="96"/>
      <c r="B29" s="97"/>
      <c r="C29" s="98"/>
      <c r="D29" s="98"/>
      <c r="E29" s="98"/>
      <c r="F29" s="98"/>
      <c r="G29" s="99"/>
      <c r="H29" s="98"/>
      <c r="I29" s="100"/>
      <c r="J29" s="100"/>
      <c r="K29" s="100"/>
      <c r="L29" s="101"/>
      <c r="M29" s="101"/>
      <c r="N29" s="112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</row>
    <row r="30" spans="1:29" ht="13">
      <c r="A30" s="96"/>
      <c r="B30" s="97"/>
      <c r="C30" s="98"/>
      <c r="D30" s="98"/>
      <c r="E30" s="98"/>
      <c r="F30" s="98"/>
      <c r="G30" s="99"/>
      <c r="H30" s="98"/>
      <c r="I30" s="100"/>
      <c r="J30" s="100"/>
      <c r="K30" s="100"/>
      <c r="L30" s="101"/>
      <c r="M30" s="101"/>
      <c r="N30" s="112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</row>
    <row r="31" spans="1:29" ht="13">
      <c r="A31" s="96"/>
      <c r="B31" s="97"/>
      <c r="C31" s="98"/>
      <c r="D31" s="98"/>
      <c r="E31" s="98"/>
      <c r="F31" s="98"/>
      <c r="G31" s="99"/>
      <c r="H31" s="98"/>
      <c r="I31" s="100"/>
      <c r="J31" s="100"/>
      <c r="K31" s="100"/>
      <c r="L31" s="101"/>
      <c r="M31" s="101"/>
      <c r="N31" s="112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</row>
    <row r="32" spans="1:29" ht="13">
      <c r="A32" s="96"/>
      <c r="B32" s="97"/>
      <c r="C32" s="98"/>
      <c r="D32" s="98"/>
      <c r="E32" s="98"/>
      <c r="F32" s="98"/>
      <c r="G32" s="99"/>
      <c r="H32" s="98"/>
      <c r="I32" s="100"/>
      <c r="J32" s="100"/>
      <c r="K32" s="100"/>
      <c r="L32" s="101"/>
      <c r="M32" s="101"/>
      <c r="N32" s="112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</row>
    <row r="33" spans="1:29" ht="13">
      <c r="A33" s="96"/>
      <c r="B33" s="97"/>
      <c r="C33" s="98"/>
      <c r="D33" s="98"/>
      <c r="E33" s="98"/>
      <c r="F33" s="98"/>
      <c r="G33" s="99"/>
      <c r="H33" s="98"/>
      <c r="I33" s="100"/>
      <c r="J33" s="100"/>
      <c r="K33" s="100"/>
      <c r="L33" s="101"/>
      <c r="M33" s="101"/>
      <c r="N33" s="112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</row>
    <row r="34" spans="1:29" ht="13">
      <c r="A34" s="96"/>
      <c r="B34" s="97"/>
      <c r="C34" s="98"/>
      <c r="D34" s="98"/>
      <c r="E34" s="98"/>
      <c r="F34" s="98"/>
      <c r="G34" s="99"/>
      <c r="H34" s="98"/>
      <c r="I34" s="100"/>
      <c r="J34" s="100"/>
      <c r="K34" s="100"/>
      <c r="L34" s="101"/>
      <c r="M34" s="101"/>
      <c r="N34" s="112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</row>
    <row r="35" spans="1:29" ht="13">
      <c r="A35" s="96"/>
      <c r="B35" s="97"/>
      <c r="C35" s="98"/>
      <c r="D35" s="98"/>
      <c r="E35" s="98"/>
      <c r="F35" s="98"/>
      <c r="G35" s="99"/>
      <c r="H35" s="98"/>
      <c r="I35" s="100"/>
      <c r="J35" s="100"/>
      <c r="K35" s="100"/>
      <c r="L35" s="101"/>
      <c r="M35" s="101"/>
      <c r="N35" s="112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</row>
    <row r="36" spans="1:29" ht="13">
      <c r="A36" s="96"/>
      <c r="B36" s="97"/>
      <c r="C36" s="98"/>
      <c r="D36" s="98"/>
      <c r="E36" s="98"/>
      <c r="F36" s="98"/>
      <c r="G36" s="99"/>
      <c r="H36" s="98"/>
      <c r="I36" s="100"/>
      <c r="J36" s="100"/>
      <c r="K36" s="100"/>
      <c r="L36" s="101"/>
      <c r="M36" s="101"/>
      <c r="N36" s="112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</row>
    <row r="37" spans="1:29" ht="13">
      <c r="A37" s="96"/>
      <c r="B37" s="97"/>
      <c r="C37" s="165"/>
      <c r="D37" s="98"/>
      <c r="E37" s="98"/>
      <c r="F37" s="98"/>
      <c r="G37" s="99"/>
      <c r="H37" s="98"/>
      <c r="I37" s="100"/>
      <c r="J37" s="100"/>
      <c r="K37" s="100"/>
      <c r="L37" s="101"/>
      <c r="M37" s="101"/>
      <c r="N37" s="112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</row>
    <row r="38" spans="1:29" ht="13">
      <c r="A38" s="96"/>
      <c r="B38" s="97"/>
      <c r="C38" s="98"/>
      <c r="D38" s="98"/>
      <c r="E38" s="98"/>
      <c r="F38" s="98"/>
      <c r="G38" s="99"/>
      <c r="H38" s="98"/>
      <c r="I38" s="100"/>
      <c r="J38" s="100"/>
      <c r="K38" s="100"/>
      <c r="L38" s="101"/>
      <c r="M38" s="101"/>
      <c r="N38" s="112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</row>
    <row r="39" spans="1:29" ht="13">
      <c r="A39" s="96"/>
      <c r="B39" s="97"/>
      <c r="C39" s="98"/>
      <c r="D39" s="98"/>
      <c r="E39" s="98"/>
      <c r="F39" s="98"/>
      <c r="G39" s="99"/>
      <c r="H39" s="98"/>
      <c r="I39" s="100"/>
      <c r="J39" s="100"/>
      <c r="K39" s="100"/>
      <c r="L39" s="101"/>
      <c r="M39" s="101"/>
      <c r="N39" s="112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</row>
    <row r="40" spans="1:29" ht="13">
      <c r="A40" s="96"/>
      <c r="B40" s="97"/>
      <c r="C40" s="98"/>
      <c r="D40" s="98"/>
      <c r="E40" s="98"/>
      <c r="F40" s="98"/>
      <c r="G40" s="99"/>
      <c r="H40" s="98"/>
      <c r="I40" s="100"/>
      <c r="J40" s="100"/>
      <c r="K40" s="100"/>
      <c r="L40" s="101"/>
      <c r="M40" s="101"/>
      <c r="N40" s="112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</row>
    <row r="41" spans="1:29" ht="13">
      <c r="A41" s="96"/>
      <c r="B41" s="97"/>
      <c r="C41" s="98"/>
      <c r="D41" s="98"/>
      <c r="E41" s="98"/>
      <c r="F41" s="98"/>
      <c r="G41" s="99"/>
      <c r="H41" s="98"/>
      <c r="I41" s="100"/>
      <c r="J41" s="100"/>
      <c r="K41" s="100"/>
      <c r="L41" s="101"/>
      <c r="M41" s="101"/>
      <c r="N41" s="112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</row>
    <row r="42" spans="1:29" ht="13">
      <c r="A42" s="96"/>
      <c r="B42" s="97"/>
      <c r="C42" s="98"/>
      <c r="D42" s="98"/>
      <c r="E42" s="98"/>
      <c r="F42" s="98"/>
      <c r="G42" s="99"/>
      <c r="H42" s="98"/>
      <c r="I42" s="100"/>
      <c r="J42" s="100"/>
      <c r="K42" s="100"/>
      <c r="L42" s="101"/>
      <c r="M42" s="101"/>
      <c r="N42" s="112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</row>
    <row r="43" spans="1:29" ht="13">
      <c r="A43" s="96"/>
      <c r="B43" s="97"/>
      <c r="C43" s="98"/>
      <c r="D43" s="98"/>
      <c r="E43" s="98"/>
      <c r="F43" s="98"/>
      <c r="G43" s="99"/>
      <c r="H43" s="98"/>
      <c r="I43" s="100"/>
      <c r="J43" s="100"/>
      <c r="K43" s="100"/>
      <c r="L43" s="101"/>
      <c r="M43" s="101"/>
      <c r="N43" s="112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</row>
    <row r="44" spans="1:29" ht="13">
      <c r="A44" s="96"/>
      <c r="B44" s="97"/>
      <c r="C44" s="98"/>
      <c r="D44" s="98"/>
      <c r="E44" s="98"/>
      <c r="F44" s="98"/>
      <c r="G44" s="99"/>
      <c r="H44" s="98"/>
      <c r="I44" s="100"/>
      <c r="J44" s="100"/>
      <c r="K44" s="100"/>
      <c r="L44" s="101"/>
      <c r="M44" s="101"/>
      <c r="N44" s="112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</row>
    <row r="45" spans="1:29" ht="13">
      <c r="A45" s="96"/>
      <c r="B45" s="97"/>
      <c r="C45" s="98"/>
      <c r="D45" s="98"/>
      <c r="E45" s="98"/>
      <c r="F45" s="98"/>
      <c r="G45" s="99"/>
      <c r="H45" s="98"/>
      <c r="I45" s="100"/>
      <c r="J45" s="100"/>
      <c r="K45" s="100"/>
      <c r="L45" s="101"/>
      <c r="M45" s="101"/>
      <c r="N45" s="112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</row>
    <row r="46" spans="1:29" ht="13">
      <c r="A46" s="96"/>
      <c r="B46" s="97"/>
      <c r="C46" s="115"/>
      <c r="D46" s="115"/>
      <c r="E46" s="115"/>
      <c r="F46" s="115"/>
      <c r="G46" s="99"/>
      <c r="H46" s="98"/>
      <c r="I46" s="100"/>
      <c r="J46" s="100"/>
      <c r="K46" s="100"/>
      <c r="L46" s="101"/>
      <c r="M46" s="101"/>
      <c r="N46" s="112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</row>
    <row r="47" spans="1:29" ht="13">
      <c r="A47" s="96"/>
      <c r="B47" s="97"/>
      <c r="C47" s="115"/>
      <c r="D47" s="115"/>
      <c r="E47" s="115"/>
      <c r="F47" s="115"/>
      <c r="G47" s="99"/>
      <c r="H47" s="98"/>
      <c r="I47" s="100"/>
      <c r="J47" s="100"/>
      <c r="K47" s="100"/>
      <c r="L47" s="101"/>
      <c r="M47" s="101"/>
      <c r="N47" s="112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</row>
    <row r="48" spans="1:29" ht="13">
      <c r="A48" s="96"/>
      <c r="B48" s="97"/>
      <c r="C48" s="115"/>
      <c r="D48" s="115"/>
      <c r="E48" s="115"/>
      <c r="F48" s="115"/>
      <c r="G48" s="99"/>
      <c r="H48" s="98"/>
      <c r="I48" s="100"/>
      <c r="J48" s="100"/>
      <c r="K48" s="100"/>
      <c r="L48" s="101"/>
      <c r="M48" s="101"/>
      <c r="N48" s="112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</row>
    <row r="49" spans="1:29" ht="13">
      <c r="A49" s="96"/>
      <c r="B49" s="97"/>
      <c r="C49" s="115"/>
      <c r="D49" s="115"/>
      <c r="E49" s="115"/>
      <c r="F49" s="115"/>
      <c r="G49" s="99"/>
      <c r="H49" s="98"/>
      <c r="I49" s="100"/>
      <c r="J49" s="100"/>
      <c r="K49" s="100"/>
      <c r="L49" s="101"/>
      <c r="M49" s="101"/>
      <c r="N49" s="112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</row>
    <row r="50" spans="1:29" ht="13">
      <c r="A50" s="115"/>
      <c r="B50" s="97"/>
      <c r="C50" s="115"/>
      <c r="D50" s="115"/>
      <c r="E50" s="115"/>
      <c r="F50" s="115"/>
      <c r="G50" s="99"/>
      <c r="H50" s="98"/>
      <c r="I50" s="100"/>
      <c r="J50" s="100"/>
      <c r="K50" s="100"/>
      <c r="L50" s="101"/>
      <c r="M50" s="101"/>
      <c r="N50" s="112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</row>
    <row r="51" spans="1:29" ht="13">
      <c r="A51" s="115"/>
      <c r="B51" s="97"/>
      <c r="C51" s="115"/>
      <c r="D51" s="115"/>
      <c r="E51" s="115"/>
      <c r="F51" s="115"/>
      <c r="G51" s="99"/>
      <c r="H51" s="98"/>
      <c r="I51" s="100"/>
      <c r="J51" s="100"/>
      <c r="K51" s="100"/>
      <c r="L51" s="101"/>
      <c r="M51" s="101"/>
      <c r="N51" s="112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</row>
    <row r="52" spans="1:29" ht="13">
      <c r="A52" s="115"/>
      <c r="B52" s="97"/>
      <c r="C52" s="115"/>
      <c r="D52" s="115"/>
      <c r="E52" s="115"/>
      <c r="F52" s="115"/>
      <c r="G52" s="99"/>
      <c r="H52" s="98"/>
      <c r="I52" s="100"/>
      <c r="J52" s="100"/>
      <c r="K52" s="100"/>
      <c r="L52" s="101"/>
      <c r="M52" s="101"/>
      <c r="N52" s="112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</row>
    <row r="53" spans="1:29" ht="13">
      <c r="A53" s="115"/>
      <c r="B53" s="97"/>
      <c r="C53" s="115"/>
      <c r="D53" s="115"/>
      <c r="E53" s="115"/>
      <c r="F53" s="115"/>
      <c r="G53" s="99"/>
      <c r="H53" s="98"/>
      <c r="I53" s="100"/>
      <c r="J53" s="100"/>
      <c r="K53" s="100"/>
      <c r="L53" s="101"/>
      <c r="M53" s="101"/>
      <c r="N53" s="112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</row>
    <row r="54" spans="1:29" ht="13">
      <c r="A54" s="115"/>
      <c r="B54" s="97"/>
      <c r="C54" s="115"/>
      <c r="D54" s="115"/>
      <c r="E54" s="115"/>
      <c r="F54" s="115"/>
      <c r="G54" s="99"/>
      <c r="H54" s="98"/>
      <c r="I54" s="100"/>
      <c r="J54" s="100"/>
      <c r="K54" s="100"/>
      <c r="L54" s="101"/>
      <c r="M54" s="101"/>
      <c r="N54" s="112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</row>
    <row r="55" spans="1:29" ht="13">
      <c r="A55" s="115"/>
      <c r="B55" s="97"/>
      <c r="C55" s="115"/>
      <c r="D55" s="115"/>
      <c r="E55" s="115"/>
      <c r="F55" s="115"/>
      <c r="G55" s="99"/>
      <c r="H55" s="98"/>
      <c r="I55" s="100"/>
      <c r="J55" s="100"/>
      <c r="K55" s="100"/>
      <c r="L55" s="101"/>
      <c r="M55" s="101"/>
      <c r="N55" s="112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</row>
    <row r="56" spans="1:29" ht="13">
      <c r="A56" s="115"/>
      <c r="B56" s="97"/>
      <c r="C56" s="115"/>
      <c r="D56" s="115"/>
      <c r="E56" s="115"/>
      <c r="F56" s="115"/>
      <c r="G56" s="99"/>
      <c r="H56" s="98"/>
      <c r="I56" s="100"/>
      <c r="J56" s="100"/>
      <c r="K56" s="100"/>
      <c r="L56" s="101"/>
      <c r="M56" s="101"/>
      <c r="N56" s="112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</row>
    <row r="57" spans="1:29" ht="13">
      <c r="A57" s="115"/>
      <c r="B57" s="97"/>
      <c r="C57" s="115"/>
      <c r="D57" s="115"/>
      <c r="E57" s="115"/>
      <c r="F57" s="115"/>
      <c r="G57" s="99"/>
      <c r="H57" s="98"/>
      <c r="I57" s="100"/>
      <c r="J57" s="100"/>
      <c r="K57" s="100"/>
      <c r="L57" s="101"/>
      <c r="M57" s="101"/>
      <c r="N57" s="112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</row>
    <row r="58" spans="1:29" ht="13">
      <c r="A58" s="115"/>
      <c r="B58" s="97"/>
      <c r="C58" s="115"/>
      <c r="D58" s="115"/>
      <c r="E58" s="115"/>
      <c r="F58" s="115"/>
      <c r="G58" s="99"/>
      <c r="H58" s="98"/>
      <c r="I58" s="100"/>
      <c r="J58" s="100"/>
      <c r="K58" s="100"/>
      <c r="L58" s="101"/>
      <c r="M58" s="101"/>
      <c r="N58" s="112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</row>
    <row r="59" spans="1:29" ht="13">
      <c r="A59" s="115"/>
      <c r="B59" s="97"/>
      <c r="C59" s="115"/>
      <c r="D59" s="115"/>
      <c r="E59" s="115"/>
      <c r="F59" s="115"/>
      <c r="G59" s="99"/>
      <c r="H59" s="98"/>
      <c r="I59" s="100"/>
      <c r="J59" s="100"/>
      <c r="K59" s="100"/>
      <c r="L59" s="101"/>
      <c r="M59" s="101"/>
      <c r="N59" s="112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</row>
    <row r="60" spans="1:29" ht="13">
      <c r="A60" s="115"/>
      <c r="B60" s="97"/>
      <c r="C60" s="115"/>
      <c r="D60" s="115"/>
      <c r="E60" s="115"/>
      <c r="F60" s="115"/>
      <c r="G60" s="99"/>
      <c r="H60" s="98"/>
      <c r="I60" s="100"/>
      <c r="J60" s="100"/>
      <c r="K60" s="100"/>
      <c r="L60" s="101"/>
      <c r="M60" s="101"/>
      <c r="N60" s="112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</row>
    <row r="61" spans="1:29" ht="13">
      <c r="A61" s="115"/>
      <c r="B61" s="97"/>
      <c r="C61" s="115"/>
      <c r="D61" s="115"/>
      <c r="E61" s="115"/>
      <c r="F61" s="115"/>
      <c r="G61" s="99"/>
      <c r="H61" s="98"/>
      <c r="I61" s="100"/>
      <c r="J61" s="100"/>
      <c r="K61" s="100"/>
      <c r="L61" s="101"/>
      <c r="M61" s="101"/>
      <c r="N61" s="112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</row>
    <row r="62" spans="1:29" ht="13">
      <c r="A62" s="115"/>
      <c r="B62" s="97"/>
      <c r="C62" s="115"/>
      <c r="D62" s="115"/>
      <c r="E62" s="115"/>
      <c r="F62" s="115"/>
      <c r="G62" s="99"/>
      <c r="H62" s="98"/>
      <c r="I62" s="100"/>
      <c r="J62" s="100"/>
      <c r="K62" s="100"/>
      <c r="L62" s="101"/>
      <c r="M62" s="101"/>
      <c r="N62" s="112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</row>
    <row r="63" spans="1:29" ht="13">
      <c r="A63" s="115"/>
      <c r="B63" s="97"/>
      <c r="C63" s="115"/>
      <c r="D63" s="115"/>
      <c r="E63" s="115"/>
      <c r="F63" s="115"/>
      <c r="G63" s="99"/>
      <c r="H63" s="98"/>
      <c r="I63" s="100"/>
      <c r="J63" s="100"/>
      <c r="K63" s="100"/>
      <c r="L63" s="101"/>
      <c r="M63" s="101"/>
      <c r="N63" s="112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</row>
    <row r="64" spans="1:29" ht="13">
      <c r="A64" s="115"/>
      <c r="B64" s="97"/>
      <c r="C64" s="115"/>
      <c r="D64" s="115"/>
      <c r="E64" s="115"/>
      <c r="F64" s="115"/>
      <c r="G64" s="99"/>
      <c r="H64" s="98"/>
      <c r="I64" s="100"/>
      <c r="J64" s="100"/>
      <c r="K64" s="100"/>
      <c r="L64" s="101"/>
      <c r="M64" s="101"/>
      <c r="N64" s="112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</row>
    <row r="65" spans="1:29" ht="13">
      <c r="A65" s="115"/>
      <c r="B65" s="97"/>
      <c r="C65" s="115"/>
      <c r="D65" s="115"/>
      <c r="E65" s="115"/>
      <c r="F65" s="115"/>
      <c r="G65" s="99"/>
      <c r="H65" s="98"/>
      <c r="I65" s="100"/>
      <c r="J65" s="100"/>
      <c r="K65" s="100"/>
      <c r="L65" s="101"/>
      <c r="M65" s="101"/>
      <c r="N65" s="112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</row>
    <row r="66" spans="1:29" ht="13">
      <c r="A66" s="115"/>
      <c r="B66" s="97"/>
      <c r="C66" s="115"/>
      <c r="D66" s="115"/>
      <c r="E66" s="115"/>
      <c r="F66" s="115"/>
      <c r="G66" s="99"/>
      <c r="H66" s="98"/>
      <c r="I66" s="100"/>
      <c r="J66" s="100"/>
      <c r="K66" s="100"/>
      <c r="L66" s="101"/>
      <c r="M66" s="101"/>
      <c r="N66" s="112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</row>
    <row r="67" spans="1:29" ht="13">
      <c r="A67" s="115"/>
      <c r="B67" s="97"/>
      <c r="C67" s="115"/>
      <c r="D67" s="115"/>
      <c r="E67" s="115"/>
      <c r="F67" s="115"/>
      <c r="G67" s="99"/>
      <c r="H67" s="98"/>
      <c r="I67" s="100"/>
      <c r="J67" s="100"/>
      <c r="K67" s="100"/>
      <c r="L67" s="101"/>
      <c r="M67" s="101"/>
      <c r="N67" s="112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</row>
    <row r="68" spans="1:29" ht="13">
      <c r="A68" s="115"/>
      <c r="B68" s="97"/>
      <c r="C68" s="115"/>
      <c r="D68" s="115"/>
      <c r="E68" s="115"/>
      <c r="F68" s="115"/>
      <c r="G68" s="99"/>
      <c r="H68" s="98"/>
      <c r="I68" s="100"/>
      <c r="J68" s="100"/>
      <c r="K68" s="100"/>
      <c r="L68" s="101"/>
      <c r="M68" s="101"/>
      <c r="N68" s="112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</row>
    <row r="69" spans="1:29" ht="13">
      <c r="A69" s="115"/>
      <c r="B69" s="97"/>
      <c r="C69" s="115"/>
      <c r="D69" s="115"/>
      <c r="E69" s="115"/>
      <c r="F69" s="115"/>
      <c r="G69" s="99"/>
      <c r="H69" s="98"/>
      <c r="I69" s="100"/>
      <c r="J69" s="100"/>
      <c r="K69" s="100"/>
      <c r="L69" s="101"/>
      <c r="M69" s="101"/>
      <c r="N69" s="112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</row>
    <row r="70" spans="1:29" ht="13">
      <c r="A70" s="115"/>
      <c r="B70" s="97"/>
      <c r="C70" s="115"/>
      <c r="D70" s="115"/>
      <c r="E70" s="115"/>
      <c r="F70" s="115"/>
      <c r="G70" s="99"/>
      <c r="H70" s="98"/>
      <c r="I70" s="100"/>
      <c r="J70" s="100"/>
      <c r="K70" s="100"/>
      <c r="L70" s="101"/>
      <c r="M70" s="101"/>
      <c r="N70" s="112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</row>
    <row r="71" spans="1:29" ht="13">
      <c r="A71" s="115"/>
      <c r="B71" s="97"/>
      <c r="C71" s="115"/>
      <c r="D71" s="115"/>
      <c r="E71" s="115"/>
      <c r="F71" s="115"/>
      <c r="G71" s="99"/>
      <c r="H71" s="98"/>
      <c r="I71" s="100"/>
      <c r="J71" s="100"/>
      <c r="K71" s="100"/>
      <c r="L71" s="101"/>
      <c r="M71" s="101"/>
      <c r="N71" s="112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</row>
    <row r="72" spans="1:29" ht="13">
      <c r="A72" s="115"/>
      <c r="B72" s="97"/>
      <c r="C72" s="115"/>
      <c r="D72" s="115"/>
      <c r="E72" s="115"/>
      <c r="F72" s="115"/>
      <c r="G72" s="99"/>
      <c r="H72" s="98"/>
      <c r="I72" s="100"/>
      <c r="J72" s="100"/>
      <c r="K72" s="100"/>
      <c r="L72" s="101"/>
      <c r="M72" s="101"/>
      <c r="N72" s="112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</row>
    <row r="73" spans="1:29" ht="13">
      <c r="A73" s="115"/>
      <c r="B73" s="97"/>
      <c r="C73" s="115"/>
      <c r="D73" s="115"/>
      <c r="E73" s="115"/>
      <c r="F73" s="115"/>
      <c r="G73" s="99"/>
      <c r="H73" s="98"/>
      <c r="I73" s="100"/>
      <c r="J73" s="100"/>
      <c r="K73" s="100"/>
      <c r="L73" s="101"/>
      <c r="M73" s="101"/>
      <c r="N73" s="112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</row>
    <row r="74" spans="1:29" ht="13">
      <c r="A74" s="115"/>
      <c r="B74" s="97"/>
      <c r="C74" s="115"/>
      <c r="D74" s="115"/>
      <c r="E74" s="115"/>
      <c r="F74" s="115"/>
      <c r="G74" s="99"/>
      <c r="H74" s="98"/>
      <c r="I74" s="100"/>
      <c r="J74" s="100"/>
      <c r="K74" s="100"/>
      <c r="L74" s="101"/>
      <c r="M74" s="101"/>
      <c r="N74" s="112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</row>
    <row r="75" spans="1:29" ht="13">
      <c r="A75" s="115"/>
      <c r="B75" s="97"/>
      <c r="C75" s="115"/>
      <c r="D75" s="115"/>
      <c r="E75" s="115"/>
      <c r="F75" s="115"/>
      <c r="G75" s="99"/>
      <c r="H75" s="98"/>
      <c r="I75" s="100"/>
      <c r="J75" s="100"/>
      <c r="K75" s="100"/>
      <c r="L75" s="101"/>
      <c r="M75" s="101"/>
      <c r="N75" s="112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</row>
    <row r="76" spans="1:29" ht="13">
      <c r="A76" s="115"/>
      <c r="B76" s="97"/>
      <c r="C76" s="115"/>
      <c r="D76" s="115"/>
      <c r="E76" s="115"/>
      <c r="F76" s="115"/>
      <c r="G76" s="99"/>
      <c r="H76" s="98"/>
      <c r="I76" s="100"/>
      <c r="J76" s="100"/>
      <c r="K76" s="100"/>
      <c r="L76" s="101"/>
      <c r="M76" s="101"/>
      <c r="N76" s="112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</row>
    <row r="77" spans="1:29" ht="13">
      <c r="A77" s="115"/>
      <c r="B77" s="97"/>
      <c r="C77" s="115"/>
      <c r="D77" s="115"/>
      <c r="E77" s="115"/>
      <c r="F77" s="115"/>
      <c r="G77" s="99"/>
      <c r="H77" s="98"/>
      <c r="I77" s="100"/>
      <c r="J77" s="100"/>
      <c r="K77" s="100"/>
      <c r="L77" s="101"/>
      <c r="M77" s="101"/>
      <c r="N77" s="112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</row>
    <row r="78" spans="1:29" ht="13">
      <c r="A78" s="115"/>
      <c r="B78" s="97"/>
      <c r="C78" s="115"/>
      <c r="D78" s="115"/>
      <c r="E78" s="115"/>
      <c r="F78" s="115"/>
      <c r="G78" s="99"/>
      <c r="H78" s="98"/>
      <c r="I78" s="100"/>
      <c r="J78" s="100"/>
      <c r="K78" s="100"/>
      <c r="L78" s="101"/>
      <c r="M78" s="101"/>
      <c r="N78" s="112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</row>
    <row r="79" spans="1:29" ht="13">
      <c r="A79" s="115"/>
      <c r="B79" s="97"/>
      <c r="C79" s="115"/>
      <c r="D79" s="115"/>
      <c r="E79" s="115"/>
      <c r="F79" s="115"/>
      <c r="G79" s="99"/>
      <c r="H79" s="98"/>
      <c r="I79" s="100"/>
      <c r="J79" s="100"/>
      <c r="K79" s="100"/>
      <c r="L79" s="101"/>
      <c r="M79" s="101"/>
      <c r="N79" s="112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</row>
    <row r="80" spans="1:29" ht="13">
      <c r="A80" s="115"/>
      <c r="B80" s="97"/>
      <c r="C80" s="115"/>
      <c r="D80" s="115"/>
      <c r="E80" s="115"/>
      <c r="F80" s="115"/>
      <c r="G80" s="99"/>
      <c r="H80" s="98"/>
      <c r="I80" s="100"/>
      <c r="J80" s="100"/>
      <c r="K80" s="100"/>
      <c r="L80" s="101"/>
      <c r="M80" s="101"/>
      <c r="N80" s="112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</row>
    <row r="81" spans="1:29" ht="13">
      <c r="A81" s="115"/>
      <c r="B81" s="97"/>
      <c r="C81" s="115"/>
      <c r="D81" s="115"/>
      <c r="E81" s="115"/>
      <c r="F81" s="115"/>
      <c r="G81" s="99"/>
      <c r="H81" s="98"/>
      <c r="I81" s="100"/>
      <c r="J81" s="100"/>
      <c r="K81" s="100"/>
      <c r="L81" s="101"/>
      <c r="M81" s="101"/>
      <c r="N81" s="112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</row>
    <row r="82" spans="1:29" ht="13">
      <c r="A82" s="115"/>
      <c r="B82" s="97"/>
      <c r="C82" s="115"/>
      <c r="D82" s="115"/>
      <c r="E82" s="115"/>
      <c r="F82" s="115"/>
      <c r="G82" s="99"/>
      <c r="H82" s="98"/>
      <c r="I82" s="100"/>
      <c r="J82" s="100"/>
      <c r="K82" s="100"/>
      <c r="L82" s="101"/>
      <c r="M82" s="101"/>
      <c r="N82" s="112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</row>
    <row r="83" spans="1:29" ht="13">
      <c r="A83" s="115"/>
      <c r="B83" s="97"/>
      <c r="C83" s="115"/>
      <c r="D83" s="115"/>
      <c r="E83" s="115"/>
      <c r="F83" s="115"/>
      <c r="G83" s="99"/>
      <c r="H83" s="98"/>
      <c r="I83" s="100"/>
      <c r="J83" s="100"/>
      <c r="K83" s="100"/>
      <c r="L83" s="101"/>
      <c r="M83" s="101"/>
      <c r="N83" s="112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</row>
    <row r="84" spans="1:29" ht="13">
      <c r="A84" s="115"/>
      <c r="B84" s="97"/>
      <c r="C84" s="115"/>
      <c r="D84" s="115"/>
      <c r="E84" s="115"/>
      <c r="F84" s="115"/>
      <c r="G84" s="99"/>
      <c r="H84" s="98"/>
      <c r="I84" s="100"/>
      <c r="J84" s="100"/>
      <c r="K84" s="100"/>
      <c r="L84" s="101"/>
      <c r="M84" s="101"/>
      <c r="N84" s="112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</row>
    <row r="85" spans="1:29" ht="13">
      <c r="A85" s="115"/>
      <c r="B85" s="97"/>
      <c r="C85" s="115"/>
      <c r="D85" s="115"/>
      <c r="E85" s="115"/>
      <c r="F85" s="115"/>
      <c r="G85" s="99"/>
      <c r="H85" s="98"/>
      <c r="I85" s="100"/>
      <c r="J85" s="100"/>
      <c r="K85" s="100"/>
      <c r="L85" s="101"/>
      <c r="M85" s="101"/>
      <c r="N85" s="112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</row>
    <row r="86" spans="1:29" ht="13">
      <c r="A86" s="115"/>
      <c r="B86" s="97"/>
      <c r="C86" s="115"/>
      <c r="D86" s="115"/>
      <c r="E86" s="115"/>
      <c r="F86" s="115"/>
      <c r="G86" s="99"/>
      <c r="H86" s="98"/>
      <c r="I86" s="100"/>
      <c r="J86" s="100"/>
      <c r="K86" s="100"/>
      <c r="L86" s="101"/>
      <c r="M86" s="101"/>
      <c r="N86" s="112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</row>
    <row r="87" spans="1:29" ht="13">
      <c r="A87" s="115"/>
      <c r="B87" s="97"/>
      <c r="C87" s="115"/>
      <c r="D87" s="115"/>
      <c r="E87" s="115"/>
      <c r="F87" s="115"/>
      <c r="G87" s="99"/>
      <c r="H87" s="98"/>
      <c r="I87" s="100"/>
      <c r="J87" s="100"/>
      <c r="K87" s="100"/>
      <c r="L87" s="101"/>
      <c r="M87" s="101"/>
      <c r="N87" s="112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</row>
    <row r="88" spans="1:29" ht="13">
      <c r="A88" s="115"/>
      <c r="B88" s="97"/>
      <c r="C88" s="115"/>
      <c r="D88" s="115"/>
      <c r="E88" s="115"/>
      <c r="F88" s="115"/>
      <c r="G88" s="99"/>
      <c r="H88" s="98"/>
      <c r="I88" s="100"/>
      <c r="J88" s="100"/>
      <c r="K88" s="100"/>
      <c r="L88" s="101"/>
      <c r="M88" s="101"/>
      <c r="N88" s="112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</row>
    <row r="89" spans="1:29" ht="13">
      <c r="A89" s="115"/>
      <c r="B89" s="97"/>
      <c r="C89" s="115"/>
      <c r="D89" s="115"/>
      <c r="E89" s="115"/>
      <c r="F89" s="115"/>
      <c r="G89" s="99"/>
      <c r="H89" s="98"/>
      <c r="I89" s="100"/>
      <c r="J89" s="100"/>
      <c r="K89" s="100"/>
      <c r="L89" s="101"/>
      <c r="M89" s="101"/>
      <c r="N89" s="112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</row>
    <row r="90" spans="1:29" ht="13">
      <c r="A90" s="115"/>
      <c r="B90" s="97"/>
      <c r="C90" s="115"/>
      <c r="D90" s="115"/>
      <c r="E90" s="115"/>
      <c r="F90" s="115"/>
      <c r="G90" s="99"/>
      <c r="H90" s="98"/>
      <c r="I90" s="100"/>
      <c r="J90" s="100"/>
      <c r="K90" s="100"/>
      <c r="L90" s="101"/>
      <c r="M90" s="101"/>
      <c r="N90" s="112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</row>
    <row r="91" spans="1:29" ht="13">
      <c r="A91" s="115"/>
      <c r="B91" s="97"/>
      <c r="C91" s="115"/>
      <c r="D91" s="115"/>
      <c r="E91" s="115"/>
      <c r="F91" s="115"/>
      <c r="G91" s="99"/>
      <c r="H91" s="98"/>
      <c r="I91" s="100"/>
      <c r="J91" s="100"/>
      <c r="K91" s="100"/>
      <c r="L91" s="101"/>
      <c r="M91" s="101"/>
      <c r="N91" s="112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</row>
    <row r="92" spans="1:29" ht="13">
      <c r="A92" s="115"/>
      <c r="B92" s="97"/>
      <c r="C92" s="115"/>
      <c r="D92" s="115"/>
      <c r="E92" s="115"/>
      <c r="F92" s="115"/>
      <c r="G92" s="99"/>
      <c r="H92" s="98"/>
      <c r="I92" s="100"/>
      <c r="J92" s="100"/>
      <c r="K92" s="100"/>
      <c r="L92" s="101"/>
      <c r="M92" s="101"/>
      <c r="N92" s="112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</row>
    <row r="93" spans="1:29" ht="13">
      <c r="A93" s="115"/>
      <c r="B93" s="97"/>
      <c r="C93" s="115"/>
      <c r="D93" s="115"/>
      <c r="E93" s="115"/>
      <c r="F93" s="115"/>
      <c r="G93" s="99"/>
      <c r="H93" s="98"/>
      <c r="I93" s="100"/>
      <c r="J93" s="100"/>
      <c r="K93" s="100"/>
      <c r="L93" s="101"/>
      <c r="M93" s="101"/>
      <c r="N93" s="112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</row>
    <row r="94" spans="1:29" ht="13">
      <c r="A94" s="115"/>
      <c r="B94" s="97"/>
      <c r="C94" s="115"/>
      <c r="D94" s="115"/>
      <c r="E94" s="115"/>
      <c r="F94" s="115"/>
      <c r="G94" s="99"/>
      <c r="H94" s="98"/>
      <c r="I94" s="100"/>
      <c r="J94" s="100"/>
      <c r="K94" s="100"/>
      <c r="L94" s="101"/>
      <c r="M94" s="101"/>
      <c r="N94" s="112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</row>
    <row r="95" spans="1:29" ht="13">
      <c r="A95" s="115"/>
      <c r="B95" s="97"/>
      <c r="C95" s="115"/>
      <c r="D95" s="115"/>
      <c r="E95" s="115"/>
      <c r="F95" s="115"/>
      <c r="G95" s="99"/>
      <c r="H95" s="98"/>
      <c r="I95" s="100"/>
      <c r="J95" s="100"/>
      <c r="K95" s="100"/>
      <c r="L95" s="101"/>
      <c r="M95" s="101"/>
      <c r="N95" s="112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</row>
    <row r="96" spans="1:29" ht="13">
      <c r="A96" s="115"/>
      <c r="B96" s="97"/>
      <c r="C96" s="115"/>
      <c r="D96" s="115"/>
      <c r="E96" s="115"/>
      <c r="F96" s="115"/>
      <c r="G96" s="99"/>
      <c r="H96" s="98"/>
      <c r="I96" s="100"/>
      <c r="J96" s="100"/>
      <c r="K96" s="100"/>
      <c r="L96" s="101"/>
      <c r="M96" s="101"/>
      <c r="N96" s="112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</row>
    <row r="97" spans="1:29" ht="13">
      <c r="A97" s="115"/>
      <c r="B97" s="97"/>
      <c r="C97" s="115"/>
      <c r="D97" s="115"/>
      <c r="E97" s="115"/>
      <c r="F97" s="115"/>
      <c r="G97" s="99"/>
      <c r="H97" s="98"/>
      <c r="I97" s="100"/>
      <c r="J97" s="100"/>
      <c r="K97" s="100"/>
      <c r="L97" s="101"/>
      <c r="M97" s="101"/>
      <c r="N97" s="112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</row>
    <row r="98" spans="1:29" ht="13">
      <c r="A98" s="115"/>
      <c r="B98" s="97"/>
      <c r="C98" s="115"/>
      <c r="D98" s="115"/>
      <c r="E98" s="115"/>
      <c r="F98" s="115"/>
      <c r="G98" s="99"/>
      <c r="H98" s="98"/>
      <c r="I98" s="100"/>
      <c r="J98" s="100"/>
      <c r="K98" s="100"/>
      <c r="L98" s="101"/>
      <c r="M98" s="101"/>
      <c r="N98" s="112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</row>
    <row r="99" spans="1:29" ht="13">
      <c r="A99" s="115"/>
      <c r="B99" s="97"/>
      <c r="C99" s="115"/>
      <c r="D99" s="115"/>
      <c r="E99" s="115"/>
      <c r="F99" s="115"/>
      <c r="G99" s="99"/>
      <c r="H99" s="98"/>
      <c r="I99" s="100"/>
      <c r="J99" s="100"/>
      <c r="K99" s="100"/>
      <c r="L99" s="101"/>
      <c r="M99" s="101"/>
      <c r="N99" s="112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</row>
    <row r="100" spans="1:29" ht="13">
      <c r="A100" s="115"/>
      <c r="B100" s="97"/>
      <c r="C100" s="115"/>
      <c r="D100" s="115"/>
      <c r="E100" s="115"/>
      <c r="F100" s="115"/>
      <c r="G100" s="99"/>
      <c r="H100" s="98"/>
      <c r="I100" s="100"/>
      <c r="J100" s="100"/>
      <c r="K100" s="100"/>
      <c r="L100" s="101"/>
      <c r="M100" s="101"/>
      <c r="N100" s="112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</row>
    <row r="101" spans="1:29" ht="13">
      <c r="A101" s="115"/>
      <c r="B101" s="97"/>
      <c r="C101" s="115"/>
      <c r="D101" s="115"/>
      <c r="E101" s="115"/>
      <c r="F101" s="115"/>
      <c r="G101" s="99"/>
      <c r="H101" s="98"/>
      <c r="I101" s="100"/>
      <c r="J101" s="100"/>
      <c r="K101" s="100"/>
      <c r="L101" s="101"/>
      <c r="M101" s="101"/>
      <c r="N101" s="112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</row>
    <row r="102" spans="1:29" ht="13">
      <c r="A102" s="115"/>
      <c r="B102" s="97"/>
      <c r="C102" s="115"/>
      <c r="D102" s="115"/>
      <c r="E102" s="115"/>
      <c r="F102" s="115"/>
      <c r="G102" s="99"/>
      <c r="H102" s="98"/>
      <c r="I102" s="100"/>
      <c r="J102" s="100"/>
      <c r="K102" s="100"/>
      <c r="L102" s="101"/>
      <c r="M102" s="101"/>
      <c r="N102" s="112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</row>
    <row r="103" spans="1:29" ht="13">
      <c r="A103" s="115"/>
      <c r="B103" s="97"/>
      <c r="C103" s="115"/>
      <c r="D103" s="115"/>
      <c r="E103" s="115"/>
      <c r="F103" s="115"/>
      <c r="G103" s="99"/>
      <c r="H103" s="98"/>
      <c r="I103" s="100"/>
      <c r="J103" s="100"/>
      <c r="K103" s="100"/>
      <c r="L103" s="101"/>
      <c r="M103" s="101"/>
      <c r="N103" s="112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</row>
    <row r="104" spans="1:29" ht="13">
      <c r="A104" s="115"/>
      <c r="B104" s="97"/>
      <c r="C104" s="115"/>
      <c r="D104" s="115"/>
      <c r="E104" s="115"/>
      <c r="F104" s="115"/>
      <c r="G104" s="99"/>
      <c r="H104" s="98"/>
      <c r="I104" s="100"/>
      <c r="J104" s="100"/>
      <c r="K104" s="100"/>
      <c r="L104" s="101"/>
      <c r="M104" s="101"/>
      <c r="N104" s="112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</row>
    <row r="105" spans="1:29" ht="13">
      <c r="A105" s="115"/>
      <c r="B105" s="97"/>
      <c r="C105" s="115"/>
      <c r="D105" s="115"/>
      <c r="E105" s="115"/>
      <c r="F105" s="115"/>
      <c r="G105" s="99"/>
      <c r="H105" s="98"/>
      <c r="I105" s="100"/>
      <c r="J105" s="100"/>
      <c r="K105" s="100"/>
      <c r="L105" s="101"/>
      <c r="M105" s="101"/>
      <c r="N105" s="112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</row>
    <row r="106" spans="1:29" ht="13">
      <c r="A106" s="115"/>
      <c r="B106" s="97"/>
      <c r="C106" s="115"/>
      <c r="D106" s="115"/>
      <c r="E106" s="115"/>
      <c r="F106" s="115"/>
      <c r="G106" s="99"/>
      <c r="H106" s="98"/>
      <c r="I106" s="100"/>
      <c r="J106" s="100"/>
      <c r="K106" s="100"/>
      <c r="L106" s="101"/>
      <c r="M106" s="101"/>
      <c r="N106" s="112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</row>
    <row r="107" spans="1:29" ht="13">
      <c r="A107" s="115"/>
      <c r="B107" s="97"/>
      <c r="C107" s="115"/>
      <c r="D107" s="115"/>
      <c r="E107" s="115"/>
      <c r="F107" s="115"/>
      <c r="G107" s="99"/>
      <c r="H107" s="98"/>
      <c r="I107" s="100"/>
      <c r="J107" s="100"/>
      <c r="K107" s="100"/>
      <c r="L107" s="101"/>
      <c r="M107" s="101"/>
      <c r="N107" s="112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</row>
    <row r="108" spans="1:29" ht="13">
      <c r="A108" s="115"/>
      <c r="B108" s="97"/>
      <c r="C108" s="115"/>
      <c r="D108" s="115"/>
      <c r="E108" s="115"/>
      <c r="F108" s="115"/>
      <c r="G108" s="99"/>
      <c r="H108" s="98"/>
      <c r="I108" s="100"/>
      <c r="J108" s="100"/>
      <c r="K108" s="100"/>
      <c r="L108" s="101"/>
      <c r="M108" s="101"/>
      <c r="N108" s="112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</row>
    <row r="109" spans="1:29" ht="13">
      <c r="A109" s="115"/>
      <c r="B109" s="97"/>
      <c r="C109" s="115"/>
      <c r="D109" s="115"/>
      <c r="E109" s="115"/>
      <c r="F109" s="115"/>
      <c r="G109" s="99"/>
      <c r="H109" s="98"/>
      <c r="I109" s="100"/>
      <c r="J109" s="100"/>
      <c r="K109" s="100"/>
      <c r="L109" s="101"/>
      <c r="M109" s="101"/>
      <c r="N109" s="112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</row>
    <row r="110" spans="1:29" ht="13">
      <c r="A110" s="115"/>
      <c r="B110" s="97"/>
      <c r="C110" s="115"/>
      <c r="D110" s="115"/>
      <c r="E110" s="115"/>
      <c r="F110" s="115"/>
      <c r="G110" s="99"/>
      <c r="H110" s="98"/>
      <c r="I110" s="100"/>
      <c r="J110" s="100"/>
      <c r="K110" s="100"/>
      <c r="L110" s="101"/>
      <c r="M110" s="101"/>
      <c r="N110" s="112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</row>
    <row r="111" spans="1:29" ht="13">
      <c r="A111" s="115"/>
      <c r="B111" s="97"/>
      <c r="C111" s="115"/>
      <c r="D111" s="115"/>
      <c r="E111" s="115"/>
      <c r="F111" s="115"/>
      <c r="G111" s="99"/>
      <c r="H111" s="98"/>
      <c r="I111" s="100"/>
      <c r="J111" s="100"/>
      <c r="K111" s="100"/>
      <c r="L111" s="101"/>
      <c r="M111" s="101"/>
      <c r="N111" s="112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</row>
    <row r="112" spans="1:29" ht="13">
      <c r="A112" s="115"/>
      <c r="B112" s="97"/>
      <c r="C112" s="115"/>
      <c r="D112" s="115"/>
      <c r="E112" s="115"/>
      <c r="F112" s="115"/>
      <c r="G112" s="99"/>
      <c r="H112" s="98"/>
      <c r="I112" s="100"/>
      <c r="J112" s="100"/>
      <c r="K112" s="100"/>
      <c r="L112" s="101"/>
      <c r="M112" s="101"/>
      <c r="N112" s="112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</row>
    <row r="113" spans="1:29" ht="13">
      <c r="A113" s="115"/>
      <c r="B113" s="97"/>
      <c r="C113" s="115"/>
      <c r="D113" s="115"/>
      <c r="E113" s="115"/>
      <c r="F113" s="115"/>
      <c r="G113" s="99"/>
      <c r="H113" s="98"/>
      <c r="I113" s="100"/>
      <c r="J113" s="100"/>
      <c r="K113" s="100"/>
      <c r="L113" s="101"/>
      <c r="M113" s="101"/>
      <c r="N113" s="112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</row>
    <row r="114" spans="1:29" ht="13">
      <c r="A114" s="115"/>
      <c r="B114" s="97"/>
      <c r="C114" s="115"/>
      <c r="D114" s="115"/>
      <c r="E114" s="115"/>
      <c r="F114" s="115"/>
      <c r="G114" s="99"/>
      <c r="H114" s="98"/>
      <c r="I114" s="100"/>
      <c r="J114" s="100"/>
      <c r="K114" s="100"/>
      <c r="L114" s="101"/>
      <c r="M114" s="101"/>
      <c r="N114" s="112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</row>
    <row r="115" spans="1:29" ht="13">
      <c r="A115" s="115"/>
      <c r="B115" s="97"/>
      <c r="C115" s="115"/>
      <c r="D115" s="115"/>
      <c r="E115" s="115"/>
      <c r="F115" s="115"/>
      <c r="G115" s="99"/>
      <c r="H115" s="98"/>
      <c r="I115" s="100"/>
      <c r="J115" s="100"/>
      <c r="K115" s="100"/>
      <c r="L115" s="101"/>
      <c r="M115" s="101"/>
      <c r="N115" s="112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</row>
    <row r="116" spans="1:29" ht="13">
      <c r="A116" s="115"/>
      <c r="B116" s="97"/>
      <c r="C116" s="115"/>
      <c r="D116" s="115"/>
      <c r="E116" s="115"/>
      <c r="F116" s="115"/>
      <c r="G116" s="99"/>
      <c r="H116" s="98"/>
      <c r="I116" s="100"/>
      <c r="J116" s="100"/>
      <c r="K116" s="100"/>
      <c r="L116" s="101"/>
      <c r="M116" s="101"/>
      <c r="N116" s="112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</row>
    <row r="117" spans="1:29" ht="13">
      <c r="A117" s="115"/>
      <c r="B117" s="97"/>
      <c r="C117" s="115"/>
      <c r="D117" s="115"/>
      <c r="E117" s="115"/>
      <c r="F117" s="115"/>
      <c r="G117" s="99"/>
      <c r="H117" s="98"/>
      <c r="I117" s="100"/>
      <c r="J117" s="100"/>
      <c r="K117" s="100"/>
      <c r="L117" s="101"/>
      <c r="M117" s="101"/>
      <c r="N117" s="112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</row>
    <row r="118" spans="1:29" ht="13">
      <c r="A118" s="115"/>
      <c r="B118" s="97"/>
      <c r="C118" s="115"/>
      <c r="D118" s="115"/>
      <c r="E118" s="115"/>
      <c r="F118" s="115"/>
      <c r="G118" s="99"/>
      <c r="H118" s="98"/>
      <c r="I118" s="100"/>
      <c r="J118" s="100"/>
      <c r="K118" s="100"/>
      <c r="L118" s="101"/>
      <c r="M118" s="101"/>
      <c r="N118" s="112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</row>
    <row r="119" spans="1:29" ht="13">
      <c r="A119" s="115"/>
      <c r="B119" s="97"/>
      <c r="C119" s="115"/>
      <c r="D119" s="115"/>
      <c r="E119" s="115"/>
      <c r="F119" s="115"/>
      <c r="G119" s="99"/>
      <c r="H119" s="98"/>
      <c r="I119" s="100"/>
      <c r="J119" s="100"/>
      <c r="K119" s="100"/>
      <c r="L119" s="101"/>
      <c r="M119" s="101"/>
      <c r="N119" s="112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</row>
    <row r="120" spans="1:29" ht="13">
      <c r="A120" s="115"/>
      <c r="B120" s="97"/>
      <c r="C120" s="115"/>
      <c r="D120" s="115"/>
      <c r="E120" s="115"/>
      <c r="F120" s="115"/>
      <c r="G120" s="99"/>
      <c r="H120" s="98"/>
      <c r="I120" s="100"/>
      <c r="J120" s="100"/>
      <c r="K120" s="100"/>
      <c r="L120" s="101"/>
      <c r="M120" s="101"/>
      <c r="N120" s="112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</row>
    <row r="121" spans="1:29" ht="13">
      <c r="A121" s="115"/>
      <c r="B121" s="97"/>
      <c r="C121" s="115"/>
      <c r="D121" s="115"/>
      <c r="E121" s="115"/>
      <c r="F121" s="115"/>
      <c r="G121" s="99"/>
      <c r="H121" s="98"/>
      <c r="I121" s="100"/>
      <c r="J121" s="100"/>
      <c r="K121" s="100"/>
      <c r="L121" s="101"/>
      <c r="M121" s="101"/>
      <c r="N121" s="112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</row>
    <row r="122" spans="1:29" ht="13">
      <c r="A122" s="115"/>
      <c r="B122" s="97"/>
      <c r="C122" s="115"/>
      <c r="D122" s="115"/>
      <c r="E122" s="115"/>
      <c r="F122" s="115"/>
      <c r="G122" s="99"/>
      <c r="H122" s="98"/>
      <c r="I122" s="100"/>
      <c r="J122" s="100"/>
      <c r="K122" s="100"/>
      <c r="L122" s="101"/>
      <c r="M122" s="101"/>
      <c r="N122" s="112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</row>
    <row r="123" spans="1:29" ht="13">
      <c r="A123" s="115"/>
      <c r="B123" s="97"/>
      <c r="C123" s="115"/>
      <c r="D123" s="115"/>
      <c r="E123" s="115"/>
      <c r="F123" s="115"/>
      <c r="G123" s="99"/>
      <c r="H123" s="98"/>
      <c r="I123" s="100"/>
      <c r="J123" s="100"/>
      <c r="K123" s="100"/>
      <c r="L123" s="101"/>
      <c r="M123" s="101"/>
      <c r="N123" s="112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</row>
    <row r="124" spans="1:29" ht="13">
      <c r="A124" s="115"/>
      <c r="B124" s="97"/>
      <c r="C124" s="115"/>
      <c r="D124" s="115"/>
      <c r="E124" s="115"/>
      <c r="F124" s="115"/>
      <c r="G124" s="99"/>
      <c r="H124" s="98"/>
      <c r="I124" s="100"/>
      <c r="J124" s="100"/>
      <c r="K124" s="100"/>
      <c r="L124" s="101"/>
      <c r="M124" s="101"/>
      <c r="N124" s="112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</row>
    <row r="125" spans="1:29" ht="13">
      <c r="A125" s="115"/>
      <c r="B125" s="97"/>
      <c r="C125" s="115"/>
      <c r="D125" s="115"/>
      <c r="E125" s="115"/>
      <c r="F125" s="115"/>
      <c r="G125" s="99"/>
      <c r="H125" s="98"/>
      <c r="I125" s="100"/>
      <c r="J125" s="100"/>
      <c r="K125" s="100"/>
      <c r="L125" s="101"/>
      <c r="M125" s="101"/>
      <c r="N125" s="112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</row>
    <row r="126" spans="1:29" ht="13">
      <c r="A126" s="115"/>
      <c r="B126" s="97"/>
      <c r="C126" s="115"/>
      <c r="D126" s="115"/>
      <c r="E126" s="115"/>
      <c r="F126" s="115"/>
      <c r="G126" s="99"/>
      <c r="H126" s="98"/>
      <c r="I126" s="100"/>
      <c r="J126" s="100"/>
      <c r="K126" s="100"/>
      <c r="L126" s="101"/>
      <c r="M126" s="101"/>
      <c r="N126" s="112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</row>
    <row r="127" spans="1:29" ht="13">
      <c r="A127" s="115"/>
      <c r="B127" s="97"/>
      <c r="C127" s="115"/>
      <c r="D127" s="115"/>
      <c r="E127" s="115"/>
      <c r="F127" s="115"/>
      <c r="G127" s="99"/>
      <c r="H127" s="98"/>
      <c r="I127" s="100"/>
      <c r="J127" s="100"/>
      <c r="K127" s="100"/>
      <c r="L127" s="101"/>
      <c r="M127" s="101"/>
      <c r="N127" s="112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</row>
    <row r="128" spans="1:29" ht="13">
      <c r="A128" s="115"/>
      <c r="B128" s="97"/>
      <c r="C128" s="115"/>
      <c r="D128" s="115"/>
      <c r="E128" s="115"/>
      <c r="F128" s="115"/>
      <c r="G128" s="99"/>
      <c r="H128" s="98"/>
      <c r="I128" s="100"/>
      <c r="J128" s="100"/>
      <c r="K128" s="100"/>
      <c r="L128" s="101"/>
      <c r="M128" s="101"/>
      <c r="N128" s="112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</row>
    <row r="129" spans="1:29" ht="13">
      <c r="A129" s="115"/>
      <c r="B129" s="97"/>
      <c r="C129" s="115"/>
      <c r="D129" s="115"/>
      <c r="E129" s="115"/>
      <c r="F129" s="115"/>
      <c r="G129" s="99"/>
      <c r="H129" s="98"/>
      <c r="I129" s="100"/>
      <c r="J129" s="100"/>
      <c r="K129" s="100"/>
      <c r="L129" s="101"/>
      <c r="M129" s="101"/>
      <c r="N129" s="112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</row>
    <row r="130" spans="1:29" ht="13">
      <c r="A130" s="115"/>
      <c r="B130" s="97"/>
      <c r="C130" s="115"/>
      <c r="D130" s="115"/>
      <c r="E130" s="115"/>
      <c r="F130" s="115"/>
      <c r="G130" s="99"/>
      <c r="H130" s="98"/>
      <c r="I130" s="100"/>
      <c r="J130" s="100"/>
      <c r="K130" s="100"/>
      <c r="L130" s="101"/>
      <c r="M130" s="101"/>
      <c r="N130" s="112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</row>
    <row r="131" spans="1:29" ht="13">
      <c r="A131" s="115"/>
      <c r="B131" s="97"/>
      <c r="C131" s="115"/>
      <c r="D131" s="115"/>
      <c r="E131" s="115"/>
      <c r="F131" s="115"/>
      <c r="G131" s="99"/>
      <c r="H131" s="98"/>
      <c r="I131" s="100"/>
      <c r="J131" s="100"/>
      <c r="K131" s="100"/>
      <c r="L131" s="101"/>
      <c r="M131" s="101"/>
      <c r="N131" s="112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</row>
    <row r="132" spans="1:29" ht="13">
      <c r="A132" s="115"/>
      <c r="B132" s="97"/>
      <c r="C132" s="115"/>
      <c r="D132" s="115"/>
      <c r="E132" s="115"/>
      <c r="F132" s="115"/>
      <c r="G132" s="99"/>
      <c r="H132" s="98"/>
      <c r="I132" s="100"/>
      <c r="J132" s="100"/>
      <c r="K132" s="100"/>
      <c r="L132" s="101"/>
      <c r="M132" s="101"/>
      <c r="N132" s="112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</row>
    <row r="133" spans="1:29" ht="13">
      <c r="A133" s="115"/>
      <c r="B133" s="97"/>
      <c r="C133" s="115"/>
      <c r="D133" s="115"/>
      <c r="E133" s="115"/>
      <c r="F133" s="115"/>
      <c r="G133" s="99"/>
      <c r="H133" s="98"/>
      <c r="I133" s="100"/>
      <c r="J133" s="100"/>
      <c r="K133" s="100"/>
      <c r="L133" s="101"/>
      <c r="M133" s="101"/>
      <c r="N133" s="112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</row>
    <row r="134" spans="1:29" ht="13">
      <c r="A134" s="115"/>
      <c r="B134" s="97"/>
      <c r="C134" s="115"/>
      <c r="D134" s="115"/>
      <c r="E134" s="115"/>
      <c r="F134" s="115"/>
      <c r="G134" s="99"/>
      <c r="H134" s="98"/>
      <c r="I134" s="100"/>
      <c r="J134" s="100"/>
      <c r="K134" s="100"/>
      <c r="L134" s="101"/>
      <c r="M134" s="101"/>
      <c r="N134" s="112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</row>
    <row r="135" spans="1:29" ht="13">
      <c r="A135" s="115"/>
      <c r="B135" s="97"/>
      <c r="C135" s="115"/>
      <c r="D135" s="115"/>
      <c r="E135" s="115"/>
      <c r="F135" s="115"/>
      <c r="G135" s="99"/>
      <c r="H135" s="98"/>
      <c r="I135" s="100"/>
      <c r="J135" s="100"/>
      <c r="K135" s="100"/>
      <c r="L135" s="101"/>
      <c r="M135" s="101"/>
      <c r="N135" s="112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</row>
    <row r="136" spans="1:29" ht="13">
      <c r="A136" s="115"/>
      <c r="B136" s="97"/>
      <c r="C136" s="115"/>
      <c r="D136" s="115"/>
      <c r="E136" s="115"/>
      <c r="F136" s="115"/>
      <c r="G136" s="99"/>
      <c r="H136" s="98"/>
      <c r="I136" s="100"/>
      <c r="J136" s="100"/>
      <c r="K136" s="100"/>
      <c r="L136" s="101"/>
      <c r="M136" s="101"/>
      <c r="N136" s="112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</row>
    <row r="137" spans="1:29" ht="13">
      <c r="A137" s="115"/>
      <c r="B137" s="97"/>
      <c r="C137" s="115"/>
      <c r="D137" s="115"/>
      <c r="E137" s="115"/>
      <c r="F137" s="115"/>
      <c r="G137" s="99"/>
      <c r="H137" s="98"/>
      <c r="I137" s="100"/>
      <c r="J137" s="100"/>
      <c r="K137" s="100"/>
      <c r="L137" s="101"/>
      <c r="M137" s="101"/>
      <c r="N137" s="112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</row>
    <row r="138" spans="1:29" ht="13">
      <c r="A138" s="115"/>
      <c r="B138" s="97"/>
      <c r="C138" s="115"/>
      <c r="D138" s="115"/>
      <c r="E138" s="115"/>
      <c r="F138" s="115"/>
      <c r="G138" s="99"/>
      <c r="H138" s="98"/>
      <c r="I138" s="100"/>
      <c r="J138" s="100"/>
      <c r="K138" s="100"/>
      <c r="L138" s="101"/>
      <c r="M138" s="101"/>
      <c r="N138" s="112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</row>
    <row r="139" spans="1:29" ht="13">
      <c r="A139" s="115"/>
      <c r="B139" s="97"/>
      <c r="C139" s="115"/>
      <c r="D139" s="115"/>
      <c r="E139" s="115"/>
      <c r="F139" s="115"/>
      <c r="G139" s="99"/>
      <c r="H139" s="98"/>
      <c r="I139" s="100"/>
      <c r="J139" s="100"/>
      <c r="K139" s="100"/>
      <c r="L139" s="101"/>
      <c r="M139" s="101"/>
      <c r="N139" s="112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</row>
    <row r="140" spans="1:29" ht="13">
      <c r="A140" s="115"/>
      <c r="B140" s="97"/>
      <c r="C140" s="115"/>
      <c r="D140" s="115"/>
      <c r="E140" s="115"/>
      <c r="F140" s="115"/>
      <c r="G140" s="99"/>
      <c r="H140" s="98"/>
      <c r="I140" s="100"/>
      <c r="J140" s="100"/>
      <c r="K140" s="100"/>
      <c r="L140" s="101"/>
      <c r="M140" s="101"/>
      <c r="N140" s="112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</row>
    <row r="141" spans="1:29" ht="13">
      <c r="A141" s="115"/>
      <c r="B141" s="97"/>
      <c r="C141" s="115"/>
      <c r="D141" s="115"/>
      <c r="E141" s="115"/>
      <c r="F141" s="115"/>
      <c r="G141" s="99"/>
      <c r="H141" s="98"/>
      <c r="I141" s="100"/>
      <c r="J141" s="100"/>
      <c r="K141" s="100"/>
      <c r="L141" s="101"/>
      <c r="M141" s="101"/>
      <c r="N141" s="112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</row>
    <row r="142" spans="1:29" ht="13">
      <c r="A142" s="115"/>
      <c r="B142" s="97"/>
      <c r="C142" s="115"/>
      <c r="D142" s="115"/>
      <c r="E142" s="115"/>
      <c r="F142" s="115"/>
      <c r="G142" s="99"/>
      <c r="H142" s="98"/>
      <c r="I142" s="100"/>
      <c r="J142" s="100"/>
      <c r="K142" s="100"/>
      <c r="L142" s="101"/>
      <c r="M142" s="101"/>
      <c r="N142" s="112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</row>
    <row r="143" spans="1:29" ht="13">
      <c r="A143" s="115"/>
      <c r="B143" s="97"/>
      <c r="C143" s="115"/>
      <c r="D143" s="115"/>
      <c r="E143" s="115"/>
      <c r="F143" s="115"/>
      <c r="G143" s="99"/>
      <c r="H143" s="98"/>
      <c r="I143" s="100"/>
      <c r="J143" s="100"/>
      <c r="K143" s="100"/>
      <c r="L143" s="101"/>
      <c r="M143" s="101"/>
      <c r="N143" s="112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</row>
    <row r="144" spans="1:29" ht="13">
      <c r="A144" s="115"/>
      <c r="B144" s="97"/>
      <c r="C144" s="115"/>
      <c r="D144" s="115"/>
      <c r="E144" s="115"/>
      <c r="F144" s="115"/>
      <c r="G144" s="99"/>
      <c r="H144" s="98"/>
      <c r="I144" s="100"/>
      <c r="J144" s="100"/>
      <c r="K144" s="100"/>
      <c r="L144" s="101"/>
      <c r="M144" s="101"/>
      <c r="N144" s="112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</row>
    <row r="145" spans="1:29" ht="13">
      <c r="A145" s="115"/>
      <c r="B145" s="97"/>
      <c r="C145" s="115"/>
      <c r="D145" s="115"/>
      <c r="E145" s="115"/>
      <c r="F145" s="115"/>
      <c r="G145" s="99"/>
      <c r="H145" s="98"/>
      <c r="I145" s="100"/>
      <c r="J145" s="100"/>
      <c r="K145" s="100"/>
      <c r="L145" s="101"/>
      <c r="M145" s="101"/>
      <c r="N145" s="112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</row>
    <row r="146" spans="1:29" ht="13">
      <c r="A146" s="115"/>
      <c r="B146" s="97"/>
      <c r="C146" s="115"/>
      <c r="D146" s="115"/>
      <c r="E146" s="115"/>
      <c r="F146" s="115"/>
      <c r="G146" s="99"/>
      <c r="H146" s="98"/>
      <c r="I146" s="100"/>
      <c r="J146" s="100"/>
      <c r="K146" s="100"/>
      <c r="L146" s="101"/>
      <c r="M146" s="101"/>
      <c r="N146" s="112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</row>
    <row r="147" spans="1:29" ht="13">
      <c r="A147" s="115"/>
      <c r="B147" s="97"/>
      <c r="C147" s="115"/>
      <c r="D147" s="115"/>
      <c r="E147" s="115"/>
      <c r="F147" s="115"/>
      <c r="G147" s="99"/>
      <c r="H147" s="98"/>
      <c r="I147" s="100"/>
      <c r="J147" s="100"/>
      <c r="K147" s="100"/>
      <c r="L147" s="101"/>
      <c r="M147" s="101"/>
      <c r="N147" s="112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</row>
    <row r="148" spans="1:29" ht="13">
      <c r="A148" s="115"/>
      <c r="B148" s="97"/>
      <c r="C148" s="115"/>
      <c r="D148" s="115"/>
      <c r="E148" s="115"/>
      <c r="F148" s="115"/>
      <c r="G148" s="99"/>
      <c r="H148" s="98"/>
      <c r="I148" s="100"/>
      <c r="J148" s="100"/>
      <c r="K148" s="100"/>
      <c r="L148" s="101"/>
      <c r="M148" s="101"/>
      <c r="N148" s="112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</row>
    <row r="149" spans="1:29" ht="13">
      <c r="A149" s="115"/>
      <c r="B149" s="97"/>
      <c r="C149" s="115"/>
      <c r="D149" s="115"/>
      <c r="E149" s="115"/>
      <c r="F149" s="115"/>
      <c r="G149" s="99"/>
      <c r="H149" s="98"/>
      <c r="I149" s="100"/>
      <c r="J149" s="100"/>
      <c r="K149" s="100"/>
      <c r="L149" s="101"/>
      <c r="M149" s="101"/>
      <c r="N149" s="112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</row>
    <row r="150" spans="1:29" ht="13">
      <c r="A150" s="115"/>
      <c r="B150" s="97"/>
      <c r="C150" s="115"/>
      <c r="D150" s="115"/>
      <c r="E150" s="115"/>
      <c r="F150" s="115"/>
      <c r="G150" s="99"/>
      <c r="H150" s="98"/>
      <c r="I150" s="100"/>
      <c r="J150" s="100"/>
      <c r="K150" s="100"/>
      <c r="L150" s="101"/>
      <c r="M150" s="101"/>
      <c r="N150" s="112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</row>
    <row r="151" spans="1:29" ht="13">
      <c r="A151" s="115"/>
      <c r="B151" s="97"/>
      <c r="C151" s="115"/>
      <c r="D151" s="115"/>
      <c r="E151" s="115"/>
      <c r="F151" s="115"/>
      <c r="G151" s="99"/>
      <c r="H151" s="98"/>
      <c r="I151" s="100"/>
      <c r="J151" s="100"/>
      <c r="K151" s="100"/>
      <c r="L151" s="101"/>
      <c r="M151" s="101"/>
      <c r="N151" s="112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</row>
    <row r="152" spans="1:29" ht="13">
      <c r="A152" s="115"/>
      <c r="B152" s="97"/>
      <c r="C152" s="115"/>
      <c r="D152" s="115"/>
      <c r="E152" s="115"/>
      <c r="F152" s="115"/>
      <c r="G152" s="99"/>
      <c r="H152" s="98"/>
      <c r="I152" s="100"/>
      <c r="J152" s="100"/>
      <c r="K152" s="100"/>
      <c r="L152" s="101"/>
      <c r="M152" s="101"/>
      <c r="N152" s="112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</row>
    <row r="153" spans="1:29" ht="13">
      <c r="A153" s="115"/>
      <c r="B153" s="97"/>
      <c r="C153" s="115"/>
      <c r="D153" s="115"/>
      <c r="E153" s="115"/>
      <c r="F153" s="115"/>
      <c r="G153" s="99"/>
      <c r="H153" s="98"/>
      <c r="I153" s="100"/>
      <c r="J153" s="100"/>
      <c r="K153" s="100"/>
      <c r="L153" s="101"/>
      <c r="M153" s="101"/>
      <c r="N153" s="112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</row>
    <row r="154" spans="1:29" ht="13">
      <c r="A154" s="115"/>
      <c r="B154" s="97"/>
      <c r="C154" s="115"/>
      <c r="D154" s="115"/>
      <c r="E154" s="115"/>
      <c r="F154" s="115"/>
      <c r="G154" s="99"/>
      <c r="H154" s="98"/>
      <c r="I154" s="100"/>
      <c r="J154" s="100"/>
      <c r="K154" s="100"/>
      <c r="L154" s="101"/>
      <c r="M154" s="101"/>
      <c r="N154" s="112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</row>
    <row r="155" spans="1:29" ht="13">
      <c r="A155" s="115"/>
      <c r="B155" s="97"/>
      <c r="C155" s="115"/>
      <c r="D155" s="115"/>
      <c r="E155" s="115"/>
      <c r="F155" s="115"/>
      <c r="G155" s="99"/>
      <c r="H155" s="98"/>
      <c r="I155" s="100"/>
      <c r="J155" s="100"/>
      <c r="K155" s="100"/>
      <c r="L155" s="101"/>
      <c r="M155" s="101"/>
      <c r="N155" s="112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</row>
    <row r="156" spans="1:29" ht="13">
      <c r="A156" s="115"/>
      <c r="B156" s="97"/>
      <c r="C156" s="115"/>
      <c r="D156" s="115"/>
      <c r="E156" s="115"/>
      <c r="F156" s="115"/>
      <c r="G156" s="99"/>
      <c r="H156" s="98"/>
      <c r="I156" s="100"/>
      <c r="J156" s="100"/>
      <c r="K156" s="100"/>
      <c r="L156" s="101"/>
      <c r="M156" s="101"/>
      <c r="N156" s="112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</row>
    <row r="157" spans="1:29" ht="13">
      <c r="A157" s="115"/>
      <c r="B157" s="97"/>
      <c r="C157" s="115"/>
      <c r="D157" s="115"/>
      <c r="E157" s="115"/>
      <c r="F157" s="115"/>
      <c r="G157" s="99"/>
      <c r="H157" s="98"/>
      <c r="I157" s="100"/>
      <c r="J157" s="100"/>
      <c r="K157" s="100"/>
      <c r="L157" s="101"/>
      <c r="M157" s="101"/>
      <c r="N157" s="112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</row>
    <row r="158" spans="1:29" ht="13">
      <c r="A158" s="115"/>
      <c r="B158" s="97"/>
      <c r="C158" s="115"/>
      <c r="D158" s="115"/>
      <c r="E158" s="115"/>
      <c r="F158" s="115"/>
      <c r="G158" s="99"/>
      <c r="H158" s="98"/>
      <c r="I158" s="100"/>
      <c r="J158" s="100"/>
      <c r="K158" s="100"/>
      <c r="L158" s="101"/>
      <c r="M158" s="101"/>
      <c r="N158" s="112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</row>
    <row r="159" spans="1:29" ht="13">
      <c r="A159" s="115"/>
      <c r="B159" s="97"/>
      <c r="C159" s="115"/>
      <c r="D159" s="115"/>
      <c r="E159" s="115"/>
      <c r="F159" s="115"/>
      <c r="G159" s="99"/>
      <c r="H159" s="98"/>
      <c r="I159" s="100"/>
      <c r="J159" s="100"/>
      <c r="K159" s="100"/>
      <c r="L159" s="101"/>
      <c r="M159" s="101"/>
      <c r="N159" s="112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</row>
    <row r="160" spans="1:29" ht="13">
      <c r="A160" s="115"/>
      <c r="B160" s="97"/>
      <c r="C160" s="115"/>
      <c r="D160" s="115"/>
      <c r="E160" s="115"/>
      <c r="F160" s="115"/>
      <c r="G160" s="99"/>
      <c r="H160" s="98"/>
      <c r="I160" s="100"/>
      <c r="J160" s="100"/>
      <c r="K160" s="100"/>
      <c r="L160" s="101"/>
      <c r="M160" s="101"/>
      <c r="N160" s="112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</row>
    <row r="161" spans="1:29" ht="13">
      <c r="A161" s="115"/>
      <c r="B161" s="97"/>
      <c r="C161" s="115"/>
      <c r="D161" s="115"/>
      <c r="E161" s="115"/>
      <c r="F161" s="115"/>
      <c r="G161" s="99"/>
      <c r="H161" s="98"/>
      <c r="I161" s="100"/>
      <c r="J161" s="100"/>
      <c r="K161" s="100"/>
      <c r="L161" s="101"/>
      <c r="M161" s="101"/>
      <c r="N161" s="112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</row>
    <row r="162" spans="1:29" ht="13">
      <c r="A162" s="115"/>
      <c r="B162" s="97"/>
      <c r="C162" s="115"/>
      <c r="D162" s="115"/>
      <c r="E162" s="115"/>
      <c r="F162" s="115"/>
      <c r="G162" s="99"/>
      <c r="H162" s="98"/>
      <c r="I162" s="100"/>
      <c r="J162" s="100"/>
      <c r="K162" s="100"/>
      <c r="L162" s="101"/>
      <c r="M162" s="101"/>
      <c r="N162" s="112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</row>
    <row r="163" spans="1:29" ht="13">
      <c r="A163" s="115"/>
      <c r="B163" s="97"/>
      <c r="C163" s="115"/>
      <c r="D163" s="115"/>
      <c r="E163" s="115"/>
      <c r="F163" s="115"/>
      <c r="G163" s="99"/>
      <c r="H163" s="98"/>
      <c r="I163" s="100"/>
      <c r="J163" s="100"/>
      <c r="K163" s="100"/>
      <c r="L163" s="101"/>
      <c r="M163" s="101"/>
      <c r="N163" s="112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</row>
    <row r="164" spans="1:29" ht="13">
      <c r="A164" s="115"/>
      <c r="B164" s="97"/>
      <c r="C164" s="115"/>
      <c r="D164" s="115"/>
      <c r="E164" s="115"/>
      <c r="F164" s="115"/>
      <c r="G164" s="99"/>
      <c r="H164" s="98"/>
      <c r="I164" s="100"/>
      <c r="J164" s="100"/>
      <c r="K164" s="100"/>
      <c r="L164" s="101"/>
      <c r="M164" s="101"/>
      <c r="N164" s="112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</row>
    <row r="165" spans="1:29" ht="13">
      <c r="A165" s="115"/>
      <c r="B165" s="97"/>
      <c r="C165" s="115"/>
      <c r="D165" s="115"/>
      <c r="E165" s="115"/>
      <c r="F165" s="115"/>
      <c r="G165" s="99"/>
      <c r="H165" s="98"/>
      <c r="I165" s="100"/>
      <c r="J165" s="100"/>
      <c r="K165" s="100"/>
      <c r="L165" s="101"/>
      <c r="M165" s="101"/>
      <c r="N165" s="112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</row>
    <row r="166" spans="1:29" ht="13">
      <c r="A166" s="115"/>
      <c r="B166" s="97"/>
      <c r="C166" s="115"/>
      <c r="D166" s="115"/>
      <c r="E166" s="115"/>
      <c r="F166" s="115"/>
      <c r="G166" s="99"/>
      <c r="H166" s="98"/>
      <c r="I166" s="100"/>
      <c r="J166" s="100"/>
      <c r="K166" s="100"/>
      <c r="L166" s="101"/>
      <c r="M166" s="101"/>
      <c r="N166" s="112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</row>
    <row r="167" spans="1:29" ht="13">
      <c r="A167" s="115"/>
      <c r="B167" s="97"/>
      <c r="C167" s="115"/>
      <c r="D167" s="115"/>
      <c r="E167" s="115"/>
      <c r="F167" s="115"/>
      <c r="G167" s="99"/>
      <c r="H167" s="98"/>
      <c r="I167" s="100"/>
      <c r="J167" s="100"/>
      <c r="K167" s="100"/>
      <c r="L167" s="101"/>
      <c r="M167" s="101"/>
      <c r="N167" s="112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</row>
    <row r="168" spans="1:29" ht="13">
      <c r="A168" s="115"/>
      <c r="B168" s="97"/>
      <c r="C168" s="115"/>
      <c r="D168" s="115"/>
      <c r="E168" s="115"/>
      <c r="F168" s="115"/>
      <c r="G168" s="99"/>
      <c r="H168" s="98"/>
      <c r="I168" s="100"/>
      <c r="J168" s="100"/>
      <c r="K168" s="100"/>
      <c r="L168" s="101"/>
      <c r="M168" s="101"/>
      <c r="N168" s="112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</row>
    <row r="169" spans="1:29" ht="13">
      <c r="A169" s="115"/>
      <c r="B169" s="97"/>
      <c r="C169" s="115"/>
      <c r="D169" s="115"/>
      <c r="E169" s="115"/>
      <c r="F169" s="115"/>
      <c r="G169" s="99"/>
      <c r="H169" s="98"/>
      <c r="I169" s="100"/>
      <c r="J169" s="100"/>
      <c r="K169" s="100"/>
      <c r="L169" s="101"/>
      <c r="M169" s="101"/>
      <c r="N169" s="112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</row>
    <row r="170" spans="1:29" ht="13">
      <c r="A170" s="115"/>
      <c r="B170" s="97"/>
      <c r="C170" s="115"/>
      <c r="D170" s="115"/>
      <c r="E170" s="115"/>
      <c r="F170" s="115"/>
      <c r="G170" s="99"/>
      <c r="H170" s="98"/>
      <c r="I170" s="100"/>
      <c r="J170" s="100"/>
      <c r="K170" s="100"/>
      <c r="L170" s="101"/>
      <c r="M170" s="101"/>
      <c r="N170" s="112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</row>
    <row r="171" spans="1:29" ht="13">
      <c r="A171" s="115"/>
      <c r="B171" s="97"/>
      <c r="C171" s="115"/>
      <c r="D171" s="115"/>
      <c r="E171" s="115"/>
      <c r="F171" s="115"/>
      <c r="G171" s="99"/>
      <c r="H171" s="98"/>
      <c r="I171" s="100"/>
      <c r="J171" s="100"/>
      <c r="K171" s="100"/>
      <c r="L171" s="101"/>
      <c r="M171" s="101"/>
      <c r="N171" s="112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</row>
    <row r="172" spans="1:29" ht="13">
      <c r="A172" s="115"/>
      <c r="B172" s="97"/>
      <c r="C172" s="115"/>
      <c r="D172" s="115"/>
      <c r="E172" s="115"/>
      <c r="F172" s="115"/>
      <c r="G172" s="99"/>
      <c r="H172" s="98"/>
      <c r="I172" s="100"/>
      <c r="J172" s="100"/>
      <c r="K172" s="100"/>
      <c r="L172" s="101"/>
      <c r="M172" s="101"/>
      <c r="N172" s="112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</row>
    <row r="173" spans="1:29" ht="13">
      <c r="A173" s="115"/>
      <c r="B173" s="97"/>
      <c r="C173" s="115"/>
      <c r="D173" s="115"/>
      <c r="E173" s="115"/>
      <c r="F173" s="115"/>
      <c r="G173" s="99"/>
      <c r="H173" s="98"/>
      <c r="I173" s="100"/>
      <c r="J173" s="100"/>
      <c r="K173" s="100"/>
      <c r="L173" s="101"/>
      <c r="M173" s="101"/>
      <c r="N173" s="112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</row>
    <row r="174" spans="1:29" ht="13">
      <c r="A174" s="115"/>
      <c r="B174" s="97"/>
      <c r="C174" s="115"/>
      <c r="D174" s="115"/>
      <c r="E174" s="115"/>
      <c r="F174" s="115"/>
      <c r="G174" s="99"/>
      <c r="H174" s="98"/>
      <c r="I174" s="100"/>
      <c r="J174" s="100"/>
      <c r="K174" s="100"/>
      <c r="L174" s="101"/>
      <c r="M174" s="101"/>
      <c r="N174" s="112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</row>
    <row r="175" spans="1:29" ht="13">
      <c r="A175" s="115"/>
      <c r="B175" s="97"/>
      <c r="C175" s="115"/>
      <c r="D175" s="115"/>
      <c r="E175" s="115"/>
      <c r="F175" s="115"/>
      <c r="G175" s="99"/>
      <c r="H175" s="98"/>
      <c r="I175" s="100"/>
      <c r="J175" s="100"/>
      <c r="K175" s="100"/>
      <c r="L175" s="101"/>
      <c r="M175" s="101"/>
      <c r="N175" s="112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</row>
    <row r="176" spans="1:29" ht="13">
      <c r="A176" s="115"/>
      <c r="B176" s="97"/>
      <c r="C176" s="115"/>
      <c r="D176" s="115"/>
      <c r="E176" s="115"/>
      <c r="F176" s="115"/>
      <c r="G176" s="99"/>
      <c r="H176" s="98"/>
      <c r="I176" s="100"/>
      <c r="J176" s="100"/>
      <c r="K176" s="100"/>
      <c r="L176" s="101"/>
      <c r="M176" s="101"/>
      <c r="N176" s="112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</row>
    <row r="177" spans="1:29" ht="13">
      <c r="A177" s="115"/>
      <c r="B177" s="97"/>
      <c r="C177" s="115"/>
      <c r="D177" s="115"/>
      <c r="E177" s="115"/>
      <c r="F177" s="115"/>
      <c r="G177" s="99"/>
      <c r="H177" s="98"/>
      <c r="I177" s="100"/>
      <c r="J177" s="100"/>
      <c r="K177" s="100"/>
      <c r="L177" s="101"/>
      <c r="M177" s="101"/>
      <c r="N177" s="112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</row>
    <row r="178" spans="1:29" ht="13">
      <c r="A178" s="115"/>
      <c r="B178" s="97"/>
      <c r="C178" s="115"/>
      <c r="D178" s="115"/>
      <c r="E178" s="115"/>
      <c r="F178" s="115"/>
      <c r="G178" s="99"/>
      <c r="H178" s="98"/>
      <c r="I178" s="100"/>
      <c r="J178" s="100"/>
      <c r="K178" s="100"/>
      <c r="L178" s="101"/>
      <c r="M178" s="101"/>
      <c r="N178" s="112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</row>
    <row r="179" spans="1:29" ht="13">
      <c r="A179" s="115"/>
      <c r="B179" s="97"/>
      <c r="C179" s="115"/>
      <c r="D179" s="115"/>
      <c r="E179" s="115"/>
      <c r="F179" s="115"/>
      <c r="G179" s="99"/>
      <c r="H179" s="98"/>
      <c r="I179" s="100"/>
      <c r="J179" s="100"/>
      <c r="K179" s="100"/>
      <c r="L179" s="101"/>
      <c r="M179" s="101"/>
      <c r="N179" s="112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</row>
    <row r="180" spans="1:29" ht="13">
      <c r="A180" s="115"/>
      <c r="B180" s="97"/>
      <c r="C180" s="115"/>
      <c r="D180" s="115"/>
      <c r="E180" s="115"/>
      <c r="F180" s="115"/>
      <c r="G180" s="99"/>
      <c r="H180" s="98"/>
      <c r="I180" s="100"/>
      <c r="J180" s="100"/>
      <c r="K180" s="100"/>
      <c r="L180" s="101"/>
      <c r="M180" s="101"/>
      <c r="N180" s="112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</row>
    <row r="181" spans="1:29" ht="13">
      <c r="A181" s="115"/>
      <c r="B181" s="97"/>
      <c r="C181" s="115"/>
      <c r="D181" s="115"/>
      <c r="E181" s="115"/>
      <c r="F181" s="115"/>
      <c r="G181" s="99"/>
      <c r="H181" s="98"/>
      <c r="I181" s="100"/>
      <c r="J181" s="100"/>
      <c r="K181" s="100"/>
      <c r="L181" s="101"/>
      <c r="M181" s="101"/>
      <c r="N181" s="112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</row>
    <row r="182" spans="1:29" ht="13">
      <c r="A182" s="115"/>
      <c r="B182" s="97"/>
      <c r="C182" s="115"/>
      <c r="D182" s="115"/>
      <c r="E182" s="115"/>
      <c r="F182" s="115"/>
      <c r="G182" s="99"/>
      <c r="H182" s="98"/>
      <c r="I182" s="100"/>
      <c r="J182" s="100"/>
      <c r="K182" s="100"/>
      <c r="L182" s="101"/>
      <c r="M182" s="101"/>
      <c r="N182" s="112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</row>
    <row r="183" spans="1:29" ht="13">
      <c r="A183" s="115"/>
      <c r="B183" s="97"/>
      <c r="C183" s="115"/>
      <c r="D183" s="115"/>
      <c r="E183" s="115"/>
      <c r="F183" s="115"/>
      <c r="G183" s="99"/>
      <c r="H183" s="98"/>
      <c r="I183" s="100"/>
      <c r="J183" s="100"/>
      <c r="K183" s="100"/>
      <c r="L183" s="101"/>
      <c r="M183" s="101"/>
      <c r="N183" s="112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</row>
    <row r="184" spans="1:29" ht="13">
      <c r="A184" s="115"/>
      <c r="B184" s="97"/>
      <c r="C184" s="115"/>
      <c r="D184" s="115"/>
      <c r="E184" s="115"/>
      <c r="F184" s="115"/>
      <c r="G184" s="99"/>
      <c r="H184" s="98"/>
      <c r="I184" s="100"/>
      <c r="J184" s="100"/>
      <c r="K184" s="100"/>
      <c r="L184" s="101"/>
      <c r="M184" s="101"/>
      <c r="N184" s="112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</row>
    <row r="185" spans="1:29" ht="13">
      <c r="A185" s="115"/>
      <c r="B185" s="97"/>
      <c r="C185" s="115"/>
      <c r="D185" s="115"/>
      <c r="E185" s="115"/>
      <c r="F185" s="115"/>
      <c r="G185" s="99"/>
      <c r="H185" s="98"/>
      <c r="I185" s="100"/>
      <c r="J185" s="100"/>
      <c r="K185" s="100"/>
      <c r="L185" s="101"/>
      <c r="M185" s="101"/>
      <c r="N185" s="112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</row>
    <row r="186" spans="1:29" ht="13">
      <c r="A186" s="115"/>
      <c r="B186" s="97"/>
      <c r="C186" s="115"/>
      <c r="D186" s="115"/>
      <c r="E186" s="115"/>
      <c r="F186" s="115"/>
      <c r="G186" s="99"/>
      <c r="H186" s="98"/>
      <c r="I186" s="100"/>
      <c r="J186" s="100"/>
      <c r="K186" s="100"/>
      <c r="L186" s="101"/>
      <c r="M186" s="101"/>
      <c r="N186" s="112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</row>
    <row r="187" spans="1:29" ht="13">
      <c r="A187" s="115"/>
      <c r="B187" s="97"/>
      <c r="C187" s="115"/>
      <c r="D187" s="115"/>
      <c r="E187" s="115"/>
      <c r="F187" s="115"/>
      <c r="G187" s="99"/>
      <c r="H187" s="98"/>
      <c r="I187" s="100"/>
      <c r="J187" s="100"/>
      <c r="K187" s="100"/>
      <c r="L187" s="101"/>
      <c r="M187" s="101"/>
      <c r="N187" s="112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</row>
    <row r="188" spans="1:29" ht="13">
      <c r="A188" s="115"/>
      <c r="B188" s="97"/>
      <c r="C188" s="115"/>
      <c r="D188" s="115"/>
      <c r="E188" s="115"/>
      <c r="F188" s="115"/>
      <c r="G188" s="99"/>
      <c r="H188" s="98"/>
      <c r="I188" s="100"/>
      <c r="J188" s="100"/>
      <c r="K188" s="100"/>
      <c r="L188" s="101"/>
      <c r="M188" s="101"/>
      <c r="N188" s="112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</row>
    <row r="189" spans="1:29" ht="13">
      <c r="A189" s="115"/>
      <c r="B189" s="97"/>
      <c r="C189" s="115"/>
      <c r="D189" s="115"/>
      <c r="E189" s="115"/>
      <c r="F189" s="115"/>
      <c r="G189" s="99"/>
      <c r="H189" s="98"/>
      <c r="I189" s="100"/>
      <c r="J189" s="100"/>
      <c r="K189" s="100"/>
      <c r="L189" s="101"/>
      <c r="M189" s="101"/>
      <c r="N189" s="112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</row>
    <row r="190" spans="1:29" ht="13">
      <c r="A190" s="115"/>
      <c r="B190" s="97"/>
      <c r="C190" s="115"/>
      <c r="D190" s="115"/>
      <c r="E190" s="115"/>
      <c r="F190" s="115"/>
      <c r="G190" s="99"/>
      <c r="H190" s="98"/>
      <c r="I190" s="100"/>
      <c r="J190" s="100"/>
      <c r="K190" s="100"/>
      <c r="L190" s="101"/>
      <c r="M190" s="101"/>
      <c r="N190" s="112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</row>
    <row r="191" spans="1:29" ht="13">
      <c r="A191" s="115"/>
      <c r="B191" s="97"/>
      <c r="C191" s="115"/>
      <c r="D191" s="115"/>
      <c r="E191" s="115"/>
      <c r="F191" s="115"/>
      <c r="G191" s="99"/>
      <c r="H191" s="98"/>
      <c r="I191" s="100"/>
      <c r="J191" s="100"/>
      <c r="K191" s="100"/>
      <c r="L191" s="101"/>
      <c r="M191" s="101"/>
      <c r="N191" s="112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</row>
    <row r="192" spans="1:29" ht="13">
      <c r="A192" s="115"/>
      <c r="B192" s="97"/>
      <c r="C192" s="115"/>
      <c r="D192" s="115"/>
      <c r="E192" s="115"/>
      <c r="F192" s="115"/>
      <c r="G192" s="99"/>
      <c r="H192" s="98"/>
      <c r="I192" s="100"/>
      <c r="J192" s="100"/>
      <c r="K192" s="100"/>
      <c r="L192" s="101"/>
      <c r="M192" s="101"/>
      <c r="N192" s="112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</row>
    <row r="193" spans="1:29" ht="13">
      <c r="A193" s="115"/>
      <c r="B193" s="97"/>
      <c r="C193" s="115"/>
      <c r="D193" s="115"/>
      <c r="E193" s="115"/>
      <c r="F193" s="115"/>
      <c r="G193" s="99"/>
      <c r="H193" s="98"/>
      <c r="I193" s="100"/>
      <c r="J193" s="100"/>
      <c r="K193" s="100"/>
      <c r="L193" s="101"/>
      <c r="M193" s="101"/>
      <c r="N193" s="112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</row>
    <row r="194" spans="1:29" ht="13">
      <c r="A194" s="115"/>
      <c r="B194" s="97"/>
      <c r="C194" s="115"/>
      <c r="D194" s="115"/>
      <c r="E194" s="115"/>
      <c r="F194" s="115"/>
      <c r="G194" s="99"/>
      <c r="H194" s="98"/>
      <c r="I194" s="100"/>
      <c r="J194" s="100"/>
      <c r="K194" s="100"/>
      <c r="L194" s="101"/>
      <c r="M194" s="101"/>
      <c r="N194" s="112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</row>
    <row r="195" spans="1:29" ht="13">
      <c r="A195" s="115"/>
      <c r="B195" s="97"/>
      <c r="C195" s="115"/>
      <c r="D195" s="115"/>
      <c r="E195" s="115"/>
      <c r="F195" s="115"/>
      <c r="G195" s="99"/>
      <c r="H195" s="98"/>
      <c r="I195" s="100"/>
      <c r="J195" s="100"/>
      <c r="K195" s="100"/>
      <c r="L195" s="101"/>
      <c r="M195" s="101"/>
      <c r="N195" s="112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</row>
    <row r="196" spans="1:29" ht="13">
      <c r="A196" s="115"/>
      <c r="B196" s="97"/>
      <c r="C196" s="115"/>
      <c r="D196" s="115"/>
      <c r="E196" s="115"/>
      <c r="F196" s="115"/>
      <c r="G196" s="99"/>
      <c r="H196" s="98"/>
      <c r="I196" s="100"/>
      <c r="J196" s="100"/>
      <c r="K196" s="100"/>
      <c r="L196" s="101"/>
      <c r="M196" s="101"/>
      <c r="N196" s="112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</row>
    <row r="197" spans="1:29" ht="13">
      <c r="A197" s="115"/>
      <c r="B197" s="97"/>
      <c r="C197" s="115"/>
      <c r="D197" s="115"/>
      <c r="E197" s="115"/>
      <c r="F197" s="115"/>
      <c r="G197" s="99"/>
      <c r="H197" s="98"/>
      <c r="I197" s="100"/>
      <c r="J197" s="100"/>
      <c r="K197" s="100"/>
      <c r="L197" s="101"/>
      <c r="M197" s="101"/>
      <c r="N197" s="112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</row>
    <row r="198" spans="1:29" ht="13">
      <c r="A198" s="115"/>
      <c r="B198" s="97"/>
      <c r="C198" s="115"/>
      <c r="D198" s="115"/>
      <c r="E198" s="115"/>
      <c r="F198" s="115"/>
      <c r="G198" s="99"/>
      <c r="H198" s="98"/>
      <c r="I198" s="100"/>
      <c r="J198" s="100"/>
      <c r="K198" s="100"/>
      <c r="L198" s="101"/>
      <c r="M198" s="101"/>
      <c r="N198" s="112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</row>
    <row r="199" spans="1:29" ht="13">
      <c r="A199" s="115"/>
      <c r="B199" s="97"/>
      <c r="C199" s="115"/>
      <c r="D199" s="115"/>
      <c r="E199" s="115"/>
      <c r="F199" s="115"/>
      <c r="G199" s="99"/>
      <c r="H199" s="98"/>
      <c r="I199" s="100"/>
      <c r="J199" s="100"/>
      <c r="K199" s="100"/>
      <c r="L199" s="101"/>
      <c r="M199" s="101"/>
      <c r="N199" s="112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</row>
    <row r="200" spans="1:29" ht="13">
      <c r="A200" s="115"/>
      <c r="B200" s="97"/>
      <c r="C200" s="115"/>
      <c r="D200" s="115"/>
      <c r="E200" s="115"/>
      <c r="F200" s="115"/>
      <c r="G200" s="99"/>
      <c r="H200" s="98"/>
      <c r="I200" s="100"/>
      <c r="J200" s="100"/>
      <c r="K200" s="100"/>
      <c r="L200" s="101"/>
      <c r="M200" s="101"/>
      <c r="N200" s="112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</row>
    <row r="201" spans="1:29" ht="13">
      <c r="A201" s="115"/>
      <c r="B201" s="97"/>
      <c r="C201" s="115"/>
      <c r="D201" s="115"/>
      <c r="E201" s="115"/>
      <c r="F201" s="115"/>
      <c r="G201" s="99"/>
      <c r="H201" s="98"/>
      <c r="I201" s="100"/>
      <c r="J201" s="100"/>
      <c r="K201" s="100"/>
      <c r="L201" s="101"/>
      <c r="M201" s="101"/>
      <c r="N201" s="112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</row>
    <row r="202" spans="1:29" ht="13">
      <c r="A202" s="115"/>
      <c r="B202" s="97"/>
      <c r="C202" s="115"/>
      <c r="D202" s="115"/>
      <c r="E202" s="115"/>
      <c r="F202" s="115"/>
      <c r="G202" s="99"/>
      <c r="H202" s="98"/>
      <c r="I202" s="100"/>
      <c r="J202" s="100"/>
      <c r="K202" s="100"/>
      <c r="L202" s="101"/>
      <c r="M202" s="101"/>
      <c r="N202" s="112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</row>
    <row r="203" spans="1:29" ht="13">
      <c r="A203" s="115"/>
      <c r="B203" s="97"/>
      <c r="C203" s="115"/>
      <c r="D203" s="115"/>
      <c r="E203" s="115"/>
      <c r="F203" s="115"/>
      <c r="G203" s="99"/>
      <c r="H203" s="98"/>
      <c r="I203" s="100"/>
      <c r="J203" s="100"/>
      <c r="K203" s="100"/>
      <c r="L203" s="101"/>
      <c r="M203" s="101"/>
      <c r="N203" s="112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</row>
    <row r="204" spans="1:29" ht="13">
      <c r="A204" s="115"/>
      <c r="B204" s="97"/>
      <c r="C204" s="115"/>
      <c r="D204" s="115"/>
      <c r="E204" s="115"/>
      <c r="F204" s="115"/>
      <c r="G204" s="99"/>
      <c r="H204" s="98"/>
      <c r="I204" s="100"/>
      <c r="J204" s="100"/>
      <c r="K204" s="100"/>
      <c r="L204" s="101"/>
      <c r="M204" s="101"/>
      <c r="N204" s="112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</row>
    <row r="205" spans="1:29" ht="13">
      <c r="A205" s="115"/>
      <c r="B205" s="97"/>
      <c r="C205" s="115"/>
      <c r="D205" s="115"/>
      <c r="E205" s="115"/>
      <c r="F205" s="115"/>
      <c r="G205" s="99"/>
      <c r="H205" s="98"/>
      <c r="I205" s="100"/>
      <c r="J205" s="100"/>
      <c r="K205" s="100"/>
      <c r="L205" s="101"/>
      <c r="M205" s="101"/>
      <c r="N205" s="112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</row>
    <row r="206" spans="1:29" ht="13">
      <c r="A206" s="115"/>
      <c r="B206" s="97"/>
      <c r="C206" s="115"/>
      <c r="D206" s="115"/>
      <c r="E206" s="115"/>
      <c r="F206" s="115"/>
      <c r="G206" s="99"/>
      <c r="H206" s="98"/>
      <c r="I206" s="100"/>
      <c r="J206" s="100"/>
      <c r="K206" s="100"/>
      <c r="L206" s="101"/>
      <c r="M206" s="101"/>
      <c r="N206" s="112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</row>
    <row r="207" spans="1:29" ht="13">
      <c r="A207" s="115"/>
      <c r="B207" s="97"/>
      <c r="C207" s="115"/>
      <c r="D207" s="115"/>
      <c r="E207" s="115"/>
      <c r="F207" s="115"/>
      <c r="G207" s="99"/>
      <c r="H207" s="98"/>
      <c r="I207" s="100"/>
      <c r="J207" s="100"/>
      <c r="K207" s="100"/>
      <c r="L207" s="101"/>
      <c r="M207" s="101"/>
      <c r="N207" s="112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</row>
    <row r="208" spans="1:29" ht="13">
      <c r="A208" s="115"/>
      <c r="B208" s="97"/>
      <c r="C208" s="115"/>
      <c r="D208" s="115"/>
      <c r="E208" s="115"/>
      <c r="F208" s="115"/>
      <c r="G208" s="99"/>
      <c r="H208" s="98"/>
      <c r="I208" s="100"/>
      <c r="J208" s="100"/>
      <c r="K208" s="100"/>
      <c r="L208" s="101"/>
      <c r="M208" s="101"/>
      <c r="N208" s="112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</row>
    <row r="209" spans="1:29" ht="13">
      <c r="A209" s="115"/>
      <c r="B209" s="97"/>
      <c r="C209" s="115"/>
      <c r="D209" s="115"/>
      <c r="E209" s="115"/>
      <c r="F209" s="115"/>
      <c r="G209" s="99"/>
      <c r="H209" s="98"/>
      <c r="I209" s="100"/>
      <c r="J209" s="100"/>
      <c r="K209" s="100"/>
      <c r="L209" s="101"/>
      <c r="M209" s="101"/>
      <c r="N209" s="112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</row>
    <row r="210" spans="1:29" ht="13">
      <c r="A210" s="115"/>
      <c r="B210" s="97"/>
      <c r="C210" s="115"/>
      <c r="D210" s="115"/>
      <c r="E210" s="115"/>
      <c r="F210" s="115"/>
      <c r="G210" s="99"/>
      <c r="H210" s="98"/>
      <c r="I210" s="100"/>
      <c r="J210" s="100"/>
      <c r="K210" s="100"/>
      <c r="L210" s="101"/>
      <c r="M210" s="101"/>
      <c r="N210" s="112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</row>
    <row r="211" spans="1:29" ht="13">
      <c r="A211" s="115"/>
      <c r="B211" s="97"/>
      <c r="C211" s="115"/>
      <c r="D211" s="115"/>
      <c r="E211" s="115"/>
      <c r="F211" s="115"/>
      <c r="G211" s="99"/>
      <c r="H211" s="98"/>
      <c r="I211" s="100"/>
      <c r="J211" s="100"/>
      <c r="K211" s="100"/>
      <c r="L211" s="101"/>
      <c r="M211" s="101"/>
      <c r="N211" s="112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</row>
    <row r="212" spans="1:29" ht="13">
      <c r="A212" s="115"/>
      <c r="B212" s="97"/>
      <c r="C212" s="115"/>
      <c r="D212" s="115"/>
      <c r="E212" s="115"/>
      <c r="F212" s="115"/>
      <c r="G212" s="99"/>
      <c r="H212" s="98"/>
      <c r="I212" s="100"/>
      <c r="J212" s="100"/>
      <c r="K212" s="100"/>
      <c r="L212" s="101"/>
      <c r="M212" s="101"/>
      <c r="N212" s="112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</row>
    <row r="213" spans="1:29" ht="13">
      <c r="A213" s="115"/>
      <c r="B213" s="97"/>
      <c r="C213" s="115"/>
      <c r="D213" s="115"/>
      <c r="E213" s="115"/>
      <c r="F213" s="115"/>
      <c r="G213" s="99"/>
      <c r="H213" s="98"/>
      <c r="I213" s="100"/>
      <c r="J213" s="100"/>
      <c r="K213" s="100"/>
      <c r="L213" s="101"/>
      <c r="M213" s="101"/>
      <c r="N213" s="112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</row>
    <row r="214" spans="1:29" ht="13">
      <c r="A214" s="115"/>
      <c r="B214" s="97"/>
      <c r="C214" s="115"/>
      <c r="D214" s="115"/>
      <c r="E214" s="115"/>
      <c r="F214" s="115"/>
      <c r="G214" s="99"/>
      <c r="H214" s="98"/>
      <c r="I214" s="100"/>
      <c r="J214" s="100"/>
      <c r="K214" s="100"/>
      <c r="L214" s="101"/>
      <c r="M214" s="101"/>
      <c r="N214" s="112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</row>
    <row r="215" spans="1:29" ht="13">
      <c r="A215" s="115"/>
      <c r="B215" s="97"/>
      <c r="C215" s="115"/>
      <c r="D215" s="115"/>
      <c r="E215" s="115"/>
      <c r="F215" s="115"/>
      <c r="G215" s="99"/>
      <c r="H215" s="98"/>
      <c r="I215" s="100"/>
      <c r="J215" s="100"/>
      <c r="K215" s="100"/>
      <c r="L215" s="101"/>
      <c r="M215" s="101"/>
      <c r="N215" s="112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</row>
    <row r="216" spans="1:29" ht="13">
      <c r="A216" s="115"/>
      <c r="B216" s="97"/>
      <c r="C216" s="115"/>
      <c r="D216" s="115"/>
      <c r="E216" s="115"/>
      <c r="F216" s="115"/>
      <c r="G216" s="99"/>
      <c r="H216" s="98"/>
      <c r="I216" s="100"/>
      <c r="J216" s="100"/>
      <c r="K216" s="100"/>
      <c r="L216" s="101"/>
      <c r="M216" s="101"/>
      <c r="N216" s="112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</row>
    <row r="217" spans="1:29" ht="13">
      <c r="A217" s="115"/>
      <c r="B217" s="97"/>
      <c r="C217" s="115"/>
      <c r="D217" s="115"/>
      <c r="E217" s="115"/>
      <c r="F217" s="115"/>
      <c r="G217" s="99"/>
      <c r="H217" s="98"/>
      <c r="I217" s="100"/>
      <c r="J217" s="100"/>
      <c r="K217" s="100"/>
      <c r="L217" s="101"/>
      <c r="M217" s="101"/>
      <c r="N217" s="112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</row>
    <row r="218" spans="1:29" ht="13">
      <c r="A218" s="115"/>
      <c r="B218" s="97"/>
      <c r="C218" s="115"/>
      <c r="D218" s="115"/>
      <c r="E218" s="115"/>
      <c r="F218" s="115"/>
      <c r="G218" s="99"/>
      <c r="H218" s="98"/>
      <c r="I218" s="100"/>
      <c r="J218" s="100"/>
      <c r="K218" s="100"/>
      <c r="L218" s="101"/>
      <c r="M218" s="101"/>
      <c r="N218" s="112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</row>
    <row r="219" spans="1:29" ht="13">
      <c r="A219" s="115"/>
      <c r="B219" s="97"/>
      <c r="C219" s="115"/>
      <c r="D219" s="115"/>
      <c r="E219" s="115"/>
      <c r="F219" s="115"/>
      <c r="G219" s="99"/>
      <c r="H219" s="98"/>
      <c r="I219" s="100"/>
      <c r="J219" s="100"/>
      <c r="K219" s="100"/>
      <c r="L219" s="101"/>
      <c r="M219" s="101"/>
      <c r="N219" s="112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</row>
    <row r="220" spans="1:29" ht="13">
      <c r="A220" s="115"/>
      <c r="B220" s="97"/>
      <c r="C220" s="115"/>
      <c r="D220" s="115"/>
      <c r="E220" s="115"/>
      <c r="F220" s="115"/>
      <c r="G220" s="99"/>
      <c r="H220" s="98"/>
      <c r="I220" s="100"/>
      <c r="J220" s="100"/>
      <c r="K220" s="100"/>
      <c r="L220" s="101"/>
      <c r="M220" s="101"/>
      <c r="N220" s="112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</row>
    <row r="221" spans="1:29" ht="13">
      <c r="A221" s="115"/>
      <c r="B221" s="97"/>
      <c r="C221" s="115"/>
      <c r="D221" s="115"/>
      <c r="E221" s="115"/>
      <c r="F221" s="115"/>
      <c r="G221" s="99"/>
      <c r="H221" s="98"/>
      <c r="I221" s="100"/>
      <c r="J221" s="100"/>
      <c r="K221" s="100"/>
      <c r="L221" s="101"/>
      <c r="M221" s="101"/>
      <c r="N221" s="112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</row>
    <row r="222" spans="1:29" ht="13">
      <c r="A222" s="115"/>
      <c r="B222" s="97"/>
      <c r="C222" s="115"/>
      <c r="D222" s="115"/>
      <c r="E222" s="115"/>
      <c r="F222" s="115"/>
      <c r="G222" s="99"/>
      <c r="H222" s="98"/>
      <c r="I222" s="100"/>
      <c r="J222" s="100"/>
      <c r="K222" s="100"/>
      <c r="L222" s="101"/>
      <c r="M222" s="101"/>
      <c r="N222" s="112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</row>
    <row r="223" spans="1:29" ht="13">
      <c r="A223" s="115"/>
      <c r="B223" s="97"/>
      <c r="C223" s="115"/>
      <c r="D223" s="115"/>
      <c r="E223" s="115"/>
      <c r="F223" s="115"/>
      <c r="G223" s="99"/>
      <c r="H223" s="98"/>
      <c r="I223" s="100"/>
      <c r="J223" s="100"/>
      <c r="K223" s="100"/>
      <c r="L223" s="101"/>
      <c r="M223" s="101"/>
      <c r="N223" s="112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</row>
    <row r="224" spans="1:29" ht="13">
      <c r="A224" s="115"/>
      <c r="B224" s="97"/>
      <c r="C224" s="115"/>
      <c r="D224" s="115"/>
      <c r="E224" s="115"/>
      <c r="F224" s="115"/>
      <c r="G224" s="99"/>
      <c r="H224" s="98"/>
      <c r="I224" s="100"/>
      <c r="J224" s="100"/>
      <c r="K224" s="100"/>
      <c r="L224" s="101"/>
      <c r="M224" s="101"/>
      <c r="N224" s="112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</row>
    <row r="225" spans="1:29" ht="13">
      <c r="A225" s="115"/>
      <c r="B225" s="97"/>
      <c r="C225" s="115"/>
      <c r="D225" s="115"/>
      <c r="E225" s="115"/>
      <c r="F225" s="115"/>
      <c r="G225" s="99"/>
      <c r="H225" s="98"/>
      <c r="I225" s="100"/>
      <c r="J225" s="100"/>
      <c r="K225" s="100"/>
      <c r="L225" s="101"/>
      <c r="M225" s="101"/>
      <c r="N225" s="112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</row>
    <row r="226" spans="1:29" ht="13">
      <c r="A226" s="115"/>
      <c r="B226" s="97"/>
      <c r="C226" s="115"/>
      <c r="D226" s="115"/>
      <c r="E226" s="115"/>
      <c r="F226" s="115"/>
      <c r="G226" s="99"/>
      <c r="H226" s="98"/>
      <c r="I226" s="100"/>
      <c r="J226" s="100"/>
      <c r="K226" s="100"/>
      <c r="L226" s="101"/>
      <c r="M226" s="101"/>
      <c r="N226" s="112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</row>
    <row r="227" spans="1:29" ht="13">
      <c r="A227" s="115"/>
      <c r="B227" s="97"/>
      <c r="C227" s="115"/>
      <c r="D227" s="115"/>
      <c r="E227" s="115"/>
      <c r="F227" s="115"/>
      <c r="G227" s="99"/>
      <c r="H227" s="98"/>
      <c r="I227" s="100"/>
      <c r="J227" s="100"/>
      <c r="K227" s="100"/>
      <c r="L227" s="101"/>
      <c r="M227" s="101"/>
      <c r="N227" s="112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</row>
    <row r="228" spans="1:29" ht="13">
      <c r="A228" s="115"/>
      <c r="B228" s="97"/>
      <c r="C228" s="115"/>
      <c r="D228" s="115"/>
      <c r="E228" s="115"/>
      <c r="F228" s="115"/>
      <c r="G228" s="99"/>
      <c r="H228" s="98"/>
      <c r="I228" s="100"/>
      <c r="J228" s="100"/>
      <c r="K228" s="100"/>
      <c r="L228" s="101"/>
      <c r="M228" s="101"/>
      <c r="N228" s="112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</row>
    <row r="229" spans="1:29" ht="13">
      <c r="A229" s="115"/>
      <c r="B229" s="97"/>
      <c r="C229" s="115"/>
      <c r="D229" s="115"/>
      <c r="E229" s="115"/>
      <c r="F229" s="115"/>
      <c r="G229" s="99"/>
      <c r="H229" s="98"/>
      <c r="I229" s="100"/>
      <c r="J229" s="100"/>
      <c r="K229" s="100"/>
      <c r="L229" s="101"/>
      <c r="M229" s="101"/>
      <c r="N229" s="112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</row>
    <row r="230" spans="1:29" ht="13">
      <c r="A230" s="115"/>
      <c r="B230" s="97"/>
      <c r="C230" s="115"/>
      <c r="D230" s="115"/>
      <c r="E230" s="115"/>
      <c r="F230" s="115"/>
      <c r="G230" s="99"/>
      <c r="H230" s="98"/>
      <c r="I230" s="100"/>
      <c r="J230" s="100"/>
      <c r="K230" s="100"/>
      <c r="L230" s="101"/>
      <c r="M230" s="101"/>
      <c r="N230" s="112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</row>
    <row r="231" spans="1:29" ht="13">
      <c r="A231" s="115"/>
      <c r="B231" s="97"/>
      <c r="C231" s="115"/>
      <c r="D231" s="115"/>
      <c r="E231" s="115"/>
      <c r="F231" s="115"/>
      <c r="G231" s="99"/>
      <c r="H231" s="98"/>
      <c r="I231" s="100"/>
      <c r="J231" s="100"/>
      <c r="K231" s="100"/>
      <c r="L231" s="101"/>
      <c r="M231" s="101"/>
      <c r="N231" s="112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</row>
    <row r="232" spans="1:29" ht="13">
      <c r="A232" s="115"/>
      <c r="B232" s="97"/>
      <c r="C232" s="115"/>
      <c r="D232" s="115"/>
      <c r="E232" s="115"/>
      <c r="F232" s="115"/>
      <c r="G232" s="99"/>
      <c r="H232" s="98"/>
      <c r="I232" s="100"/>
      <c r="J232" s="100"/>
      <c r="K232" s="100"/>
      <c r="L232" s="101"/>
      <c r="M232" s="101"/>
      <c r="N232" s="112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</row>
    <row r="233" spans="1:29" ht="13">
      <c r="A233" s="115"/>
      <c r="B233" s="97"/>
      <c r="C233" s="115"/>
      <c r="D233" s="115"/>
      <c r="E233" s="115"/>
      <c r="F233" s="115"/>
      <c r="G233" s="99"/>
      <c r="H233" s="98"/>
      <c r="I233" s="100"/>
      <c r="J233" s="100"/>
      <c r="K233" s="100"/>
      <c r="L233" s="101"/>
      <c r="M233" s="101"/>
      <c r="N233" s="112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</row>
    <row r="234" spans="1:29" ht="13">
      <c r="A234" s="115"/>
      <c r="B234" s="97"/>
      <c r="C234" s="115"/>
      <c r="D234" s="115"/>
      <c r="E234" s="115"/>
      <c r="F234" s="115"/>
      <c r="G234" s="99"/>
      <c r="H234" s="98"/>
      <c r="I234" s="100"/>
      <c r="J234" s="100"/>
      <c r="K234" s="100"/>
      <c r="L234" s="101"/>
      <c r="M234" s="101"/>
      <c r="N234" s="112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</row>
    <row r="235" spans="1:29" ht="13">
      <c r="A235" s="115"/>
      <c r="B235" s="97"/>
      <c r="C235" s="115"/>
      <c r="D235" s="115"/>
      <c r="E235" s="115"/>
      <c r="F235" s="115"/>
      <c r="G235" s="99"/>
      <c r="H235" s="98"/>
      <c r="I235" s="100"/>
      <c r="J235" s="100"/>
      <c r="K235" s="100"/>
      <c r="L235" s="101"/>
      <c r="M235" s="101"/>
      <c r="N235" s="112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</row>
    <row r="236" spans="1:29" ht="13">
      <c r="A236" s="115"/>
      <c r="B236" s="97"/>
      <c r="C236" s="115"/>
      <c r="D236" s="115"/>
      <c r="E236" s="115"/>
      <c r="F236" s="115"/>
      <c r="G236" s="99"/>
      <c r="H236" s="98"/>
      <c r="I236" s="100"/>
      <c r="J236" s="100"/>
      <c r="K236" s="100"/>
      <c r="L236" s="101"/>
      <c r="M236" s="101"/>
      <c r="N236" s="112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</row>
    <row r="237" spans="1:29" ht="13">
      <c r="A237" s="115"/>
      <c r="B237" s="97"/>
      <c r="C237" s="115"/>
      <c r="D237" s="115"/>
      <c r="E237" s="115"/>
      <c r="F237" s="115"/>
      <c r="G237" s="99"/>
      <c r="H237" s="98"/>
      <c r="I237" s="100"/>
      <c r="J237" s="100"/>
      <c r="K237" s="100"/>
      <c r="L237" s="101"/>
      <c r="M237" s="101"/>
      <c r="N237" s="112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</row>
    <row r="238" spans="1:29" ht="13">
      <c r="A238" s="115"/>
      <c r="B238" s="97"/>
      <c r="C238" s="115"/>
      <c r="D238" s="115"/>
      <c r="E238" s="115"/>
      <c r="F238" s="115"/>
      <c r="G238" s="99"/>
      <c r="H238" s="98"/>
      <c r="I238" s="100"/>
      <c r="J238" s="100"/>
      <c r="K238" s="100"/>
      <c r="L238" s="101"/>
      <c r="M238" s="101"/>
      <c r="N238" s="112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</row>
    <row r="239" spans="1:29" ht="13">
      <c r="A239" s="115"/>
      <c r="B239" s="97"/>
      <c r="C239" s="115"/>
      <c r="D239" s="115"/>
      <c r="E239" s="115"/>
      <c r="F239" s="115"/>
      <c r="G239" s="99"/>
      <c r="H239" s="98"/>
      <c r="I239" s="100"/>
      <c r="J239" s="100"/>
      <c r="K239" s="100"/>
      <c r="L239" s="101"/>
      <c r="M239" s="101"/>
      <c r="N239" s="112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</row>
    <row r="240" spans="1:29" ht="13">
      <c r="A240" s="115"/>
      <c r="B240" s="97"/>
      <c r="C240" s="115"/>
      <c r="D240" s="115"/>
      <c r="E240" s="115"/>
      <c r="F240" s="115"/>
      <c r="G240" s="99"/>
      <c r="H240" s="98"/>
      <c r="I240" s="100"/>
      <c r="J240" s="100"/>
      <c r="K240" s="100"/>
      <c r="L240" s="101"/>
      <c r="M240" s="101"/>
      <c r="N240" s="112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</row>
    <row r="241" spans="1:29" ht="13">
      <c r="A241" s="115"/>
      <c r="B241" s="97"/>
      <c r="C241" s="115"/>
      <c r="D241" s="115"/>
      <c r="E241" s="115"/>
      <c r="F241" s="115"/>
      <c r="G241" s="99"/>
      <c r="H241" s="98"/>
      <c r="I241" s="100"/>
      <c r="J241" s="100"/>
      <c r="K241" s="100"/>
      <c r="L241" s="101"/>
      <c r="M241" s="101"/>
      <c r="N241" s="112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</row>
    <row r="242" spans="1:29" ht="13">
      <c r="A242" s="115"/>
      <c r="B242" s="97"/>
      <c r="C242" s="115"/>
      <c r="D242" s="115"/>
      <c r="E242" s="115"/>
      <c r="F242" s="115"/>
      <c r="G242" s="99"/>
      <c r="H242" s="98"/>
      <c r="I242" s="100"/>
      <c r="J242" s="100"/>
      <c r="K242" s="100"/>
      <c r="L242" s="101"/>
      <c r="M242" s="101"/>
      <c r="N242" s="112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</row>
    <row r="243" spans="1:29" ht="13">
      <c r="A243" s="115"/>
      <c r="B243" s="97"/>
      <c r="C243" s="115"/>
      <c r="D243" s="115"/>
      <c r="E243" s="115"/>
      <c r="F243" s="115"/>
      <c r="G243" s="99"/>
      <c r="H243" s="98"/>
      <c r="I243" s="100"/>
      <c r="J243" s="100"/>
      <c r="K243" s="100"/>
      <c r="L243" s="101"/>
      <c r="M243" s="101"/>
      <c r="N243" s="112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</row>
    <row r="244" spans="1:29" ht="13">
      <c r="A244" s="115"/>
      <c r="B244" s="97"/>
      <c r="C244" s="115"/>
      <c r="D244" s="115"/>
      <c r="E244" s="115"/>
      <c r="F244" s="115"/>
      <c r="G244" s="99"/>
      <c r="H244" s="98"/>
      <c r="I244" s="100"/>
      <c r="J244" s="100"/>
      <c r="K244" s="100"/>
      <c r="L244" s="101"/>
      <c r="M244" s="101"/>
      <c r="N244" s="112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</row>
    <row r="245" spans="1:29" ht="13">
      <c r="A245" s="115"/>
      <c r="B245" s="97"/>
      <c r="C245" s="115"/>
      <c r="D245" s="115"/>
      <c r="E245" s="115"/>
      <c r="F245" s="115"/>
      <c r="G245" s="99"/>
      <c r="H245" s="98"/>
      <c r="I245" s="100"/>
      <c r="J245" s="100"/>
      <c r="K245" s="100"/>
      <c r="L245" s="101"/>
      <c r="M245" s="101"/>
      <c r="N245" s="112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</row>
    <row r="246" spans="1:29" ht="13">
      <c r="A246" s="115"/>
      <c r="B246" s="97"/>
      <c r="C246" s="115"/>
      <c r="D246" s="115"/>
      <c r="E246" s="115"/>
      <c r="F246" s="115"/>
      <c r="G246" s="99"/>
      <c r="H246" s="98"/>
      <c r="I246" s="100"/>
      <c r="J246" s="100"/>
      <c r="K246" s="100"/>
      <c r="L246" s="101"/>
      <c r="M246" s="101"/>
      <c r="N246" s="112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</row>
    <row r="247" spans="1:29" ht="13">
      <c r="A247" s="115"/>
      <c r="B247" s="97"/>
      <c r="C247" s="115"/>
      <c r="D247" s="115"/>
      <c r="E247" s="115"/>
      <c r="F247" s="115"/>
      <c r="G247" s="99"/>
      <c r="H247" s="98"/>
      <c r="I247" s="100"/>
      <c r="J247" s="100"/>
      <c r="K247" s="100"/>
      <c r="L247" s="101"/>
      <c r="M247" s="101"/>
      <c r="N247" s="112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</row>
    <row r="248" spans="1:29" ht="13">
      <c r="A248" s="115"/>
      <c r="B248" s="97"/>
      <c r="C248" s="115"/>
      <c r="D248" s="115"/>
      <c r="E248" s="115"/>
      <c r="F248" s="115"/>
      <c r="G248" s="99"/>
      <c r="H248" s="98"/>
      <c r="I248" s="100"/>
      <c r="J248" s="100"/>
      <c r="K248" s="100"/>
      <c r="L248" s="101"/>
      <c r="M248" s="101"/>
      <c r="N248" s="112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</row>
    <row r="249" spans="1:29" ht="13">
      <c r="A249" s="115"/>
      <c r="B249" s="97"/>
      <c r="C249" s="115"/>
      <c r="D249" s="115"/>
      <c r="E249" s="115"/>
      <c r="F249" s="115"/>
      <c r="G249" s="99"/>
      <c r="H249" s="98"/>
      <c r="I249" s="100"/>
      <c r="J249" s="100"/>
      <c r="K249" s="100"/>
      <c r="L249" s="101"/>
      <c r="M249" s="101"/>
      <c r="N249" s="112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</row>
    <row r="250" spans="1:29" ht="13">
      <c r="A250" s="115"/>
      <c r="B250" s="97"/>
      <c r="C250" s="115"/>
      <c r="D250" s="115"/>
      <c r="E250" s="115"/>
      <c r="F250" s="115"/>
      <c r="G250" s="99"/>
      <c r="H250" s="98"/>
      <c r="I250" s="100"/>
      <c r="J250" s="100"/>
      <c r="K250" s="100"/>
      <c r="L250" s="101"/>
      <c r="M250" s="101"/>
      <c r="N250" s="112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</row>
    <row r="251" spans="1:29" ht="13">
      <c r="A251" s="115"/>
      <c r="B251" s="97"/>
      <c r="C251" s="115"/>
      <c r="D251" s="115"/>
      <c r="E251" s="115"/>
      <c r="F251" s="115"/>
      <c r="G251" s="99"/>
      <c r="H251" s="98"/>
      <c r="I251" s="100"/>
      <c r="J251" s="100"/>
      <c r="K251" s="100"/>
      <c r="L251" s="101"/>
      <c r="M251" s="101"/>
      <c r="N251" s="112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</row>
    <row r="252" spans="1:29" ht="13">
      <c r="A252" s="115"/>
      <c r="B252" s="97"/>
      <c r="C252" s="115"/>
      <c r="D252" s="115"/>
      <c r="E252" s="115"/>
      <c r="F252" s="115"/>
      <c r="G252" s="99"/>
      <c r="H252" s="98"/>
      <c r="I252" s="100"/>
      <c r="J252" s="100"/>
      <c r="K252" s="100"/>
      <c r="L252" s="101"/>
      <c r="M252" s="101"/>
      <c r="N252" s="112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</row>
    <row r="253" spans="1:29" ht="13">
      <c r="A253" s="115"/>
      <c r="B253" s="97"/>
      <c r="C253" s="115"/>
      <c r="D253" s="115"/>
      <c r="E253" s="115"/>
      <c r="F253" s="115"/>
      <c r="G253" s="99"/>
      <c r="H253" s="98"/>
      <c r="I253" s="100"/>
      <c r="J253" s="100"/>
      <c r="K253" s="100"/>
      <c r="L253" s="101"/>
      <c r="M253" s="101"/>
      <c r="N253" s="112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</row>
    <row r="254" spans="1:29" ht="13">
      <c r="A254" s="115"/>
      <c r="B254" s="97"/>
      <c r="C254" s="115"/>
      <c r="D254" s="115"/>
      <c r="E254" s="115"/>
      <c r="F254" s="115"/>
      <c r="G254" s="99"/>
      <c r="H254" s="98"/>
      <c r="I254" s="100"/>
      <c r="J254" s="100"/>
      <c r="K254" s="100"/>
      <c r="L254" s="101"/>
      <c r="M254" s="101"/>
      <c r="N254" s="112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</row>
    <row r="255" spans="1:29" ht="13">
      <c r="A255" s="115"/>
      <c r="B255" s="97"/>
      <c r="C255" s="115"/>
      <c r="D255" s="115"/>
      <c r="E255" s="115"/>
      <c r="F255" s="115"/>
      <c r="G255" s="99"/>
      <c r="H255" s="98"/>
      <c r="I255" s="100"/>
      <c r="J255" s="100"/>
      <c r="K255" s="100"/>
      <c r="L255" s="101"/>
      <c r="M255" s="101"/>
      <c r="N255" s="112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</row>
    <row r="256" spans="1:29" ht="13">
      <c r="A256" s="115"/>
      <c r="B256" s="97"/>
      <c r="C256" s="115"/>
      <c r="D256" s="115"/>
      <c r="E256" s="115"/>
      <c r="F256" s="115"/>
      <c r="G256" s="99"/>
      <c r="H256" s="98"/>
      <c r="I256" s="100"/>
      <c r="J256" s="100"/>
      <c r="K256" s="100"/>
      <c r="L256" s="101"/>
      <c r="M256" s="101"/>
      <c r="N256" s="112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</row>
    <row r="257" spans="1:29" ht="13">
      <c r="A257" s="115"/>
      <c r="B257" s="97"/>
      <c r="C257" s="115"/>
      <c r="D257" s="115"/>
      <c r="E257" s="115"/>
      <c r="F257" s="115"/>
      <c r="G257" s="99"/>
      <c r="H257" s="98"/>
      <c r="I257" s="100"/>
      <c r="J257" s="100"/>
      <c r="K257" s="100"/>
      <c r="L257" s="101"/>
      <c r="M257" s="101"/>
      <c r="N257" s="112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</row>
    <row r="258" spans="1:29" ht="13">
      <c r="A258" s="115"/>
      <c r="B258" s="97"/>
      <c r="C258" s="115"/>
      <c r="D258" s="115"/>
      <c r="E258" s="115"/>
      <c r="F258" s="115"/>
      <c r="G258" s="99"/>
      <c r="H258" s="98"/>
      <c r="I258" s="100"/>
      <c r="J258" s="100"/>
      <c r="K258" s="100"/>
      <c r="L258" s="101"/>
      <c r="M258" s="101"/>
      <c r="N258" s="112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</row>
    <row r="259" spans="1:29" ht="13">
      <c r="A259" s="115"/>
      <c r="B259" s="97"/>
      <c r="C259" s="115"/>
      <c r="D259" s="115"/>
      <c r="E259" s="115"/>
      <c r="F259" s="115"/>
      <c r="G259" s="99"/>
      <c r="H259" s="98"/>
      <c r="I259" s="100"/>
      <c r="J259" s="100"/>
      <c r="K259" s="100"/>
      <c r="L259" s="101"/>
      <c r="M259" s="101"/>
      <c r="N259" s="112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</row>
    <row r="260" spans="1:29" ht="13">
      <c r="A260" s="115"/>
      <c r="B260" s="97"/>
      <c r="C260" s="115"/>
      <c r="D260" s="115"/>
      <c r="E260" s="115"/>
      <c r="F260" s="115"/>
      <c r="G260" s="99"/>
      <c r="H260" s="98"/>
      <c r="I260" s="100"/>
      <c r="J260" s="100"/>
      <c r="K260" s="100"/>
      <c r="L260" s="101"/>
      <c r="M260" s="101"/>
      <c r="N260" s="112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</row>
    <row r="261" spans="1:29" ht="13">
      <c r="A261" s="115"/>
      <c r="B261" s="97"/>
      <c r="C261" s="115"/>
      <c r="D261" s="115"/>
      <c r="E261" s="115"/>
      <c r="F261" s="115"/>
      <c r="G261" s="99"/>
      <c r="H261" s="98"/>
      <c r="I261" s="100"/>
      <c r="J261" s="100"/>
      <c r="K261" s="100"/>
      <c r="L261" s="101"/>
      <c r="M261" s="101"/>
      <c r="N261" s="112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</row>
    <row r="262" spans="1:29" ht="13">
      <c r="A262" s="115"/>
      <c r="B262" s="97"/>
      <c r="C262" s="115"/>
      <c r="D262" s="115"/>
      <c r="E262" s="115"/>
      <c r="F262" s="115"/>
      <c r="G262" s="99"/>
      <c r="H262" s="98"/>
      <c r="I262" s="100"/>
      <c r="J262" s="100"/>
      <c r="K262" s="100"/>
      <c r="L262" s="101"/>
      <c r="M262" s="101"/>
      <c r="N262" s="112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</row>
    <row r="263" spans="1:29" ht="13">
      <c r="A263" s="115"/>
      <c r="B263" s="97"/>
      <c r="C263" s="115"/>
      <c r="D263" s="115"/>
      <c r="E263" s="115"/>
      <c r="F263" s="115"/>
      <c r="G263" s="99"/>
      <c r="H263" s="98"/>
      <c r="I263" s="100"/>
      <c r="J263" s="100"/>
      <c r="K263" s="100"/>
      <c r="L263" s="101"/>
      <c r="M263" s="101"/>
      <c r="N263" s="112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</row>
    <row r="264" spans="1:29" ht="13">
      <c r="A264" s="115"/>
      <c r="B264" s="97"/>
      <c r="C264" s="115"/>
      <c r="D264" s="115"/>
      <c r="E264" s="115"/>
      <c r="F264" s="115"/>
      <c r="G264" s="99"/>
      <c r="H264" s="98"/>
      <c r="I264" s="100"/>
      <c r="J264" s="100"/>
      <c r="K264" s="100"/>
      <c r="L264" s="101"/>
      <c r="M264" s="101"/>
      <c r="N264" s="112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</row>
    <row r="265" spans="1:29" ht="13">
      <c r="A265" s="115"/>
      <c r="B265" s="97"/>
      <c r="C265" s="115"/>
      <c r="D265" s="115"/>
      <c r="E265" s="115"/>
      <c r="F265" s="115"/>
      <c r="G265" s="99"/>
      <c r="H265" s="98"/>
      <c r="I265" s="100"/>
      <c r="J265" s="100"/>
      <c r="K265" s="100"/>
      <c r="L265" s="101"/>
      <c r="M265" s="101"/>
      <c r="N265" s="112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</row>
    <row r="266" spans="1:29" ht="13">
      <c r="A266" s="115"/>
      <c r="B266" s="97"/>
      <c r="C266" s="115"/>
      <c r="D266" s="115"/>
      <c r="E266" s="115"/>
      <c r="F266" s="115"/>
      <c r="G266" s="99"/>
      <c r="H266" s="98"/>
      <c r="I266" s="100"/>
      <c r="J266" s="100"/>
      <c r="K266" s="100"/>
      <c r="L266" s="101"/>
      <c r="M266" s="101"/>
      <c r="N266" s="112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</row>
    <row r="267" spans="1:29" ht="13">
      <c r="A267" s="115"/>
      <c r="B267" s="97"/>
      <c r="C267" s="115"/>
      <c r="D267" s="115"/>
      <c r="E267" s="115"/>
      <c r="F267" s="115"/>
      <c r="G267" s="99"/>
      <c r="H267" s="98"/>
      <c r="I267" s="100"/>
      <c r="J267" s="100"/>
      <c r="K267" s="100"/>
      <c r="L267" s="101"/>
      <c r="M267" s="101"/>
      <c r="N267" s="112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</row>
    <row r="268" spans="1:29" ht="13">
      <c r="A268" s="115"/>
      <c r="B268" s="97"/>
      <c r="C268" s="115"/>
      <c r="D268" s="115"/>
      <c r="E268" s="115"/>
      <c r="F268" s="115"/>
      <c r="G268" s="99"/>
      <c r="H268" s="98"/>
      <c r="I268" s="100"/>
      <c r="J268" s="100"/>
      <c r="K268" s="100"/>
      <c r="L268" s="101"/>
      <c r="M268" s="101"/>
      <c r="N268" s="112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</row>
    <row r="269" spans="1:29" ht="13">
      <c r="A269" s="115"/>
      <c r="B269" s="97"/>
      <c r="C269" s="115"/>
      <c r="D269" s="115"/>
      <c r="E269" s="115"/>
      <c r="F269" s="115"/>
      <c r="G269" s="99"/>
      <c r="H269" s="98"/>
      <c r="I269" s="100"/>
      <c r="J269" s="100"/>
      <c r="K269" s="100"/>
      <c r="L269" s="101"/>
      <c r="M269" s="101"/>
      <c r="N269" s="112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</row>
    <row r="270" spans="1:29" ht="13">
      <c r="A270" s="115"/>
      <c r="B270" s="97"/>
      <c r="C270" s="115"/>
      <c r="D270" s="115"/>
      <c r="E270" s="115"/>
      <c r="F270" s="115"/>
      <c r="G270" s="99"/>
      <c r="H270" s="98"/>
      <c r="I270" s="100"/>
      <c r="J270" s="100"/>
      <c r="K270" s="100"/>
      <c r="L270" s="101"/>
      <c r="M270" s="101"/>
      <c r="N270" s="112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</row>
    <row r="271" spans="1:29" ht="13">
      <c r="A271" s="115"/>
      <c r="B271" s="97"/>
      <c r="C271" s="115"/>
      <c r="D271" s="115"/>
      <c r="E271" s="115"/>
      <c r="F271" s="115"/>
      <c r="G271" s="99"/>
      <c r="H271" s="98"/>
      <c r="I271" s="100"/>
      <c r="J271" s="100"/>
      <c r="K271" s="100"/>
      <c r="L271" s="101"/>
      <c r="M271" s="101"/>
      <c r="N271" s="112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</row>
    <row r="272" spans="1:29" ht="13">
      <c r="A272" s="115"/>
      <c r="B272" s="97"/>
      <c r="C272" s="115"/>
      <c r="D272" s="115"/>
      <c r="E272" s="115"/>
      <c r="F272" s="115"/>
      <c r="G272" s="99"/>
      <c r="H272" s="98"/>
      <c r="I272" s="100"/>
      <c r="J272" s="100"/>
      <c r="K272" s="100"/>
      <c r="L272" s="101"/>
      <c r="M272" s="101"/>
      <c r="N272" s="112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</row>
    <row r="273" spans="1:29" ht="13">
      <c r="A273" s="115"/>
      <c r="B273" s="97"/>
      <c r="C273" s="115"/>
      <c r="D273" s="115"/>
      <c r="E273" s="115"/>
      <c r="F273" s="115"/>
      <c r="G273" s="99"/>
      <c r="H273" s="98"/>
      <c r="I273" s="100"/>
      <c r="J273" s="100"/>
      <c r="K273" s="100"/>
      <c r="L273" s="101"/>
      <c r="M273" s="101"/>
      <c r="N273" s="112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</row>
    <row r="274" spans="1:29" ht="13">
      <c r="A274" s="115"/>
      <c r="B274" s="97"/>
      <c r="C274" s="115"/>
      <c r="D274" s="115"/>
      <c r="E274" s="115"/>
      <c r="F274" s="115"/>
      <c r="G274" s="99"/>
      <c r="H274" s="98"/>
      <c r="I274" s="100"/>
      <c r="J274" s="100"/>
      <c r="K274" s="100"/>
      <c r="L274" s="101"/>
      <c r="M274" s="101"/>
      <c r="N274" s="112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</row>
    <row r="275" spans="1:29" ht="13">
      <c r="A275" s="115"/>
      <c r="B275" s="97"/>
      <c r="C275" s="115"/>
      <c r="D275" s="115"/>
      <c r="E275" s="115"/>
      <c r="F275" s="115"/>
      <c r="G275" s="99"/>
      <c r="H275" s="98"/>
      <c r="I275" s="100"/>
      <c r="J275" s="100"/>
      <c r="K275" s="100"/>
      <c r="L275" s="101"/>
      <c r="M275" s="101"/>
      <c r="N275" s="112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</row>
    <row r="276" spans="1:29" ht="13">
      <c r="A276" s="115"/>
      <c r="B276" s="97"/>
      <c r="C276" s="115"/>
      <c r="D276" s="115"/>
      <c r="E276" s="115"/>
      <c r="F276" s="115"/>
      <c r="G276" s="99"/>
      <c r="H276" s="98"/>
      <c r="I276" s="100"/>
      <c r="J276" s="100"/>
      <c r="K276" s="100"/>
      <c r="L276" s="101"/>
      <c r="M276" s="101"/>
      <c r="N276" s="112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</row>
    <row r="277" spans="1:29" ht="13">
      <c r="A277" s="115"/>
      <c r="B277" s="97"/>
      <c r="C277" s="115"/>
      <c r="D277" s="115"/>
      <c r="E277" s="115"/>
      <c r="F277" s="115"/>
      <c r="G277" s="99"/>
      <c r="H277" s="98"/>
      <c r="I277" s="100"/>
      <c r="J277" s="100"/>
      <c r="K277" s="100"/>
      <c r="L277" s="101"/>
      <c r="M277" s="101"/>
      <c r="N277" s="112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</row>
    <row r="278" spans="1:29" ht="13">
      <c r="A278" s="115"/>
      <c r="B278" s="97"/>
      <c r="C278" s="115"/>
      <c r="D278" s="115"/>
      <c r="E278" s="115"/>
      <c r="F278" s="115"/>
      <c r="G278" s="99"/>
      <c r="H278" s="98"/>
      <c r="I278" s="100"/>
      <c r="J278" s="100"/>
      <c r="K278" s="100"/>
      <c r="L278" s="101"/>
      <c r="M278" s="101"/>
      <c r="N278" s="112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</row>
    <row r="279" spans="1:29" ht="13">
      <c r="A279" s="115"/>
      <c r="B279" s="97"/>
      <c r="C279" s="115"/>
      <c r="D279" s="115"/>
      <c r="E279" s="115"/>
      <c r="F279" s="115"/>
      <c r="G279" s="99"/>
      <c r="H279" s="98"/>
      <c r="I279" s="100"/>
      <c r="J279" s="100"/>
      <c r="K279" s="100"/>
      <c r="L279" s="101"/>
      <c r="M279" s="101"/>
      <c r="N279" s="112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</row>
    <row r="280" spans="1:29" ht="13">
      <c r="A280" s="115"/>
      <c r="B280" s="97"/>
      <c r="C280" s="115"/>
      <c r="D280" s="115"/>
      <c r="E280" s="115"/>
      <c r="F280" s="115"/>
      <c r="G280" s="99"/>
      <c r="H280" s="98"/>
      <c r="I280" s="100"/>
      <c r="J280" s="100"/>
      <c r="K280" s="100"/>
      <c r="L280" s="101"/>
      <c r="M280" s="101"/>
      <c r="N280" s="112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</row>
    <row r="281" spans="1:29" ht="13">
      <c r="A281" s="115"/>
      <c r="B281" s="97"/>
      <c r="C281" s="115"/>
      <c r="D281" s="115"/>
      <c r="E281" s="115"/>
      <c r="F281" s="115"/>
      <c r="G281" s="99"/>
      <c r="H281" s="98"/>
      <c r="I281" s="100"/>
      <c r="J281" s="100"/>
      <c r="K281" s="100"/>
      <c r="L281" s="101"/>
      <c r="M281" s="101"/>
      <c r="N281" s="112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</row>
    <row r="282" spans="1:29" ht="13">
      <c r="A282" s="115"/>
      <c r="B282" s="97"/>
      <c r="C282" s="115"/>
      <c r="D282" s="115"/>
      <c r="E282" s="115"/>
      <c r="F282" s="115"/>
      <c r="G282" s="99"/>
      <c r="H282" s="98"/>
      <c r="I282" s="100"/>
      <c r="J282" s="100"/>
      <c r="K282" s="100"/>
      <c r="L282" s="101"/>
      <c r="M282" s="101"/>
      <c r="N282" s="112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</row>
    <row r="283" spans="1:29" ht="13">
      <c r="A283" s="115"/>
      <c r="B283" s="97"/>
      <c r="C283" s="115"/>
      <c r="D283" s="115"/>
      <c r="E283" s="115"/>
      <c r="F283" s="115"/>
      <c r="G283" s="99"/>
      <c r="H283" s="98"/>
      <c r="I283" s="100"/>
      <c r="J283" s="100"/>
      <c r="K283" s="100"/>
      <c r="L283" s="101"/>
      <c r="M283" s="101"/>
      <c r="N283" s="112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</row>
    <row r="284" spans="1:29" ht="13">
      <c r="A284" s="115"/>
      <c r="B284" s="97"/>
      <c r="C284" s="115"/>
      <c r="D284" s="115"/>
      <c r="E284" s="115"/>
      <c r="F284" s="115"/>
      <c r="G284" s="99"/>
      <c r="H284" s="98"/>
      <c r="I284" s="100"/>
      <c r="J284" s="100"/>
      <c r="K284" s="100"/>
      <c r="L284" s="101"/>
      <c r="M284" s="101"/>
      <c r="N284" s="112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</row>
    <row r="285" spans="1:29" ht="13">
      <c r="A285" s="115"/>
      <c r="B285" s="97"/>
      <c r="C285" s="115"/>
      <c r="D285" s="115"/>
      <c r="E285" s="115"/>
      <c r="F285" s="115"/>
      <c r="G285" s="99"/>
      <c r="H285" s="98"/>
      <c r="I285" s="100"/>
      <c r="J285" s="100"/>
      <c r="K285" s="100"/>
      <c r="L285" s="101"/>
      <c r="M285" s="101"/>
      <c r="N285" s="112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</row>
    <row r="286" spans="1:29" ht="13">
      <c r="A286" s="115"/>
      <c r="B286" s="97"/>
      <c r="C286" s="115"/>
      <c r="D286" s="115"/>
      <c r="E286" s="115"/>
      <c r="F286" s="115"/>
      <c r="G286" s="99"/>
      <c r="H286" s="98"/>
      <c r="I286" s="100"/>
      <c r="J286" s="100"/>
      <c r="K286" s="100"/>
      <c r="L286" s="101"/>
      <c r="M286" s="101"/>
      <c r="N286" s="112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</row>
    <row r="287" spans="1:29" ht="13">
      <c r="A287" s="115"/>
      <c r="B287" s="97"/>
      <c r="C287" s="115"/>
      <c r="D287" s="115"/>
      <c r="E287" s="115"/>
      <c r="F287" s="115"/>
      <c r="G287" s="99"/>
      <c r="H287" s="98"/>
      <c r="I287" s="100"/>
      <c r="J287" s="100"/>
      <c r="K287" s="100"/>
      <c r="L287" s="101"/>
      <c r="M287" s="101"/>
      <c r="N287" s="112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</row>
    <row r="288" spans="1:29" ht="13">
      <c r="A288" s="115"/>
      <c r="B288" s="97"/>
      <c r="C288" s="115"/>
      <c r="D288" s="115"/>
      <c r="E288" s="115"/>
      <c r="F288" s="115"/>
      <c r="G288" s="99"/>
      <c r="H288" s="98"/>
      <c r="I288" s="100"/>
      <c r="J288" s="100"/>
      <c r="K288" s="100"/>
      <c r="L288" s="101"/>
      <c r="M288" s="101"/>
      <c r="N288" s="112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</row>
    <row r="289" spans="1:29" ht="13">
      <c r="A289" s="115"/>
      <c r="B289" s="97"/>
      <c r="C289" s="115"/>
      <c r="D289" s="115"/>
      <c r="E289" s="115"/>
      <c r="F289" s="115"/>
      <c r="G289" s="99"/>
      <c r="H289" s="98"/>
      <c r="I289" s="100"/>
      <c r="J289" s="100"/>
      <c r="K289" s="100"/>
      <c r="L289" s="101"/>
      <c r="M289" s="101"/>
      <c r="N289" s="112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</row>
    <row r="290" spans="1:29" ht="13">
      <c r="A290" s="115"/>
      <c r="B290" s="97"/>
      <c r="C290" s="115"/>
      <c r="D290" s="115"/>
      <c r="E290" s="115"/>
      <c r="F290" s="115"/>
      <c r="G290" s="99"/>
      <c r="H290" s="98"/>
      <c r="I290" s="100"/>
      <c r="J290" s="100"/>
      <c r="K290" s="100"/>
      <c r="L290" s="101"/>
      <c r="M290" s="101"/>
      <c r="N290" s="112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</row>
    <row r="291" spans="1:29" ht="13">
      <c r="A291" s="115"/>
      <c r="B291" s="97"/>
      <c r="C291" s="115"/>
      <c r="D291" s="115"/>
      <c r="E291" s="115"/>
      <c r="F291" s="115"/>
      <c r="G291" s="99"/>
      <c r="H291" s="98"/>
      <c r="I291" s="100"/>
      <c r="J291" s="100"/>
      <c r="K291" s="100"/>
      <c r="L291" s="101"/>
      <c r="M291" s="101"/>
      <c r="N291" s="112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</row>
    <row r="292" spans="1:29" ht="13">
      <c r="A292" s="115"/>
      <c r="B292" s="97"/>
      <c r="C292" s="115"/>
      <c r="D292" s="115"/>
      <c r="E292" s="115"/>
      <c r="F292" s="115"/>
      <c r="G292" s="99"/>
      <c r="H292" s="98"/>
      <c r="I292" s="100"/>
      <c r="J292" s="100"/>
      <c r="K292" s="100"/>
      <c r="L292" s="101"/>
      <c r="M292" s="101"/>
      <c r="N292" s="112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</row>
    <row r="293" spans="1:29" ht="13">
      <c r="A293" s="115"/>
      <c r="B293" s="97"/>
      <c r="C293" s="115"/>
      <c r="D293" s="115"/>
      <c r="E293" s="115"/>
      <c r="F293" s="115"/>
      <c r="G293" s="99"/>
      <c r="H293" s="98"/>
      <c r="I293" s="100"/>
      <c r="J293" s="100"/>
      <c r="K293" s="100"/>
      <c r="L293" s="101"/>
      <c r="M293" s="101"/>
      <c r="N293" s="112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</row>
    <row r="294" spans="1:29" ht="13">
      <c r="A294" s="115"/>
      <c r="B294" s="97"/>
      <c r="C294" s="115"/>
      <c r="D294" s="115"/>
      <c r="E294" s="115"/>
      <c r="F294" s="115"/>
      <c r="G294" s="99"/>
      <c r="H294" s="98"/>
      <c r="I294" s="100"/>
      <c r="J294" s="100"/>
      <c r="K294" s="100"/>
      <c r="L294" s="101"/>
      <c r="M294" s="101"/>
      <c r="N294" s="112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</row>
    <row r="295" spans="1:29" ht="13">
      <c r="A295" s="115"/>
      <c r="B295" s="97"/>
      <c r="C295" s="115"/>
      <c r="D295" s="115"/>
      <c r="E295" s="115"/>
      <c r="F295" s="115"/>
      <c r="G295" s="99"/>
      <c r="H295" s="98"/>
      <c r="I295" s="100"/>
      <c r="J295" s="100"/>
      <c r="K295" s="100"/>
      <c r="L295" s="101"/>
      <c r="M295" s="101"/>
      <c r="N295" s="112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</row>
    <row r="296" spans="1:29" ht="13">
      <c r="A296" s="115"/>
      <c r="B296" s="97"/>
      <c r="C296" s="115"/>
      <c r="D296" s="115"/>
      <c r="E296" s="115"/>
      <c r="F296" s="115"/>
      <c r="G296" s="99"/>
      <c r="H296" s="98"/>
      <c r="I296" s="100"/>
      <c r="J296" s="100"/>
      <c r="K296" s="100"/>
      <c r="L296" s="101"/>
      <c r="M296" s="101"/>
      <c r="N296" s="112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</row>
    <row r="297" spans="1:29" ht="13">
      <c r="A297" s="115"/>
      <c r="B297" s="97"/>
      <c r="C297" s="115"/>
      <c r="D297" s="115"/>
      <c r="E297" s="115"/>
      <c r="F297" s="115"/>
      <c r="G297" s="99"/>
      <c r="H297" s="98"/>
      <c r="I297" s="100"/>
      <c r="J297" s="100"/>
      <c r="K297" s="100"/>
      <c r="L297" s="101"/>
      <c r="M297" s="101"/>
      <c r="N297" s="112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</row>
    <row r="298" spans="1:29" ht="13">
      <c r="A298" s="115"/>
      <c r="B298" s="97"/>
      <c r="C298" s="115"/>
      <c r="D298" s="115"/>
      <c r="E298" s="115"/>
      <c r="F298" s="115"/>
      <c r="G298" s="99"/>
      <c r="H298" s="98"/>
      <c r="I298" s="100"/>
      <c r="J298" s="100"/>
      <c r="K298" s="100"/>
      <c r="L298" s="101"/>
      <c r="M298" s="101"/>
      <c r="N298" s="112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</row>
    <row r="299" spans="1:29" ht="13">
      <c r="A299" s="115"/>
      <c r="B299" s="97"/>
      <c r="C299" s="115"/>
      <c r="D299" s="115"/>
      <c r="E299" s="115"/>
      <c r="F299" s="115"/>
      <c r="G299" s="99"/>
      <c r="H299" s="98"/>
      <c r="I299" s="100"/>
      <c r="J299" s="100"/>
      <c r="K299" s="100"/>
      <c r="L299" s="101"/>
      <c r="M299" s="101"/>
      <c r="N299" s="112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</row>
    <row r="300" spans="1:29" ht="13">
      <c r="A300" s="115"/>
      <c r="B300" s="97"/>
      <c r="C300" s="115"/>
      <c r="D300" s="115"/>
      <c r="E300" s="115"/>
      <c r="F300" s="115"/>
      <c r="G300" s="99"/>
      <c r="H300" s="98"/>
      <c r="I300" s="100"/>
      <c r="J300" s="100"/>
      <c r="K300" s="100"/>
      <c r="L300" s="101"/>
      <c r="M300" s="101"/>
      <c r="N300" s="112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</row>
    <row r="301" spans="1:29" ht="13">
      <c r="A301" s="115"/>
      <c r="B301" s="97"/>
      <c r="C301" s="115"/>
      <c r="D301" s="115"/>
      <c r="E301" s="115"/>
      <c r="F301" s="115"/>
      <c r="G301" s="99"/>
      <c r="H301" s="98"/>
      <c r="I301" s="100"/>
      <c r="J301" s="100"/>
      <c r="K301" s="100"/>
      <c r="L301" s="101"/>
      <c r="M301" s="101"/>
      <c r="N301" s="112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</row>
    <row r="302" spans="1:29" ht="13">
      <c r="A302" s="115"/>
      <c r="B302" s="97"/>
      <c r="C302" s="115"/>
      <c r="D302" s="115"/>
      <c r="E302" s="115"/>
      <c r="F302" s="115"/>
      <c r="G302" s="99"/>
      <c r="H302" s="98"/>
      <c r="I302" s="100"/>
      <c r="J302" s="100"/>
      <c r="K302" s="100"/>
      <c r="L302" s="101"/>
      <c r="M302" s="101"/>
      <c r="N302" s="112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</row>
    <row r="303" spans="1:29" ht="13">
      <c r="A303" s="115"/>
      <c r="B303" s="97"/>
      <c r="C303" s="115"/>
      <c r="D303" s="115"/>
      <c r="E303" s="115"/>
      <c r="F303" s="115"/>
      <c r="G303" s="99"/>
      <c r="H303" s="98"/>
      <c r="I303" s="100"/>
      <c r="J303" s="100"/>
      <c r="K303" s="100"/>
      <c r="L303" s="101"/>
      <c r="M303" s="101"/>
      <c r="N303" s="112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</row>
    <row r="304" spans="1:29" ht="13">
      <c r="A304" s="115"/>
      <c r="B304" s="97"/>
      <c r="C304" s="115"/>
      <c r="D304" s="115"/>
      <c r="E304" s="115"/>
      <c r="F304" s="115"/>
      <c r="G304" s="99"/>
      <c r="H304" s="98"/>
      <c r="I304" s="100"/>
      <c r="J304" s="100"/>
      <c r="K304" s="100"/>
      <c r="L304" s="101"/>
      <c r="M304" s="101"/>
      <c r="N304" s="112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</row>
    <row r="305" spans="1:29" ht="13">
      <c r="A305" s="115"/>
      <c r="B305" s="97"/>
      <c r="C305" s="115"/>
      <c r="D305" s="115"/>
      <c r="E305" s="115"/>
      <c r="F305" s="115"/>
      <c r="G305" s="99"/>
      <c r="H305" s="98"/>
      <c r="I305" s="100"/>
      <c r="J305" s="100"/>
      <c r="K305" s="100"/>
      <c r="L305" s="101"/>
      <c r="M305" s="101"/>
      <c r="N305" s="112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</row>
    <row r="306" spans="1:29" ht="13">
      <c r="A306" s="115"/>
      <c r="B306" s="97"/>
      <c r="C306" s="115"/>
      <c r="D306" s="115"/>
      <c r="E306" s="115"/>
      <c r="F306" s="115"/>
      <c r="G306" s="99"/>
      <c r="H306" s="98"/>
      <c r="I306" s="100"/>
      <c r="J306" s="100"/>
      <c r="K306" s="100"/>
      <c r="L306" s="101"/>
      <c r="M306" s="101"/>
      <c r="N306" s="112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</row>
    <row r="307" spans="1:29" ht="13">
      <c r="A307" s="115"/>
      <c r="B307" s="97"/>
      <c r="C307" s="115"/>
      <c r="D307" s="115"/>
      <c r="E307" s="115"/>
      <c r="F307" s="115"/>
      <c r="G307" s="99"/>
      <c r="H307" s="98"/>
      <c r="I307" s="100"/>
      <c r="J307" s="100"/>
      <c r="K307" s="100"/>
      <c r="L307" s="101"/>
      <c r="M307" s="101"/>
      <c r="N307" s="112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</row>
    <row r="308" spans="1:29" ht="13">
      <c r="A308" s="115"/>
      <c r="B308" s="97"/>
      <c r="C308" s="115"/>
      <c r="D308" s="115"/>
      <c r="E308" s="115"/>
      <c r="F308" s="115"/>
      <c r="G308" s="99"/>
      <c r="H308" s="98"/>
      <c r="I308" s="100"/>
      <c r="J308" s="100"/>
      <c r="K308" s="100"/>
      <c r="L308" s="101"/>
      <c r="M308" s="101"/>
      <c r="N308" s="112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</row>
    <row r="309" spans="1:29" ht="13">
      <c r="A309" s="115"/>
      <c r="B309" s="97"/>
      <c r="C309" s="115"/>
      <c r="D309" s="115"/>
      <c r="E309" s="115"/>
      <c r="F309" s="115"/>
      <c r="G309" s="99"/>
      <c r="H309" s="98"/>
      <c r="I309" s="100"/>
      <c r="J309" s="100"/>
      <c r="K309" s="100"/>
      <c r="L309" s="101"/>
      <c r="M309" s="101"/>
      <c r="N309" s="112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</row>
    <row r="310" spans="1:29" ht="13">
      <c r="A310" s="115"/>
      <c r="B310" s="97"/>
      <c r="C310" s="115"/>
      <c r="D310" s="115"/>
      <c r="E310" s="115"/>
      <c r="F310" s="115"/>
      <c r="G310" s="99"/>
      <c r="H310" s="98"/>
      <c r="I310" s="100"/>
      <c r="J310" s="100"/>
      <c r="K310" s="100"/>
      <c r="L310" s="101"/>
      <c r="M310" s="101"/>
      <c r="N310" s="112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</row>
    <row r="311" spans="1:29" ht="13">
      <c r="A311" s="115"/>
      <c r="B311" s="97"/>
      <c r="C311" s="115"/>
      <c r="D311" s="115"/>
      <c r="E311" s="115"/>
      <c r="F311" s="115"/>
      <c r="G311" s="99"/>
      <c r="H311" s="98"/>
      <c r="I311" s="100"/>
      <c r="J311" s="100"/>
      <c r="K311" s="100"/>
      <c r="L311" s="101"/>
      <c r="M311" s="101"/>
      <c r="N311" s="112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</row>
    <row r="312" spans="1:29" ht="13">
      <c r="A312" s="115"/>
      <c r="B312" s="97"/>
      <c r="C312" s="115"/>
      <c r="D312" s="115"/>
      <c r="E312" s="115"/>
      <c r="F312" s="115"/>
      <c r="G312" s="99"/>
      <c r="H312" s="98"/>
      <c r="I312" s="100"/>
      <c r="J312" s="100"/>
      <c r="K312" s="100"/>
      <c r="L312" s="101"/>
      <c r="M312" s="101"/>
      <c r="N312" s="112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</row>
    <row r="313" spans="1:29" ht="13">
      <c r="A313" s="115"/>
      <c r="B313" s="97"/>
      <c r="C313" s="115"/>
      <c r="D313" s="115"/>
      <c r="E313" s="115"/>
      <c r="F313" s="115"/>
      <c r="G313" s="99"/>
      <c r="H313" s="98"/>
      <c r="I313" s="100"/>
      <c r="J313" s="100"/>
      <c r="K313" s="100"/>
      <c r="L313" s="101"/>
      <c r="M313" s="101"/>
      <c r="N313" s="112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</row>
    <row r="314" spans="1:29" ht="13">
      <c r="A314" s="115"/>
      <c r="B314" s="97"/>
      <c r="C314" s="115"/>
      <c r="D314" s="115"/>
      <c r="E314" s="115"/>
      <c r="F314" s="115"/>
      <c r="G314" s="99"/>
      <c r="H314" s="98"/>
      <c r="I314" s="100"/>
      <c r="J314" s="100"/>
      <c r="K314" s="100"/>
      <c r="L314" s="101"/>
      <c r="M314" s="101"/>
      <c r="N314" s="112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</row>
    <row r="315" spans="1:29" ht="13">
      <c r="A315" s="115"/>
      <c r="B315" s="97"/>
      <c r="C315" s="115"/>
      <c r="D315" s="115"/>
      <c r="E315" s="115"/>
      <c r="F315" s="115"/>
      <c r="G315" s="99"/>
      <c r="H315" s="98"/>
      <c r="I315" s="100"/>
      <c r="J315" s="100"/>
      <c r="K315" s="100"/>
      <c r="L315" s="101"/>
      <c r="M315" s="101"/>
      <c r="N315" s="112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</row>
    <row r="316" spans="1:29" ht="13">
      <c r="A316" s="115"/>
      <c r="B316" s="97"/>
      <c r="C316" s="115"/>
      <c r="D316" s="115"/>
      <c r="E316" s="115"/>
      <c r="F316" s="115"/>
      <c r="G316" s="99"/>
      <c r="H316" s="98"/>
      <c r="I316" s="100"/>
      <c r="J316" s="100"/>
      <c r="K316" s="100"/>
      <c r="L316" s="101"/>
      <c r="M316" s="101"/>
      <c r="N316" s="112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</row>
    <row r="317" spans="1:29" ht="13">
      <c r="A317" s="115"/>
      <c r="B317" s="97"/>
      <c r="C317" s="115"/>
      <c r="D317" s="115"/>
      <c r="E317" s="115"/>
      <c r="F317" s="115"/>
      <c r="G317" s="99"/>
      <c r="H317" s="98"/>
      <c r="I317" s="100"/>
      <c r="J317" s="100"/>
      <c r="K317" s="100"/>
      <c r="L317" s="101"/>
      <c r="M317" s="101"/>
      <c r="N317" s="112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</row>
    <row r="318" spans="1:29" ht="13">
      <c r="A318" s="115"/>
      <c r="B318" s="97"/>
      <c r="C318" s="115"/>
      <c r="D318" s="115"/>
      <c r="E318" s="115"/>
      <c r="F318" s="115"/>
      <c r="G318" s="99"/>
      <c r="H318" s="98"/>
      <c r="I318" s="100"/>
      <c r="J318" s="100"/>
      <c r="K318" s="100"/>
      <c r="L318" s="101"/>
      <c r="M318" s="101"/>
      <c r="N318" s="112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</row>
    <row r="319" spans="1:29" ht="13">
      <c r="A319" s="115"/>
      <c r="B319" s="97"/>
      <c r="C319" s="115"/>
      <c r="D319" s="115"/>
      <c r="E319" s="115"/>
      <c r="F319" s="115"/>
      <c r="G319" s="99"/>
      <c r="H319" s="98"/>
      <c r="I319" s="100"/>
      <c r="J319" s="100"/>
      <c r="K319" s="100"/>
      <c r="L319" s="101"/>
      <c r="M319" s="101"/>
      <c r="N319" s="112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</row>
    <row r="320" spans="1:29" ht="13">
      <c r="A320" s="115"/>
      <c r="B320" s="97"/>
      <c r="C320" s="115"/>
      <c r="D320" s="115"/>
      <c r="E320" s="115"/>
      <c r="F320" s="115"/>
      <c r="G320" s="99"/>
      <c r="H320" s="98"/>
      <c r="I320" s="100"/>
      <c r="J320" s="100"/>
      <c r="K320" s="100"/>
      <c r="L320" s="101"/>
      <c r="M320" s="101"/>
      <c r="N320" s="112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</row>
    <row r="321" spans="1:29" ht="13">
      <c r="A321" s="115"/>
      <c r="B321" s="97"/>
      <c r="C321" s="115"/>
      <c r="D321" s="115"/>
      <c r="E321" s="115"/>
      <c r="F321" s="115"/>
      <c r="G321" s="99"/>
      <c r="H321" s="98"/>
      <c r="I321" s="100"/>
      <c r="J321" s="100"/>
      <c r="K321" s="100"/>
      <c r="L321" s="101"/>
      <c r="M321" s="101"/>
      <c r="N321" s="112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</row>
    <row r="322" spans="1:29" ht="13">
      <c r="A322" s="115"/>
      <c r="B322" s="97"/>
      <c r="C322" s="115"/>
      <c r="D322" s="115"/>
      <c r="E322" s="115"/>
      <c r="F322" s="115"/>
      <c r="G322" s="99"/>
      <c r="H322" s="98"/>
      <c r="I322" s="100"/>
      <c r="J322" s="100"/>
      <c r="K322" s="100"/>
      <c r="L322" s="101"/>
      <c r="M322" s="101"/>
      <c r="N322" s="112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</row>
    <row r="323" spans="1:29" ht="13">
      <c r="A323" s="115"/>
      <c r="B323" s="97"/>
      <c r="C323" s="115"/>
      <c r="D323" s="115"/>
      <c r="E323" s="115"/>
      <c r="F323" s="115"/>
      <c r="G323" s="99"/>
      <c r="H323" s="98"/>
      <c r="I323" s="100"/>
      <c r="J323" s="100"/>
      <c r="K323" s="100"/>
      <c r="L323" s="101"/>
      <c r="M323" s="101"/>
      <c r="N323" s="112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</row>
    <row r="324" spans="1:29" ht="13">
      <c r="A324" s="115"/>
      <c r="B324" s="97"/>
      <c r="C324" s="115"/>
      <c r="D324" s="115"/>
      <c r="E324" s="115"/>
      <c r="F324" s="115"/>
      <c r="G324" s="99"/>
      <c r="H324" s="98"/>
      <c r="I324" s="100"/>
      <c r="J324" s="100"/>
      <c r="K324" s="100"/>
      <c r="L324" s="101"/>
      <c r="M324" s="101"/>
      <c r="N324" s="112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</row>
    <row r="325" spans="1:29" ht="13">
      <c r="A325" s="115"/>
      <c r="B325" s="97"/>
      <c r="C325" s="115"/>
      <c r="D325" s="115"/>
      <c r="E325" s="115"/>
      <c r="F325" s="115"/>
      <c r="G325" s="99"/>
      <c r="H325" s="98"/>
      <c r="I325" s="100"/>
      <c r="J325" s="100"/>
      <c r="K325" s="100"/>
      <c r="L325" s="101"/>
      <c r="M325" s="101"/>
      <c r="N325" s="112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</row>
    <row r="326" spans="1:29" ht="13">
      <c r="A326" s="115"/>
      <c r="B326" s="97"/>
      <c r="C326" s="115"/>
      <c r="D326" s="115"/>
      <c r="E326" s="115"/>
      <c r="F326" s="115"/>
      <c r="G326" s="99"/>
      <c r="H326" s="98"/>
      <c r="I326" s="100"/>
      <c r="J326" s="100"/>
      <c r="K326" s="100"/>
      <c r="L326" s="101"/>
      <c r="M326" s="101"/>
      <c r="N326" s="112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</row>
    <row r="327" spans="1:29" ht="13">
      <c r="A327" s="115"/>
      <c r="B327" s="97"/>
      <c r="C327" s="115"/>
      <c r="D327" s="115"/>
      <c r="E327" s="115"/>
      <c r="F327" s="115"/>
      <c r="G327" s="99"/>
      <c r="H327" s="98"/>
      <c r="I327" s="100"/>
      <c r="J327" s="100"/>
      <c r="K327" s="100"/>
      <c r="L327" s="101"/>
      <c r="M327" s="101"/>
      <c r="N327" s="112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</row>
    <row r="328" spans="1:29" ht="13">
      <c r="A328" s="115"/>
      <c r="B328" s="97"/>
      <c r="C328" s="115"/>
      <c r="D328" s="115"/>
      <c r="E328" s="115"/>
      <c r="F328" s="115"/>
      <c r="G328" s="99"/>
      <c r="H328" s="98"/>
      <c r="I328" s="100"/>
      <c r="J328" s="100"/>
      <c r="K328" s="100"/>
      <c r="L328" s="101"/>
      <c r="M328" s="101"/>
      <c r="N328" s="112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</row>
    <row r="329" spans="1:29" ht="13">
      <c r="A329" s="115"/>
      <c r="B329" s="97"/>
      <c r="C329" s="115"/>
      <c r="D329" s="115"/>
      <c r="E329" s="115"/>
      <c r="F329" s="115"/>
      <c r="G329" s="99"/>
      <c r="H329" s="98"/>
      <c r="I329" s="100"/>
      <c r="J329" s="100"/>
      <c r="K329" s="100"/>
      <c r="L329" s="101"/>
      <c r="M329" s="101"/>
      <c r="N329" s="112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</row>
    <row r="330" spans="1:29" ht="13">
      <c r="A330" s="115"/>
      <c r="B330" s="97"/>
      <c r="C330" s="115"/>
      <c r="D330" s="115"/>
      <c r="E330" s="115"/>
      <c r="F330" s="115"/>
      <c r="G330" s="99"/>
      <c r="H330" s="98"/>
      <c r="I330" s="100"/>
      <c r="J330" s="100"/>
      <c r="K330" s="100"/>
      <c r="L330" s="101"/>
      <c r="M330" s="101"/>
      <c r="N330" s="112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</row>
    <row r="331" spans="1:29" ht="13">
      <c r="A331" s="115"/>
      <c r="B331" s="97"/>
      <c r="C331" s="115"/>
      <c r="D331" s="115"/>
      <c r="E331" s="115"/>
      <c r="F331" s="115"/>
      <c r="G331" s="99"/>
      <c r="H331" s="98"/>
      <c r="I331" s="100"/>
      <c r="J331" s="100"/>
      <c r="K331" s="100"/>
      <c r="L331" s="101"/>
      <c r="M331" s="101"/>
      <c r="N331" s="112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</row>
    <row r="332" spans="1:29" ht="13">
      <c r="A332" s="115"/>
      <c r="B332" s="97"/>
      <c r="C332" s="115"/>
      <c r="D332" s="115"/>
      <c r="E332" s="115"/>
      <c r="F332" s="115"/>
      <c r="G332" s="99"/>
      <c r="H332" s="98"/>
      <c r="I332" s="100"/>
      <c r="J332" s="100"/>
      <c r="K332" s="100"/>
      <c r="L332" s="101"/>
      <c r="M332" s="101"/>
      <c r="N332" s="112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</row>
    <row r="333" spans="1:29" ht="13">
      <c r="A333" s="115"/>
      <c r="B333" s="97"/>
      <c r="C333" s="115"/>
      <c r="D333" s="115"/>
      <c r="E333" s="115"/>
      <c r="F333" s="115"/>
      <c r="G333" s="99"/>
      <c r="H333" s="98"/>
      <c r="I333" s="100"/>
      <c r="J333" s="100"/>
      <c r="K333" s="100"/>
      <c r="L333" s="101"/>
      <c r="M333" s="101"/>
      <c r="N333" s="112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</row>
    <row r="334" spans="1:29" ht="13">
      <c r="A334" s="115"/>
      <c r="B334" s="97"/>
      <c r="C334" s="115"/>
      <c r="D334" s="115"/>
      <c r="E334" s="115"/>
      <c r="F334" s="115"/>
      <c r="G334" s="99"/>
      <c r="H334" s="98"/>
      <c r="I334" s="100"/>
      <c r="J334" s="100"/>
      <c r="K334" s="100"/>
      <c r="L334" s="101"/>
      <c r="M334" s="101"/>
      <c r="N334" s="112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</row>
    <row r="335" spans="1:29" ht="13">
      <c r="A335" s="115"/>
      <c r="B335" s="97"/>
      <c r="C335" s="115"/>
      <c r="D335" s="115"/>
      <c r="E335" s="115"/>
      <c r="F335" s="115"/>
      <c r="G335" s="99"/>
      <c r="H335" s="98"/>
      <c r="I335" s="100"/>
      <c r="J335" s="100"/>
      <c r="K335" s="100"/>
      <c r="L335" s="101"/>
      <c r="M335" s="101"/>
      <c r="N335" s="112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</row>
    <row r="336" spans="1:29" ht="13">
      <c r="A336" s="115"/>
      <c r="B336" s="97"/>
      <c r="C336" s="115"/>
      <c r="D336" s="115"/>
      <c r="E336" s="115"/>
      <c r="F336" s="115"/>
      <c r="G336" s="99"/>
      <c r="H336" s="98"/>
      <c r="I336" s="100"/>
      <c r="J336" s="100"/>
      <c r="K336" s="100"/>
      <c r="L336" s="101"/>
      <c r="M336" s="101"/>
      <c r="N336" s="112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</row>
    <row r="337" spans="1:29" ht="13">
      <c r="A337" s="115"/>
      <c r="B337" s="97"/>
      <c r="C337" s="115"/>
      <c r="D337" s="115"/>
      <c r="E337" s="115"/>
      <c r="F337" s="115"/>
      <c r="G337" s="99"/>
      <c r="H337" s="98"/>
      <c r="I337" s="100"/>
      <c r="J337" s="100"/>
      <c r="K337" s="100"/>
      <c r="L337" s="101"/>
      <c r="M337" s="101"/>
      <c r="N337" s="112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</row>
    <row r="338" spans="1:29" ht="13">
      <c r="A338" s="115"/>
      <c r="B338" s="97"/>
      <c r="C338" s="115"/>
      <c r="D338" s="115"/>
      <c r="E338" s="115"/>
      <c r="F338" s="115"/>
      <c r="G338" s="99"/>
      <c r="H338" s="98"/>
      <c r="I338" s="100"/>
      <c r="J338" s="100"/>
      <c r="K338" s="100"/>
      <c r="L338" s="101"/>
      <c r="M338" s="101"/>
      <c r="N338" s="112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</row>
    <row r="339" spans="1:29" ht="13">
      <c r="A339" s="115"/>
      <c r="B339" s="97"/>
      <c r="C339" s="115"/>
      <c r="D339" s="115"/>
      <c r="E339" s="115"/>
      <c r="F339" s="115"/>
      <c r="G339" s="99"/>
      <c r="H339" s="98"/>
      <c r="I339" s="100"/>
      <c r="J339" s="100"/>
      <c r="K339" s="100"/>
      <c r="L339" s="101"/>
      <c r="M339" s="101"/>
      <c r="N339" s="112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</row>
    <row r="340" spans="1:29" ht="13">
      <c r="A340" s="115"/>
      <c r="B340" s="97"/>
      <c r="C340" s="115"/>
      <c r="D340" s="115"/>
      <c r="E340" s="115"/>
      <c r="F340" s="115"/>
      <c r="G340" s="99"/>
      <c r="H340" s="98"/>
      <c r="I340" s="100"/>
      <c r="J340" s="100"/>
      <c r="K340" s="100"/>
      <c r="L340" s="101"/>
      <c r="M340" s="101"/>
      <c r="N340" s="112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</row>
    <row r="341" spans="1:29" ht="13">
      <c r="A341" s="115"/>
      <c r="B341" s="97"/>
      <c r="C341" s="115"/>
      <c r="D341" s="115"/>
      <c r="E341" s="115"/>
      <c r="F341" s="115"/>
      <c r="G341" s="99"/>
      <c r="H341" s="98"/>
      <c r="I341" s="100"/>
      <c r="J341" s="100"/>
      <c r="K341" s="100"/>
      <c r="L341" s="101"/>
      <c r="M341" s="101"/>
      <c r="N341" s="112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</row>
    <row r="342" spans="1:29" ht="13">
      <c r="A342" s="115"/>
      <c r="B342" s="97"/>
      <c r="C342" s="115"/>
      <c r="D342" s="115"/>
      <c r="E342" s="115"/>
      <c r="F342" s="115"/>
      <c r="G342" s="99"/>
      <c r="H342" s="98"/>
      <c r="I342" s="100"/>
      <c r="J342" s="100"/>
      <c r="K342" s="100"/>
      <c r="L342" s="101"/>
      <c r="M342" s="101"/>
      <c r="N342" s="112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</row>
    <row r="343" spans="1:29" ht="13">
      <c r="A343" s="115"/>
      <c r="B343" s="97"/>
      <c r="C343" s="115"/>
      <c r="D343" s="115"/>
      <c r="E343" s="115"/>
      <c r="F343" s="115"/>
      <c r="G343" s="99"/>
      <c r="H343" s="98"/>
      <c r="I343" s="100"/>
      <c r="J343" s="100"/>
      <c r="K343" s="100"/>
      <c r="L343" s="101"/>
      <c r="M343" s="101"/>
      <c r="N343" s="112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</row>
    <row r="344" spans="1:29" ht="13">
      <c r="A344" s="115"/>
      <c r="B344" s="97"/>
      <c r="C344" s="115"/>
      <c r="D344" s="115"/>
      <c r="E344" s="115"/>
      <c r="F344" s="115"/>
      <c r="G344" s="99"/>
      <c r="H344" s="98"/>
      <c r="I344" s="100"/>
      <c r="J344" s="100"/>
      <c r="K344" s="100"/>
      <c r="L344" s="101"/>
      <c r="M344" s="101"/>
      <c r="N344" s="112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</row>
    <row r="345" spans="1:29" ht="13">
      <c r="A345" s="115"/>
      <c r="B345" s="97"/>
      <c r="C345" s="115"/>
      <c r="D345" s="115"/>
      <c r="E345" s="115"/>
      <c r="F345" s="115"/>
      <c r="G345" s="99"/>
      <c r="H345" s="98"/>
      <c r="I345" s="100"/>
      <c r="J345" s="100"/>
      <c r="K345" s="100"/>
      <c r="L345" s="101"/>
      <c r="M345" s="101"/>
      <c r="N345" s="112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</row>
    <row r="346" spans="1:29" ht="13">
      <c r="A346" s="115"/>
      <c r="B346" s="97"/>
      <c r="C346" s="115"/>
      <c r="D346" s="115"/>
      <c r="E346" s="115"/>
      <c r="F346" s="115"/>
      <c r="G346" s="99"/>
      <c r="H346" s="98"/>
      <c r="I346" s="100"/>
      <c r="J346" s="100"/>
      <c r="K346" s="100"/>
      <c r="L346" s="101"/>
      <c r="M346" s="101"/>
      <c r="N346" s="112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</row>
    <row r="347" spans="1:29" ht="13">
      <c r="A347" s="115"/>
      <c r="B347" s="97"/>
      <c r="C347" s="115"/>
      <c r="D347" s="115"/>
      <c r="E347" s="115"/>
      <c r="F347" s="115"/>
      <c r="G347" s="99"/>
      <c r="H347" s="98"/>
      <c r="I347" s="100"/>
      <c r="J347" s="100"/>
      <c r="K347" s="100"/>
      <c r="L347" s="101"/>
      <c r="M347" s="101"/>
      <c r="N347" s="112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</row>
    <row r="348" spans="1:29" ht="13">
      <c r="A348" s="115"/>
      <c r="B348" s="97"/>
      <c r="C348" s="115"/>
      <c r="D348" s="115"/>
      <c r="E348" s="115"/>
      <c r="F348" s="115"/>
      <c r="G348" s="99"/>
      <c r="H348" s="98"/>
      <c r="I348" s="100"/>
      <c r="J348" s="100"/>
      <c r="K348" s="100"/>
      <c r="L348" s="101"/>
      <c r="M348" s="101"/>
      <c r="N348" s="112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</row>
    <row r="349" spans="1:29" ht="13">
      <c r="A349" s="115"/>
      <c r="B349" s="97"/>
      <c r="C349" s="115"/>
      <c r="D349" s="115"/>
      <c r="E349" s="115"/>
      <c r="F349" s="115"/>
      <c r="G349" s="99"/>
      <c r="H349" s="98"/>
      <c r="I349" s="100"/>
      <c r="J349" s="100"/>
      <c r="K349" s="100"/>
      <c r="L349" s="101"/>
      <c r="M349" s="101"/>
      <c r="N349" s="112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</row>
    <row r="350" spans="1:29" ht="13">
      <c r="A350" s="115"/>
      <c r="B350" s="97"/>
      <c r="C350" s="115"/>
      <c r="D350" s="115"/>
      <c r="E350" s="115"/>
      <c r="F350" s="115"/>
      <c r="G350" s="99"/>
      <c r="H350" s="98"/>
      <c r="I350" s="100"/>
      <c r="J350" s="100"/>
      <c r="K350" s="100"/>
      <c r="L350" s="101"/>
      <c r="M350" s="101"/>
      <c r="N350" s="112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</row>
    <row r="351" spans="1:29" ht="13">
      <c r="A351" s="115"/>
      <c r="B351" s="97"/>
      <c r="C351" s="115"/>
      <c r="D351" s="115"/>
      <c r="E351" s="115"/>
      <c r="F351" s="115"/>
      <c r="G351" s="99"/>
      <c r="H351" s="98"/>
      <c r="I351" s="100"/>
      <c r="J351" s="100"/>
      <c r="K351" s="100"/>
      <c r="L351" s="101"/>
      <c r="M351" s="101"/>
      <c r="N351" s="112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</row>
    <row r="352" spans="1:29" ht="13">
      <c r="A352" s="115"/>
      <c r="B352" s="97"/>
      <c r="C352" s="115"/>
      <c r="D352" s="115"/>
      <c r="E352" s="115"/>
      <c r="F352" s="115"/>
      <c r="G352" s="99"/>
      <c r="H352" s="98"/>
      <c r="I352" s="100"/>
      <c r="J352" s="100"/>
      <c r="K352" s="100"/>
      <c r="L352" s="101"/>
      <c r="M352" s="101"/>
      <c r="N352" s="112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</row>
    <row r="353" spans="1:29" ht="13">
      <c r="A353" s="115"/>
      <c r="B353" s="97"/>
      <c r="C353" s="115"/>
      <c r="D353" s="115"/>
      <c r="E353" s="115"/>
      <c r="F353" s="115"/>
      <c r="G353" s="99"/>
      <c r="H353" s="98"/>
      <c r="I353" s="100"/>
      <c r="J353" s="100"/>
      <c r="K353" s="100"/>
      <c r="L353" s="101"/>
      <c r="M353" s="101"/>
      <c r="N353" s="112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</row>
    <row r="354" spans="1:29" ht="13">
      <c r="A354" s="115"/>
      <c r="B354" s="97"/>
      <c r="C354" s="115"/>
      <c r="D354" s="115"/>
      <c r="E354" s="115"/>
      <c r="F354" s="115"/>
      <c r="G354" s="99"/>
      <c r="H354" s="98"/>
      <c r="I354" s="100"/>
      <c r="J354" s="100"/>
      <c r="K354" s="100"/>
      <c r="L354" s="101"/>
      <c r="M354" s="101"/>
      <c r="N354" s="112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</row>
    <row r="355" spans="1:29" ht="13">
      <c r="A355" s="115"/>
      <c r="B355" s="97"/>
      <c r="C355" s="115"/>
      <c r="D355" s="115"/>
      <c r="E355" s="115"/>
      <c r="F355" s="115"/>
      <c r="G355" s="99"/>
      <c r="H355" s="98"/>
      <c r="I355" s="100"/>
      <c r="J355" s="100"/>
      <c r="K355" s="100"/>
      <c r="L355" s="101"/>
      <c r="M355" s="101"/>
      <c r="N355" s="112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</row>
    <row r="356" spans="1:29" ht="13">
      <c r="A356" s="115"/>
      <c r="B356" s="97"/>
      <c r="C356" s="115"/>
      <c r="D356" s="115"/>
      <c r="E356" s="115"/>
      <c r="F356" s="115"/>
      <c r="G356" s="99"/>
      <c r="H356" s="98"/>
      <c r="I356" s="100"/>
      <c r="J356" s="100"/>
      <c r="K356" s="100"/>
      <c r="L356" s="101"/>
      <c r="M356" s="101"/>
      <c r="N356" s="112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</row>
    <row r="357" spans="1:29" ht="13">
      <c r="A357" s="115"/>
      <c r="B357" s="97"/>
      <c r="C357" s="115"/>
      <c r="D357" s="115"/>
      <c r="E357" s="115"/>
      <c r="F357" s="115"/>
      <c r="G357" s="99"/>
      <c r="H357" s="98"/>
      <c r="I357" s="100"/>
      <c r="J357" s="100"/>
      <c r="K357" s="100"/>
      <c r="L357" s="101"/>
      <c r="M357" s="101"/>
      <c r="N357" s="112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</row>
    <row r="358" spans="1:29" ht="13">
      <c r="A358" s="115"/>
      <c r="B358" s="97"/>
      <c r="C358" s="115"/>
      <c r="D358" s="115"/>
      <c r="E358" s="115"/>
      <c r="F358" s="115"/>
      <c r="G358" s="99"/>
      <c r="H358" s="98"/>
      <c r="I358" s="100"/>
      <c r="J358" s="100"/>
      <c r="K358" s="100"/>
      <c r="L358" s="101"/>
      <c r="M358" s="101"/>
      <c r="N358" s="112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</row>
    <row r="359" spans="1:29" ht="13">
      <c r="A359" s="115"/>
      <c r="B359" s="97"/>
      <c r="C359" s="115"/>
      <c r="D359" s="115"/>
      <c r="E359" s="115"/>
      <c r="F359" s="115"/>
      <c r="G359" s="99"/>
      <c r="H359" s="98"/>
      <c r="I359" s="100"/>
      <c r="J359" s="100"/>
      <c r="K359" s="100"/>
      <c r="L359" s="101"/>
      <c r="M359" s="101"/>
      <c r="N359" s="112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</row>
    <row r="360" spans="1:29" ht="13">
      <c r="A360" s="115"/>
      <c r="B360" s="97"/>
      <c r="C360" s="115"/>
      <c r="D360" s="115"/>
      <c r="E360" s="115"/>
      <c r="F360" s="115"/>
      <c r="G360" s="99"/>
      <c r="H360" s="98"/>
      <c r="I360" s="100"/>
      <c r="J360" s="100"/>
      <c r="K360" s="100"/>
      <c r="L360" s="101"/>
      <c r="M360" s="101"/>
      <c r="N360" s="112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</row>
    <row r="361" spans="1:29" ht="13">
      <c r="A361" s="115"/>
      <c r="B361" s="97"/>
      <c r="C361" s="115"/>
      <c r="D361" s="115"/>
      <c r="E361" s="115"/>
      <c r="F361" s="115"/>
      <c r="G361" s="99"/>
      <c r="H361" s="98"/>
      <c r="I361" s="100"/>
      <c r="J361" s="100"/>
      <c r="K361" s="100"/>
      <c r="L361" s="101"/>
      <c r="M361" s="101"/>
      <c r="N361" s="112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</row>
    <row r="362" spans="1:29" ht="13">
      <c r="A362" s="115"/>
      <c r="B362" s="97"/>
      <c r="C362" s="115"/>
      <c r="D362" s="115"/>
      <c r="E362" s="115"/>
      <c r="F362" s="115"/>
      <c r="G362" s="99"/>
      <c r="H362" s="98"/>
      <c r="I362" s="100"/>
      <c r="J362" s="100"/>
      <c r="K362" s="100"/>
      <c r="L362" s="101"/>
      <c r="M362" s="101"/>
      <c r="N362" s="112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</row>
    <row r="363" spans="1:29" ht="13">
      <c r="A363" s="115"/>
      <c r="B363" s="97"/>
      <c r="C363" s="115"/>
      <c r="D363" s="115"/>
      <c r="E363" s="115"/>
      <c r="F363" s="115"/>
      <c r="G363" s="99"/>
      <c r="H363" s="98"/>
      <c r="I363" s="100"/>
      <c r="J363" s="100"/>
      <c r="K363" s="100"/>
      <c r="L363" s="101"/>
      <c r="M363" s="101"/>
      <c r="N363" s="112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</row>
    <row r="364" spans="1:29" ht="13">
      <c r="A364" s="115"/>
      <c r="B364" s="97"/>
      <c r="C364" s="115"/>
      <c r="D364" s="115"/>
      <c r="E364" s="115"/>
      <c r="F364" s="115"/>
      <c r="G364" s="99"/>
      <c r="H364" s="98"/>
      <c r="I364" s="100"/>
      <c r="J364" s="100"/>
      <c r="K364" s="100"/>
      <c r="L364" s="101"/>
      <c r="M364" s="101"/>
      <c r="N364" s="112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</row>
    <row r="365" spans="1:29" ht="13">
      <c r="A365" s="115"/>
      <c r="B365" s="97"/>
      <c r="C365" s="115"/>
      <c r="D365" s="115"/>
      <c r="E365" s="115"/>
      <c r="F365" s="115"/>
      <c r="G365" s="99"/>
      <c r="H365" s="98"/>
      <c r="I365" s="100"/>
      <c r="J365" s="100"/>
      <c r="K365" s="100"/>
      <c r="L365" s="101"/>
      <c r="M365" s="101"/>
      <c r="N365" s="112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</row>
    <row r="366" spans="1:29" ht="13">
      <c r="A366" s="115"/>
      <c r="B366" s="97"/>
      <c r="C366" s="115"/>
      <c r="D366" s="115"/>
      <c r="E366" s="115"/>
      <c r="F366" s="115"/>
      <c r="G366" s="99"/>
      <c r="H366" s="98"/>
      <c r="I366" s="100"/>
      <c r="J366" s="100"/>
      <c r="K366" s="100"/>
      <c r="L366" s="101"/>
      <c r="M366" s="101"/>
      <c r="N366" s="112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</row>
    <row r="367" spans="1:29" ht="13">
      <c r="A367" s="115"/>
      <c r="B367" s="97"/>
      <c r="C367" s="115"/>
      <c r="D367" s="115"/>
      <c r="E367" s="115"/>
      <c r="F367" s="115"/>
      <c r="G367" s="99"/>
      <c r="H367" s="98"/>
      <c r="I367" s="100"/>
      <c r="J367" s="100"/>
      <c r="K367" s="100"/>
      <c r="L367" s="101"/>
      <c r="M367" s="101"/>
      <c r="N367" s="112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</row>
    <row r="368" spans="1:29" ht="13">
      <c r="A368" s="115"/>
      <c r="B368" s="97"/>
      <c r="C368" s="115"/>
      <c r="D368" s="115"/>
      <c r="E368" s="115"/>
      <c r="F368" s="115"/>
      <c r="G368" s="99"/>
      <c r="H368" s="98"/>
      <c r="I368" s="100"/>
      <c r="J368" s="100"/>
      <c r="K368" s="100"/>
      <c r="L368" s="101"/>
      <c r="M368" s="101"/>
      <c r="N368" s="112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</row>
    <row r="369" spans="1:29" ht="13">
      <c r="A369" s="115"/>
      <c r="B369" s="97"/>
      <c r="C369" s="115"/>
      <c r="D369" s="115"/>
      <c r="E369" s="115"/>
      <c r="F369" s="115"/>
      <c r="G369" s="99"/>
      <c r="H369" s="98"/>
      <c r="I369" s="100"/>
      <c r="J369" s="100"/>
      <c r="K369" s="100"/>
      <c r="L369" s="101"/>
      <c r="M369" s="101"/>
      <c r="N369" s="112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</row>
    <row r="370" spans="1:29" ht="13">
      <c r="A370" s="115"/>
      <c r="B370" s="97"/>
      <c r="C370" s="115"/>
      <c r="D370" s="115"/>
      <c r="E370" s="115"/>
      <c r="F370" s="115"/>
      <c r="G370" s="99"/>
      <c r="H370" s="98"/>
      <c r="I370" s="100"/>
      <c r="J370" s="100"/>
      <c r="K370" s="100"/>
      <c r="L370" s="101"/>
      <c r="M370" s="101"/>
      <c r="N370" s="112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</row>
    <row r="371" spans="1:29" ht="13">
      <c r="A371" s="115"/>
      <c r="B371" s="97"/>
      <c r="C371" s="115"/>
      <c r="D371" s="115"/>
      <c r="E371" s="115"/>
      <c r="F371" s="115"/>
      <c r="G371" s="99"/>
      <c r="H371" s="98"/>
      <c r="I371" s="100"/>
      <c r="J371" s="100"/>
      <c r="K371" s="100"/>
      <c r="L371" s="101"/>
      <c r="M371" s="101"/>
      <c r="N371" s="112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</row>
    <row r="372" spans="1:29" ht="13">
      <c r="A372" s="115"/>
      <c r="B372" s="97"/>
      <c r="C372" s="115"/>
      <c r="D372" s="115"/>
      <c r="E372" s="115"/>
      <c r="F372" s="115"/>
      <c r="G372" s="99"/>
      <c r="H372" s="98"/>
      <c r="I372" s="100"/>
      <c r="J372" s="100"/>
      <c r="K372" s="100"/>
      <c r="L372" s="101"/>
      <c r="M372" s="101"/>
      <c r="N372" s="112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</row>
    <row r="373" spans="1:29" ht="13">
      <c r="A373" s="115"/>
      <c r="B373" s="97"/>
      <c r="C373" s="115"/>
      <c r="D373" s="115"/>
      <c r="E373" s="115"/>
      <c r="F373" s="115"/>
      <c r="G373" s="99"/>
      <c r="H373" s="98"/>
      <c r="I373" s="100"/>
      <c r="J373" s="100"/>
      <c r="K373" s="100"/>
      <c r="L373" s="101"/>
      <c r="M373" s="101"/>
      <c r="N373" s="112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</row>
    <row r="374" spans="1:29" ht="13">
      <c r="A374" s="115"/>
      <c r="B374" s="97"/>
      <c r="C374" s="115"/>
      <c r="D374" s="115"/>
      <c r="E374" s="115"/>
      <c r="F374" s="115"/>
      <c r="G374" s="99"/>
      <c r="H374" s="98"/>
      <c r="I374" s="100"/>
      <c r="J374" s="100"/>
      <c r="K374" s="100"/>
      <c r="L374" s="101"/>
      <c r="M374" s="101"/>
      <c r="N374" s="112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</row>
    <row r="375" spans="1:29" ht="13">
      <c r="A375" s="115"/>
      <c r="B375" s="97"/>
      <c r="C375" s="115"/>
      <c r="D375" s="115"/>
      <c r="E375" s="115"/>
      <c r="F375" s="115"/>
      <c r="G375" s="99"/>
      <c r="H375" s="98"/>
      <c r="I375" s="100"/>
      <c r="J375" s="100"/>
      <c r="K375" s="100"/>
      <c r="L375" s="101"/>
      <c r="M375" s="101"/>
      <c r="N375" s="112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</row>
    <row r="376" spans="1:29" ht="13">
      <c r="A376" s="115"/>
      <c r="B376" s="97"/>
      <c r="C376" s="115"/>
      <c r="D376" s="115"/>
      <c r="E376" s="115"/>
      <c r="F376" s="115"/>
      <c r="G376" s="99"/>
      <c r="H376" s="98"/>
      <c r="I376" s="100"/>
      <c r="J376" s="100"/>
      <c r="K376" s="100"/>
      <c r="L376" s="101"/>
      <c r="M376" s="101"/>
      <c r="N376" s="112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</row>
    <row r="377" spans="1:29" ht="13">
      <c r="A377" s="115"/>
      <c r="B377" s="97"/>
      <c r="C377" s="115"/>
      <c r="D377" s="115"/>
      <c r="E377" s="115"/>
      <c r="F377" s="115"/>
      <c r="G377" s="99"/>
      <c r="H377" s="98"/>
      <c r="I377" s="100"/>
      <c r="J377" s="100"/>
      <c r="K377" s="100"/>
      <c r="L377" s="101"/>
      <c r="M377" s="101"/>
      <c r="N377" s="112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</row>
    <row r="378" spans="1:29" ht="13">
      <c r="A378" s="115"/>
      <c r="B378" s="97"/>
      <c r="C378" s="115"/>
      <c r="D378" s="115"/>
      <c r="E378" s="115"/>
      <c r="F378" s="115"/>
      <c r="G378" s="99"/>
      <c r="H378" s="98"/>
      <c r="I378" s="100"/>
      <c r="J378" s="100"/>
      <c r="K378" s="100"/>
      <c r="L378" s="101"/>
      <c r="M378" s="101"/>
      <c r="N378" s="112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</row>
    <row r="379" spans="1:29" ht="13">
      <c r="A379" s="115"/>
      <c r="B379" s="97"/>
      <c r="C379" s="115"/>
      <c r="D379" s="115"/>
      <c r="E379" s="115"/>
      <c r="F379" s="115"/>
      <c r="G379" s="99"/>
      <c r="H379" s="98"/>
      <c r="I379" s="100"/>
      <c r="J379" s="100"/>
      <c r="K379" s="100"/>
      <c r="L379" s="101"/>
      <c r="M379" s="101"/>
      <c r="N379" s="112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</row>
    <row r="380" spans="1:29" ht="13">
      <c r="A380" s="115"/>
      <c r="B380" s="97"/>
      <c r="C380" s="115"/>
      <c r="D380" s="115"/>
      <c r="E380" s="115"/>
      <c r="F380" s="115"/>
      <c r="G380" s="99"/>
      <c r="H380" s="98"/>
      <c r="I380" s="100"/>
      <c r="J380" s="100"/>
      <c r="K380" s="100"/>
      <c r="L380" s="101"/>
      <c r="M380" s="101"/>
      <c r="N380" s="112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</row>
    <row r="381" spans="1:29" ht="13">
      <c r="A381" s="115"/>
      <c r="B381" s="97"/>
      <c r="C381" s="115"/>
      <c r="D381" s="115"/>
      <c r="E381" s="115"/>
      <c r="F381" s="115"/>
      <c r="G381" s="99"/>
      <c r="H381" s="98"/>
      <c r="I381" s="100"/>
      <c r="J381" s="100"/>
      <c r="K381" s="100"/>
      <c r="L381" s="101"/>
      <c r="M381" s="101"/>
      <c r="N381" s="112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</row>
    <row r="382" spans="1:29" ht="13">
      <c r="A382" s="115"/>
      <c r="B382" s="97"/>
      <c r="C382" s="115"/>
      <c r="D382" s="115"/>
      <c r="E382" s="115"/>
      <c r="F382" s="115"/>
      <c r="G382" s="99"/>
      <c r="H382" s="98"/>
      <c r="I382" s="100"/>
      <c r="J382" s="100"/>
      <c r="K382" s="100"/>
      <c r="L382" s="101"/>
      <c r="M382" s="101"/>
      <c r="N382" s="112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</row>
    <row r="383" spans="1:29" ht="13">
      <c r="A383" s="115"/>
      <c r="B383" s="97"/>
      <c r="C383" s="115"/>
      <c r="D383" s="115"/>
      <c r="E383" s="115"/>
      <c r="F383" s="115"/>
      <c r="G383" s="99"/>
      <c r="H383" s="98"/>
      <c r="I383" s="100"/>
      <c r="J383" s="100"/>
      <c r="K383" s="100"/>
      <c r="L383" s="101"/>
      <c r="M383" s="101"/>
      <c r="N383" s="112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</row>
    <row r="384" spans="1:29" ht="13">
      <c r="A384" s="115"/>
      <c r="B384" s="97"/>
      <c r="C384" s="115"/>
      <c r="D384" s="115"/>
      <c r="E384" s="115"/>
      <c r="F384" s="115"/>
      <c r="G384" s="99"/>
      <c r="H384" s="98"/>
      <c r="I384" s="100"/>
      <c r="J384" s="100"/>
      <c r="K384" s="100"/>
      <c r="L384" s="101"/>
      <c r="M384" s="101"/>
      <c r="N384" s="112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</row>
    <row r="385" spans="1:29" ht="13">
      <c r="A385" s="115"/>
      <c r="B385" s="97"/>
      <c r="C385" s="115"/>
      <c r="D385" s="115"/>
      <c r="E385" s="115"/>
      <c r="F385" s="115"/>
      <c r="G385" s="99"/>
      <c r="H385" s="98"/>
      <c r="I385" s="100"/>
      <c r="J385" s="100"/>
      <c r="K385" s="100"/>
      <c r="L385" s="101"/>
      <c r="M385" s="101"/>
      <c r="N385" s="112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</row>
    <row r="386" spans="1:29" ht="13">
      <c r="A386" s="115"/>
      <c r="B386" s="97"/>
      <c r="C386" s="115"/>
      <c r="D386" s="115"/>
      <c r="E386" s="115"/>
      <c r="F386" s="115"/>
      <c r="G386" s="99"/>
      <c r="H386" s="98"/>
      <c r="I386" s="100"/>
      <c r="J386" s="100"/>
      <c r="K386" s="100"/>
      <c r="L386" s="101"/>
      <c r="M386" s="101"/>
      <c r="N386" s="112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</row>
    <row r="387" spans="1:29" ht="13">
      <c r="A387" s="115"/>
      <c r="B387" s="97"/>
      <c r="C387" s="115"/>
      <c r="D387" s="115"/>
      <c r="E387" s="115"/>
      <c r="F387" s="115"/>
      <c r="G387" s="99"/>
      <c r="H387" s="98"/>
      <c r="I387" s="100"/>
      <c r="J387" s="100"/>
      <c r="K387" s="100"/>
      <c r="L387" s="101"/>
      <c r="M387" s="101"/>
      <c r="N387" s="112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</row>
    <row r="388" spans="1:29" ht="13">
      <c r="A388" s="115"/>
      <c r="B388" s="97"/>
      <c r="C388" s="115"/>
      <c r="D388" s="115"/>
      <c r="E388" s="115"/>
      <c r="F388" s="115"/>
      <c r="G388" s="99"/>
      <c r="H388" s="98"/>
      <c r="I388" s="100"/>
      <c r="J388" s="100"/>
      <c r="K388" s="100"/>
      <c r="L388" s="101"/>
      <c r="M388" s="101"/>
      <c r="N388" s="112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</row>
    <row r="389" spans="1:29" ht="13">
      <c r="A389" s="115"/>
      <c r="B389" s="97"/>
      <c r="C389" s="115"/>
      <c r="D389" s="115"/>
      <c r="E389" s="115"/>
      <c r="F389" s="115"/>
      <c r="G389" s="99"/>
      <c r="H389" s="98"/>
      <c r="I389" s="100"/>
      <c r="J389" s="100"/>
      <c r="K389" s="100"/>
      <c r="L389" s="101"/>
      <c r="M389" s="101"/>
      <c r="N389" s="112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</row>
    <row r="390" spans="1:29" ht="13">
      <c r="A390" s="115"/>
      <c r="B390" s="97"/>
      <c r="C390" s="115"/>
      <c r="D390" s="115"/>
      <c r="E390" s="115"/>
      <c r="F390" s="115"/>
      <c r="G390" s="99"/>
      <c r="H390" s="98"/>
      <c r="I390" s="100"/>
      <c r="J390" s="100"/>
      <c r="K390" s="100"/>
      <c r="L390" s="101"/>
      <c r="M390" s="101"/>
      <c r="N390" s="112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</row>
    <row r="391" spans="1:29" ht="13">
      <c r="A391" s="115"/>
      <c r="B391" s="97"/>
      <c r="C391" s="115"/>
      <c r="D391" s="115"/>
      <c r="E391" s="115"/>
      <c r="F391" s="115"/>
      <c r="G391" s="99"/>
      <c r="H391" s="98"/>
      <c r="I391" s="100"/>
      <c r="J391" s="100"/>
      <c r="K391" s="100"/>
      <c r="L391" s="101"/>
      <c r="M391" s="101"/>
      <c r="N391" s="112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</row>
    <row r="392" spans="1:29" ht="13">
      <c r="A392" s="115"/>
      <c r="B392" s="97"/>
      <c r="C392" s="115"/>
      <c r="D392" s="115"/>
      <c r="E392" s="115"/>
      <c r="F392" s="115"/>
      <c r="G392" s="99"/>
      <c r="H392" s="98"/>
      <c r="I392" s="100"/>
      <c r="J392" s="100"/>
      <c r="K392" s="100"/>
      <c r="L392" s="101"/>
      <c r="M392" s="101"/>
      <c r="N392" s="112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</row>
    <row r="393" spans="1:29" ht="13">
      <c r="A393" s="115"/>
      <c r="B393" s="97"/>
      <c r="C393" s="115"/>
      <c r="D393" s="115"/>
      <c r="E393" s="115"/>
      <c r="F393" s="115"/>
      <c r="G393" s="99"/>
      <c r="H393" s="98"/>
      <c r="I393" s="100"/>
      <c r="J393" s="100"/>
      <c r="K393" s="100"/>
      <c r="L393" s="101"/>
      <c r="M393" s="101"/>
      <c r="N393" s="112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</row>
    <row r="394" spans="1:29" ht="13">
      <c r="A394" s="115"/>
      <c r="B394" s="97"/>
      <c r="C394" s="115"/>
      <c r="D394" s="115"/>
      <c r="E394" s="115"/>
      <c r="F394" s="115"/>
      <c r="G394" s="99"/>
      <c r="H394" s="98"/>
      <c r="I394" s="100"/>
      <c r="J394" s="100"/>
      <c r="K394" s="100"/>
      <c r="L394" s="101"/>
      <c r="M394" s="101"/>
      <c r="N394" s="112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</row>
    <row r="395" spans="1:29" ht="13">
      <c r="A395" s="115"/>
      <c r="B395" s="97"/>
      <c r="C395" s="115"/>
      <c r="D395" s="115"/>
      <c r="E395" s="115"/>
      <c r="F395" s="115"/>
      <c r="G395" s="99"/>
      <c r="H395" s="98"/>
      <c r="I395" s="100"/>
      <c r="J395" s="100"/>
      <c r="K395" s="100"/>
      <c r="L395" s="101"/>
      <c r="M395" s="101"/>
      <c r="N395" s="112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</row>
    <row r="396" spans="1:29" ht="13">
      <c r="A396" s="115"/>
      <c r="B396" s="97"/>
      <c r="C396" s="115"/>
      <c r="D396" s="115"/>
      <c r="E396" s="115"/>
      <c r="F396" s="115"/>
      <c r="G396" s="99"/>
      <c r="H396" s="98"/>
      <c r="I396" s="100"/>
      <c r="J396" s="100"/>
      <c r="K396" s="100"/>
      <c r="L396" s="101"/>
      <c r="M396" s="101"/>
      <c r="N396" s="112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</row>
    <row r="397" spans="1:29" ht="13">
      <c r="A397" s="115"/>
      <c r="B397" s="97"/>
      <c r="C397" s="115"/>
      <c r="D397" s="115"/>
      <c r="E397" s="115"/>
      <c r="F397" s="115"/>
      <c r="G397" s="99"/>
      <c r="H397" s="98"/>
      <c r="I397" s="100"/>
      <c r="J397" s="100"/>
      <c r="K397" s="100"/>
      <c r="L397" s="101"/>
      <c r="M397" s="101"/>
      <c r="N397" s="112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</row>
    <row r="398" spans="1:29" ht="13">
      <c r="A398" s="115"/>
      <c r="B398" s="97"/>
      <c r="C398" s="115"/>
      <c r="D398" s="115"/>
      <c r="E398" s="115"/>
      <c r="F398" s="115"/>
      <c r="G398" s="99"/>
      <c r="H398" s="98"/>
      <c r="I398" s="100"/>
      <c r="J398" s="100"/>
      <c r="K398" s="100"/>
      <c r="L398" s="101"/>
      <c r="M398" s="101"/>
      <c r="N398" s="112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</row>
    <row r="399" spans="1:29" ht="13">
      <c r="A399" s="115"/>
      <c r="B399" s="97"/>
      <c r="C399" s="115"/>
      <c r="D399" s="115"/>
      <c r="E399" s="115"/>
      <c r="F399" s="115"/>
      <c r="G399" s="99"/>
      <c r="H399" s="98"/>
      <c r="I399" s="100"/>
      <c r="J399" s="100"/>
      <c r="K399" s="100"/>
      <c r="L399" s="101"/>
      <c r="M399" s="101"/>
      <c r="N399" s="112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</row>
    <row r="400" spans="1:29" ht="13">
      <c r="A400" s="115"/>
      <c r="B400" s="97"/>
      <c r="C400" s="115"/>
      <c r="D400" s="115"/>
      <c r="E400" s="115"/>
      <c r="F400" s="115"/>
      <c r="G400" s="99"/>
      <c r="H400" s="98"/>
      <c r="I400" s="100"/>
      <c r="J400" s="100"/>
      <c r="K400" s="100"/>
      <c r="L400" s="101"/>
      <c r="M400" s="101"/>
      <c r="N400" s="112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</row>
    <row r="401" spans="1:29" ht="13">
      <c r="A401" s="115"/>
      <c r="B401" s="97"/>
      <c r="C401" s="115"/>
      <c r="D401" s="115"/>
      <c r="E401" s="115"/>
      <c r="F401" s="115"/>
      <c r="G401" s="99"/>
      <c r="H401" s="98"/>
      <c r="I401" s="100"/>
      <c r="J401" s="100"/>
      <c r="K401" s="100"/>
      <c r="L401" s="101"/>
      <c r="M401" s="101"/>
      <c r="N401" s="112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</row>
    <row r="402" spans="1:29" ht="13">
      <c r="A402" s="115"/>
      <c r="B402" s="97"/>
      <c r="C402" s="115"/>
      <c r="D402" s="115"/>
      <c r="E402" s="115"/>
      <c r="F402" s="115"/>
      <c r="G402" s="99"/>
      <c r="H402" s="98"/>
      <c r="I402" s="100"/>
      <c r="J402" s="100"/>
      <c r="K402" s="100"/>
      <c r="L402" s="101"/>
      <c r="M402" s="101"/>
      <c r="N402" s="112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</row>
    <row r="403" spans="1:29" ht="13">
      <c r="A403" s="115"/>
      <c r="B403" s="97"/>
      <c r="C403" s="115"/>
      <c r="D403" s="115"/>
      <c r="E403" s="115"/>
      <c r="F403" s="115"/>
      <c r="G403" s="99"/>
      <c r="H403" s="98"/>
      <c r="I403" s="100"/>
      <c r="J403" s="100"/>
      <c r="K403" s="100"/>
      <c r="L403" s="101"/>
      <c r="M403" s="101"/>
      <c r="N403" s="112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</row>
    <row r="404" spans="1:29" ht="13">
      <c r="A404" s="115"/>
      <c r="B404" s="97"/>
      <c r="C404" s="115"/>
      <c r="D404" s="115"/>
      <c r="E404" s="115"/>
      <c r="F404" s="115"/>
      <c r="G404" s="99"/>
      <c r="H404" s="98"/>
      <c r="I404" s="100"/>
      <c r="J404" s="100"/>
      <c r="K404" s="100"/>
      <c r="L404" s="101"/>
      <c r="M404" s="101"/>
      <c r="N404" s="112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</row>
    <row r="405" spans="1:29" ht="13">
      <c r="A405" s="115"/>
      <c r="B405" s="97"/>
      <c r="C405" s="115"/>
      <c r="D405" s="115"/>
      <c r="E405" s="115"/>
      <c r="F405" s="115"/>
      <c r="G405" s="99"/>
      <c r="H405" s="98"/>
      <c r="I405" s="100"/>
      <c r="J405" s="100"/>
      <c r="K405" s="100"/>
      <c r="L405" s="101"/>
      <c r="M405" s="101"/>
      <c r="N405" s="112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</row>
    <row r="406" spans="1:29" ht="13">
      <c r="A406" s="115"/>
      <c r="B406" s="97"/>
      <c r="C406" s="115"/>
      <c r="D406" s="115"/>
      <c r="E406" s="115"/>
      <c r="F406" s="115"/>
      <c r="G406" s="99"/>
      <c r="H406" s="98"/>
      <c r="I406" s="100"/>
      <c r="J406" s="100"/>
      <c r="K406" s="100"/>
      <c r="L406" s="101"/>
      <c r="M406" s="101"/>
      <c r="N406" s="112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</row>
    <row r="407" spans="1:29" ht="13">
      <c r="A407" s="115"/>
      <c r="B407" s="97"/>
      <c r="C407" s="115"/>
      <c r="D407" s="115"/>
      <c r="E407" s="115"/>
      <c r="F407" s="115"/>
      <c r="G407" s="99"/>
      <c r="H407" s="98"/>
      <c r="I407" s="100"/>
      <c r="J407" s="100"/>
      <c r="K407" s="100"/>
      <c r="L407" s="101"/>
      <c r="M407" s="101"/>
      <c r="N407" s="112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</row>
    <row r="408" spans="1:29" ht="13">
      <c r="A408" s="115"/>
      <c r="B408" s="97"/>
      <c r="C408" s="115"/>
      <c r="D408" s="115"/>
      <c r="E408" s="115"/>
      <c r="F408" s="115"/>
      <c r="G408" s="99"/>
      <c r="H408" s="98"/>
      <c r="I408" s="100"/>
      <c r="J408" s="100"/>
      <c r="K408" s="100"/>
      <c r="L408" s="101"/>
      <c r="M408" s="101"/>
      <c r="N408" s="112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</row>
    <row r="409" spans="1:29" ht="13">
      <c r="A409" s="115"/>
      <c r="B409" s="97"/>
      <c r="C409" s="115"/>
      <c r="D409" s="115"/>
      <c r="E409" s="115"/>
      <c r="F409" s="115"/>
      <c r="G409" s="99"/>
      <c r="H409" s="98"/>
      <c r="I409" s="100"/>
      <c r="J409" s="100"/>
      <c r="K409" s="100"/>
      <c r="L409" s="101"/>
      <c r="M409" s="101"/>
      <c r="N409" s="112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</row>
    <row r="410" spans="1:29" ht="13">
      <c r="A410" s="115"/>
      <c r="B410" s="97"/>
      <c r="C410" s="115"/>
      <c r="D410" s="115"/>
      <c r="E410" s="115"/>
      <c r="F410" s="115"/>
      <c r="G410" s="99"/>
      <c r="H410" s="98"/>
      <c r="I410" s="100"/>
      <c r="J410" s="100"/>
      <c r="K410" s="100"/>
      <c r="L410" s="101"/>
      <c r="M410" s="101"/>
      <c r="N410" s="112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</row>
    <row r="411" spans="1:29" ht="13">
      <c r="A411" s="115"/>
      <c r="B411" s="97"/>
      <c r="C411" s="115"/>
      <c r="D411" s="115"/>
      <c r="E411" s="115"/>
      <c r="F411" s="115"/>
      <c r="G411" s="99"/>
      <c r="H411" s="98"/>
      <c r="I411" s="100"/>
      <c r="J411" s="100"/>
      <c r="K411" s="100"/>
      <c r="L411" s="101"/>
      <c r="M411" s="101"/>
      <c r="N411" s="112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</row>
    <row r="412" spans="1:29" ht="13">
      <c r="A412" s="115"/>
      <c r="B412" s="97"/>
      <c r="C412" s="115"/>
      <c r="D412" s="115"/>
      <c r="E412" s="115"/>
      <c r="F412" s="115"/>
      <c r="G412" s="99"/>
      <c r="H412" s="98"/>
      <c r="I412" s="100"/>
      <c r="J412" s="100"/>
      <c r="K412" s="100"/>
      <c r="L412" s="101"/>
      <c r="M412" s="101"/>
      <c r="N412" s="112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</row>
    <row r="413" spans="1:29" ht="13">
      <c r="A413" s="115"/>
      <c r="B413" s="97"/>
      <c r="C413" s="115"/>
      <c r="D413" s="115"/>
      <c r="E413" s="115"/>
      <c r="F413" s="115"/>
      <c r="G413" s="99"/>
      <c r="H413" s="98"/>
      <c r="I413" s="100"/>
      <c r="J413" s="100"/>
      <c r="K413" s="100"/>
      <c r="L413" s="101"/>
      <c r="M413" s="101"/>
      <c r="N413" s="112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</row>
    <row r="414" spans="1:29" ht="13">
      <c r="A414" s="115"/>
      <c r="B414" s="97"/>
      <c r="C414" s="115"/>
      <c r="D414" s="115"/>
      <c r="E414" s="115"/>
      <c r="F414" s="115"/>
      <c r="G414" s="99"/>
      <c r="H414" s="98"/>
      <c r="I414" s="100"/>
      <c r="J414" s="100"/>
      <c r="K414" s="100"/>
      <c r="L414" s="101"/>
      <c r="M414" s="101"/>
      <c r="N414" s="112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</row>
    <row r="415" spans="1:29" ht="13">
      <c r="A415" s="115"/>
      <c r="B415" s="97"/>
      <c r="C415" s="115"/>
      <c r="D415" s="115"/>
      <c r="E415" s="115"/>
      <c r="F415" s="115"/>
      <c r="G415" s="99"/>
      <c r="H415" s="98"/>
      <c r="I415" s="100"/>
      <c r="J415" s="100"/>
      <c r="K415" s="100"/>
      <c r="L415" s="101"/>
      <c r="M415" s="101"/>
      <c r="N415" s="112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</row>
    <row r="416" spans="1:29" ht="13">
      <c r="A416" s="115"/>
      <c r="B416" s="97"/>
      <c r="C416" s="115"/>
      <c r="D416" s="115"/>
      <c r="E416" s="115"/>
      <c r="F416" s="115"/>
      <c r="G416" s="99"/>
      <c r="H416" s="98"/>
      <c r="I416" s="100"/>
      <c r="J416" s="100"/>
      <c r="K416" s="100"/>
      <c r="L416" s="101"/>
      <c r="M416" s="101"/>
      <c r="N416" s="112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</row>
    <row r="417" spans="1:29" ht="13">
      <c r="A417" s="115"/>
      <c r="B417" s="97"/>
      <c r="C417" s="115"/>
      <c r="D417" s="115"/>
      <c r="E417" s="115"/>
      <c r="F417" s="115"/>
      <c r="G417" s="99"/>
      <c r="H417" s="98"/>
      <c r="I417" s="100"/>
      <c r="J417" s="100"/>
      <c r="K417" s="100"/>
      <c r="L417" s="101"/>
      <c r="M417" s="101"/>
      <c r="N417" s="112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</row>
    <row r="418" spans="1:29" ht="13">
      <c r="A418" s="115"/>
      <c r="B418" s="97"/>
      <c r="C418" s="115"/>
      <c r="D418" s="115"/>
      <c r="E418" s="115"/>
      <c r="F418" s="115"/>
      <c r="G418" s="99"/>
      <c r="H418" s="98"/>
      <c r="I418" s="100"/>
      <c r="J418" s="100"/>
      <c r="K418" s="100"/>
      <c r="L418" s="101"/>
      <c r="M418" s="101"/>
      <c r="N418" s="112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</row>
    <row r="419" spans="1:29" ht="13">
      <c r="A419" s="115"/>
      <c r="B419" s="97"/>
      <c r="C419" s="115"/>
      <c r="D419" s="115"/>
      <c r="E419" s="115"/>
      <c r="F419" s="115"/>
      <c r="G419" s="99"/>
      <c r="H419" s="98"/>
      <c r="I419" s="100"/>
      <c r="J419" s="100"/>
      <c r="K419" s="100"/>
      <c r="L419" s="101"/>
      <c r="M419" s="101"/>
      <c r="N419" s="112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</row>
    <row r="420" spans="1:29" ht="13">
      <c r="A420" s="115"/>
      <c r="B420" s="97"/>
      <c r="C420" s="115"/>
      <c r="D420" s="115"/>
      <c r="E420" s="115"/>
      <c r="F420" s="115"/>
      <c r="G420" s="99"/>
      <c r="H420" s="98"/>
      <c r="I420" s="100"/>
      <c r="J420" s="100"/>
      <c r="K420" s="100"/>
      <c r="L420" s="101"/>
      <c r="M420" s="101"/>
      <c r="N420" s="112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</row>
    <row r="421" spans="1:29" ht="13">
      <c r="A421" s="115"/>
      <c r="B421" s="97"/>
      <c r="C421" s="115"/>
      <c r="D421" s="115"/>
      <c r="E421" s="115"/>
      <c r="F421" s="115"/>
      <c r="G421" s="99"/>
      <c r="H421" s="98"/>
      <c r="I421" s="100"/>
      <c r="J421" s="100"/>
      <c r="K421" s="100"/>
      <c r="L421" s="101"/>
      <c r="M421" s="101"/>
      <c r="N421" s="112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</row>
    <row r="422" spans="1:29" ht="13">
      <c r="A422" s="115"/>
      <c r="B422" s="97"/>
      <c r="C422" s="115"/>
      <c r="D422" s="115"/>
      <c r="E422" s="115"/>
      <c r="F422" s="115"/>
      <c r="G422" s="99"/>
      <c r="H422" s="98"/>
      <c r="I422" s="100"/>
      <c r="J422" s="100"/>
      <c r="K422" s="100"/>
      <c r="L422" s="101"/>
      <c r="M422" s="101"/>
      <c r="N422" s="112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</row>
    <row r="423" spans="1:29" ht="13">
      <c r="A423" s="115"/>
      <c r="B423" s="97"/>
      <c r="C423" s="115"/>
      <c r="D423" s="115"/>
      <c r="E423" s="115"/>
      <c r="F423" s="115"/>
      <c r="G423" s="99"/>
      <c r="H423" s="98"/>
      <c r="I423" s="100"/>
      <c r="J423" s="100"/>
      <c r="K423" s="100"/>
      <c r="L423" s="101"/>
      <c r="M423" s="101"/>
      <c r="N423" s="112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</row>
    <row r="424" spans="1:29" ht="13">
      <c r="A424" s="115"/>
      <c r="B424" s="97"/>
      <c r="C424" s="115"/>
      <c r="D424" s="115"/>
      <c r="E424" s="115"/>
      <c r="F424" s="115"/>
      <c r="G424" s="99"/>
      <c r="H424" s="98"/>
      <c r="I424" s="100"/>
      <c r="J424" s="100"/>
      <c r="K424" s="100"/>
      <c r="L424" s="101"/>
      <c r="M424" s="101"/>
      <c r="N424" s="112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</row>
    <row r="425" spans="1:29" ht="13">
      <c r="A425" s="115"/>
      <c r="B425" s="97"/>
      <c r="C425" s="115"/>
      <c r="D425" s="115"/>
      <c r="E425" s="115"/>
      <c r="F425" s="115"/>
      <c r="G425" s="99"/>
      <c r="H425" s="98"/>
      <c r="I425" s="100"/>
      <c r="J425" s="100"/>
      <c r="K425" s="100"/>
      <c r="L425" s="101"/>
      <c r="M425" s="101"/>
      <c r="N425" s="112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</row>
    <row r="426" spans="1:29" ht="13">
      <c r="A426" s="115"/>
      <c r="B426" s="97"/>
      <c r="C426" s="115"/>
      <c r="D426" s="115"/>
      <c r="E426" s="115"/>
      <c r="F426" s="115"/>
      <c r="G426" s="99"/>
      <c r="H426" s="98"/>
      <c r="I426" s="100"/>
      <c r="J426" s="100"/>
      <c r="K426" s="100"/>
      <c r="L426" s="101"/>
      <c r="M426" s="101"/>
      <c r="N426" s="112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</row>
    <row r="427" spans="1:29" ht="13">
      <c r="A427" s="115"/>
      <c r="B427" s="97"/>
      <c r="C427" s="115"/>
      <c r="D427" s="115"/>
      <c r="E427" s="115"/>
      <c r="F427" s="115"/>
      <c r="G427" s="99"/>
      <c r="H427" s="98"/>
      <c r="I427" s="100"/>
      <c r="J427" s="100"/>
      <c r="K427" s="100"/>
      <c r="L427" s="101"/>
      <c r="M427" s="101"/>
      <c r="N427" s="112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</row>
    <row r="428" spans="1:29" ht="13">
      <c r="A428" s="115"/>
      <c r="B428" s="97"/>
      <c r="C428" s="115"/>
      <c r="D428" s="115"/>
      <c r="E428" s="115"/>
      <c r="F428" s="115"/>
      <c r="G428" s="99"/>
      <c r="H428" s="98"/>
      <c r="I428" s="100"/>
      <c r="J428" s="100"/>
      <c r="K428" s="100"/>
      <c r="L428" s="101"/>
      <c r="M428" s="101"/>
      <c r="N428" s="112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</row>
    <row r="429" spans="1:29" ht="13">
      <c r="A429" s="115"/>
      <c r="B429" s="97"/>
      <c r="C429" s="115"/>
      <c r="D429" s="115"/>
      <c r="E429" s="115"/>
      <c r="F429" s="115"/>
      <c r="G429" s="99"/>
      <c r="H429" s="98"/>
      <c r="I429" s="100"/>
      <c r="J429" s="100"/>
      <c r="K429" s="100"/>
      <c r="L429" s="101"/>
      <c r="M429" s="101"/>
      <c r="N429" s="112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</row>
    <row r="430" spans="1:29" ht="13">
      <c r="A430" s="115"/>
      <c r="B430" s="97"/>
      <c r="C430" s="115"/>
      <c r="D430" s="115"/>
      <c r="E430" s="115"/>
      <c r="F430" s="115"/>
      <c r="G430" s="99"/>
      <c r="H430" s="98"/>
      <c r="I430" s="100"/>
      <c r="J430" s="100"/>
      <c r="K430" s="100"/>
      <c r="L430" s="101"/>
      <c r="M430" s="101"/>
      <c r="N430" s="112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</row>
    <row r="431" spans="1:29" ht="13">
      <c r="A431" s="115"/>
      <c r="B431" s="97"/>
      <c r="C431" s="115"/>
      <c r="D431" s="115"/>
      <c r="E431" s="115"/>
      <c r="F431" s="115"/>
      <c r="G431" s="99"/>
      <c r="H431" s="98"/>
      <c r="I431" s="100"/>
      <c r="J431" s="100"/>
      <c r="K431" s="100"/>
      <c r="L431" s="101"/>
      <c r="M431" s="101"/>
      <c r="N431" s="112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</row>
    <row r="432" spans="1:29" ht="13">
      <c r="A432" s="115"/>
      <c r="B432" s="97"/>
      <c r="C432" s="115"/>
      <c r="D432" s="115"/>
      <c r="E432" s="115"/>
      <c r="F432" s="115"/>
      <c r="G432" s="99"/>
      <c r="H432" s="98"/>
      <c r="I432" s="100"/>
      <c r="J432" s="100"/>
      <c r="K432" s="100"/>
      <c r="L432" s="101"/>
      <c r="M432" s="101"/>
      <c r="N432" s="112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</row>
    <row r="433" spans="1:29" ht="13">
      <c r="A433" s="115"/>
      <c r="B433" s="97"/>
      <c r="C433" s="115"/>
      <c r="D433" s="115"/>
      <c r="E433" s="115"/>
      <c r="F433" s="115"/>
      <c r="G433" s="99"/>
      <c r="H433" s="98"/>
      <c r="I433" s="100"/>
      <c r="J433" s="100"/>
      <c r="K433" s="100"/>
      <c r="L433" s="101"/>
      <c r="M433" s="101"/>
      <c r="N433" s="112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</row>
    <row r="434" spans="1:29" ht="13">
      <c r="A434" s="115"/>
      <c r="B434" s="97"/>
      <c r="C434" s="115"/>
      <c r="D434" s="115"/>
      <c r="E434" s="115"/>
      <c r="F434" s="115"/>
      <c r="G434" s="99"/>
      <c r="H434" s="98"/>
      <c r="I434" s="100"/>
      <c r="J434" s="100"/>
      <c r="K434" s="100"/>
      <c r="L434" s="101"/>
      <c r="M434" s="101"/>
      <c r="N434" s="112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</row>
    <row r="435" spans="1:29" ht="13">
      <c r="A435" s="115"/>
      <c r="B435" s="97"/>
      <c r="C435" s="115"/>
      <c r="D435" s="115"/>
      <c r="E435" s="115"/>
      <c r="F435" s="115"/>
      <c r="G435" s="99"/>
      <c r="H435" s="98"/>
      <c r="I435" s="100"/>
      <c r="J435" s="100"/>
      <c r="K435" s="100"/>
      <c r="L435" s="101"/>
      <c r="M435" s="101"/>
      <c r="N435" s="112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</row>
    <row r="436" spans="1:29" ht="13">
      <c r="A436" s="115"/>
      <c r="B436" s="97"/>
      <c r="C436" s="115"/>
      <c r="D436" s="115"/>
      <c r="E436" s="115"/>
      <c r="F436" s="115"/>
      <c r="G436" s="99"/>
      <c r="H436" s="98"/>
      <c r="I436" s="100"/>
      <c r="J436" s="100"/>
      <c r="K436" s="100"/>
      <c r="L436" s="101"/>
      <c r="M436" s="101"/>
      <c r="N436" s="112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</row>
    <row r="437" spans="1:29" ht="13">
      <c r="A437" s="115"/>
      <c r="B437" s="97"/>
      <c r="C437" s="115"/>
      <c r="D437" s="115"/>
      <c r="E437" s="115"/>
      <c r="F437" s="115"/>
      <c r="G437" s="99"/>
      <c r="H437" s="98"/>
      <c r="I437" s="100"/>
      <c r="J437" s="100"/>
      <c r="K437" s="100"/>
      <c r="L437" s="101"/>
      <c r="M437" s="101"/>
      <c r="N437" s="112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</row>
    <row r="438" spans="1:29" ht="13">
      <c r="A438" s="115"/>
      <c r="B438" s="97"/>
      <c r="C438" s="115"/>
      <c r="D438" s="115"/>
      <c r="E438" s="115"/>
      <c r="F438" s="115"/>
      <c r="G438" s="99"/>
      <c r="H438" s="98"/>
      <c r="I438" s="100"/>
      <c r="J438" s="100"/>
      <c r="K438" s="100"/>
      <c r="L438" s="101"/>
      <c r="M438" s="101"/>
      <c r="N438" s="112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</row>
    <row r="439" spans="1:29" ht="13">
      <c r="A439" s="115"/>
      <c r="B439" s="97"/>
      <c r="C439" s="115"/>
      <c r="D439" s="115"/>
      <c r="E439" s="115"/>
      <c r="F439" s="115"/>
      <c r="G439" s="99"/>
      <c r="H439" s="98"/>
      <c r="I439" s="100"/>
      <c r="J439" s="100"/>
      <c r="K439" s="100"/>
      <c r="L439" s="101"/>
      <c r="M439" s="101"/>
      <c r="N439" s="112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</row>
    <row r="440" spans="1:29" ht="13">
      <c r="A440" s="115"/>
      <c r="B440" s="97"/>
      <c r="C440" s="115"/>
      <c r="D440" s="115"/>
      <c r="E440" s="115"/>
      <c r="F440" s="115"/>
      <c r="G440" s="99"/>
      <c r="H440" s="98"/>
      <c r="I440" s="100"/>
      <c r="J440" s="100"/>
      <c r="K440" s="100"/>
      <c r="L440" s="101"/>
      <c r="M440" s="101"/>
      <c r="N440" s="112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</row>
    <row r="441" spans="1:29" ht="13">
      <c r="A441" s="115"/>
      <c r="B441" s="97"/>
      <c r="C441" s="115"/>
      <c r="D441" s="115"/>
      <c r="E441" s="115"/>
      <c r="F441" s="115"/>
      <c r="G441" s="99"/>
      <c r="H441" s="98"/>
      <c r="I441" s="100"/>
      <c r="J441" s="100"/>
      <c r="K441" s="100"/>
      <c r="L441" s="101"/>
      <c r="M441" s="101"/>
      <c r="N441" s="112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</row>
    <row r="442" spans="1:29" ht="13">
      <c r="A442" s="115"/>
      <c r="B442" s="97"/>
      <c r="C442" s="115"/>
      <c r="D442" s="115"/>
      <c r="E442" s="115"/>
      <c r="F442" s="115"/>
      <c r="G442" s="99"/>
      <c r="H442" s="98"/>
      <c r="I442" s="100"/>
      <c r="J442" s="100"/>
      <c r="K442" s="100"/>
      <c r="L442" s="101"/>
      <c r="M442" s="101"/>
      <c r="N442" s="112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</row>
    <row r="443" spans="1:29" ht="13">
      <c r="A443" s="115"/>
      <c r="B443" s="97"/>
      <c r="C443" s="115"/>
      <c r="D443" s="115"/>
      <c r="E443" s="115"/>
      <c r="F443" s="115"/>
      <c r="G443" s="99"/>
      <c r="H443" s="98"/>
      <c r="I443" s="100"/>
      <c r="J443" s="100"/>
      <c r="K443" s="100"/>
      <c r="L443" s="101"/>
      <c r="M443" s="101"/>
      <c r="N443" s="112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</row>
    <row r="444" spans="1:29" ht="13">
      <c r="A444" s="115"/>
      <c r="B444" s="97"/>
      <c r="C444" s="115"/>
      <c r="D444" s="115"/>
      <c r="E444" s="115"/>
      <c r="F444" s="115"/>
      <c r="G444" s="99"/>
      <c r="H444" s="98"/>
      <c r="I444" s="100"/>
      <c r="J444" s="100"/>
      <c r="K444" s="100"/>
      <c r="L444" s="101"/>
      <c r="M444" s="101"/>
      <c r="N444" s="112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</row>
    <row r="445" spans="1:29" ht="13">
      <c r="A445" s="115"/>
      <c r="B445" s="97"/>
      <c r="C445" s="115"/>
      <c r="D445" s="115"/>
      <c r="E445" s="115"/>
      <c r="F445" s="115"/>
      <c r="G445" s="99"/>
      <c r="H445" s="98"/>
      <c r="I445" s="100"/>
      <c r="J445" s="100"/>
      <c r="K445" s="100"/>
      <c r="L445" s="101"/>
      <c r="M445" s="101"/>
      <c r="N445" s="112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</row>
    <row r="446" spans="1:29" ht="13">
      <c r="A446" s="115"/>
      <c r="B446" s="97"/>
      <c r="C446" s="115"/>
      <c r="D446" s="115"/>
      <c r="E446" s="115"/>
      <c r="F446" s="115"/>
      <c r="G446" s="99"/>
      <c r="H446" s="98"/>
      <c r="I446" s="100"/>
      <c r="J446" s="100"/>
      <c r="K446" s="100"/>
      <c r="L446" s="101"/>
      <c r="M446" s="101"/>
      <c r="N446" s="112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</row>
    <row r="447" spans="1:29" ht="13">
      <c r="A447" s="115"/>
      <c r="B447" s="97"/>
      <c r="C447" s="115"/>
      <c r="D447" s="115"/>
      <c r="E447" s="115"/>
      <c r="F447" s="115"/>
      <c r="G447" s="99"/>
      <c r="H447" s="98"/>
      <c r="I447" s="100"/>
      <c r="J447" s="100"/>
      <c r="K447" s="100"/>
      <c r="L447" s="101"/>
      <c r="M447" s="101"/>
      <c r="N447" s="112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</row>
    <row r="448" spans="1:29" ht="13">
      <c r="A448" s="115"/>
      <c r="B448" s="97"/>
      <c r="C448" s="115"/>
      <c r="D448" s="115"/>
      <c r="E448" s="115"/>
      <c r="F448" s="115"/>
      <c r="G448" s="99"/>
      <c r="H448" s="98"/>
      <c r="I448" s="100"/>
      <c r="J448" s="100"/>
      <c r="K448" s="100"/>
      <c r="L448" s="101"/>
      <c r="M448" s="101"/>
      <c r="N448" s="112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</row>
    <row r="449" spans="1:29" ht="13">
      <c r="A449" s="115"/>
      <c r="B449" s="97"/>
      <c r="C449" s="115"/>
      <c r="D449" s="115"/>
      <c r="E449" s="115"/>
      <c r="F449" s="115"/>
      <c r="G449" s="99"/>
      <c r="H449" s="98"/>
      <c r="I449" s="100"/>
      <c r="J449" s="100"/>
      <c r="K449" s="100"/>
      <c r="L449" s="101"/>
      <c r="M449" s="101"/>
      <c r="N449" s="112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</row>
    <row r="450" spans="1:29" ht="13">
      <c r="A450" s="115"/>
      <c r="B450" s="97"/>
      <c r="C450" s="115"/>
      <c r="D450" s="115"/>
      <c r="E450" s="115"/>
      <c r="F450" s="115"/>
      <c r="G450" s="99"/>
      <c r="H450" s="98"/>
      <c r="I450" s="100"/>
      <c r="J450" s="100"/>
      <c r="K450" s="100"/>
      <c r="L450" s="101"/>
      <c r="M450" s="101"/>
      <c r="N450" s="112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</row>
    <row r="451" spans="1:29" ht="13">
      <c r="A451" s="115"/>
      <c r="B451" s="97"/>
      <c r="C451" s="115"/>
      <c r="D451" s="115"/>
      <c r="E451" s="115"/>
      <c r="F451" s="115"/>
      <c r="G451" s="99"/>
      <c r="H451" s="98"/>
      <c r="I451" s="100"/>
      <c r="J451" s="100"/>
      <c r="K451" s="100"/>
      <c r="L451" s="101"/>
      <c r="M451" s="101"/>
      <c r="N451" s="112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</row>
    <row r="452" spans="1:29" ht="13">
      <c r="A452" s="115"/>
      <c r="B452" s="97"/>
      <c r="C452" s="115"/>
      <c r="D452" s="115"/>
      <c r="E452" s="115"/>
      <c r="F452" s="115"/>
      <c r="G452" s="99"/>
      <c r="H452" s="98"/>
      <c r="I452" s="100"/>
      <c r="J452" s="100"/>
      <c r="K452" s="100"/>
      <c r="L452" s="101"/>
      <c r="M452" s="101"/>
      <c r="N452" s="112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</row>
    <row r="453" spans="1:29" ht="13">
      <c r="A453" s="115"/>
      <c r="B453" s="97"/>
      <c r="C453" s="115"/>
      <c r="D453" s="115"/>
      <c r="E453" s="115"/>
      <c r="F453" s="115"/>
      <c r="G453" s="99"/>
      <c r="H453" s="98"/>
      <c r="I453" s="100"/>
      <c r="J453" s="100"/>
      <c r="K453" s="100"/>
      <c r="L453" s="101"/>
      <c r="M453" s="101"/>
      <c r="N453" s="112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</row>
    <row r="454" spans="1:29" ht="13">
      <c r="A454" s="115"/>
      <c r="B454" s="97"/>
      <c r="C454" s="115"/>
      <c r="D454" s="115"/>
      <c r="E454" s="115"/>
      <c r="F454" s="115"/>
      <c r="G454" s="99"/>
      <c r="H454" s="98"/>
      <c r="I454" s="100"/>
      <c r="J454" s="100"/>
      <c r="K454" s="100"/>
      <c r="L454" s="101"/>
      <c r="M454" s="101"/>
      <c r="N454" s="112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</row>
    <row r="455" spans="1:29" ht="13">
      <c r="A455" s="115"/>
      <c r="B455" s="97"/>
      <c r="C455" s="115"/>
      <c r="D455" s="115"/>
      <c r="E455" s="115"/>
      <c r="F455" s="115"/>
      <c r="G455" s="99"/>
      <c r="H455" s="98"/>
      <c r="I455" s="100"/>
      <c r="J455" s="100"/>
      <c r="K455" s="100"/>
      <c r="L455" s="101"/>
      <c r="M455" s="101"/>
      <c r="N455" s="112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</row>
    <row r="456" spans="1:29" ht="13">
      <c r="A456" s="115"/>
      <c r="B456" s="97"/>
      <c r="C456" s="115"/>
      <c r="D456" s="115"/>
      <c r="E456" s="115"/>
      <c r="F456" s="115"/>
      <c r="G456" s="99"/>
      <c r="H456" s="98"/>
      <c r="I456" s="100"/>
      <c r="J456" s="100"/>
      <c r="K456" s="100"/>
      <c r="L456" s="101"/>
      <c r="M456" s="101"/>
      <c r="N456" s="112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</row>
    <row r="457" spans="1:29" ht="13">
      <c r="A457" s="115"/>
      <c r="B457" s="97"/>
      <c r="C457" s="115"/>
      <c r="D457" s="115"/>
      <c r="E457" s="115"/>
      <c r="F457" s="115"/>
      <c r="G457" s="99"/>
      <c r="H457" s="98"/>
      <c r="I457" s="100"/>
      <c r="J457" s="100"/>
      <c r="K457" s="100"/>
      <c r="L457" s="101"/>
      <c r="M457" s="101"/>
      <c r="N457" s="112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</row>
    <row r="458" spans="1:29" ht="13">
      <c r="A458" s="115"/>
      <c r="B458" s="97"/>
      <c r="C458" s="115"/>
      <c r="D458" s="115"/>
      <c r="E458" s="115"/>
      <c r="F458" s="115"/>
      <c r="G458" s="99"/>
      <c r="H458" s="98"/>
      <c r="I458" s="100"/>
      <c r="J458" s="100"/>
      <c r="K458" s="100"/>
      <c r="L458" s="101"/>
      <c r="M458" s="101"/>
      <c r="N458" s="112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</row>
    <row r="459" spans="1:29" ht="13">
      <c r="A459" s="115"/>
      <c r="B459" s="97"/>
      <c r="C459" s="115"/>
      <c r="D459" s="115"/>
      <c r="E459" s="115"/>
      <c r="F459" s="115"/>
      <c r="G459" s="99"/>
      <c r="H459" s="98"/>
      <c r="I459" s="100"/>
      <c r="J459" s="100"/>
      <c r="K459" s="100"/>
      <c r="L459" s="101"/>
      <c r="M459" s="101"/>
      <c r="N459" s="112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</row>
    <row r="460" spans="1:29" ht="13">
      <c r="A460" s="115"/>
      <c r="B460" s="97"/>
      <c r="C460" s="115"/>
      <c r="D460" s="115"/>
      <c r="E460" s="115"/>
      <c r="F460" s="115"/>
      <c r="G460" s="99"/>
      <c r="H460" s="98"/>
      <c r="I460" s="100"/>
      <c r="J460" s="100"/>
      <c r="K460" s="100"/>
      <c r="L460" s="101"/>
      <c r="M460" s="101"/>
      <c r="N460" s="112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</row>
    <row r="461" spans="1:29" ht="13">
      <c r="A461" s="115"/>
      <c r="B461" s="97"/>
      <c r="C461" s="115"/>
      <c r="D461" s="115"/>
      <c r="E461" s="115"/>
      <c r="F461" s="115"/>
      <c r="G461" s="99"/>
      <c r="H461" s="98"/>
      <c r="I461" s="100"/>
      <c r="J461" s="100"/>
      <c r="K461" s="100"/>
      <c r="L461" s="101"/>
      <c r="M461" s="101"/>
      <c r="N461" s="112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</row>
    <row r="462" spans="1:29" ht="13">
      <c r="A462" s="115"/>
      <c r="B462" s="97"/>
      <c r="C462" s="115"/>
      <c r="D462" s="115"/>
      <c r="E462" s="115"/>
      <c r="F462" s="115"/>
      <c r="G462" s="99"/>
      <c r="H462" s="98"/>
      <c r="I462" s="100"/>
      <c r="J462" s="100"/>
      <c r="K462" s="100"/>
      <c r="L462" s="101"/>
      <c r="M462" s="101"/>
      <c r="N462" s="112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</row>
    <row r="463" spans="1:29" ht="13">
      <c r="A463" s="115"/>
      <c r="B463" s="97"/>
      <c r="C463" s="115"/>
      <c r="D463" s="115"/>
      <c r="E463" s="115"/>
      <c r="F463" s="115"/>
      <c r="G463" s="99"/>
      <c r="H463" s="98"/>
      <c r="I463" s="100"/>
      <c r="J463" s="100"/>
      <c r="K463" s="100"/>
      <c r="L463" s="101"/>
      <c r="M463" s="101"/>
      <c r="N463" s="112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</row>
    <row r="464" spans="1:29" ht="13">
      <c r="A464" s="115"/>
      <c r="B464" s="97"/>
      <c r="C464" s="115"/>
      <c r="D464" s="115"/>
      <c r="E464" s="115"/>
      <c r="F464" s="115"/>
      <c r="G464" s="99"/>
      <c r="H464" s="98"/>
      <c r="I464" s="100"/>
      <c r="J464" s="100"/>
      <c r="K464" s="100"/>
      <c r="L464" s="101"/>
      <c r="M464" s="101"/>
      <c r="N464" s="112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</row>
    <row r="465" spans="1:29" ht="13">
      <c r="A465" s="115"/>
      <c r="B465" s="97"/>
      <c r="C465" s="115"/>
      <c r="D465" s="115"/>
      <c r="E465" s="115"/>
      <c r="F465" s="115"/>
      <c r="G465" s="99"/>
      <c r="H465" s="98"/>
      <c r="I465" s="100"/>
      <c r="J465" s="100"/>
      <c r="K465" s="100"/>
      <c r="L465" s="101"/>
      <c r="M465" s="101"/>
      <c r="N465" s="112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</row>
    <row r="466" spans="1:29" ht="13">
      <c r="A466" s="115"/>
      <c r="B466" s="97"/>
      <c r="C466" s="115"/>
      <c r="D466" s="115"/>
      <c r="E466" s="115"/>
      <c r="F466" s="115"/>
      <c r="G466" s="99"/>
      <c r="H466" s="98"/>
      <c r="I466" s="100"/>
      <c r="J466" s="100"/>
      <c r="K466" s="100"/>
      <c r="L466" s="101"/>
      <c r="M466" s="101"/>
      <c r="N466" s="112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</row>
    <row r="467" spans="1:29" ht="13">
      <c r="A467" s="115"/>
      <c r="B467" s="97"/>
      <c r="C467" s="115"/>
      <c r="D467" s="115"/>
      <c r="E467" s="115"/>
      <c r="F467" s="115"/>
      <c r="G467" s="99"/>
      <c r="H467" s="98"/>
      <c r="I467" s="100"/>
      <c r="J467" s="100"/>
      <c r="K467" s="100"/>
      <c r="L467" s="101"/>
      <c r="M467" s="101"/>
      <c r="N467" s="112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</row>
    <row r="468" spans="1:29" ht="13">
      <c r="A468" s="115"/>
      <c r="B468" s="97"/>
      <c r="C468" s="115"/>
      <c r="D468" s="115"/>
      <c r="E468" s="115"/>
      <c r="F468" s="115"/>
      <c r="G468" s="99"/>
      <c r="H468" s="98"/>
      <c r="I468" s="100"/>
      <c r="J468" s="100"/>
      <c r="K468" s="100"/>
      <c r="L468" s="101"/>
      <c r="M468" s="101"/>
      <c r="N468" s="112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</row>
    <row r="469" spans="1:29" ht="13">
      <c r="A469" s="115"/>
      <c r="B469" s="97"/>
      <c r="C469" s="115"/>
      <c r="D469" s="115"/>
      <c r="E469" s="115"/>
      <c r="F469" s="115"/>
      <c r="G469" s="99"/>
      <c r="H469" s="98"/>
      <c r="I469" s="100"/>
      <c r="J469" s="100"/>
      <c r="K469" s="100"/>
      <c r="L469" s="101"/>
      <c r="M469" s="101"/>
      <c r="N469" s="112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</row>
    <row r="470" spans="1:29" ht="13">
      <c r="A470" s="115"/>
      <c r="B470" s="97"/>
      <c r="C470" s="115"/>
      <c r="D470" s="115"/>
      <c r="E470" s="115"/>
      <c r="F470" s="115"/>
      <c r="G470" s="99"/>
      <c r="H470" s="98"/>
      <c r="I470" s="100"/>
      <c r="J470" s="100"/>
      <c r="K470" s="100"/>
      <c r="L470" s="101"/>
      <c r="M470" s="101"/>
      <c r="N470" s="112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</row>
    <row r="471" spans="1:29" ht="13">
      <c r="A471" s="115"/>
      <c r="B471" s="97"/>
      <c r="C471" s="115"/>
      <c r="D471" s="115"/>
      <c r="E471" s="115"/>
      <c r="F471" s="115"/>
      <c r="G471" s="99"/>
      <c r="H471" s="98"/>
      <c r="I471" s="100"/>
      <c r="J471" s="100"/>
      <c r="K471" s="100"/>
      <c r="L471" s="101"/>
      <c r="M471" s="101"/>
      <c r="N471" s="112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</row>
    <row r="472" spans="1:29" ht="13">
      <c r="A472" s="115"/>
      <c r="B472" s="97"/>
      <c r="C472" s="115"/>
      <c r="D472" s="115"/>
      <c r="E472" s="115"/>
      <c r="F472" s="115"/>
      <c r="G472" s="99"/>
      <c r="H472" s="98"/>
      <c r="I472" s="100"/>
      <c r="J472" s="100"/>
      <c r="K472" s="100"/>
      <c r="L472" s="101"/>
      <c r="M472" s="101"/>
      <c r="N472" s="112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</row>
    <row r="473" spans="1:29" ht="13">
      <c r="A473" s="115"/>
      <c r="B473" s="97"/>
      <c r="C473" s="115"/>
      <c r="D473" s="115"/>
      <c r="E473" s="115"/>
      <c r="F473" s="115"/>
      <c r="G473" s="99"/>
      <c r="H473" s="98"/>
      <c r="I473" s="100"/>
      <c r="J473" s="100"/>
      <c r="K473" s="100"/>
      <c r="L473" s="101"/>
      <c r="M473" s="101"/>
      <c r="N473" s="112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</row>
    <row r="474" spans="1:29" ht="13">
      <c r="A474" s="115"/>
      <c r="B474" s="97"/>
      <c r="C474" s="115"/>
      <c r="D474" s="115"/>
      <c r="E474" s="115"/>
      <c r="F474" s="115"/>
      <c r="G474" s="99"/>
      <c r="H474" s="98"/>
      <c r="I474" s="100"/>
      <c r="J474" s="100"/>
      <c r="K474" s="100"/>
      <c r="L474" s="101"/>
      <c r="M474" s="101"/>
      <c r="N474" s="112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</row>
    <row r="475" spans="1:29" ht="13">
      <c r="A475" s="115"/>
      <c r="B475" s="97"/>
      <c r="C475" s="115"/>
      <c r="D475" s="115"/>
      <c r="E475" s="115"/>
      <c r="F475" s="115"/>
      <c r="G475" s="99"/>
      <c r="H475" s="98"/>
      <c r="I475" s="100"/>
      <c r="J475" s="100"/>
      <c r="K475" s="100"/>
      <c r="L475" s="101"/>
      <c r="M475" s="101"/>
      <c r="N475" s="112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</row>
    <row r="476" spans="1:29" ht="13">
      <c r="A476" s="115"/>
      <c r="B476" s="97"/>
      <c r="C476" s="115"/>
      <c r="D476" s="115"/>
      <c r="E476" s="115"/>
      <c r="F476" s="115"/>
      <c r="G476" s="99"/>
      <c r="H476" s="98"/>
      <c r="I476" s="100"/>
      <c r="J476" s="100"/>
      <c r="K476" s="100"/>
      <c r="L476" s="101"/>
      <c r="M476" s="101"/>
      <c r="N476" s="112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</row>
    <row r="477" spans="1:29" ht="13">
      <c r="A477" s="115"/>
      <c r="B477" s="97"/>
      <c r="C477" s="115"/>
      <c r="D477" s="115"/>
      <c r="E477" s="115"/>
      <c r="F477" s="115"/>
      <c r="G477" s="99"/>
      <c r="H477" s="98"/>
      <c r="I477" s="100"/>
      <c r="J477" s="100"/>
      <c r="K477" s="100"/>
      <c r="L477" s="101"/>
      <c r="M477" s="101"/>
      <c r="N477" s="112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</row>
    <row r="478" spans="1:29" ht="13">
      <c r="A478" s="115"/>
      <c r="B478" s="97"/>
      <c r="C478" s="115"/>
      <c r="D478" s="115"/>
      <c r="E478" s="115"/>
      <c r="F478" s="115"/>
      <c r="G478" s="99"/>
      <c r="H478" s="98"/>
      <c r="I478" s="100"/>
      <c r="J478" s="100"/>
      <c r="K478" s="100"/>
      <c r="L478" s="101"/>
      <c r="M478" s="101"/>
      <c r="N478" s="112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</row>
    <row r="479" spans="1:29" ht="13">
      <c r="A479" s="115"/>
      <c r="B479" s="97"/>
      <c r="C479" s="115"/>
      <c r="D479" s="115"/>
      <c r="E479" s="115"/>
      <c r="F479" s="115"/>
      <c r="G479" s="99"/>
      <c r="H479" s="98"/>
      <c r="I479" s="100"/>
      <c r="J479" s="100"/>
      <c r="K479" s="100"/>
      <c r="L479" s="101"/>
      <c r="M479" s="101"/>
      <c r="N479" s="112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</row>
    <row r="480" spans="1:29" ht="13">
      <c r="A480" s="115"/>
      <c r="B480" s="97"/>
      <c r="C480" s="115"/>
      <c r="D480" s="115"/>
      <c r="E480" s="115"/>
      <c r="F480" s="115"/>
      <c r="G480" s="99"/>
      <c r="H480" s="98"/>
      <c r="I480" s="100"/>
      <c r="J480" s="100"/>
      <c r="K480" s="100"/>
      <c r="L480" s="101"/>
      <c r="M480" s="101"/>
      <c r="N480" s="112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</row>
    <row r="481" spans="1:29" ht="13">
      <c r="A481" s="115"/>
      <c r="B481" s="97"/>
      <c r="C481" s="115"/>
      <c r="D481" s="115"/>
      <c r="E481" s="115"/>
      <c r="F481" s="115"/>
      <c r="G481" s="99"/>
      <c r="H481" s="98"/>
      <c r="I481" s="100"/>
      <c r="J481" s="100"/>
      <c r="K481" s="100"/>
      <c r="L481" s="101"/>
      <c r="M481" s="101"/>
      <c r="N481" s="112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</row>
    <row r="482" spans="1:29" ht="13">
      <c r="A482" s="115"/>
      <c r="B482" s="97"/>
      <c r="C482" s="115"/>
      <c r="D482" s="115"/>
      <c r="E482" s="115"/>
      <c r="F482" s="115"/>
      <c r="G482" s="99"/>
      <c r="H482" s="98"/>
      <c r="I482" s="100"/>
      <c r="J482" s="100"/>
      <c r="K482" s="100"/>
      <c r="L482" s="101"/>
      <c r="M482" s="101"/>
      <c r="N482" s="112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</row>
    <row r="483" spans="1:29" ht="13">
      <c r="A483" s="115"/>
      <c r="B483" s="97"/>
      <c r="C483" s="115"/>
      <c r="D483" s="115"/>
      <c r="E483" s="115"/>
      <c r="F483" s="115"/>
      <c r="G483" s="99"/>
      <c r="H483" s="98"/>
      <c r="I483" s="100"/>
      <c r="J483" s="100"/>
      <c r="K483" s="100"/>
      <c r="L483" s="101"/>
      <c r="M483" s="101"/>
      <c r="N483" s="112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</row>
    <row r="484" spans="1:29" ht="13">
      <c r="A484" s="115"/>
      <c r="B484" s="97"/>
      <c r="C484" s="115"/>
      <c r="D484" s="115"/>
      <c r="E484" s="115"/>
      <c r="F484" s="115"/>
      <c r="G484" s="99"/>
      <c r="H484" s="98"/>
      <c r="I484" s="100"/>
      <c r="J484" s="100"/>
      <c r="K484" s="100"/>
      <c r="L484" s="101"/>
      <c r="M484" s="101"/>
      <c r="N484" s="112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</row>
    <row r="485" spans="1:29" ht="13">
      <c r="A485" s="115"/>
      <c r="B485" s="97"/>
      <c r="C485" s="115"/>
      <c r="D485" s="115"/>
      <c r="E485" s="115"/>
      <c r="F485" s="115"/>
      <c r="G485" s="99"/>
      <c r="H485" s="98"/>
      <c r="I485" s="100"/>
      <c r="J485" s="100"/>
      <c r="K485" s="100"/>
      <c r="L485" s="101"/>
      <c r="M485" s="101"/>
      <c r="N485" s="112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</row>
    <row r="486" spans="1:29" ht="13">
      <c r="A486" s="115"/>
      <c r="B486" s="97"/>
      <c r="C486" s="115"/>
      <c r="D486" s="115"/>
      <c r="E486" s="115"/>
      <c r="F486" s="115"/>
      <c r="G486" s="99"/>
      <c r="H486" s="98"/>
      <c r="I486" s="100"/>
      <c r="J486" s="100"/>
      <c r="K486" s="100"/>
      <c r="L486" s="101"/>
      <c r="M486" s="101"/>
      <c r="N486" s="112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</row>
    <row r="487" spans="1:29" ht="13">
      <c r="A487" s="115"/>
      <c r="B487" s="97"/>
      <c r="C487" s="115"/>
      <c r="D487" s="115"/>
      <c r="E487" s="115"/>
      <c r="F487" s="115"/>
      <c r="G487" s="99"/>
      <c r="H487" s="98"/>
      <c r="I487" s="100"/>
      <c r="J487" s="100"/>
      <c r="K487" s="100"/>
      <c r="L487" s="101"/>
      <c r="M487" s="101"/>
      <c r="N487" s="112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</row>
    <row r="488" spans="1:29" ht="13">
      <c r="A488" s="115"/>
      <c r="B488" s="97"/>
      <c r="C488" s="115"/>
      <c r="D488" s="115"/>
      <c r="E488" s="115"/>
      <c r="F488" s="115"/>
      <c r="G488" s="99"/>
      <c r="H488" s="98"/>
      <c r="I488" s="100"/>
      <c r="J488" s="100"/>
      <c r="K488" s="100"/>
      <c r="L488" s="101"/>
      <c r="M488" s="101"/>
      <c r="N488" s="112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</row>
    <row r="489" spans="1:29" ht="13">
      <c r="A489" s="115"/>
      <c r="B489" s="97"/>
      <c r="C489" s="115"/>
      <c r="D489" s="115"/>
      <c r="E489" s="115"/>
      <c r="F489" s="115"/>
      <c r="G489" s="99"/>
      <c r="H489" s="98"/>
      <c r="I489" s="100"/>
      <c r="J489" s="100"/>
      <c r="K489" s="100"/>
      <c r="L489" s="101"/>
      <c r="M489" s="101"/>
      <c r="N489" s="112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</row>
    <row r="490" spans="1:29" ht="13">
      <c r="A490" s="115"/>
      <c r="B490" s="97"/>
      <c r="C490" s="115"/>
      <c r="D490" s="115"/>
      <c r="E490" s="115"/>
      <c r="F490" s="115"/>
      <c r="G490" s="99"/>
      <c r="H490" s="98"/>
      <c r="I490" s="100"/>
      <c r="J490" s="100"/>
      <c r="K490" s="100"/>
      <c r="L490" s="101"/>
      <c r="M490" s="101"/>
      <c r="N490" s="112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</row>
    <row r="491" spans="1:29" ht="13">
      <c r="A491" s="115"/>
      <c r="B491" s="97"/>
      <c r="C491" s="115"/>
      <c r="D491" s="115"/>
      <c r="E491" s="115"/>
      <c r="F491" s="115"/>
      <c r="G491" s="99"/>
      <c r="H491" s="98"/>
      <c r="I491" s="100"/>
      <c r="J491" s="100"/>
      <c r="K491" s="100"/>
      <c r="L491" s="101"/>
      <c r="M491" s="101"/>
      <c r="N491" s="112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</row>
    <row r="492" spans="1:29" ht="13">
      <c r="A492" s="115"/>
      <c r="B492" s="97"/>
      <c r="C492" s="115"/>
      <c r="D492" s="115"/>
      <c r="E492" s="115"/>
      <c r="F492" s="115"/>
      <c r="G492" s="99"/>
      <c r="H492" s="98"/>
      <c r="I492" s="100"/>
      <c r="J492" s="100"/>
      <c r="K492" s="100"/>
      <c r="L492" s="101"/>
      <c r="M492" s="101"/>
      <c r="N492" s="112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</row>
    <row r="493" spans="1:29" ht="13">
      <c r="A493" s="115"/>
      <c r="B493" s="97"/>
      <c r="C493" s="115"/>
      <c r="D493" s="115"/>
      <c r="E493" s="115"/>
      <c r="F493" s="115"/>
      <c r="G493" s="99"/>
      <c r="H493" s="98"/>
      <c r="I493" s="100"/>
      <c r="J493" s="100"/>
      <c r="K493" s="100"/>
      <c r="L493" s="101"/>
      <c r="M493" s="101"/>
      <c r="N493" s="112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</row>
    <row r="494" spans="1:29" ht="13">
      <c r="A494" s="115"/>
      <c r="B494" s="97"/>
      <c r="C494" s="115"/>
      <c r="D494" s="115"/>
      <c r="E494" s="115"/>
      <c r="F494" s="115"/>
      <c r="G494" s="99"/>
      <c r="H494" s="98"/>
      <c r="I494" s="100"/>
      <c r="J494" s="100"/>
      <c r="K494" s="100"/>
      <c r="L494" s="101"/>
      <c r="M494" s="101"/>
      <c r="N494" s="112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</row>
    <row r="495" spans="1:29" ht="13">
      <c r="A495" s="115"/>
      <c r="B495" s="97"/>
      <c r="C495" s="115"/>
      <c r="D495" s="115"/>
      <c r="E495" s="115"/>
      <c r="F495" s="115"/>
      <c r="G495" s="99"/>
      <c r="H495" s="98"/>
      <c r="I495" s="100"/>
      <c r="J495" s="100"/>
      <c r="K495" s="100"/>
      <c r="L495" s="101"/>
      <c r="M495" s="101"/>
      <c r="N495" s="112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</row>
    <row r="496" spans="1:29" ht="13">
      <c r="A496" s="115"/>
      <c r="B496" s="97"/>
      <c r="C496" s="115"/>
      <c r="D496" s="115"/>
      <c r="E496" s="115"/>
      <c r="F496" s="115"/>
      <c r="G496" s="99"/>
      <c r="H496" s="98"/>
      <c r="I496" s="100"/>
      <c r="J496" s="100"/>
      <c r="K496" s="100"/>
      <c r="L496" s="101"/>
      <c r="M496" s="101"/>
      <c r="N496" s="112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</row>
    <row r="497" spans="1:29" ht="13">
      <c r="A497" s="115"/>
      <c r="B497" s="97"/>
      <c r="C497" s="115"/>
      <c r="D497" s="115"/>
      <c r="E497" s="115"/>
      <c r="F497" s="115"/>
      <c r="G497" s="99"/>
      <c r="H497" s="98"/>
      <c r="I497" s="100"/>
      <c r="J497" s="100"/>
      <c r="K497" s="100"/>
      <c r="L497" s="101"/>
      <c r="M497" s="101"/>
      <c r="N497" s="112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</row>
    <row r="498" spans="1:29" ht="13">
      <c r="A498" s="115"/>
      <c r="B498" s="97"/>
      <c r="C498" s="115"/>
      <c r="D498" s="115"/>
      <c r="E498" s="115"/>
      <c r="F498" s="115"/>
      <c r="G498" s="99"/>
      <c r="H498" s="98"/>
      <c r="I498" s="100"/>
      <c r="J498" s="100"/>
      <c r="K498" s="100"/>
      <c r="L498" s="101"/>
      <c r="M498" s="101"/>
      <c r="N498" s="112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</row>
    <row r="499" spans="1:29" ht="13">
      <c r="A499" s="115"/>
      <c r="B499" s="97"/>
      <c r="C499" s="115"/>
      <c r="D499" s="115"/>
      <c r="E499" s="115"/>
      <c r="F499" s="115"/>
      <c r="G499" s="99"/>
      <c r="H499" s="98"/>
      <c r="I499" s="100"/>
      <c r="J499" s="100"/>
      <c r="K499" s="100"/>
      <c r="L499" s="101"/>
      <c r="M499" s="101"/>
      <c r="N499" s="112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</row>
    <row r="500" spans="1:29" ht="13">
      <c r="A500" s="115"/>
      <c r="B500" s="97"/>
      <c r="C500" s="115"/>
      <c r="D500" s="115"/>
      <c r="E500" s="115"/>
      <c r="F500" s="115"/>
      <c r="G500" s="99"/>
      <c r="H500" s="98"/>
      <c r="I500" s="100"/>
      <c r="J500" s="100"/>
      <c r="K500" s="100"/>
      <c r="L500" s="101"/>
      <c r="M500" s="101"/>
      <c r="N500" s="112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</row>
    <row r="501" spans="1:29" ht="13">
      <c r="A501" s="115"/>
      <c r="B501" s="97"/>
      <c r="C501" s="115"/>
      <c r="D501" s="115"/>
      <c r="E501" s="115"/>
      <c r="F501" s="115"/>
      <c r="G501" s="99"/>
      <c r="H501" s="98"/>
      <c r="I501" s="100"/>
      <c r="J501" s="100"/>
      <c r="K501" s="100"/>
      <c r="L501" s="101"/>
      <c r="M501" s="101"/>
      <c r="N501" s="112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</row>
    <row r="502" spans="1:29" ht="13">
      <c r="A502" s="115"/>
      <c r="B502" s="97"/>
      <c r="C502" s="115"/>
      <c r="D502" s="115"/>
      <c r="E502" s="115"/>
      <c r="F502" s="115"/>
      <c r="G502" s="99"/>
      <c r="H502" s="98"/>
      <c r="I502" s="100"/>
      <c r="J502" s="100"/>
      <c r="K502" s="100"/>
      <c r="L502" s="101"/>
      <c r="M502" s="101"/>
      <c r="N502" s="112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</row>
    <row r="503" spans="1:29" ht="13">
      <c r="A503" s="115"/>
      <c r="B503" s="97"/>
      <c r="C503" s="115"/>
      <c r="D503" s="115"/>
      <c r="E503" s="115"/>
      <c r="F503" s="115"/>
      <c r="G503" s="99"/>
      <c r="H503" s="98"/>
      <c r="I503" s="100"/>
      <c r="J503" s="100"/>
      <c r="K503" s="100"/>
      <c r="L503" s="101"/>
      <c r="M503" s="101"/>
      <c r="N503" s="112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</row>
    <row r="504" spans="1:29" ht="13">
      <c r="A504" s="115"/>
      <c r="B504" s="97"/>
      <c r="C504" s="115"/>
      <c r="D504" s="115"/>
      <c r="E504" s="115"/>
      <c r="F504" s="115"/>
      <c r="G504" s="99"/>
      <c r="H504" s="98"/>
      <c r="I504" s="100"/>
      <c r="J504" s="100"/>
      <c r="K504" s="100"/>
      <c r="L504" s="101"/>
      <c r="M504" s="101"/>
      <c r="N504" s="112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</row>
    <row r="505" spans="1:29" ht="13">
      <c r="A505" s="115"/>
      <c r="B505" s="97"/>
      <c r="C505" s="115"/>
      <c r="D505" s="115"/>
      <c r="E505" s="115"/>
      <c r="F505" s="115"/>
      <c r="G505" s="99"/>
      <c r="H505" s="98"/>
      <c r="I505" s="100"/>
      <c r="J505" s="100"/>
      <c r="K505" s="100"/>
      <c r="L505" s="101"/>
      <c r="M505" s="101"/>
      <c r="N505" s="112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</row>
    <row r="506" spans="1:29" ht="13">
      <c r="A506" s="115"/>
      <c r="B506" s="97"/>
      <c r="C506" s="115"/>
      <c r="D506" s="115"/>
      <c r="E506" s="115"/>
      <c r="F506" s="115"/>
      <c r="G506" s="99"/>
      <c r="H506" s="98"/>
      <c r="I506" s="100"/>
      <c r="J506" s="100"/>
      <c r="K506" s="100"/>
      <c r="L506" s="101"/>
      <c r="M506" s="101"/>
      <c r="N506" s="112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</row>
    <row r="507" spans="1:29" ht="13">
      <c r="A507" s="115"/>
      <c r="B507" s="97"/>
      <c r="C507" s="115"/>
      <c r="D507" s="115"/>
      <c r="E507" s="115"/>
      <c r="F507" s="115"/>
      <c r="G507" s="99"/>
      <c r="H507" s="98"/>
      <c r="I507" s="100"/>
      <c r="J507" s="100"/>
      <c r="K507" s="100"/>
      <c r="L507" s="101"/>
      <c r="M507" s="101"/>
      <c r="N507" s="112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</row>
    <row r="508" spans="1:29" ht="13">
      <c r="A508" s="115"/>
      <c r="B508" s="97"/>
      <c r="C508" s="115"/>
      <c r="D508" s="115"/>
      <c r="E508" s="115"/>
      <c r="F508" s="115"/>
      <c r="G508" s="99"/>
      <c r="H508" s="98"/>
      <c r="I508" s="100"/>
      <c r="J508" s="100"/>
      <c r="K508" s="100"/>
      <c r="L508" s="101"/>
      <c r="M508" s="101"/>
      <c r="N508" s="112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</row>
    <row r="509" spans="1:29" ht="13">
      <c r="A509" s="115"/>
      <c r="B509" s="97"/>
      <c r="C509" s="115"/>
      <c r="D509" s="115"/>
      <c r="E509" s="115"/>
      <c r="F509" s="115"/>
      <c r="G509" s="99"/>
      <c r="H509" s="98"/>
      <c r="I509" s="100"/>
      <c r="J509" s="100"/>
      <c r="K509" s="100"/>
      <c r="L509" s="101"/>
      <c r="M509" s="101"/>
      <c r="N509" s="112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</row>
    <row r="510" spans="1:29" ht="13">
      <c r="A510" s="115"/>
      <c r="B510" s="97"/>
      <c r="C510" s="115"/>
      <c r="D510" s="115"/>
      <c r="E510" s="115"/>
      <c r="F510" s="115"/>
      <c r="G510" s="99"/>
      <c r="H510" s="98"/>
      <c r="I510" s="100"/>
      <c r="J510" s="100"/>
      <c r="K510" s="100"/>
      <c r="L510" s="101"/>
      <c r="M510" s="101"/>
      <c r="N510" s="112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</row>
    <row r="511" spans="1:29" ht="13">
      <c r="A511" s="115"/>
      <c r="B511" s="97"/>
      <c r="C511" s="115"/>
      <c r="D511" s="115"/>
      <c r="E511" s="115"/>
      <c r="F511" s="115"/>
      <c r="G511" s="99"/>
      <c r="H511" s="98"/>
      <c r="I511" s="100"/>
      <c r="J511" s="100"/>
      <c r="K511" s="100"/>
      <c r="L511" s="101"/>
      <c r="M511" s="101"/>
      <c r="N511" s="112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</row>
    <row r="512" spans="1:29" ht="13">
      <c r="A512" s="115"/>
      <c r="B512" s="97"/>
      <c r="C512" s="115"/>
      <c r="D512" s="115"/>
      <c r="E512" s="115"/>
      <c r="F512" s="115"/>
      <c r="G512" s="99"/>
      <c r="H512" s="98"/>
      <c r="I512" s="100"/>
      <c r="J512" s="100"/>
      <c r="K512" s="100"/>
      <c r="L512" s="101"/>
      <c r="M512" s="101"/>
      <c r="N512" s="112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</row>
    <row r="513" spans="1:29" ht="13">
      <c r="A513" s="115"/>
      <c r="B513" s="97"/>
      <c r="C513" s="115"/>
      <c r="D513" s="115"/>
      <c r="E513" s="115"/>
      <c r="F513" s="115"/>
      <c r="G513" s="99"/>
      <c r="H513" s="98"/>
      <c r="I513" s="100"/>
      <c r="J513" s="100"/>
      <c r="K513" s="100"/>
      <c r="L513" s="101"/>
      <c r="M513" s="101"/>
      <c r="N513" s="112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</row>
    <row r="514" spans="1:29" ht="13">
      <c r="A514" s="115"/>
      <c r="B514" s="97"/>
      <c r="C514" s="115"/>
      <c r="D514" s="115"/>
      <c r="E514" s="115"/>
      <c r="F514" s="115"/>
      <c r="G514" s="99"/>
      <c r="H514" s="98"/>
      <c r="I514" s="100"/>
      <c r="J514" s="100"/>
      <c r="K514" s="100"/>
      <c r="L514" s="101"/>
      <c r="M514" s="101"/>
      <c r="N514" s="112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</row>
    <row r="515" spans="1:29" ht="13">
      <c r="A515" s="115"/>
      <c r="B515" s="97"/>
      <c r="C515" s="115"/>
      <c r="D515" s="115"/>
      <c r="E515" s="115"/>
      <c r="F515" s="115"/>
      <c r="G515" s="99"/>
      <c r="H515" s="98"/>
      <c r="I515" s="100"/>
      <c r="J515" s="100"/>
      <c r="K515" s="100"/>
      <c r="L515" s="101"/>
      <c r="M515" s="101"/>
      <c r="N515" s="112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</row>
    <row r="516" spans="1:29" ht="13">
      <c r="A516" s="115"/>
      <c r="B516" s="97"/>
      <c r="C516" s="115"/>
      <c r="D516" s="115"/>
      <c r="E516" s="115"/>
      <c r="F516" s="115"/>
      <c r="G516" s="99"/>
      <c r="H516" s="98"/>
      <c r="I516" s="100"/>
      <c r="J516" s="100"/>
      <c r="K516" s="100"/>
      <c r="L516" s="101"/>
      <c r="M516" s="101"/>
      <c r="N516" s="112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</row>
    <row r="517" spans="1:29" ht="13">
      <c r="A517" s="115"/>
      <c r="B517" s="97"/>
      <c r="C517" s="115"/>
      <c r="D517" s="115"/>
      <c r="E517" s="115"/>
      <c r="F517" s="115"/>
      <c r="G517" s="99"/>
      <c r="H517" s="98"/>
      <c r="I517" s="100"/>
      <c r="J517" s="100"/>
      <c r="K517" s="100"/>
      <c r="L517" s="101"/>
      <c r="M517" s="101"/>
      <c r="N517" s="112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</row>
    <row r="518" spans="1:29" ht="13">
      <c r="A518" s="115"/>
      <c r="B518" s="97"/>
      <c r="C518" s="115"/>
      <c r="D518" s="115"/>
      <c r="E518" s="115"/>
      <c r="F518" s="115"/>
      <c r="G518" s="99"/>
      <c r="H518" s="98"/>
      <c r="I518" s="100"/>
      <c r="J518" s="100"/>
      <c r="K518" s="100"/>
      <c r="L518" s="101"/>
      <c r="M518" s="101"/>
      <c r="N518" s="112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</row>
    <row r="519" spans="1:29" ht="13">
      <c r="A519" s="115"/>
      <c r="B519" s="97"/>
      <c r="C519" s="115"/>
      <c r="D519" s="115"/>
      <c r="E519" s="115"/>
      <c r="F519" s="115"/>
      <c r="G519" s="99"/>
      <c r="H519" s="98"/>
      <c r="I519" s="100"/>
      <c r="J519" s="100"/>
      <c r="K519" s="100"/>
      <c r="L519" s="101"/>
      <c r="M519" s="101"/>
      <c r="N519" s="112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</row>
    <row r="520" spans="1:29" ht="13">
      <c r="A520" s="115"/>
      <c r="B520" s="97"/>
      <c r="C520" s="115"/>
      <c r="D520" s="115"/>
      <c r="E520" s="115"/>
      <c r="F520" s="115"/>
      <c r="G520" s="99"/>
      <c r="H520" s="98"/>
      <c r="I520" s="100"/>
      <c r="J520" s="100"/>
      <c r="K520" s="100"/>
      <c r="L520" s="101"/>
      <c r="M520" s="101"/>
      <c r="N520" s="112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</row>
    <row r="521" spans="1:29" ht="13">
      <c r="A521" s="115"/>
      <c r="B521" s="97"/>
      <c r="C521" s="115"/>
      <c r="D521" s="115"/>
      <c r="E521" s="115"/>
      <c r="F521" s="115"/>
      <c r="G521" s="99"/>
      <c r="H521" s="98"/>
      <c r="I521" s="100"/>
      <c r="J521" s="100"/>
      <c r="K521" s="100"/>
      <c r="L521" s="101"/>
      <c r="M521" s="101"/>
      <c r="N521" s="112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</row>
    <row r="522" spans="1:29" ht="13">
      <c r="A522" s="115"/>
      <c r="B522" s="97"/>
      <c r="C522" s="115"/>
      <c r="D522" s="115"/>
      <c r="E522" s="115"/>
      <c r="F522" s="115"/>
      <c r="G522" s="99"/>
      <c r="H522" s="98"/>
      <c r="I522" s="100"/>
      <c r="J522" s="100"/>
      <c r="K522" s="100"/>
      <c r="L522" s="101"/>
      <c r="M522" s="101"/>
      <c r="N522" s="112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</row>
    <row r="523" spans="1:29" ht="13">
      <c r="A523" s="115"/>
      <c r="B523" s="97"/>
      <c r="C523" s="115"/>
      <c r="D523" s="115"/>
      <c r="E523" s="115"/>
      <c r="F523" s="115"/>
      <c r="G523" s="99"/>
      <c r="H523" s="98"/>
      <c r="I523" s="100"/>
      <c r="J523" s="100"/>
      <c r="K523" s="100"/>
      <c r="L523" s="101"/>
      <c r="M523" s="101"/>
      <c r="N523" s="112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</row>
    <row r="524" spans="1:29" ht="13">
      <c r="A524" s="115"/>
      <c r="B524" s="97"/>
      <c r="C524" s="115"/>
      <c r="D524" s="115"/>
      <c r="E524" s="115"/>
      <c r="F524" s="115"/>
      <c r="G524" s="99"/>
      <c r="H524" s="98"/>
      <c r="I524" s="100"/>
      <c r="J524" s="100"/>
      <c r="K524" s="100"/>
      <c r="L524" s="101"/>
      <c r="M524" s="101"/>
      <c r="N524" s="112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</row>
    <row r="525" spans="1:29" ht="13">
      <c r="A525" s="115"/>
      <c r="B525" s="97"/>
      <c r="C525" s="115"/>
      <c r="D525" s="115"/>
      <c r="E525" s="115"/>
      <c r="F525" s="115"/>
      <c r="G525" s="99"/>
      <c r="H525" s="98"/>
      <c r="I525" s="100"/>
      <c r="J525" s="100"/>
      <c r="K525" s="100"/>
      <c r="L525" s="101"/>
      <c r="M525" s="101"/>
      <c r="N525" s="112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</row>
    <row r="526" spans="1:29" ht="13">
      <c r="A526" s="115"/>
      <c r="B526" s="97"/>
      <c r="C526" s="115"/>
      <c r="D526" s="115"/>
      <c r="E526" s="115"/>
      <c r="F526" s="115"/>
      <c r="G526" s="99"/>
      <c r="H526" s="98"/>
      <c r="I526" s="100"/>
      <c r="J526" s="100"/>
      <c r="K526" s="100"/>
      <c r="L526" s="101"/>
      <c r="M526" s="101"/>
      <c r="N526" s="112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</row>
    <row r="527" spans="1:29" ht="13">
      <c r="A527" s="115"/>
      <c r="B527" s="97"/>
      <c r="C527" s="115"/>
      <c r="D527" s="115"/>
      <c r="E527" s="115"/>
      <c r="F527" s="115"/>
      <c r="G527" s="99"/>
      <c r="H527" s="98"/>
      <c r="I527" s="100"/>
      <c r="J527" s="100"/>
      <c r="K527" s="100"/>
      <c r="L527" s="101"/>
      <c r="M527" s="101"/>
      <c r="N527" s="112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</row>
    <row r="528" spans="1:29" ht="13">
      <c r="A528" s="115"/>
      <c r="B528" s="97"/>
      <c r="C528" s="115"/>
      <c r="D528" s="115"/>
      <c r="E528" s="115"/>
      <c r="F528" s="115"/>
      <c r="G528" s="99"/>
      <c r="H528" s="98"/>
      <c r="I528" s="100"/>
      <c r="J528" s="100"/>
      <c r="K528" s="100"/>
      <c r="L528" s="101"/>
      <c r="M528" s="101"/>
      <c r="N528" s="112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</row>
    <row r="529" spans="1:29" ht="13">
      <c r="A529" s="115"/>
      <c r="B529" s="97"/>
      <c r="C529" s="115"/>
      <c r="D529" s="115"/>
      <c r="E529" s="115"/>
      <c r="F529" s="115"/>
      <c r="G529" s="99"/>
      <c r="H529" s="98"/>
      <c r="I529" s="100"/>
      <c r="J529" s="100"/>
      <c r="K529" s="100"/>
      <c r="L529" s="101"/>
      <c r="M529" s="101"/>
      <c r="N529" s="112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</row>
    <row r="530" spans="1:29" ht="13">
      <c r="A530" s="115"/>
      <c r="B530" s="97"/>
      <c r="C530" s="115"/>
      <c r="D530" s="115"/>
      <c r="E530" s="115"/>
      <c r="F530" s="115"/>
      <c r="G530" s="99"/>
      <c r="H530" s="98"/>
      <c r="I530" s="100"/>
      <c r="J530" s="100"/>
      <c r="K530" s="100"/>
      <c r="L530" s="101"/>
      <c r="M530" s="101"/>
      <c r="N530" s="112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</row>
    <row r="531" spans="1:29" ht="13">
      <c r="A531" s="115"/>
      <c r="B531" s="97"/>
      <c r="C531" s="115"/>
      <c r="D531" s="115"/>
      <c r="E531" s="115"/>
      <c r="F531" s="115"/>
      <c r="G531" s="99"/>
      <c r="H531" s="98"/>
      <c r="I531" s="100"/>
      <c r="J531" s="100"/>
      <c r="K531" s="100"/>
      <c r="L531" s="101"/>
      <c r="M531" s="101"/>
      <c r="N531" s="112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</row>
    <row r="532" spans="1:29" ht="13">
      <c r="A532" s="115"/>
      <c r="B532" s="97"/>
      <c r="C532" s="115"/>
      <c r="D532" s="115"/>
      <c r="E532" s="115"/>
      <c r="F532" s="115"/>
      <c r="G532" s="99"/>
      <c r="H532" s="98"/>
      <c r="I532" s="100"/>
      <c r="J532" s="100"/>
      <c r="K532" s="100"/>
      <c r="L532" s="101"/>
      <c r="M532" s="101"/>
      <c r="N532" s="112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</row>
    <row r="533" spans="1:29" ht="13">
      <c r="A533" s="115"/>
      <c r="B533" s="97"/>
      <c r="C533" s="115"/>
      <c r="D533" s="115"/>
      <c r="E533" s="115"/>
      <c r="F533" s="115"/>
      <c r="G533" s="99"/>
      <c r="H533" s="98"/>
      <c r="I533" s="100"/>
      <c r="J533" s="100"/>
      <c r="K533" s="100"/>
      <c r="L533" s="101"/>
      <c r="M533" s="101"/>
      <c r="N533" s="112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</row>
    <row r="534" spans="1:29" ht="13">
      <c r="A534" s="115"/>
      <c r="B534" s="97"/>
      <c r="C534" s="115"/>
      <c r="D534" s="115"/>
      <c r="E534" s="115"/>
      <c r="F534" s="115"/>
      <c r="G534" s="99"/>
      <c r="H534" s="98"/>
      <c r="I534" s="100"/>
      <c r="J534" s="100"/>
      <c r="K534" s="100"/>
      <c r="L534" s="101"/>
      <c r="M534" s="101"/>
      <c r="N534" s="112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</row>
    <row r="535" spans="1:29" ht="13">
      <c r="A535" s="115"/>
      <c r="B535" s="97"/>
      <c r="C535" s="115"/>
      <c r="D535" s="115"/>
      <c r="E535" s="115"/>
      <c r="F535" s="115"/>
      <c r="G535" s="99"/>
      <c r="H535" s="98"/>
      <c r="I535" s="100"/>
      <c r="J535" s="100"/>
      <c r="K535" s="100"/>
      <c r="L535" s="101"/>
      <c r="M535" s="101"/>
      <c r="N535" s="112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</row>
    <row r="536" spans="1:29" ht="13">
      <c r="A536" s="115"/>
      <c r="B536" s="97"/>
      <c r="C536" s="115"/>
      <c r="D536" s="115"/>
      <c r="E536" s="115"/>
      <c r="F536" s="115"/>
      <c r="G536" s="99"/>
      <c r="H536" s="98"/>
      <c r="I536" s="100"/>
      <c r="J536" s="100"/>
      <c r="K536" s="100"/>
      <c r="L536" s="101"/>
      <c r="M536" s="101"/>
      <c r="N536" s="112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</row>
    <row r="537" spans="1:29" ht="13">
      <c r="A537" s="115"/>
      <c r="B537" s="97"/>
      <c r="C537" s="115"/>
      <c r="D537" s="115"/>
      <c r="E537" s="115"/>
      <c r="F537" s="115"/>
      <c r="G537" s="99"/>
      <c r="H537" s="98"/>
      <c r="I537" s="100"/>
      <c r="J537" s="100"/>
      <c r="K537" s="100"/>
      <c r="L537" s="101"/>
      <c r="M537" s="101"/>
      <c r="N537" s="112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</row>
    <row r="538" spans="1:29" ht="13">
      <c r="A538" s="115"/>
      <c r="B538" s="97"/>
      <c r="C538" s="115"/>
      <c r="D538" s="115"/>
      <c r="E538" s="115"/>
      <c r="F538" s="115"/>
      <c r="G538" s="99"/>
      <c r="H538" s="98"/>
      <c r="I538" s="100"/>
      <c r="J538" s="100"/>
      <c r="K538" s="100"/>
      <c r="L538" s="101"/>
      <c r="M538" s="101"/>
      <c r="N538" s="112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</row>
    <row r="539" spans="1:29" ht="13">
      <c r="A539" s="115"/>
      <c r="B539" s="97"/>
      <c r="C539" s="115"/>
      <c r="D539" s="115"/>
      <c r="E539" s="115"/>
      <c r="F539" s="115"/>
      <c r="G539" s="99"/>
      <c r="H539" s="98"/>
      <c r="I539" s="100"/>
      <c r="J539" s="100"/>
      <c r="K539" s="100"/>
      <c r="L539" s="101"/>
      <c r="M539" s="101"/>
      <c r="N539" s="112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</row>
    <row r="540" spans="1:29" ht="13">
      <c r="A540" s="115"/>
      <c r="B540" s="97"/>
      <c r="C540" s="115"/>
      <c r="D540" s="115"/>
      <c r="E540" s="115"/>
      <c r="F540" s="115"/>
      <c r="G540" s="99"/>
      <c r="H540" s="98"/>
      <c r="I540" s="100"/>
      <c r="J540" s="100"/>
      <c r="K540" s="100"/>
      <c r="L540" s="101"/>
      <c r="M540" s="101"/>
      <c r="N540" s="112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</row>
    <row r="541" spans="1:29" ht="13">
      <c r="A541" s="115"/>
      <c r="B541" s="97"/>
      <c r="C541" s="115"/>
      <c r="D541" s="115"/>
      <c r="E541" s="115"/>
      <c r="F541" s="115"/>
      <c r="G541" s="99"/>
      <c r="H541" s="98"/>
      <c r="I541" s="100"/>
      <c r="J541" s="100"/>
      <c r="K541" s="100"/>
      <c r="L541" s="101"/>
      <c r="M541" s="101"/>
      <c r="N541" s="112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</row>
    <row r="542" spans="1:29" ht="13">
      <c r="A542" s="115"/>
      <c r="B542" s="97"/>
      <c r="C542" s="115"/>
      <c r="D542" s="115"/>
      <c r="E542" s="115"/>
      <c r="F542" s="115"/>
      <c r="G542" s="99"/>
      <c r="H542" s="98"/>
      <c r="I542" s="100"/>
      <c r="J542" s="100"/>
      <c r="K542" s="100"/>
      <c r="L542" s="101"/>
      <c r="M542" s="101"/>
      <c r="N542" s="112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</row>
    <row r="543" spans="1:29" ht="13">
      <c r="A543" s="115"/>
      <c r="B543" s="97"/>
      <c r="C543" s="115"/>
      <c r="D543" s="115"/>
      <c r="E543" s="115"/>
      <c r="F543" s="115"/>
      <c r="G543" s="99"/>
      <c r="H543" s="98"/>
      <c r="I543" s="100"/>
      <c r="J543" s="100"/>
      <c r="K543" s="100"/>
      <c r="L543" s="101"/>
      <c r="M543" s="101"/>
      <c r="N543" s="112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</row>
    <row r="544" spans="1:29" ht="13">
      <c r="A544" s="115"/>
      <c r="B544" s="97"/>
      <c r="C544" s="115"/>
      <c r="D544" s="115"/>
      <c r="E544" s="115"/>
      <c r="F544" s="115"/>
      <c r="G544" s="99"/>
      <c r="H544" s="98"/>
      <c r="I544" s="100"/>
      <c r="J544" s="100"/>
      <c r="K544" s="100"/>
      <c r="L544" s="101"/>
      <c r="M544" s="101"/>
      <c r="N544" s="112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</row>
    <row r="545" spans="1:29" ht="13">
      <c r="A545" s="115"/>
      <c r="B545" s="97"/>
      <c r="C545" s="115"/>
      <c r="D545" s="115"/>
      <c r="E545" s="115"/>
      <c r="F545" s="115"/>
      <c r="G545" s="99"/>
      <c r="H545" s="98"/>
      <c r="I545" s="100"/>
      <c r="J545" s="100"/>
      <c r="K545" s="100"/>
      <c r="L545" s="101"/>
      <c r="M545" s="101"/>
      <c r="N545" s="112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</row>
    <row r="546" spans="1:29" ht="13">
      <c r="A546" s="115"/>
      <c r="B546" s="97"/>
      <c r="C546" s="115"/>
      <c r="D546" s="115"/>
      <c r="E546" s="115"/>
      <c r="F546" s="115"/>
      <c r="G546" s="99"/>
      <c r="H546" s="98"/>
      <c r="I546" s="100"/>
      <c r="J546" s="100"/>
      <c r="K546" s="100"/>
      <c r="L546" s="101"/>
      <c r="M546" s="101"/>
      <c r="N546" s="112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</row>
    <row r="547" spans="1:29" ht="13">
      <c r="A547" s="115"/>
      <c r="B547" s="97"/>
      <c r="C547" s="115"/>
      <c r="D547" s="115"/>
      <c r="E547" s="115"/>
      <c r="F547" s="115"/>
      <c r="G547" s="99"/>
      <c r="H547" s="98"/>
      <c r="I547" s="100"/>
      <c r="J547" s="100"/>
      <c r="K547" s="100"/>
      <c r="L547" s="101"/>
      <c r="M547" s="101"/>
      <c r="N547" s="112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</row>
    <row r="548" spans="1:29" ht="13">
      <c r="A548" s="115"/>
      <c r="B548" s="97"/>
      <c r="C548" s="115"/>
      <c r="D548" s="115"/>
      <c r="E548" s="115"/>
      <c r="F548" s="115"/>
      <c r="G548" s="99"/>
      <c r="H548" s="98"/>
      <c r="I548" s="100"/>
      <c r="J548" s="100"/>
      <c r="K548" s="100"/>
      <c r="L548" s="101"/>
      <c r="M548" s="101"/>
      <c r="N548" s="112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</row>
    <row r="549" spans="1:29" ht="13">
      <c r="A549" s="115"/>
      <c r="B549" s="97"/>
      <c r="C549" s="115"/>
      <c r="D549" s="115"/>
      <c r="E549" s="115"/>
      <c r="F549" s="115"/>
      <c r="G549" s="99"/>
      <c r="H549" s="98"/>
      <c r="I549" s="100"/>
      <c r="J549" s="100"/>
      <c r="K549" s="100"/>
      <c r="L549" s="101"/>
      <c r="M549" s="101"/>
      <c r="N549" s="112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</row>
    <row r="550" spans="1:29" ht="13">
      <c r="A550" s="115"/>
      <c r="B550" s="97"/>
      <c r="C550" s="115"/>
      <c r="D550" s="115"/>
      <c r="E550" s="115"/>
      <c r="F550" s="115"/>
      <c r="G550" s="99"/>
      <c r="H550" s="98"/>
      <c r="I550" s="100"/>
      <c r="J550" s="100"/>
      <c r="K550" s="100"/>
      <c r="L550" s="101"/>
      <c r="M550" s="101"/>
      <c r="N550" s="112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</row>
    <row r="551" spans="1:29" ht="13">
      <c r="A551" s="115"/>
      <c r="B551" s="97"/>
      <c r="C551" s="115"/>
      <c r="D551" s="115"/>
      <c r="E551" s="115"/>
      <c r="F551" s="115"/>
      <c r="G551" s="99"/>
      <c r="H551" s="98"/>
      <c r="I551" s="100"/>
      <c r="J551" s="100"/>
      <c r="K551" s="100"/>
      <c r="L551" s="101"/>
      <c r="M551" s="101"/>
      <c r="N551" s="112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</row>
    <row r="552" spans="1:29" ht="13">
      <c r="A552" s="115"/>
      <c r="B552" s="97"/>
      <c r="C552" s="115"/>
      <c r="D552" s="115"/>
      <c r="E552" s="115"/>
      <c r="F552" s="115"/>
      <c r="G552" s="99"/>
      <c r="H552" s="98"/>
      <c r="I552" s="100"/>
      <c r="J552" s="100"/>
      <c r="K552" s="100"/>
      <c r="L552" s="101"/>
      <c r="M552" s="101"/>
      <c r="N552" s="112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</row>
    <row r="553" spans="1:29" ht="13">
      <c r="A553" s="115"/>
      <c r="B553" s="97"/>
      <c r="C553" s="115"/>
      <c r="D553" s="115"/>
      <c r="E553" s="115"/>
      <c r="F553" s="115"/>
      <c r="G553" s="99"/>
      <c r="H553" s="98"/>
      <c r="I553" s="100"/>
      <c r="J553" s="100"/>
      <c r="K553" s="100"/>
      <c r="L553" s="101"/>
      <c r="M553" s="101"/>
      <c r="N553" s="112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</row>
    <row r="554" spans="1:29" ht="13">
      <c r="A554" s="115"/>
      <c r="B554" s="97"/>
      <c r="C554" s="115"/>
      <c r="D554" s="115"/>
      <c r="E554" s="115"/>
      <c r="F554" s="115"/>
      <c r="G554" s="99"/>
      <c r="H554" s="98"/>
      <c r="I554" s="100"/>
      <c r="J554" s="100"/>
      <c r="K554" s="100"/>
      <c r="L554" s="101"/>
      <c r="M554" s="101"/>
      <c r="N554" s="112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</row>
    <row r="555" spans="1:29" ht="13">
      <c r="A555" s="115"/>
      <c r="B555" s="97"/>
      <c r="C555" s="115"/>
      <c r="D555" s="115"/>
      <c r="E555" s="115"/>
      <c r="F555" s="115"/>
      <c r="G555" s="99"/>
      <c r="H555" s="98"/>
      <c r="I555" s="100"/>
      <c r="J555" s="100"/>
      <c r="K555" s="100"/>
      <c r="L555" s="101"/>
      <c r="M555" s="101"/>
      <c r="N555" s="112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</row>
    <row r="556" spans="1:29" ht="13">
      <c r="A556" s="115"/>
      <c r="B556" s="97"/>
      <c r="C556" s="115"/>
      <c r="D556" s="115"/>
      <c r="E556" s="115"/>
      <c r="F556" s="115"/>
      <c r="G556" s="99"/>
      <c r="H556" s="98"/>
      <c r="I556" s="100"/>
      <c r="J556" s="100"/>
      <c r="K556" s="100"/>
      <c r="L556" s="101"/>
      <c r="M556" s="101"/>
      <c r="N556" s="112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</row>
    <row r="557" spans="1:29" ht="13">
      <c r="A557" s="115"/>
      <c r="B557" s="97"/>
      <c r="C557" s="115"/>
      <c r="D557" s="115"/>
      <c r="E557" s="115"/>
      <c r="F557" s="115"/>
      <c r="G557" s="99"/>
      <c r="H557" s="98"/>
      <c r="I557" s="100"/>
      <c r="J557" s="100"/>
      <c r="K557" s="100"/>
      <c r="L557" s="101"/>
      <c r="M557" s="101"/>
      <c r="N557" s="112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</row>
    <row r="558" spans="1:29" ht="13">
      <c r="A558" s="115"/>
      <c r="B558" s="97"/>
      <c r="C558" s="115"/>
      <c r="D558" s="115"/>
      <c r="E558" s="115"/>
      <c r="F558" s="115"/>
      <c r="G558" s="99"/>
      <c r="H558" s="98"/>
      <c r="I558" s="100"/>
      <c r="J558" s="100"/>
      <c r="K558" s="100"/>
      <c r="L558" s="101"/>
      <c r="M558" s="101"/>
      <c r="N558" s="112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</row>
    <row r="559" spans="1:29" ht="13">
      <c r="A559" s="115"/>
      <c r="B559" s="97"/>
      <c r="C559" s="115"/>
      <c r="D559" s="115"/>
      <c r="E559" s="115"/>
      <c r="F559" s="115"/>
      <c r="G559" s="99"/>
      <c r="H559" s="98"/>
      <c r="I559" s="100"/>
      <c r="J559" s="100"/>
      <c r="K559" s="100"/>
      <c r="L559" s="101"/>
      <c r="M559" s="101"/>
      <c r="N559" s="112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</row>
    <row r="560" spans="1:29" ht="13">
      <c r="A560" s="115"/>
      <c r="B560" s="97"/>
      <c r="C560" s="115"/>
      <c r="D560" s="115"/>
      <c r="E560" s="115"/>
      <c r="F560" s="115"/>
      <c r="G560" s="99"/>
      <c r="H560" s="98"/>
      <c r="I560" s="100"/>
      <c r="J560" s="100"/>
      <c r="K560" s="100"/>
      <c r="L560" s="101"/>
      <c r="M560" s="101"/>
      <c r="N560" s="112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</row>
    <row r="561" spans="1:29" ht="13">
      <c r="A561" s="115"/>
      <c r="B561" s="97"/>
      <c r="C561" s="115"/>
      <c r="D561" s="115"/>
      <c r="E561" s="115"/>
      <c r="F561" s="115"/>
      <c r="G561" s="99"/>
      <c r="H561" s="98"/>
      <c r="I561" s="100"/>
      <c r="J561" s="100"/>
      <c r="K561" s="100"/>
      <c r="L561" s="101"/>
      <c r="M561" s="101"/>
      <c r="N561" s="112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</row>
    <row r="562" spans="1:29" ht="13">
      <c r="A562" s="115"/>
      <c r="B562" s="97"/>
      <c r="C562" s="115"/>
      <c r="D562" s="115"/>
      <c r="E562" s="115"/>
      <c r="F562" s="115"/>
      <c r="G562" s="99"/>
      <c r="H562" s="98"/>
      <c r="I562" s="100"/>
      <c r="J562" s="100"/>
      <c r="K562" s="100"/>
      <c r="L562" s="101"/>
      <c r="M562" s="101"/>
      <c r="N562" s="112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</row>
    <row r="563" spans="1:29" ht="13">
      <c r="A563" s="115"/>
      <c r="B563" s="97"/>
      <c r="C563" s="115"/>
      <c r="D563" s="115"/>
      <c r="E563" s="115"/>
      <c r="F563" s="115"/>
      <c r="G563" s="99"/>
      <c r="H563" s="98"/>
      <c r="I563" s="100"/>
      <c r="J563" s="100"/>
      <c r="K563" s="100"/>
      <c r="L563" s="101"/>
      <c r="M563" s="101"/>
      <c r="N563" s="112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</row>
    <row r="564" spans="1:29" ht="13">
      <c r="A564" s="115"/>
      <c r="B564" s="97"/>
      <c r="C564" s="115"/>
      <c r="D564" s="115"/>
      <c r="E564" s="115"/>
      <c r="F564" s="115"/>
      <c r="G564" s="99"/>
      <c r="H564" s="98"/>
      <c r="I564" s="100"/>
      <c r="J564" s="100"/>
      <c r="K564" s="100"/>
      <c r="L564" s="101"/>
      <c r="M564" s="101"/>
      <c r="N564" s="112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</row>
    <row r="565" spans="1:29" ht="13">
      <c r="A565" s="115"/>
      <c r="B565" s="97"/>
      <c r="C565" s="115"/>
      <c r="D565" s="115"/>
      <c r="E565" s="115"/>
      <c r="F565" s="115"/>
      <c r="G565" s="99"/>
      <c r="H565" s="98"/>
      <c r="I565" s="100"/>
      <c r="J565" s="100"/>
      <c r="K565" s="100"/>
      <c r="L565" s="101"/>
      <c r="M565" s="101"/>
      <c r="N565" s="112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</row>
    <row r="566" spans="1:29" ht="13">
      <c r="A566" s="115"/>
      <c r="B566" s="97"/>
      <c r="C566" s="115"/>
      <c r="D566" s="115"/>
      <c r="E566" s="115"/>
      <c r="F566" s="115"/>
      <c r="G566" s="99"/>
      <c r="H566" s="98"/>
      <c r="I566" s="100"/>
      <c r="J566" s="100"/>
      <c r="K566" s="100"/>
      <c r="L566" s="101"/>
      <c r="M566" s="101"/>
      <c r="N566" s="112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</row>
    <row r="567" spans="1:29" ht="13">
      <c r="A567" s="115"/>
      <c r="B567" s="97"/>
      <c r="C567" s="115"/>
      <c r="D567" s="115"/>
      <c r="E567" s="115"/>
      <c r="F567" s="115"/>
      <c r="G567" s="99"/>
      <c r="H567" s="98"/>
      <c r="I567" s="100"/>
      <c r="J567" s="100"/>
      <c r="K567" s="100"/>
      <c r="L567" s="101"/>
      <c r="M567" s="101"/>
      <c r="N567" s="112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</row>
    <row r="568" spans="1:29" ht="13">
      <c r="A568" s="115"/>
      <c r="B568" s="97"/>
      <c r="C568" s="115"/>
      <c r="D568" s="115"/>
      <c r="E568" s="115"/>
      <c r="F568" s="115"/>
      <c r="G568" s="99"/>
      <c r="H568" s="98"/>
      <c r="I568" s="100"/>
      <c r="J568" s="100"/>
      <c r="K568" s="100"/>
      <c r="L568" s="101"/>
      <c r="M568" s="101"/>
      <c r="N568" s="112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</row>
    <row r="569" spans="1:29" ht="13">
      <c r="A569" s="115"/>
      <c r="B569" s="97"/>
      <c r="C569" s="115"/>
      <c r="D569" s="115"/>
      <c r="E569" s="115"/>
      <c r="F569" s="115"/>
      <c r="G569" s="99"/>
      <c r="H569" s="98"/>
      <c r="I569" s="100"/>
      <c r="J569" s="100"/>
      <c r="K569" s="100"/>
      <c r="L569" s="101"/>
      <c r="M569" s="101"/>
      <c r="N569" s="112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</row>
    <row r="570" spans="1:29" ht="13">
      <c r="A570" s="115"/>
      <c r="B570" s="97"/>
      <c r="C570" s="115"/>
      <c r="D570" s="115"/>
      <c r="E570" s="115"/>
      <c r="F570" s="115"/>
      <c r="G570" s="99"/>
      <c r="H570" s="98"/>
      <c r="I570" s="100"/>
      <c r="J570" s="100"/>
      <c r="K570" s="100"/>
      <c r="L570" s="101"/>
      <c r="M570" s="101"/>
      <c r="N570" s="112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</row>
    <row r="571" spans="1:29" ht="13">
      <c r="A571" s="115"/>
      <c r="B571" s="97"/>
      <c r="C571" s="115"/>
      <c r="D571" s="115"/>
      <c r="E571" s="115"/>
      <c r="F571" s="115"/>
      <c r="G571" s="99"/>
      <c r="H571" s="98"/>
      <c r="I571" s="100"/>
      <c r="J571" s="100"/>
      <c r="K571" s="100"/>
      <c r="L571" s="101"/>
      <c r="M571" s="101"/>
      <c r="N571" s="112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</row>
    <row r="572" spans="1:29" ht="13">
      <c r="A572" s="115"/>
      <c r="B572" s="97"/>
      <c r="C572" s="115"/>
      <c r="D572" s="115"/>
      <c r="E572" s="115"/>
      <c r="F572" s="115"/>
      <c r="G572" s="99"/>
      <c r="H572" s="98"/>
      <c r="I572" s="100"/>
      <c r="J572" s="100"/>
      <c r="K572" s="100"/>
      <c r="L572" s="101"/>
      <c r="M572" s="101"/>
      <c r="N572" s="112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</row>
    <row r="573" spans="1:29" ht="13">
      <c r="A573" s="115"/>
      <c r="B573" s="97"/>
      <c r="C573" s="115"/>
      <c r="D573" s="115"/>
      <c r="E573" s="115"/>
      <c r="F573" s="115"/>
      <c r="G573" s="99"/>
      <c r="H573" s="98"/>
      <c r="I573" s="100"/>
      <c r="J573" s="100"/>
      <c r="K573" s="100"/>
      <c r="L573" s="101"/>
      <c r="M573" s="101"/>
      <c r="N573" s="112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</row>
    <row r="574" spans="1:29" ht="13">
      <c r="A574" s="115"/>
      <c r="B574" s="97"/>
      <c r="C574" s="115"/>
      <c r="D574" s="115"/>
      <c r="E574" s="115"/>
      <c r="F574" s="115"/>
      <c r="G574" s="99"/>
      <c r="H574" s="98"/>
      <c r="I574" s="100"/>
      <c r="J574" s="100"/>
      <c r="K574" s="100"/>
      <c r="L574" s="101"/>
      <c r="M574" s="101"/>
      <c r="N574" s="112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</row>
    <row r="575" spans="1:29" ht="13">
      <c r="A575" s="115"/>
      <c r="B575" s="97"/>
      <c r="C575" s="115"/>
      <c r="D575" s="115"/>
      <c r="E575" s="115"/>
      <c r="F575" s="115"/>
      <c r="G575" s="99"/>
      <c r="H575" s="98"/>
      <c r="I575" s="100"/>
      <c r="J575" s="100"/>
      <c r="K575" s="100"/>
      <c r="L575" s="101"/>
      <c r="M575" s="101"/>
      <c r="N575" s="112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</row>
    <row r="576" spans="1:29" ht="13">
      <c r="A576" s="115"/>
      <c r="B576" s="97"/>
      <c r="C576" s="115"/>
      <c r="D576" s="115"/>
      <c r="E576" s="115"/>
      <c r="F576" s="115"/>
      <c r="G576" s="99"/>
      <c r="H576" s="98"/>
      <c r="I576" s="100"/>
      <c r="J576" s="100"/>
      <c r="K576" s="100"/>
      <c r="L576" s="101"/>
      <c r="M576" s="101"/>
      <c r="N576" s="112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</row>
    <row r="577" spans="1:29" ht="13">
      <c r="A577" s="115"/>
      <c r="B577" s="97"/>
      <c r="C577" s="115"/>
      <c r="D577" s="115"/>
      <c r="E577" s="115"/>
      <c r="F577" s="115"/>
      <c r="G577" s="99"/>
      <c r="H577" s="98"/>
      <c r="I577" s="100"/>
      <c r="J577" s="100"/>
      <c r="K577" s="100"/>
      <c r="L577" s="101"/>
      <c r="M577" s="101"/>
      <c r="N577" s="112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</row>
    <row r="578" spans="1:29" ht="13">
      <c r="A578" s="115"/>
      <c r="B578" s="97"/>
      <c r="C578" s="115"/>
      <c r="D578" s="115"/>
      <c r="E578" s="115"/>
      <c r="F578" s="115"/>
      <c r="G578" s="99"/>
      <c r="H578" s="98"/>
      <c r="I578" s="100"/>
      <c r="J578" s="100"/>
      <c r="K578" s="100"/>
      <c r="L578" s="101"/>
      <c r="M578" s="101"/>
      <c r="N578" s="112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</row>
    <row r="579" spans="1:29" ht="13">
      <c r="A579" s="115"/>
      <c r="B579" s="97"/>
      <c r="C579" s="115"/>
      <c r="D579" s="115"/>
      <c r="E579" s="115"/>
      <c r="F579" s="115"/>
      <c r="G579" s="99"/>
      <c r="H579" s="98"/>
      <c r="I579" s="100"/>
      <c r="J579" s="100"/>
      <c r="K579" s="100"/>
      <c r="L579" s="101"/>
      <c r="M579" s="101"/>
      <c r="N579" s="112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</row>
    <row r="580" spans="1:29" ht="13">
      <c r="A580" s="115"/>
      <c r="B580" s="97"/>
      <c r="C580" s="115"/>
      <c r="D580" s="115"/>
      <c r="E580" s="115"/>
      <c r="F580" s="115"/>
      <c r="G580" s="99"/>
      <c r="H580" s="98"/>
      <c r="I580" s="100"/>
      <c r="J580" s="100"/>
      <c r="K580" s="100"/>
      <c r="L580" s="101"/>
      <c r="M580" s="101"/>
      <c r="N580" s="112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</row>
    <row r="581" spans="1:29" ht="13">
      <c r="A581" s="115"/>
      <c r="B581" s="97"/>
      <c r="C581" s="115"/>
      <c r="D581" s="115"/>
      <c r="E581" s="115"/>
      <c r="F581" s="115"/>
      <c r="G581" s="99"/>
      <c r="H581" s="98"/>
      <c r="I581" s="100"/>
      <c r="J581" s="100"/>
      <c r="K581" s="100"/>
      <c r="L581" s="101"/>
      <c r="M581" s="101"/>
      <c r="N581" s="112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</row>
    <row r="582" spans="1:29" ht="13">
      <c r="A582" s="115"/>
      <c r="B582" s="97"/>
      <c r="C582" s="115"/>
      <c r="D582" s="115"/>
      <c r="E582" s="115"/>
      <c r="F582" s="115"/>
      <c r="G582" s="99"/>
      <c r="H582" s="98"/>
      <c r="I582" s="100"/>
      <c r="J582" s="100"/>
      <c r="K582" s="100"/>
      <c r="L582" s="101"/>
      <c r="M582" s="101"/>
      <c r="N582" s="112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</row>
    <row r="583" spans="1:29" ht="13">
      <c r="A583" s="115"/>
      <c r="B583" s="97"/>
      <c r="C583" s="115"/>
      <c r="D583" s="115"/>
      <c r="E583" s="115"/>
      <c r="F583" s="115"/>
      <c r="G583" s="99"/>
      <c r="H583" s="98"/>
      <c r="I583" s="100"/>
      <c r="J583" s="100"/>
      <c r="K583" s="100"/>
      <c r="L583" s="101"/>
      <c r="M583" s="101"/>
      <c r="N583" s="112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</row>
    <row r="584" spans="1:29" ht="13">
      <c r="A584" s="115"/>
      <c r="B584" s="97"/>
      <c r="C584" s="115"/>
      <c r="D584" s="115"/>
      <c r="E584" s="115"/>
      <c r="F584" s="115"/>
      <c r="G584" s="99"/>
      <c r="H584" s="98"/>
      <c r="I584" s="100"/>
      <c r="J584" s="100"/>
      <c r="K584" s="100"/>
      <c r="L584" s="101"/>
      <c r="M584" s="101"/>
      <c r="N584" s="112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</row>
    <row r="585" spans="1:29" ht="13">
      <c r="A585" s="115"/>
      <c r="B585" s="97"/>
      <c r="C585" s="115"/>
      <c r="D585" s="115"/>
      <c r="E585" s="115"/>
      <c r="F585" s="115"/>
      <c r="G585" s="99"/>
      <c r="H585" s="98"/>
      <c r="I585" s="100"/>
      <c r="J585" s="100"/>
      <c r="K585" s="100"/>
      <c r="L585" s="101"/>
      <c r="M585" s="101"/>
      <c r="N585" s="112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</row>
    <row r="586" spans="1:29" ht="13">
      <c r="A586" s="115"/>
      <c r="B586" s="97"/>
      <c r="C586" s="115"/>
      <c r="D586" s="115"/>
      <c r="E586" s="115"/>
      <c r="F586" s="115"/>
      <c r="G586" s="99"/>
      <c r="H586" s="98"/>
      <c r="I586" s="100"/>
      <c r="J586" s="100"/>
      <c r="K586" s="100"/>
      <c r="L586" s="101"/>
      <c r="M586" s="101"/>
      <c r="N586" s="112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</row>
    <row r="587" spans="1:29" ht="13">
      <c r="A587" s="115"/>
      <c r="B587" s="97"/>
      <c r="C587" s="115"/>
      <c r="D587" s="115"/>
      <c r="E587" s="115"/>
      <c r="F587" s="115"/>
      <c r="G587" s="99"/>
      <c r="H587" s="98"/>
      <c r="I587" s="100"/>
      <c r="J587" s="100"/>
      <c r="K587" s="100"/>
      <c r="L587" s="101"/>
      <c r="M587" s="101"/>
      <c r="N587" s="112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</row>
    <row r="588" spans="1:29" ht="13">
      <c r="A588" s="115"/>
      <c r="B588" s="97"/>
      <c r="C588" s="115"/>
      <c r="D588" s="115"/>
      <c r="E588" s="115"/>
      <c r="F588" s="115"/>
      <c r="G588" s="99"/>
      <c r="H588" s="98"/>
      <c r="I588" s="100"/>
      <c r="J588" s="100"/>
      <c r="K588" s="100"/>
      <c r="L588" s="101"/>
      <c r="M588" s="101"/>
      <c r="N588" s="112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</row>
    <row r="589" spans="1:29" ht="13">
      <c r="A589" s="115"/>
      <c r="B589" s="97"/>
      <c r="C589" s="115"/>
      <c r="D589" s="115"/>
      <c r="E589" s="115"/>
      <c r="F589" s="115"/>
      <c r="G589" s="99"/>
      <c r="H589" s="98"/>
      <c r="I589" s="100"/>
      <c r="J589" s="100"/>
      <c r="K589" s="100"/>
      <c r="L589" s="101"/>
      <c r="M589" s="101"/>
      <c r="N589" s="112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</row>
    <row r="590" spans="1:29" ht="13">
      <c r="A590" s="115"/>
      <c r="B590" s="97"/>
      <c r="C590" s="115"/>
      <c r="D590" s="115"/>
      <c r="E590" s="115"/>
      <c r="F590" s="115"/>
      <c r="G590" s="99"/>
      <c r="H590" s="98"/>
      <c r="I590" s="100"/>
      <c r="J590" s="100"/>
      <c r="K590" s="100"/>
      <c r="L590" s="101"/>
      <c r="M590" s="101"/>
      <c r="N590" s="112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</row>
    <row r="591" spans="1:29" ht="13">
      <c r="A591" s="115"/>
      <c r="B591" s="97"/>
      <c r="C591" s="115"/>
      <c r="D591" s="115"/>
      <c r="E591" s="115"/>
      <c r="F591" s="115"/>
      <c r="G591" s="99"/>
      <c r="H591" s="98"/>
      <c r="I591" s="100"/>
      <c r="J591" s="100"/>
      <c r="K591" s="100"/>
      <c r="L591" s="101"/>
      <c r="M591" s="101"/>
      <c r="N591" s="112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</row>
    <row r="592" spans="1:29" ht="13">
      <c r="A592" s="115"/>
      <c r="B592" s="97"/>
      <c r="C592" s="115"/>
      <c r="D592" s="115"/>
      <c r="E592" s="115"/>
      <c r="F592" s="115"/>
      <c r="G592" s="99"/>
      <c r="H592" s="98"/>
      <c r="I592" s="100"/>
      <c r="J592" s="100"/>
      <c r="K592" s="100"/>
      <c r="L592" s="101"/>
      <c r="M592" s="101"/>
      <c r="N592" s="112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</row>
    <row r="593" spans="1:29" ht="13">
      <c r="A593" s="115"/>
      <c r="B593" s="97"/>
      <c r="C593" s="115"/>
      <c r="D593" s="115"/>
      <c r="E593" s="115"/>
      <c r="F593" s="115"/>
      <c r="G593" s="99"/>
      <c r="H593" s="98"/>
      <c r="I593" s="100"/>
      <c r="J593" s="100"/>
      <c r="K593" s="100"/>
      <c r="L593" s="101"/>
      <c r="M593" s="101"/>
      <c r="N593" s="112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</row>
    <row r="594" spans="1:29" ht="13">
      <c r="A594" s="115"/>
      <c r="B594" s="97"/>
      <c r="C594" s="115"/>
      <c r="D594" s="115"/>
      <c r="E594" s="115"/>
      <c r="F594" s="115"/>
      <c r="G594" s="99"/>
      <c r="H594" s="98"/>
      <c r="I594" s="100"/>
      <c r="J594" s="100"/>
      <c r="K594" s="100"/>
      <c r="L594" s="101"/>
      <c r="M594" s="101"/>
      <c r="N594" s="112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</row>
    <row r="595" spans="1:29" ht="13">
      <c r="A595" s="115"/>
      <c r="B595" s="97"/>
      <c r="C595" s="115"/>
      <c r="D595" s="115"/>
      <c r="E595" s="115"/>
      <c r="F595" s="115"/>
      <c r="G595" s="99"/>
      <c r="H595" s="98"/>
      <c r="I595" s="100"/>
      <c r="J595" s="100"/>
      <c r="K595" s="100"/>
      <c r="L595" s="101"/>
      <c r="M595" s="101"/>
      <c r="N595" s="112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</row>
    <row r="596" spans="1:29" ht="13">
      <c r="A596" s="115"/>
      <c r="B596" s="97"/>
      <c r="C596" s="115"/>
      <c r="D596" s="115"/>
      <c r="E596" s="115"/>
      <c r="F596" s="115"/>
      <c r="G596" s="99"/>
      <c r="H596" s="98"/>
      <c r="I596" s="100"/>
      <c r="J596" s="100"/>
      <c r="K596" s="100"/>
      <c r="L596" s="101"/>
      <c r="M596" s="101"/>
      <c r="N596" s="112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</row>
    <row r="597" spans="1:29" ht="13">
      <c r="A597" s="115"/>
      <c r="B597" s="97"/>
      <c r="C597" s="115"/>
      <c r="D597" s="115"/>
      <c r="E597" s="115"/>
      <c r="F597" s="115"/>
      <c r="G597" s="99"/>
      <c r="H597" s="98"/>
      <c r="I597" s="100"/>
      <c r="J597" s="100"/>
      <c r="K597" s="100"/>
      <c r="L597" s="101"/>
      <c r="M597" s="101"/>
      <c r="N597" s="112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</row>
    <row r="598" spans="1:29" ht="13">
      <c r="A598" s="115"/>
      <c r="B598" s="97"/>
      <c r="C598" s="115"/>
      <c r="D598" s="115"/>
      <c r="E598" s="115"/>
      <c r="F598" s="115"/>
      <c r="G598" s="99"/>
      <c r="H598" s="98"/>
      <c r="I598" s="100"/>
      <c r="J598" s="100"/>
      <c r="K598" s="100"/>
      <c r="L598" s="101"/>
      <c r="M598" s="101"/>
      <c r="N598" s="112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</row>
    <row r="599" spans="1:29" ht="13">
      <c r="A599" s="115"/>
      <c r="B599" s="97"/>
      <c r="C599" s="115"/>
      <c r="D599" s="115"/>
      <c r="E599" s="115"/>
      <c r="F599" s="115"/>
      <c r="G599" s="99"/>
      <c r="H599" s="98"/>
      <c r="I599" s="100"/>
      <c r="J599" s="100"/>
      <c r="K599" s="100"/>
      <c r="L599" s="101"/>
      <c r="M599" s="101"/>
      <c r="N599" s="112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</row>
    <row r="600" spans="1:29" ht="13">
      <c r="A600" s="115"/>
      <c r="B600" s="97"/>
      <c r="C600" s="115"/>
      <c r="D600" s="115"/>
      <c r="E600" s="115"/>
      <c r="F600" s="115"/>
      <c r="G600" s="99"/>
      <c r="H600" s="98"/>
      <c r="I600" s="100"/>
      <c r="J600" s="100"/>
      <c r="K600" s="100"/>
      <c r="L600" s="101"/>
      <c r="M600" s="101"/>
      <c r="N600" s="112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</row>
    <row r="601" spans="1:29" ht="13">
      <c r="A601" s="115"/>
      <c r="B601" s="97"/>
      <c r="C601" s="115"/>
      <c r="D601" s="115"/>
      <c r="E601" s="115"/>
      <c r="F601" s="115"/>
      <c r="G601" s="99"/>
      <c r="H601" s="98"/>
      <c r="I601" s="100"/>
      <c r="J601" s="100"/>
      <c r="K601" s="100"/>
      <c r="L601" s="101"/>
      <c r="M601" s="101"/>
      <c r="N601" s="112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</row>
    <row r="602" spans="1:29" ht="13">
      <c r="A602" s="115"/>
      <c r="B602" s="97"/>
      <c r="C602" s="115"/>
      <c r="D602" s="115"/>
      <c r="E602" s="115"/>
      <c r="F602" s="115"/>
      <c r="G602" s="99"/>
      <c r="H602" s="98"/>
      <c r="I602" s="100"/>
      <c r="J602" s="100"/>
      <c r="K602" s="100"/>
      <c r="L602" s="101"/>
      <c r="M602" s="101"/>
      <c r="N602" s="112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</row>
    <row r="603" spans="1:29" ht="13">
      <c r="A603" s="115"/>
      <c r="B603" s="97"/>
      <c r="C603" s="115"/>
      <c r="D603" s="115"/>
      <c r="E603" s="115"/>
      <c r="F603" s="115"/>
      <c r="G603" s="99"/>
      <c r="H603" s="98"/>
      <c r="I603" s="100"/>
      <c r="J603" s="100"/>
      <c r="K603" s="100"/>
      <c r="L603" s="101"/>
      <c r="M603" s="101"/>
      <c r="N603" s="112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</row>
    <row r="604" spans="1:29" ht="13">
      <c r="A604" s="115"/>
      <c r="B604" s="97"/>
      <c r="C604" s="115"/>
      <c r="D604" s="115"/>
      <c r="E604" s="115"/>
      <c r="F604" s="115"/>
      <c r="G604" s="99"/>
      <c r="H604" s="98"/>
      <c r="I604" s="100"/>
      <c r="J604" s="100"/>
      <c r="K604" s="100"/>
      <c r="L604" s="101"/>
      <c r="M604" s="101"/>
      <c r="N604" s="112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</row>
    <row r="605" spans="1:29" ht="13">
      <c r="A605" s="115"/>
      <c r="B605" s="97"/>
      <c r="C605" s="115"/>
      <c r="D605" s="115"/>
      <c r="E605" s="115"/>
      <c r="F605" s="115"/>
      <c r="G605" s="99"/>
      <c r="H605" s="98"/>
      <c r="I605" s="100"/>
      <c r="J605" s="100"/>
      <c r="K605" s="100"/>
      <c r="L605" s="101"/>
      <c r="M605" s="101"/>
      <c r="N605" s="112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</row>
    <row r="606" spans="1:29" ht="13">
      <c r="A606" s="115"/>
      <c r="B606" s="97"/>
      <c r="C606" s="115"/>
      <c r="D606" s="115"/>
      <c r="E606" s="115"/>
      <c r="F606" s="115"/>
      <c r="G606" s="99"/>
      <c r="H606" s="98"/>
      <c r="I606" s="100"/>
      <c r="J606" s="100"/>
      <c r="K606" s="100"/>
      <c r="L606" s="101"/>
      <c r="M606" s="101"/>
      <c r="N606" s="112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</row>
    <row r="607" spans="1:29" ht="13">
      <c r="A607" s="115"/>
      <c r="B607" s="97"/>
      <c r="C607" s="115"/>
      <c r="D607" s="115"/>
      <c r="E607" s="115"/>
      <c r="F607" s="115"/>
      <c r="G607" s="99"/>
      <c r="H607" s="98"/>
      <c r="I607" s="100"/>
      <c r="J607" s="100"/>
      <c r="K607" s="100"/>
      <c r="L607" s="101"/>
      <c r="M607" s="101"/>
      <c r="N607" s="112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</row>
    <row r="608" spans="1:29" ht="13">
      <c r="A608" s="115"/>
      <c r="B608" s="97"/>
      <c r="C608" s="115"/>
      <c r="D608" s="115"/>
      <c r="E608" s="115"/>
      <c r="F608" s="115"/>
      <c r="G608" s="99"/>
      <c r="H608" s="98"/>
      <c r="I608" s="100"/>
      <c r="J608" s="100"/>
      <c r="K608" s="100"/>
      <c r="L608" s="101"/>
      <c r="M608" s="101"/>
      <c r="N608" s="112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</row>
    <row r="609" spans="1:29" ht="13">
      <c r="A609" s="115"/>
      <c r="B609" s="97"/>
      <c r="C609" s="115"/>
      <c r="D609" s="115"/>
      <c r="E609" s="115"/>
      <c r="F609" s="115"/>
      <c r="G609" s="99"/>
      <c r="H609" s="98"/>
      <c r="I609" s="100"/>
      <c r="J609" s="100"/>
      <c r="K609" s="100"/>
      <c r="L609" s="101"/>
      <c r="M609" s="101"/>
      <c r="N609" s="112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</row>
    <row r="610" spans="1:29" ht="13">
      <c r="A610" s="115"/>
      <c r="B610" s="97"/>
      <c r="C610" s="115"/>
      <c r="D610" s="115"/>
      <c r="E610" s="115"/>
      <c r="F610" s="115"/>
      <c r="G610" s="99"/>
      <c r="H610" s="98"/>
      <c r="I610" s="100"/>
      <c r="J610" s="100"/>
      <c r="K610" s="100"/>
      <c r="L610" s="101"/>
      <c r="M610" s="101"/>
      <c r="N610" s="112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</row>
    <row r="611" spans="1:29" ht="13">
      <c r="A611" s="115"/>
      <c r="B611" s="97"/>
      <c r="C611" s="115"/>
      <c r="D611" s="115"/>
      <c r="E611" s="115"/>
      <c r="F611" s="115"/>
      <c r="G611" s="99"/>
      <c r="H611" s="98"/>
      <c r="I611" s="100"/>
      <c r="J611" s="100"/>
      <c r="K611" s="100"/>
      <c r="L611" s="101"/>
      <c r="M611" s="101"/>
      <c r="N611" s="112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</row>
    <row r="612" spans="1:29" ht="13">
      <c r="A612" s="115"/>
      <c r="B612" s="97"/>
      <c r="C612" s="115"/>
      <c r="D612" s="115"/>
      <c r="E612" s="115"/>
      <c r="F612" s="115"/>
      <c r="G612" s="99"/>
      <c r="H612" s="98"/>
      <c r="I612" s="100"/>
      <c r="J612" s="100"/>
      <c r="K612" s="100"/>
      <c r="L612" s="101"/>
      <c r="M612" s="101"/>
      <c r="N612" s="112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</row>
    <row r="613" spans="1:29" ht="13">
      <c r="A613" s="115"/>
      <c r="B613" s="97"/>
      <c r="C613" s="115"/>
      <c r="D613" s="115"/>
      <c r="E613" s="115"/>
      <c r="F613" s="115"/>
      <c r="G613" s="99"/>
      <c r="H613" s="98"/>
      <c r="I613" s="100"/>
      <c r="J613" s="100"/>
      <c r="K613" s="100"/>
      <c r="L613" s="101"/>
      <c r="M613" s="101"/>
      <c r="N613" s="112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</row>
    <row r="614" spans="1:29" ht="13">
      <c r="A614" s="115"/>
      <c r="B614" s="97"/>
      <c r="C614" s="115"/>
      <c r="D614" s="115"/>
      <c r="E614" s="115"/>
      <c r="F614" s="115"/>
      <c r="G614" s="99"/>
      <c r="H614" s="98"/>
      <c r="I614" s="100"/>
      <c r="J614" s="100"/>
      <c r="K614" s="100"/>
      <c r="L614" s="101"/>
      <c r="M614" s="101"/>
      <c r="N614" s="112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</row>
    <row r="615" spans="1:29" ht="13">
      <c r="A615" s="115"/>
      <c r="B615" s="97"/>
      <c r="C615" s="115"/>
      <c r="D615" s="115"/>
      <c r="E615" s="115"/>
      <c r="F615" s="115"/>
      <c r="G615" s="99"/>
      <c r="H615" s="98"/>
      <c r="I615" s="100"/>
      <c r="J615" s="100"/>
      <c r="K615" s="100"/>
      <c r="L615" s="101"/>
      <c r="M615" s="101"/>
      <c r="N615" s="112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</row>
    <row r="616" spans="1:29" ht="13">
      <c r="A616" s="115"/>
      <c r="B616" s="97"/>
      <c r="C616" s="115"/>
      <c r="D616" s="115"/>
      <c r="E616" s="115"/>
      <c r="F616" s="115"/>
      <c r="G616" s="99"/>
      <c r="H616" s="98"/>
      <c r="I616" s="100"/>
      <c r="J616" s="100"/>
      <c r="K616" s="100"/>
      <c r="L616" s="101"/>
      <c r="M616" s="101"/>
      <c r="N616" s="112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</row>
    <row r="617" spans="1:29" ht="13">
      <c r="A617" s="115"/>
      <c r="B617" s="97"/>
      <c r="C617" s="115"/>
      <c r="D617" s="115"/>
      <c r="E617" s="115"/>
      <c r="F617" s="115"/>
      <c r="G617" s="99"/>
      <c r="H617" s="98"/>
      <c r="I617" s="100"/>
      <c r="J617" s="100"/>
      <c r="K617" s="100"/>
      <c r="L617" s="101"/>
      <c r="M617" s="101"/>
      <c r="N617" s="112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</row>
    <row r="618" spans="1:29" ht="13">
      <c r="A618" s="115"/>
      <c r="B618" s="97"/>
      <c r="C618" s="115"/>
      <c r="D618" s="115"/>
      <c r="E618" s="115"/>
      <c r="F618" s="115"/>
      <c r="G618" s="99"/>
      <c r="H618" s="98"/>
      <c r="I618" s="100"/>
      <c r="J618" s="100"/>
      <c r="K618" s="100"/>
      <c r="L618" s="101"/>
      <c r="M618" s="101"/>
      <c r="N618" s="112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</row>
    <row r="619" spans="1:29" ht="13">
      <c r="A619" s="115"/>
      <c r="B619" s="97"/>
      <c r="C619" s="115"/>
      <c r="D619" s="115"/>
      <c r="E619" s="115"/>
      <c r="F619" s="115"/>
      <c r="G619" s="99"/>
      <c r="H619" s="98"/>
      <c r="I619" s="100"/>
      <c r="J619" s="100"/>
      <c r="K619" s="100"/>
      <c r="L619" s="101"/>
      <c r="M619" s="101"/>
      <c r="N619" s="112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</row>
    <row r="620" spans="1:29" ht="13">
      <c r="A620" s="115"/>
      <c r="B620" s="97"/>
      <c r="C620" s="115"/>
      <c r="D620" s="115"/>
      <c r="E620" s="115"/>
      <c r="F620" s="115"/>
      <c r="G620" s="99"/>
      <c r="H620" s="98"/>
      <c r="I620" s="100"/>
      <c r="J620" s="100"/>
      <c r="K620" s="100"/>
      <c r="L620" s="101"/>
      <c r="M620" s="101"/>
      <c r="N620" s="112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</row>
    <row r="621" spans="1:29" ht="13">
      <c r="A621" s="115"/>
      <c r="B621" s="97"/>
      <c r="C621" s="115"/>
      <c r="D621" s="115"/>
      <c r="E621" s="115"/>
      <c r="F621" s="115"/>
      <c r="G621" s="99"/>
      <c r="H621" s="98"/>
      <c r="I621" s="100"/>
      <c r="J621" s="100"/>
      <c r="K621" s="100"/>
      <c r="L621" s="101"/>
      <c r="M621" s="101"/>
      <c r="N621" s="112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</row>
    <row r="622" spans="1:29" ht="13">
      <c r="A622" s="115"/>
      <c r="B622" s="97"/>
      <c r="C622" s="115"/>
      <c r="D622" s="115"/>
      <c r="E622" s="115"/>
      <c r="F622" s="115"/>
      <c r="G622" s="99"/>
      <c r="H622" s="98"/>
      <c r="I622" s="100"/>
      <c r="J622" s="100"/>
      <c r="K622" s="100"/>
      <c r="L622" s="101"/>
      <c r="M622" s="101"/>
      <c r="N622" s="112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</row>
    <row r="623" spans="1:29" ht="13">
      <c r="A623" s="115"/>
      <c r="B623" s="97"/>
      <c r="C623" s="115"/>
      <c r="D623" s="115"/>
      <c r="E623" s="115"/>
      <c r="F623" s="115"/>
      <c r="G623" s="99"/>
      <c r="H623" s="98"/>
      <c r="I623" s="100"/>
      <c r="J623" s="100"/>
      <c r="K623" s="100"/>
      <c r="L623" s="101"/>
      <c r="M623" s="101"/>
      <c r="N623" s="112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</row>
    <row r="624" spans="1:29" ht="13">
      <c r="A624" s="115"/>
      <c r="B624" s="97"/>
      <c r="C624" s="115"/>
      <c r="D624" s="115"/>
      <c r="E624" s="115"/>
      <c r="F624" s="115"/>
      <c r="G624" s="99"/>
      <c r="H624" s="98"/>
      <c r="I624" s="100"/>
      <c r="J624" s="100"/>
      <c r="K624" s="100"/>
      <c r="L624" s="101"/>
      <c r="M624" s="101"/>
      <c r="N624" s="112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</row>
    <row r="625" spans="1:29" ht="13">
      <c r="A625" s="115"/>
      <c r="B625" s="97"/>
      <c r="C625" s="115"/>
      <c r="D625" s="115"/>
      <c r="E625" s="115"/>
      <c r="F625" s="115"/>
      <c r="G625" s="99"/>
      <c r="H625" s="98"/>
      <c r="I625" s="100"/>
      <c r="J625" s="100"/>
      <c r="K625" s="100"/>
      <c r="L625" s="101"/>
      <c r="M625" s="101"/>
      <c r="N625" s="112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</row>
    <row r="626" spans="1:29" ht="13">
      <c r="A626" s="115"/>
      <c r="B626" s="97"/>
      <c r="C626" s="115"/>
      <c r="D626" s="115"/>
      <c r="E626" s="115"/>
      <c r="F626" s="115"/>
      <c r="G626" s="99"/>
      <c r="H626" s="98"/>
      <c r="I626" s="100"/>
      <c r="J626" s="100"/>
      <c r="K626" s="100"/>
      <c r="L626" s="101"/>
      <c r="M626" s="101"/>
      <c r="N626" s="112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</row>
    <row r="627" spans="1:29" ht="13">
      <c r="A627" s="115"/>
      <c r="B627" s="97"/>
      <c r="C627" s="115"/>
      <c r="D627" s="115"/>
      <c r="E627" s="115"/>
      <c r="F627" s="115"/>
      <c r="G627" s="99"/>
      <c r="H627" s="98"/>
      <c r="I627" s="100"/>
      <c r="J627" s="100"/>
      <c r="K627" s="100"/>
      <c r="L627" s="101"/>
      <c r="M627" s="101"/>
      <c r="N627" s="112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</row>
    <row r="628" spans="1:29" ht="13">
      <c r="A628" s="115"/>
      <c r="B628" s="97"/>
      <c r="C628" s="115"/>
      <c r="D628" s="115"/>
      <c r="E628" s="115"/>
      <c r="F628" s="115"/>
      <c r="G628" s="99"/>
      <c r="H628" s="98"/>
      <c r="I628" s="100"/>
      <c r="J628" s="100"/>
      <c r="K628" s="100"/>
      <c r="L628" s="101"/>
      <c r="M628" s="101"/>
      <c r="N628" s="112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</row>
    <row r="629" spans="1:29" ht="13">
      <c r="A629" s="115"/>
      <c r="B629" s="97"/>
      <c r="C629" s="115"/>
      <c r="D629" s="115"/>
      <c r="E629" s="115"/>
      <c r="F629" s="115"/>
      <c r="G629" s="99"/>
      <c r="H629" s="98"/>
      <c r="I629" s="100"/>
      <c r="J629" s="100"/>
      <c r="K629" s="100"/>
      <c r="L629" s="101"/>
      <c r="M629" s="101"/>
      <c r="N629" s="112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</row>
    <row r="630" spans="1:29" ht="13">
      <c r="A630" s="115"/>
      <c r="B630" s="97"/>
      <c r="C630" s="115"/>
      <c r="D630" s="115"/>
      <c r="E630" s="115"/>
      <c r="F630" s="115"/>
      <c r="G630" s="99"/>
      <c r="H630" s="98"/>
      <c r="I630" s="100"/>
      <c r="J630" s="100"/>
      <c r="K630" s="100"/>
      <c r="L630" s="101"/>
      <c r="M630" s="101"/>
      <c r="N630" s="112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</row>
    <row r="631" spans="1:29" ht="13">
      <c r="A631" s="115"/>
      <c r="B631" s="97"/>
      <c r="C631" s="115"/>
      <c r="D631" s="115"/>
      <c r="E631" s="115"/>
      <c r="F631" s="115"/>
      <c r="G631" s="99"/>
      <c r="H631" s="98"/>
      <c r="I631" s="100"/>
      <c r="J631" s="100"/>
      <c r="K631" s="100"/>
      <c r="L631" s="101"/>
      <c r="M631" s="101"/>
      <c r="N631" s="112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</row>
    <row r="632" spans="1:29" ht="13">
      <c r="A632" s="115"/>
      <c r="B632" s="97"/>
      <c r="C632" s="115"/>
      <c r="D632" s="115"/>
      <c r="E632" s="115"/>
      <c r="F632" s="115"/>
      <c r="G632" s="99"/>
      <c r="H632" s="98"/>
      <c r="I632" s="100"/>
      <c r="J632" s="100"/>
      <c r="K632" s="100"/>
      <c r="L632" s="101"/>
      <c r="M632" s="101"/>
      <c r="N632" s="112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</row>
    <row r="633" spans="1:29" ht="13">
      <c r="A633" s="115"/>
      <c r="B633" s="97"/>
      <c r="C633" s="115"/>
      <c r="D633" s="115"/>
      <c r="E633" s="115"/>
      <c r="F633" s="115"/>
      <c r="G633" s="99"/>
      <c r="H633" s="98"/>
      <c r="I633" s="100"/>
      <c r="J633" s="100"/>
      <c r="K633" s="100"/>
      <c r="L633" s="101"/>
      <c r="M633" s="101"/>
      <c r="N633" s="112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</row>
    <row r="634" spans="1:29" ht="13">
      <c r="A634" s="115"/>
      <c r="B634" s="97"/>
      <c r="C634" s="115"/>
      <c r="D634" s="115"/>
      <c r="E634" s="115"/>
      <c r="F634" s="115"/>
      <c r="G634" s="99"/>
      <c r="H634" s="98"/>
      <c r="I634" s="100"/>
      <c r="J634" s="100"/>
      <c r="K634" s="100"/>
      <c r="L634" s="101"/>
      <c r="M634" s="101"/>
      <c r="N634" s="112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</row>
    <row r="635" spans="1:29" ht="13">
      <c r="A635" s="115"/>
      <c r="B635" s="97"/>
      <c r="C635" s="115"/>
      <c r="D635" s="115"/>
      <c r="E635" s="115"/>
      <c r="F635" s="115"/>
      <c r="G635" s="99"/>
      <c r="H635" s="98"/>
      <c r="I635" s="100"/>
      <c r="J635" s="100"/>
      <c r="K635" s="100"/>
      <c r="L635" s="101"/>
      <c r="M635" s="101"/>
      <c r="N635" s="112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</row>
    <row r="636" spans="1:29" ht="13">
      <c r="A636" s="115"/>
      <c r="B636" s="97"/>
      <c r="C636" s="115"/>
      <c r="D636" s="115"/>
      <c r="E636" s="115"/>
      <c r="F636" s="115"/>
      <c r="G636" s="99"/>
      <c r="H636" s="98"/>
      <c r="I636" s="100"/>
      <c r="J636" s="100"/>
      <c r="K636" s="100"/>
      <c r="L636" s="101"/>
      <c r="M636" s="101"/>
      <c r="N636" s="112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</row>
    <row r="637" spans="1:29" ht="13">
      <c r="A637" s="115"/>
      <c r="B637" s="97"/>
      <c r="C637" s="115"/>
      <c r="D637" s="115"/>
      <c r="E637" s="115"/>
      <c r="F637" s="115"/>
      <c r="G637" s="99"/>
      <c r="H637" s="98"/>
      <c r="I637" s="100"/>
      <c r="J637" s="100"/>
      <c r="K637" s="100"/>
      <c r="L637" s="101"/>
      <c r="M637" s="101"/>
      <c r="N637" s="112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</row>
    <row r="638" spans="1:29" ht="13">
      <c r="A638" s="115"/>
      <c r="B638" s="97"/>
      <c r="C638" s="115"/>
      <c r="D638" s="115"/>
      <c r="E638" s="115"/>
      <c r="F638" s="115"/>
      <c r="G638" s="99"/>
      <c r="H638" s="98"/>
      <c r="I638" s="100"/>
      <c r="J638" s="100"/>
      <c r="K638" s="100"/>
      <c r="L638" s="101"/>
      <c r="M638" s="101"/>
      <c r="N638" s="112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</row>
    <row r="639" spans="1:29" ht="13">
      <c r="A639" s="115"/>
      <c r="B639" s="97"/>
      <c r="C639" s="115"/>
      <c r="D639" s="115"/>
      <c r="E639" s="115"/>
      <c r="F639" s="115"/>
      <c r="G639" s="99"/>
      <c r="H639" s="98"/>
      <c r="I639" s="100"/>
      <c r="J639" s="100"/>
      <c r="K639" s="100"/>
      <c r="L639" s="101"/>
      <c r="M639" s="101"/>
      <c r="N639" s="112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</row>
    <row r="640" spans="1:29" ht="13">
      <c r="A640" s="115"/>
      <c r="B640" s="97"/>
      <c r="C640" s="115"/>
      <c r="D640" s="115"/>
      <c r="E640" s="115"/>
      <c r="F640" s="115"/>
      <c r="G640" s="99"/>
      <c r="H640" s="98"/>
      <c r="I640" s="100"/>
      <c r="J640" s="100"/>
      <c r="K640" s="100"/>
      <c r="L640" s="101"/>
      <c r="M640" s="101"/>
      <c r="N640" s="112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</row>
    <row r="641" spans="1:29" ht="13">
      <c r="A641" s="115"/>
      <c r="B641" s="97"/>
      <c r="C641" s="115"/>
      <c r="D641" s="115"/>
      <c r="E641" s="115"/>
      <c r="F641" s="115"/>
      <c r="G641" s="99"/>
      <c r="H641" s="98"/>
      <c r="I641" s="100"/>
      <c r="J641" s="100"/>
      <c r="K641" s="100"/>
      <c r="L641" s="101"/>
      <c r="M641" s="101"/>
      <c r="N641" s="112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</row>
    <row r="642" spans="1:29" ht="13">
      <c r="A642" s="115"/>
      <c r="B642" s="97"/>
      <c r="C642" s="115"/>
      <c r="D642" s="115"/>
      <c r="E642" s="115"/>
      <c r="F642" s="115"/>
      <c r="G642" s="99"/>
      <c r="H642" s="98"/>
      <c r="I642" s="100"/>
      <c r="J642" s="100"/>
      <c r="K642" s="100"/>
      <c r="L642" s="101"/>
      <c r="M642" s="101"/>
      <c r="N642" s="112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</row>
    <row r="643" spans="1:29" ht="13">
      <c r="A643" s="115"/>
      <c r="B643" s="97"/>
      <c r="C643" s="115"/>
      <c r="D643" s="115"/>
      <c r="E643" s="115"/>
      <c r="F643" s="115"/>
      <c r="G643" s="99"/>
      <c r="H643" s="98"/>
      <c r="I643" s="100"/>
      <c r="J643" s="100"/>
      <c r="K643" s="100"/>
      <c r="L643" s="101"/>
      <c r="M643" s="101"/>
      <c r="N643" s="112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</row>
    <row r="644" spans="1:29" ht="13">
      <c r="A644" s="115"/>
      <c r="B644" s="97"/>
      <c r="C644" s="115"/>
      <c r="D644" s="115"/>
      <c r="E644" s="115"/>
      <c r="F644" s="115"/>
      <c r="G644" s="99"/>
      <c r="H644" s="98"/>
      <c r="I644" s="100"/>
      <c r="J644" s="100"/>
      <c r="K644" s="100"/>
      <c r="L644" s="101"/>
      <c r="M644" s="101"/>
      <c r="N644" s="112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</row>
    <row r="645" spans="1:29" ht="13">
      <c r="A645" s="115"/>
      <c r="B645" s="97"/>
      <c r="C645" s="115"/>
      <c r="D645" s="115"/>
      <c r="E645" s="115"/>
      <c r="F645" s="115"/>
      <c r="G645" s="99"/>
      <c r="H645" s="98"/>
      <c r="I645" s="100"/>
      <c r="J645" s="100"/>
      <c r="K645" s="100"/>
      <c r="L645" s="101"/>
      <c r="M645" s="101"/>
      <c r="N645" s="112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</row>
    <row r="646" spans="1:29" ht="13">
      <c r="A646" s="115"/>
      <c r="B646" s="97"/>
      <c r="C646" s="115"/>
      <c r="D646" s="115"/>
      <c r="E646" s="115"/>
      <c r="F646" s="115"/>
      <c r="G646" s="99"/>
      <c r="H646" s="98"/>
      <c r="I646" s="100"/>
      <c r="J646" s="100"/>
      <c r="K646" s="100"/>
      <c r="L646" s="101"/>
      <c r="M646" s="101"/>
      <c r="N646" s="112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</row>
    <row r="647" spans="1:29" ht="13">
      <c r="A647" s="115"/>
      <c r="B647" s="97"/>
      <c r="C647" s="115"/>
      <c r="D647" s="115"/>
      <c r="E647" s="115"/>
      <c r="F647" s="115"/>
      <c r="G647" s="99"/>
      <c r="H647" s="98"/>
      <c r="I647" s="100"/>
      <c r="J647" s="100"/>
      <c r="K647" s="100"/>
      <c r="L647" s="101"/>
      <c r="M647" s="101"/>
      <c r="N647" s="112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</row>
    <row r="648" spans="1:29" ht="13">
      <c r="A648" s="115"/>
      <c r="B648" s="97"/>
      <c r="C648" s="115"/>
      <c r="D648" s="115"/>
      <c r="E648" s="115"/>
      <c r="F648" s="115"/>
      <c r="G648" s="99"/>
      <c r="H648" s="98"/>
      <c r="I648" s="100"/>
      <c r="J648" s="100"/>
      <c r="K648" s="100"/>
      <c r="L648" s="101"/>
      <c r="M648" s="101"/>
      <c r="N648" s="112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</row>
    <row r="649" spans="1:29" ht="13">
      <c r="A649" s="115"/>
      <c r="B649" s="97"/>
      <c r="C649" s="115"/>
      <c r="D649" s="115"/>
      <c r="E649" s="115"/>
      <c r="F649" s="115"/>
      <c r="G649" s="99"/>
      <c r="H649" s="98"/>
      <c r="I649" s="100"/>
      <c r="J649" s="100"/>
      <c r="K649" s="100"/>
      <c r="L649" s="101"/>
      <c r="M649" s="101"/>
      <c r="N649" s="112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</row>
    <row r="650" spans="1:29" ht="13">
      <c r="A650" s="115"/>
      <c r="B650" s="97"/>
      <c r="C650" s="115"/>
      <c r="D650" s="115"/>
      <c r="E650" s="115"/>
      <c r="F650" s="115"/>
      <c r="G650" s="99"/>
      <c r="H650" s="98"/>
      <c r="I650" s="100"/>
      <c r="J650" s="100"/>
      <c r="K650" s="100"/>
      <c r="L650" s="101"/>
      <c r="M650" s="101"/>
      <c r="N650" s="112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</row>
    <row r="651" spans="1:29" ht="13">
      <c r="A651" s="115"/>
      <c r="B651" s="97"/>
      <c r="C651" s="115"/>
      <c r="D651" s="115"/>
      <c r="E651" s="115"/>
      <c r="F651" s="115"/>
      <c r="G651" s="99"/>
      <c r="H651" s="98"/>
      <c r="I651" s="100"/>
      <c r="J651" s="100"/>
      <c r="K651" s="100"/>
      <c r="L651" s="101"/>
      <c r="M651" s="101"/>
      <c r="N651" s="112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</row>
    <row r="652" spans="1:29" ht="13">
      <c r="A652" s="115"/>
      <c r="B652" s="97"/>
      <c r="C652" s="115"/>
      <c r="D652" s="115"/>
      <c r="E652" s="115"/>
      <c r="F652" s="115"/>
      <c r="G652" s="99"/>
      <c r="H652" s="98"/>
      <c r="I652" s="100"/>
      <c r="J652" s="100"/>
      <c r="K652" s="100"/>
      <c r="L652" s="101"/>
      <c r="M652" s="101"/>
      <c r="N652" s="112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</row>
    <row r="653" spans="1:29" ht="13">
      <c r="A653" s="115"/>
      <c r="B653" s="97"/>
      <c r="C653" s="115"/>
      <c r="D653" s="115"/>
      <c r="E653" s="115"/>
      <c r="F653" s="115"/>
      <c r="G653" s="99"/>
      <c r="H653" s="98"/>
      <c r="I653" s="100"/>
      <c r="J653" s="100"/>
      <c r="K653" s="100"/>
      <c r="L653" s="101"/>
      <c r="M653" s="101"/>
      <c r="N653" s="112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</row>
    <row r="654" spans="1:29" ht="13">
      <c r="A654" s="115"/>
      <c r="B654" s="97"/>
      <c r="C654" s="115"/>
      <c r="D654" s="115"/>
      <c r="E654" s="115"/>
      <c r="F654" s="115"/>
      <c r="G654" s="99"/>
      <c r="H654" s="98"/>
      <c r="I654" s="100"/>
      <c r="J654" s="100"/>
      <c r="K654" s="100"/>
      <c r="L654" s="101"/>
      <c r="M654" s="101"/>
      <c r="N654" s="112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</row>
    <row r="655" spans="1:29" ht="13">
      <c r="A655" s="115"/>
      <c r="B655" s="97"/>
      <c r="C655" s="115"/>
      <c r="D655" s="115"/>
      <c r="E655" s="115"/>
      <c r="F655" s="115"/>
      <c r="G655" s="99"/>
      <c r="H655" s="98"/>
      <c r="I655" s="100"/>
      <c r="J655" s="100"/>
      <c r="K655" s="100"/>
      <c r="L655" s="101"/>
      <c r="M655" s="101"/>
      <c r="N655" s="112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</row>
    <row r="656" spans="1:29" ht="13">
      <c r="A656" s="115"/>
      <c r="B656" s="97"/>
      <c r="C656" s="115"/>
      <c r="D656" s="115"/>
      <c r="E656" s="115"/>
      <c r="F656" s="115"/>
      <c r="G656" s="99"/>
      <c r="H656" s="98"/>
      <c r="I656" s="100"/>
      <c r="J656" s="100"/>
      <c r="K656" s="100"/>
      <c r="L656" s="101"/>
      <c r="M656" s="101"/>
      <c r="N656" s="112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</row>
    <row r="657" spans="1:29" ht="13">
      <c r="A657" s="115"/>
      <c r="B657" s="97"/>
      <c r="C657" s="115"/>
      <c r="D657" s="115"/>
      <c r="E657" s="115"/>
      <c r="F657" s="115"/>
      <c r="G657" s="99"/>
      <c r="H657" s="98"/>
      <c r="I657" s="100"/>
      <c r="J657" s="100"/>
      <c r="K657" s="100"/>
      <c r="L657" s="101"/>
      <c r="M657" s="101"/>
      <c r="N657" s="112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</row>
    <row r="658" spans="1:29" ht="13">
      <c r="A658" s="115"/>
      <c r="B658" s="97"/>
      <c r="C658" s="115"/>
      <c r="D658" s="115"/>
      <c r="E658" s="115"/>
      <c r="F658" s="115"/>
      <c r="G658" s="99"/>
      <c r="H658" s="98"/>
      <c r="I658" s="100"/>
      <c r="J658" s="100"/>
      <c r="K658" s="100"/>
      <c r="L658" s="101"/>
      <c r="M658" s="101"/>
      <c r="N658" s="112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</row>
    <row r="659" spans="1:29" ht="13">
      <c r="A659" s="115"/>
      <c r="B659" s="97"/>
      <c r="C659" s="115"/>
      <c r="D659" s="115"/>
      <c r="E659" s="115"/>
      <c r="F659" s="115"/>
      <c r="G659" s="99"/>
      <c r="H659" s="98"/>
      <c r="I659" s="100"/>
      <c r="J659" s="100"/>
      <c r="K659" s="100"/>
      <c r="L659" s="101"/>
      <c r="M659" s="101"/>
      <c r="N659" s="112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</row>
    <row r="660" spans="1:29" ht="13">
      <c r="A660" s="115"/>
      <c r="B660" s="97"/>
      <c r="C660" s="115"/>
      <c r="D660" s="115"/>
      <c r="E660" s="115"/>
      <c r="F660" s="115"/>
      <c r="G660" s="99"/>
      <c r="H660" s="98"/>
      <c r="I660" s="100"/>
      <c r="J660" s="100"/>
      <c r="K660" s="100"/>
      <c r="L660" s="101"/>
      <c r="M660" s="101"/>
      <c r="N660" s="112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</row>
    <row r="661" spans="1:29" ht="13">
      <c r="A661" s="115"/>
      <c r="B661" s="97"/>
      <c r="C661" s="115"/>
      <c r="D661" s="115"/>
      <c r="E661" s="115"/>
      <c r="F661" s="115"/>
      <c r="G661" s="99"/>
      <c r="H661" s="98"/>
      <c r="I661" s="100"/>
      <c r="J661" s="100"/>
      <c r="K661" s="100"/>
      <c r="L661" s="101"/>
      <c r="M661" s="101"/>
      <c r="N661" s="112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</row>
    <row r="662" spans="1:29" ht="13">
      <c r="A662" s="115"/>
      <c r="B662" s="97"/>
      <c r="C662" s="115"/>
      <c r="D662" s="115"/>
      <c r="E662" s="115"/>
      <c r="F662" s="115"/>
      <c r="G662" s="99"/>
      <c r="H662" s="98"/>
      <c r="I662" s="100"/>
      <c r="J662" s="100"/>
      <c r="K662" s="100"/>
      <c r="L662" s="101"/>
      <c r="M662" s="101"/>
      <c r="N662" s="112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</row>
    <row r="663" spans="1:29" ht="13">
      <c r="A663" s="115"/>
      <c r="B663" s="97"/>
      <c r="C663" s="115"/>
      <c r="D663" s="115"/>
      <c r="E663" s="115"/>
      <c r="F663" s="115"/>
      <c r="G663" s="99"/>
      <c r="H663" s="98"/>
      <c r="I663" s="100"/>
      <c r="J663" s="100"/>
      <c r="K663" s="100"/>
      <c r="L663" s="101"/>
      <c r="M663" s="101"/>
      <c r="N663" s="112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</row>
    <row r="664" spans="1:29" ht="13">
      <c r="A664" s="115"/>
      <c r="B664" s="97"/>
      <c r="C664" s="115"/>
      <c r="D664" s="115"/>
      <c r="E664" s="115"/>
      <c r="F664" s="115"/>
      <c r="G664" s="99"/>
      <c r="H664" s="98"/>
      <c r="I664" s="100"/>
      <c r="J664" s="100"/>
      <c r="K664" s="100"/>
      <c r="L664" s="101"/>
      <c r="M664" s="101"/>
      <c r="N664" s="112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</row>
    <row r="665" spans="1:29" ht="13">
      <c r="A665" s="115"/>
      <c r="B665" s="97"/>
      <c r="C665" s="115"/>
      <c r="D665" s="115"/>
      <c r="E665" s="115"/>
      <c r="F665" s="115"/>
      <c r="G665" s="99"/>
      <c r="H665" s="98"/>
      <c r="I665" s="100"/>
      <c r="J665" s="100"/>
      <c r="K665" s="100"/>
      <c r="L665" s="101"/>
      <c r="M665" s="101"/>
      <c r="N665" s="112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</row>
    <row r="666" spans="1:29" ht="13">
      <c r="A666" s="115"/>
      <c r="B666" s="97"/>
      <c r="C666" s="115"/>
      <c r="D666" s="115"/>
      <c r="E666" s="115"/>
      <c r="F666" s="115"/>
      <c r="G666" s="99"/>
      <c r="H666" s="98"/>
      <c r="I666" s="100"/>
      <c r="J666" s="100"/>
      <c r="K666" s="100"/>
      <c r="L666" s="101"/>
      <c r="M666" s="101"/>
      <c r="N666" s="112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</row>
    <row r="667" spans="1:29" ht="13">
      <c r="A667" s="115"/>
      <c r="B667" s="97"/>
      <c r="C667" s="115"/>
      <c r="D667" s="115"/>
      <c r="E667" s="115"/>
      <c r="F667" s="115"/>
      <c r="G667" s="99"/>
      <c r="H667" s="98"/>
      <c r="I667" s="100"/>
      <c r="J667" s="100"/>
      <c r="K667" s="100"/>
      <c r="L667" s="101"/>
      <c r="M667" s="101"/>
      <c r="N667" s="112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</row>
    <row r="668" spans="1:29" ht="13">
      <c r="A668" s="115"/>
      <c r="B668" s="97"/>
      <c r="C668" s="115"/>
      <c r="D668" s="115"/>
      <c r="E668" s="115"/>
      <c r="F668" s="115"/>
      <c r="G668" s="99"/>
      <c r="H668" s="98"/>
      <c r="I668" s="100"/>
      <c r="J668" s="100"/>
      <c r="K668" s="100"/>
      <c r="L668" s="101"/>
      <c r="M668" s="101"/>
      <c r="N668" s="112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</row>
    <row r="669" spans="1:29" ht="13">
      <c r="A669" s="115"/>
      <c r="B669" s="97"/>
      <c r="C669" s="115"/>
      <c r="D669" s="115"/>
      <c r="E669" s="115"/>
      <c r="F669" s="115"/>
      <c r="G669" s="99"/>
      <c r="H669" s="98"/>
      <c r="I669" s="100"/>
      <c r="J669" s="100"/>
      <c r="K669" s="100"/>
      <c r="L669" s="101"/>
      <c r="M669" s="101"/>
      <c r="N669" s="112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</row>
    <row r="670" spans="1:29" ht="13">
      <c r="A670" s="115"/>
      <c r="B670" s="97"/>
      <c r="C670" s="115"/>
      <c r="D670" s="115"/>
      <c r="E670" s="115"/>
      <c r="F670" s="115"/>
      <c r="G670" s="99"/>
      <c r="H670" s="98"/>
      <c r="I670" s="100"/>
      <c r="J670" s="100"/>
      <c r="K670" s="100"/>
      <c r="L670" s="101"/>
      <c r="M670" s="101"/>
      <c r="N670" s="112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</row>
    <row r="671" spans="1:29" ht="13">
      <c r="A671" s="115"/>
      <c r="B671" s="97"/>
      <c r="C671" s="115"/>
      <c r="D671" s="115"/>
      <c r="E671" s="115"/>
      <c r="F671" s="115"/>
      <c r="G671" s="99"/>
      <c r="H671" s="98"/>
      <c r="I671" s="100"/>
      <c r="J671" s="100"/>
      <c r="K671" s="100"/>
      <c r="L671" s="101"/>
      <c r="M671" s="101"/>
      <c r="N671" s="112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</row>
    <row r="672" spans="1:29" ht="13">
      <c r="A672" s="115"/>
      <c r="B672" s="97"/>
      <c r="C672" s="115"/>
      <c r="D672" s="115"/>
      <c r="E672" s="115"/>
      <c r="F672" s="115"/>
      <c r="G672" s="99"/>
      <c r="H672" s="98"/>
      <c r="I672" s="100"/>
      <c r="J672" s="100"/>
      <c r="K672" s="100"/>
      <c r="L672" s="101"/>
      <c r="M672" s="101"/>
      <c r="N672" s="112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</row>
    <row r="673" spans="1:29" ht="13">
      <c r="A673" s="115"/>
      <c r="B673" s="97"/>
      <c r="C673" s="115"/>
      <c r="D673" s="115"/>
      <c r="E673" s="115"/>
      <c r="F673" s="115"/>
      <c r="G673" s="99"/>
      <c r="H673" s="98"/>
      <c r="I673" s="100"/>
      <c r="J673" s="100"/>
      <c r="K673" s="100"/>
      <c r="L673" s="101"/>
      <c r="M673" s="101"/>
      <c r="N673" s="112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</row>
    <row r="674" spans="1:29" ht="13">
      <c r="A674" s="115"/>
      <c r="B674" s="97"/>
      <c r="C674" s="115"/>
      <c r="D674" s="115"/>
      <c r="E674" s="115"/>
      <c r="F674" s="115"/>
      <c r="G674" s="99"/>
      <c r="H674" s="98"/>
      <c r="I674" s="100"/>
      <c r="J674" s="100"/>
      <c r="K674" s="100"/>
      <c r="L674" s="101"/>
      <c r="M674" s="101"/>
      <c r="N674" s="112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</row>
    <row r="675" spans="1:29" ht="13">
      <c r="A675" s="115"/>
      <c r="B675" s="97"/>
      <c r="C675" s="115"/>
      <c r="D675" s="115"/>
      <c r="E675" s="115"/>
      <c r="F675" s="115"/>
      <c r="G675" s="99"/>
      <c r="H675" s="98"/>
      <c r="I675" s="100"/>
      <c r="J675" s="100"/>
      <c r="K675" s="100"/>
      <c r="L675" s="101"/>
      <c r="M675" s="101"/>
      <c r="N675" s="112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</row>
    <row r="676" spans="1:29" ht="13">
      <c r="A676" s="115"/>
      <c r="B676" s="97"/>
      <c r="C676" s="115"/>
      <c r="D676" s="115"/>
      <c r="E676" s="115"/>
      <c r="F676" s="115"/>
      <c r="G676" s="99"/>
      <c r="H676" s="98"/>
      <c r="I676" s="100"/>
      <c r="J676" s="100"/>
      <c r="K676" s="100"/>
      <c r="L676" s="101"/>
      <c r="M676" s="101"/>
      <c r="N676" s="112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</row>
    <row r="677" spans="1:29" ht="13">
      <c r="A677" s="115"/>
      <c r="B677" s="97"/>
      <c r="C677" s="115"/>
      <c r="D677" s="115"/>
      <c r="E677" s="115"/>
      <c r="F677" s="115"/>
      <c r="G677" s="99"/>
      <c r="H677" s="98"/>
      <c r="I677" s="100"/>
      <c r="J677" s="100"/>
      <c r="K677" s="100"/>
      <c r="L677" s="101"/>
      <c r="M677" s="101"/>
      <c r="N677" s="112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</row>
    <row r="678" spans="1:29" ht="13">
      <c r="A678" s="115"/>
      <c r="B678" s="97"/>
      <c r="C678" s="115"/>
      <c r="D678" s="115"/>
      <c r="E678" s="115"/>
      <c r="F678" s="115"/>
      <c r="G678" s="99"/>
      <c r="H678" s="98"/>
      <c r="I678" s="100"/>
      <c r="J678" s="100"/>
      <c r="K678" s="100"/>
      <c r="L678" s="101"/>
      <c r="M678" s="101"/>
      <c r="N678" s="112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</row>
    <row r="679" spans="1:29" ht="13">
      <c r="A679" s="115"/>
      <c r="B679" s="97"/>
      <c r="C679" s="115"/>
      <c r="D679" s="115"/>
      <c r="E679" s="115"/>
      <c r="F679" s="115"/>
      <c r="G679" s="99"/>
      <c r="H679" s="98"/>
      <c r="I679" s="100"/>
      <c r="J679" s="100"/>
      <c r="K679" s="100"/>
      <c r="L679" s="101"/>
      <c r="M679" s="101"/>
      <c r="N679" s="112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</row>
    <row r="680" spans="1:29" ht="13">
      <c r="A680" s="115"/>
      <c r="B680" s="97"/>
      <c r="C680" s="115"/>
      <c r="D680" s="115"/>
      <c r="E680" s="115"/>
      <c r="F680" s="115"/>
      <c r="G680" s="99"/>
      <c r="H680" s="98"/>
      <c r="I680" s="100"/>
      <c r="J680" s="100"/>
      <c r="K680" s="100"/>
      <c r="L680" s="101"/>
      <c r="M680" s="101"/>
      <c r="N680" s="112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</row>
    <row r="681" spans="1:29" ht="13">
      <c r="A681" s="115"/>
      <c r="B681" s="97"/>
      <c r="C681" s="115"/>
      <c r="D681" s="115"/>
      <c r="E681" s="115"/>
      <c r="F681" s="115"/>
      <c r="G681" s="99"/>
      <c r="H681" s="98"/>
      <c r="I681" s="100"/>
      <c r="J681" s="100"/>
      <c r="K681" s="100"/>
      <c r="L681" s="101"/>
      <c r="M681" s="101"/>
      <c r="N681" s="112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</row>
    <row r="682" spans="1:29" ht="13">
      <c r="A682" s="115"/>
      <c r="B682" s="97"/>
      <c r="C682" s="115"/>
      <c r="D682" s="115"/>
      <c r="E682" s="115"/>
      <c r="F682" s="115"/>
      <c r="G682" s="99"/>
      <c r="H682" s="98"/>
      <c r="I682" s="100"/>
      <c r="J682" s="100"/>
      <c r="K682" s="100"/>
      <c r="L682" s="101"/>
      <c r="M682" s="101"/>
      <c r="N682" s="112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</row>
    <row r="683" spans="1:29" ht="13">
      <c r="A683" s="115"/>
      <c r="B683" s="97"/>
      <c r="C683" s="115"/>
      <c r="D683" s="115"/>
      <c r="E683" s="115"/>
      <c r="F683" s="115"/>
      <c r="G683" s="99"/>
      <c r="H683" s="98"/>
      <c r="I683" s="100"/>
      <c r="J683" s="100"/>
      <c r="K683" s="100"/>
      <c r="L683" s="101"/>
      <c r="M683" s="101"/>
      <c r="N683" s="112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</row>
    <row r="684" spans="1:29" ht="13">
      <c r="A684" s="115"/>
      <c r="B684" s="97"/>
      <c r="C684" s="115"/>
      <c r="D684" s="115"/>
      <c r="E684" s="115"/>
      <c r="F684" s="115"/>
      <c r="G684" s="99"/>
      <c r="H684" s="98"/>
      <c r="I684" s="100"/>
      <c r="J684" s="100"/>
      <c r="K684" s="100"/>
      <c r="L684" s="101"/>
      <c r="M684" s="101"/>
      <c r="N684" s="112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</row>
    <row r="685" spans="1:29" ht="13">
      <c r="A685" s="115"/>
      <c r="B685" s="97"/>
      <c r="C685" s="115"/>
      <c r="D685" s="115"/>
      <c r="E685" s="115"/>
      <c r="F685" s="115"/>
      <c r="G685" s="99"/>
      <c r="H685" s="98"/>
      <c r="I685" s="100"/>
      <c r="J685" s="100"/>
      <c r="K685" s="100"/>
      <c r="L685" s="101"/>
      <c r="M685" s="101"/>
      <c r="N685" s="112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</row>
    <row r="686" spans="1:29" ht="13">
      <c r="A686" s="115"/>
      <c r="B686" s="97"/>
      <c r="C686" s="115"/>
      <c r="D686" s="115"/>
      <c r="E686" s="115"/>
      <c r="F686" s="115"/>
      <c r="G686" s="99"/>
      <c r="H686" s="98"/>
      <c r="I686" s="100"/>
      <c r="J686" s="100"/>
      <c r="K686" s="100"/>
      <c r="L686" s="101"/>
      <c r="M686" s="101"/>
      <c r="N686" s="112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</row>
    <row r="687" spans="1:29" ht="13">
      <c r="A687" s="115"/>
      <c r="B687" s="97"/>
      <c r="C687" s="115"/>
      <c r="D687" s="115"/>
      <c r="E687" s="115"/>
      <c r="F687" s="115"/>
      <c r="G687" s="99"/>
      <c r="H687" s="98"/>
      <c r="I687" s="100"/>
      <c r="J687" s="100"/>
      <c r="K687" s="100"/>
      <c r="L687" s="101"/>
      <c r="M687" s="101"/>
      <c r="N687" s="112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</row>
    <row r="688" spans="1:29" ht="13">
      <c r="A688" s="115"/>
      <c r="B688" s="97"/>
      <c r="C688" s="115"/>
      <c r="D688" s="115"/>
      <c r="E688" s="115"/>
      <c r="F688" s="115"/>
      <c r="G688" s="99"/>
      <c r="H688" s="98"/>
      <c r="I688" s="100"/>
      <c r="J688" s="100"/>
      <c r="K688" s="100"/>
      <c r="L688" s="101"/>
      <c r="M688" s="101"/>
      <c r="N688" s="112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</row>
    <row r="689" spans="1:29" ht="13">
      <c r="A689" s="115"/>
      <c r="B689" s="97"/>
      <c r="C689" s="115"/>
      <c r="D689" s="115"/>
      <c r="E689" s="115"/>
      <c r="F689" s="115"/>
      <c r="G689" s="99"/>
      <c r="H689" s="98"/>
      <c r="I689" s="100"/>
      <c r="J689" s="100"/>
      <c r="K689" s="100"/>
      <c r="L689" s="101"/>
      <c r="M689" s="101"/>
      <c r="N689" s="112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</row>
    <row r="690" spans="1:29" ht="13">
      <c r="A690" s="115"/>
      <c r="B690" s="97"/>
      <c r="C690" s="115"/>
      <c r="D690" s="115"/>
      <c r="E690" s="115"/>
      <c r="F690" s="115"/>
      <c r="G690" s="99"/>
      <c r="H690" s="98"/>
      <c r="I690" s="100"/>
      <c r="J690" s="100"/>
      <c r="K690" s="100"/>
      <c r="L690" s="101"/>
      <c r="M690" s="101"/>
      <c r="N690" s="112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</row>
    <row r="691" spans="1:29" ht="13">
      <c r="A691" s="115"/>
      <c r="B691" s="97"/>
      <c r="C691" s="115"/>
      <c r="D691" s="115"/>
      <c r="E691" s="115"/>
      <c r="F691" s="115"/>
      <c r="G691" s="99"/>
      <c r="H691" s="98"/>
      <c r="I691" s="100"/>
      <c r="J691" s="100"/>
      <c r="K691" s="100"/>
      <c r="L691" s="101"/>
      <c r="M691" s="101"/>
      <c r="N691" s="112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</row>
    <row r="692" spans="1:29" ht="13">
      <c r="A692" s="115"/>
      <c r="B692" s="97"/>
      <c r="C692" s="115"/>
      <c r="D692" s="115"/>
      <c r="E692" s="115"/>
      <c r="F692" s="115"/>
      <c r="G692" s="99"/>
      <c r="H692" s="98"/>
      <c r="I692" s="100"/>
      <c r="J692" s="100"/>
      <c r="K692" s="100"/>
      <c r="L692" s="101"/>
      <c r="M692" s="101"/>
      <c r="N692" s="112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</row>
    <row r="693" spans="1:29" ht="13">
      <c r="A693" s="115"/>
      <c r="B693" s="97"/>
      <c r="C693" s="115"/>
      <c r="D693" s="115"/>
      <c r="E693" s="115"/>
      <c r="F693" s="115"/>
      <c r="G693" s="99"/>
      <c r="H693" s="98"/>
      <c r="I693" s="100"/>
      <c r="J693" s="100"/>
      <c r="K693" s="100"/>
      <c r="L693" s="101"/>
      <c r="M693" s="101"/>
      <c r="N693" s="112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</row>
    <row r="694" spans="1:29" ht="13">
      <c r="A694" s="115"/>
      <c r="B694" s="97"/>
      <c r="C694" s="115"/>
      <c r="D694" s="115"/>
      <c r="E694" s="115"/>
      <c r="F694" s="115"/>
      <c r="G694" s="99"/>
      <c r="H694" s="98"/>
      <c r="I694" s="100"/>
      <c r="J694" s="100"/>
      <c r="K694" s="100"/>
      <c r="L694" s="101"/>
      <c r="M694" s="101"/>
      <c r="N694" s="112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</row>
    <row r="695" spans="1:29" ht="13">
      <c r="A695" s="115"/>
      <c r="B695" s="97"/>
      <c r="C695" s="115"/>
      <c r="D695" s="115"/>
      <c r="E695" s="115"/>
      <c r="F695" s="115"/>
      <c r="G695" s="99"/>
      <c r="H695" s="98"/>
      <c r="I695" s="100"/>
      <c r="J695" s="100"/>
      <c r="K695" s="100"/>
      <c r="L695" s="101"/>
      <c r="M695" s="101"/>
      <c r="N695" s="112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</row>
    <row r="696" spans="1:29" ht="13">
      <c r="A696" s="115"/>
      <c r="B696" s="97"/>
      <c r="C696" s="115"/>
      <c r="D696" s="115"/>
      <c r="E696" s="115"/>
      <c r="F696" s="115"/>
      <c r="G696" s="99"/>
      <c r="H696" s="98"/>
      <c r="I696" s="100"/>
      <c r="J696" s="100"/>
      <c r="K696" s="100"/>
      <c r="L696" s="101"/>
      <c r="M696" s="101"/>
      <c r="N696" s="112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</row>
    <row r="697" spans="1:29" ht="13">
      <c r="A697" s="115"/>
      <c r="B697" s="97"/>
      <c r="C697" s="115"/>
      <c r="D697" s="115"/>
      <c r="E697" s="115"/>
      <c r="F697" s="115"/>
      <c r="G697" s="99"/>
      <c r="H697" s="98"/>
      <c r="I697" s="100"/>
      <c r="J697" s="100"/>
      <c r="K697" s="100"/>
      <c r="L697" s="101"/>
      <c r="M697" s="101"/>
      <c r="N697" s="112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</row>
    <row r="698" spans="1:29" ht="13">
      <c r="A698" s="115"/>
      <c r="B698" s="97"/>
      <c r="C698" s="115"/>
      <c r="D698" s="115"/>
      <c r="E698" s="115"/>
      <c r="F698" s="115"/>
      <c r="G698" s="99"/>
      <c r="H698" s="98"/>
      <c r="I698" s="100"/>
      <c r="J698" s="100"/>
      <c r="K698" s="100"/>
      <c r="L698" s="101"/>
      <c r="M698" s="101"/>
      <c r="N698" s="112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</row>
    <row r="699" spans="1:29" ht="13">
      <c r="A699" s="115"/>
      <c r="B699" s="97"/>
      <c r="C699" s="115"/>
      <c r="D699" s="115"/>
      <c r="E699" s="115"/>
      <c r="F699" s="115"/>
      <c r="G699" s="99"/>
      <c r="H699" s="98"/>
      <c r="I699" s="100"/>
      <c r="J699" s="100"/>
      <c r="K699" s="100"/>
      <c r="L699" s="101"/>
      <c r="M699" s="101"/>
      <c r="N699" s="112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</row>
    <row r="700" spans="1:29" ht="13">
      <c r="A700" s="115"/>
      <c r="B700" s="97"/>
      <c r="C700" s="115"/>
      <c r="D700" s="115"/>
      <c r="E700" s="115"/>
      <c r="F700" s="115"/>
      <c r="G700" s="99"/>
      <c r="H700" s="98"/>
      <c r="I700" s="100"/>
      <c r="J700" s="100"/>
      <c r="K700" s="100"/>
      <c r="L700" s="101"/>
      <c r="M700" s="101"/>
      <c r="N700" s="112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</row>
    <row r="701" spans="1:29" ht="13">
      <c r="A701" s="115"/>
      <c r="B701" s="97"/>
      <c r="C701" s="115"/>
      <c r="D701" s="115"/>
      <c r="E701" s="115"/>
      <c r="F701" s="115"/>
      <c r="G701" s="99"/>
      <c r="H701" s="98"/>
      <c r="I701" s="100"/>
      <c r="J701" s="100"/>
      <c r="K701" s="100"/>
      <c r="L701" s="101"/>
      <c r="M701" s="101"/>
      <c r="N701" s="112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</row>
    <row r="702" spans="1:29" ht="13">
      <c r="A702" s="115"/>
      <c r="B702" s="97"/>
      <c r="C702" s="115"/>
      <c r="D702" s="115"/>
      <c r="E702" s="115"/>
      <c r="F702" s="115"/>
      <c r="G702" s="99"/>
      <c r="H702" s="98"/>
      <c r="I702" s="100"/>
      <c r="J702" s="100"/>
      <c r="K702" s="100"/>
      <c r="L702" s="101"/>
      <c r="M702" s="101"/>
      <c r="N702" s="112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</row>
    <row r="703" spans="1:29" ht="13">
      <c r="A703" s="115"/>
      <c r="B703" s="97"/>
      <c r="C703" s="115"/>
      <c r="D703" s="115"/>
      <c r="E703" s="115"/>
      <c r="F703" s="115"/>
      <c r="G703" s="99"/>
      <c r="H703" s="98"/>
      <c r="I703" s="100"/>
      <c r="J703" s="100"/>
      <c r="K703" s="100"/>
      <c r="L703" s="101"/>
      <c r="M703" s="101"/>
      <c r="N703" s="112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</row>
    <row r="704" spans="1:29" ht="13">
      <c r="A704" s="115"/>
      <c r="B704" s="97"/>
      <c r="C704" s="115"/>
      <c r="D704" s="115"/>
      <c r="E704" s="115"/>
      <c r="F704" s="115"/>
      <c r="G704" s="99"/>
      <c r="H704" s="98"/>
      <c r="I704" s="100"/>
      <c r="J704" s="100"/>
      <c r="K704" s="100"/>
      <c r="L704" s="101"/>
      <c r="M704" s="101"/>
      <c r="N704" s="112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</row>
    <row r="705" spans="1:29" ht="13">
      <c r="A705" s="115"/>
      <c r="B705" s="97"/>
      <c r="C705" s="115"/>
      <c r="D705" s="115"/>
      <c r="E705" s="115"/>
      <c r="F705" s="115"/>
      <c r="G705" s="99"/>
      <c r="H705" s="98"/>
      <c r="I705" s="100"/>
      <c r="J705" s="100"/>
      <c r="K705" s="100"/>
      <c r="L705" s="101"/>
      <c r="M705" s="101"/>
      <c r="N705" s="112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</row>
    <row r="706" spans="1:29" ht="13">
      <c r="A706" s="115"/>
      <c r="B706" s="97"/>
      <c r="C706" s="115"/>
      <c r="D706" s="115"/>
      <c r="E706" s="115"/>
      <c r="F706" s="115"/>
      <c r="G706" s="99"/>
      <c r="H706" s="98"/>
      <c r="I706" s="100"/>
      <c r="J706" s="100"/>
      <c r="K706" s="100"/>
      <c r="L706" s="101"/>
      <c r="M706" s="101"/>
      <c r="N706" s="112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</row>
    <row r="707" spans="1:29" ht="13">
      <c r="A707" s="115"/>
      <c r="B707" s="97"/>
      <c r="C707" s="115"/>
      <c r="D707" s="115"/>
      <c r="E707" s="115"/>
      <c r="F707" s="115"/>
      <c r="G707" s="99"/>
      <c r="H707" s="98"/>
      <c r="I707" s="100"/>
      <c r="J707" s="100"/>
      <c r="K707" s="100"/>
      <c r="L707" s="101"/>
      <c r="M707" s="101"/>
      <c r="N707" s="112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</row>
    <row r="708" spans="1:29" ht="13">
      <c r="A708" s="115"/>
      <c r="B708" s="97"/>
      <c r="C708" s="115"/>
      <c r="D708" s="115"/>
      <c r="E708" s="115"/>
      <c r="F708" s="115"/>
      <c r="G708" s="99"/>
      <c r="H708" s="98"/>
      <c r="I708" s="100"/>
      <c r="J708" s="100"/>
      <c r="K708" s="100"/>
      <c r="L708" s="101"/>
      <c r="M708" s="101"/>
      <c r="N708" s="112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</row>
    <row r="709" spans="1:29" ht="13">
      <c r="A709" s="115"/>
      <c r="B709" s="97"/>
      <c r="C709" s="115"/>
      <c r="D709" s="115"/>
      <c r="E709" s="115"/>
      <c r="F709" s="115"/>
      <c r="G709" s="99"/>
      <c r="H709" s="98"/>
      <c r="I709" s="100"/>
      <c r="J709" s="100"/>
      <c r="K709" s="100"/>
      <c r="L709" s="101"/>
      <c r="M709" s="101"/>
      <c r="N709" s="112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</row>
    <row r="710" spans="1:29" ht="13">
      <c r="A710" s="115"/>
      <c r="B710" s="97"/>
      <c r="C710" s="115"/>
      <c r="D710" s="115"/>
      <c r="E710" s="115"/>
      <c r="F710" s="115"/>
      <c r="G710" s="99"/>
      <c r="H710" s="98"/>
      <c r="I710" s="100"/>
      <c r="J710" s="100"/>
      <c r="K710" s="100"/>
      <c r="L710" s="101"/>
      <c r="M710" s="101"/>
      <c r="N710" s="112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</row>
    <row r="711" spans="1:29" ht="13">
      <c r="A711" s="115"/>
      <c r="B711" s="97"/>
      <c r="C711" s="115"/>
      <c r="D711" s="115"/>
      <c r="E711" s="115"/>
      <c r="F711" s="115"/>
      <c r="G711" s="99"/>
      <c r="H711" s="98"/>
      <c r="I711" s="100"/>
      <c r="J711" s="100"/>
      <c r="K711" s="100"/>
      <c r="L711" s="101"/>
      <c r="M711" s="101"/>
      <c r="N711" s="112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</row>
    <row r="712" spans="1:29" ht="13">
      <c r="A712" s="115"/>
      <c r="B712" s="97"/>
      <c r="C712" s="115"/>
      <c r="D712" s="115"/>
      <c r="E712" s="115"/>
      <c r="F712" s="115"/>
      <c r="G712" s="99"/>
      <c r="H712" s="98"/>
      <c r="I712" s="100"/>
      <c r="J712" s="100"/>
      <c r="K712" s="100"/>
      <c r="L712" s="101"/>
      <c r="M712" s="101"/>
      <c r="N712" s="112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</row>
    <row r="713" spans="1:29" ht="13">
      <c r="A713" s="115"/>
      <c r="B713" s="97"/>
      <c r="C713" s="115"/>
      <c r="D713" s="115"/>
      <c r="E713" s="115"/>
      <c r="F713" s="115"/>
      <c r="G713" s="99"/>
      <c r="H713" s="98"/>
      <c r="I713" s="100"/>
      <c r="J713" s="100"/>
      <c r="K713" s="100"/>
      <c r="L713" s="101"/>
      <c r="M713" s="101"/>
      <c r="N713" s="112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</row>
    <row r="714" spans="1:29" ht="13">
      <c r="A714" s="115"/>
      <c r="B714" s="97"/>
      <c r="C714" s="115"/>
      <c r="D714" s="115"/>
      <c r="E714" s="115"/>
      <c r="F714" s="115"/>
      <c r="G714" s="99"/>
      <c r="H714" s="98"/>
      <c r="I714" s="100"/>
      <c r="J714" s="100"/>
      <c r="K714" s="100"/>
      <c r="L714" s="101"/>
      <c r="M714" s="101"/>
      <c r="N714" s="112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</row>
    <row r="715" spans="1:29" ht="13">
      <c r="A715" s="115"/>
      <c r="B715" s="97"/>
      <c r="C715" s="115"/>
      <c r="D715" s="115"/>
      <c r="E715" s="115"/>
      <c r="F715" s="115"/>
      <c r="G715" s="99"/>
      <c r="H715" s="98"/>
      <c r="I715" s="100"/>
      <c r="J715" s="100"/>
      <c r="K715" s="100"/>
      <c r="L715" s="101"/>
      <c r="M715" s="101"/>
      <c r="N715" s="112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</row>
    <row r="716" spans="1:29" ht="13">
      <c r="A716" s="115"/>
      <c r="B716" s="97"/>
      <c r="C716" s="115"/>
      <c r="D716" s="115"/>
      <c r="E716" s="115"/>
      <c r="F716" s="115"/>
      <c r="G716" s="99"/>
      <c r="H716" s="98"/>
      <c r="I716" s="100"/>
      <c r="J716" s="100"/>
      <c r="K716" s="100"/>
      <c r="L716" s="101"/>
      <c r="M716" s="101"/>
      <c r="N716" s="112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</row>
    <row r="717" spans="1:29" ht="13">
      <c r="A717" s="115"/>
      <c r="B717" s="97"/>
      <c r="C717" s="115"/>
      <c r="D717" s="115"/>
      <c r="E717" s="115"/>
      <c r="F717" s="115"/>
      <c r="G717" s="99"/>
      <c r="H717" s="98"/>
      <c r="I717" s="100"/>
      <c r="J717" s="100"/>
      <c r="K717" s="100"/>
      <c r="L717" s="101"/>
      <c r="M717" s="101"/>
      <c r="N717" s="112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</row>
    <row r="718" spans="1:29" ht="13">
      <c r="A718" s="115"/>
      <c r="B718" s="97"/>
      <c r="C718" s="115"/>
      <c r="D718" s="115"/>
      <c r="E718" s="115"/>
      <c r="F718" s="115"/>
      <c r="G718" s="99"/>
      <c r="H718" s="98"/>
      <c r="I718" s="100"/>
      <c r="J718" s="100"/>
      <c r="K718" s="100"/>
      <c r="L718" s="101"/>
      <c r="M718" s="101"/>
      <c r="N718" s="112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</row>
    <row r="719" spans="1:29" ht="13">
      <c r="A719" s="115"/>
      <c r="B719" s="97"/>
      <c r="C719" s="115"/>
      <c r="D719" s="115"/>
      <c r="E719" s="115"/>
      <c r="F719" s="115"/>
      <c r="G719" s="99"/>
      <c r="H719" s="98"/>
      <c r="I719" s="100"/>
      <c r="J719" s="100"/>
      <c r="K719" s="100"/>
      <c r="L719" s="101"/>
      <c r="M719" s="101"/>
      <c r="N719" s="112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</row>
    <row r="720" spans="1:29" ht="13">
      <c r="A720" s="115"/>
      <c r="B720" s="97"/>
      <c r="C720" s="115"/>
      <c r="D720" s="115"/>
      <c r="E720" s="115"/>
      <c r="F720" s="115"/>
      <c r="G720" s="99"/>
      <c r="H720" s="98"/>
      <c r="I720" s="100"/>
      <c r="J720" s="100"/>
      <c r="K720" s="100"/>
      <c r="L720" s="101"/>
      <c r="M720" s="101"/>
      <c r="N720" s="112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</row>
    <row r="721" spans="1:29" ht="13">
      <c r="A721" s="115"/>
      <c r="B721" s="97"/>
      <c r="C721" s="115"/>
      <c r="D721" s="115"/>
      <c r="E721" s="115"/>
      <c r="F721" s="115"/>
      <c r="G721" s="99"/>
      <c r="H721" s="98"/>
      <c r="I721" s="100"/>
      <c r="J721" s="100"/>
      <c r="K721" s="100"/>
      <c r="L721" s="101"/>
      <c r="M721" s="101"/>
      <c r="N721" s="112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</row>
    <row r="722" spans="1:29" ht="13">
      <c r="A722" s="115"/>
      <c r="B722" s="97"/>
      <c r="C722" s="115"/>
      <c r="D722" s="115"/>
      <c r="E722" s="115"/>
      <c r="F722" s="115"/>
      <c r="G722" s="99"/>
      <c r="H722" s="98"/>
      <c r="I722" s="100"/>
      <c r="J722" s="100"/>
      <c r="K722" s="100"/>
      <c r="L722" s="101"/>
      <c r="M722" s="101"/>
      <c r="N722" s="112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</row>
    <row r="723" spans="1:29" ht="13">
      <c r="A723" s="115"/>
      <c r="B723" s="97"/>
      <c r="C723" s="115"/>
      <c r="D723" s="115"/>
      <c r="E723" s="115"/>
      <c r="F723" s="115"/>
      <c r="G723" s="99"/>
      <c r="H723" s="98"/>
      <c r="I723" s="100"/>
      <c r="J723" s="100"/>
      <c r="K723" s="100"/>
      <c r="L723" s="101"/>
      <c r="M723" s="101"/>
      <c r="N723" s="112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</row>
    <row r="724" spans="1:29" ht="13">
      <c r="A724" s="115"/>
      <c r="B724" s="97"/>
      <c r="C724" s="115"/>
      <c r="D724" s="115"/>
      <c r="E724" s="115"/>
      <c r="F724" s="115"/>
      <c r="G724" s="99"/>
      <c r="H724" s="98"/>
      <c r="I724" s="100"/>
      <c r="J724" s="100"/>
      <c r="K724" s="100"/>
      <c r="L724" s="101"/>
      <c r="M724" s="101"/>
      <c r="N724" s="112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</row>
    <row r="725" spans="1:29" ht="13">
      <c r="A725" s="115"/>
      <c r="B725" s="97"/>
      <c r="C725" s="115"/>
      <c r="D725" s="115"/>
      <c r="E725" s="115"/>
      <c r="F725" s="115"/>
      <c r="G725" s="99"/>
      <c r="H725" s="98"/>
      <c r="I725" s="100"/>
      <c r="J725" s="100"/>
      <c r="K725" s="100"/>
      <c r="L725" s="101"/>
      <c r="M725" s="101"/>
      <c r="N725" s="112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</row>
    <row r="726" spans="1:29" ht="13">
      <c r="A726" s="115"/>
      <c r="B726" s="97"/>
      <c r="C726" s="115"/>
      <c r="D726" s="115"/>
      <c r="E726" s="115"/>
      <c r="F726" s="115"/>
      <c r="G726" s="99"/>
      <c r="H726" s="98"/>
      <c r="I726" s="100"/>
      <c r="J726" s="100"/>
      <c r="K726" s="100"/>
      <c r="L726" s="101"/>
      <c r="M726" s="101"/>
      <c r="N726" s="112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</row>
    <row r="727" spans="1:29" ht="13">
      <c r="A727" s="115"/>
      <c r="B727" s="97"/>
      <c r="C727" s="115"/>
      <c r="D727" s="115"/>
      <c r="E727" s="115"/>
      <c r="F727" s="115"/>
      <c r="G727" s="99"/>
      <c r="H727" s="98"/>
      <c r="I727" s="100"/>
      <c r="J727" s="100"/>
      <c r="K727" s="100"/>
      <c r="L727" s="101"/>
      <c r="M727" s="101"/>
      <c r="N727" s="112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</row>
    <row r="728" spans="1:29" ht="13">
      <c r="A728" s="115"/>
      <c r="B728" s="97"/>
      <c r="C728" s="115"/>
      <c r="D728" s="115"/>
      <c r="E728" s="115"/>
      <c r="F728" s="115"/>
      <c r="G728" s="99"/>
      <c r="H728" s="98"/>
      <c r="I728" s="100"/>
      <c r="J728" s="100"/>
      <c r="K728" s="100"/>
      <c r="L728" s="101"/>
      <c r="M728" s="101"/>
      <c r="N728" s="112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</row>
    <row r="729" spans="1:29" ht="13">
      <c r="A729" s="115"/>
      <c r="B729" s="97"/>
      <c r="C729" s="115"/>
      <c r="D729" s="115"/>
      <c r="E729" s="115"/>
      <c r="F729" s="115"/>
      <c r="G729" s="99"/>
      <c r="H729" s="98"/>
      <c r="I729" s="100"/>
      <c r="J729" s="100"/>
      <c r="K729" s="100"/>
      <c r="L729" s="101"/>
      <c r="M729" s="101"/>
      <c r="N729" s="112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</row>
    <row r="730" spans="1:29" ht="13">
      <c r="A730" s="115"/>
      <c r="B730" s="97"/>
      <c r="C730" s="115"/>
      <c r="D730" s="115"/>
      <c r="E730" s="115"/>
      <c r="F730" s="115"/>
      <c r="G730" s="99"/>
      <c r="H730" s="98"/>
      <c r="I730" s="100"/>
      <c r="J730" s="100"/>
      <c r="K730" s="100"/>
      <c r="L730" s="101"/>
      <c r="M730" s="101"/>
      <c r="N730" s="112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</row>
    <row r="731" spans="1:29" ht="13">
      <c r="A731" s="115"/>
      <c r="B731" s="97"/>
      <c r="C731" s="115"/>
      <c r="D731" s="115"/>
      <c r="E731" s="115"/>
      <c r="F731" s="115"/>
      <c r="G731" s="99"/>
      <c r="H731" s="98"/>
      <c r="I731" s="100"/>
      <c r="J731" s="100"/>
      <c r="K731" s="100"/>
      <c r="L731" s="101"/>
      <c r="M731" s="101"/>
      <c r="N731" s="112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</row>
    <row r="732" spans="1:29" ht="13">
      <c r="A732" s="115"/>
      <c r="B732" s="97"/>
      <c r="C732" s="115"/>
      <c r="D732" s="115"/>
      <c r="E732" s="115"/>
      <c r="F732" s="115"/>
      <c r="G732" s="99"/>
      <c r="H732" s="98"/>
      <c r="I732" s="100"/>
      <c r="J732" s="100"/>
      <c r="K732" s="100"/>
      <c r="L732" s="101"/>
      <c r="M732" s="101"/>
      <c r="N732" s="112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</row>
    <row r="733" spans="1:29" ht="13">
      <c r="A733" s="115"/>
      <c r="B733" s="97"/>
      <c r="C733" s="115"/>
      <c r="D733" s="115"/>
      <c r="E733" s="115"/>
      <c r="F733" s="115"/>
      <c r="G733" s="99"/>
      <c r="H733" s="98"/>
      <c r="I733" s="100"/>
      <c r="J733" s="100"/>
      <c r="K733" s="100"/>
      <c r="L733" s="101"/>
      <c r="M733" s="101"/>
      <c r="N733" s="112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</row>
    <row r="734" spans="1:29" ht="13">
      <c r="A734" s="115"/>
      <c r="B734" s="97"/>
      <c r="C734" s="115"/>
      <c r="D734" s="115"/>
      <c r="E734" s="115"/>
      <c r="F734" s="115"/>
      <c r="G734" s="99"/>
      <c r="H734" s="98"/>
      <c r="I734" s="100"/>
      <c r="J734" s="100"/>
      <c r="K734" s="100"/>
      <c r="L734" s="101"/>
      <c r="M734" s="101"/>
      <c r="N734" s="112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</row>
    <row r="735" spans="1:29" ht="13">
      <c r="A735" s="115"/>
      <c r="B735" s="97"/>
      <c r="C735" s="115"/>
      <c r="D735" s="115"/>
      <c r="E735" s="115"/>
      <c r="F735" s="115"/>
      <c r="G735" s="99"/>
      <c r="H735" s="98"/>
      <c r="I735" s="100"/>
      <c r="J735" s="100"/>
      <c r="K735" s="100"/>
      <c r="L735" s="101"/>
      <c r="M735" s="101"/>
      <c r="N735" s="112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</row>
    <row r="736" spans="1:29" ht="13">
      <c r="A736" s="115"/>
      <c r="B736" s="97"/>
      <c r="C736" s="115"/>
      <c r="D736" s="115"/>
      <c r="E736" s="115"/>
      <c r="F736" s="115"/>
      <c r="G736" s="99"/>
      <c r="H736" s="98"/>
      <c r="I736" s="100"/>
      <c r="J736" s="100"/>
      <c r="K736" s="100"/>
      <c r="L736" s="101"/>
      <c r="M736" s="101"/>
      <c r="N736" s="112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</row>
    <row r="737" spans="1:29" ht="13">
      <c r="A737" s="115"/>
      <c r="B737" s="97"/>
      <c r="C737" s="115"/>
      <c r="D737" s="115"/>
      <c r="E737" s="115"/>
      <c r="F737" s="115"/>
      <c r="G737" s="99"/>
      <c r="H737" s="98"/>
      <c r="I737" s="100"/>
      <c r="J737" s="100"/>
      <c r="K737" s="100"/>
      <c r="L737" s="101"/>
      <c r="M737" s="101"/>
      <c r="N737" s="112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</row>
    <row r="738" spans="1:29" ht="13">
      <c r="A738" s="115"/>
      <c r="B738" s="97"/>
      <c r="C738" s="115"/>
      <c r="D738" s="115"/>
      <c r="E738" s="115"/>
      <c r="F738" s="115"/>
      <c r="G738" s="99"/>
      <c r="H738" s="98"/>
      <c r="I738" s="100"/>
      <c r="J738" s="100"/>
      <c r="K738" s="100"/>
      <c r="L738" s="101"/>
      <c r="M738" s="101"/>
      <c r="N738" s="112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</row>
    <row r="739" spans="1:29" ht="13">
      <c r="A739" s="115"/>
      <c r="B739" s="97"/>
      <c r="C739" s="115"/>
      <c r="D739" s="115"/>
      <c r="E739" s="115"/>
      <c r="F739" s="115"/>
      <c r="G739" s="99"/>
      <c r="H739" s="98"/>
      <c r="I739" s="100"/>
      <c r="J739" s="100"/>
      <c r="K739" s="100"/>
      <c r="L739" s="101"/>
      <c r="M739" s="101"/>
      <c r="N739" s="112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</row>
    <row r="740" spans="1:29" ht="13">
      <c r="A740" s="115"/>
      <c r="B740" s="97"/>
      <c r="C740" s="115"/>
      <c r="D740" s="115"/>
      <c r="E740" s="115"/>
      <c r="F740" s="115"/>
      <c r="G740" s="99"/>
      <c r="H740" s="98"/>
      <c r="I740" s="100"/>
      <c r="J740" s="100"/>
      <c r="K740" s="100"/>
      <c r="L740" s="101"/>
      <c r="M740" s="101"/>
      <c r="N740" s="112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</row>
    <row r="741" spans="1:29" ht="13">
      <c r="A741" s="115"/>
      <c r="B741" s="97"/>
      <c r="C741" s="115"/>
      <c r="D741" s="115"/>
      <c r="E741" s="115"/>
      <c r="F741" s="115"/>
      <c r="G741" s="99"/>
      <c r="H741" s="98"/>
      <c r="I741" s="100"/>
      <c r="J741" s="100"/>
      <c r="K741" s="100"/>
      <c r="L741" s="101"/>
      <c r="M741" s="101"/>
      <c r="N741" s="112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</row>
    <row r="742" spans="1:29" ht="13">
      <c r="A742" s="115"/>
      <c r="B742" s="97"/>
      <c r="C742" s="115"/>
      <c r="D742" s="115"/>
      <c r="E742" s="115"/>
      <c r="F742" s="115"/>
      <c r="G742" s="99"/>
      <c r="H742" s="98"/>
      <c r="I742" s="100"/>
      <c r="J742" s="100"/>
      <c r="K742" s="100"/>
      <c r="L742" s="101"/>
      <c r="M742" s="101"/>
      <c r="N742" s="112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</row>
    <row r="743" spans="1:29" ht="13">
      <c r="A743" s="115"/>
      <c r="B743" s="97"/>
      <c r="C743" s="115"/>
      <c r="D743" s="115"/>
      <c r="E743" s="115"/>
      <c r="F743" s="115"/>
      <c r="G743" s="99"/>
      <c r="H743" s="98"/>
      <c r="I743" s="100"/>
      <c r="J743" s="100"/>
      <c r="K743" s="100"/>
      <c r="L743" s="101"/>
      <c r="M743" s="101"/>
      <c r="N743" s="112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</row>
    <row r="744" spans="1:29" ht="13">
      <c r="A744" s="115"/>
      <c r="B744" s="97"/>
      <c r="C744" s="115"/>
      <c r="D744" s="115"/>
      <c r="E744" s="115"/>
      <c r="F744" s="115"/>
      <c r="G744" s="99"/>
      <c r="H744" s="98"/>
      <c r="I744" s="100"/>
      <c r="J744" s="100"/>
      <c r="K744" s="100"/>
      <c r="L744" s="101"/>
      <c r="M744" s="101"/>
      <c r="N744" s="112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</row>
    <row r="745" spans="1:29" ht="13">
      <c r="A745" s="115"/>
      <c r="B745" s="97"/>
      <c r="C745" s="115"/>
      <c r="D745" s="115"/>
      <c r="E745" s="115"/>
      <c r="F745" s="115"/>
      <c r="G745" s="99"/>
      <c r="H745" s="98"/>
      <c r="I745" s="100"/>
      <c r="J745" s="100"/>
      <c r="K745" s="100"/>
      <c r="L745" s="101"/>
      <c r="M745" s="101"/>
      <c r="N745" s="112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</row>
    <row r="746" spans="1:29" ht="13">
      <c r="A746" s="115"/>
      <c r="B746" s="97"/>
      <c r="C746" s="115"/>
      <c r="D746" s="115"/>
      <c r="E746" s="115"/>
      <c r="F746" s="115"/>
      <c r="G746" s="99"/>
      <c r="H746" s="98"/>
      <c r="I746" s="100"/>
      <c r="J746" s="100"/>
      <c r="K746" s="100"/>
      <c r="L746" s="101"/>
      <c r="M746" s="101"/>
      <c r="N746" s="112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</row>
    <row r="747" spans="1:29" ht="13">
      <c r="A747" s="115"/>
      <c r="B747" s="97"/>
      <c r="C747" s="115"/>
      <c r="D747" s="115"/>
      <c r="E747" s="115"/>
      <c r="F747" s="115"/>
      <c r="G747" s="99"/>
      <c r="H747" s="98"/>
      <c r="I747" s="100"/>
      <c r="J747" s="100"/>
      <c r="K747" s="100"/>
      <c r="L747" s="101"/>
      <c r="M747" s="101"/>
      <c r="N747" s="112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</row>
    <row r="748" spans="1:29" ht="13">
      <c r="A748" s="115"/>
      <c r="B748" s="97"/>
      <c r="C748" s="115"/>
      <c r="D748" s="115"/>
      <c r="E748" s="115"/>
      <c r="F748" s="115"/>
      <c r="G748" s="99"/>
      <c r="H748" s="98"/>
      <c r="I748" s="100"/>
      <c r="J748" s="100"/>
      <c r="K748" s="100"/>
      <c r="L748" s="101"/>
      <c r="M748" s="101"/>
      <c r="N748" s="112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</row>
    <row r="749" spans="1:29" ht="13">
      <c r="A749" s="115"/>
      <c r="B749" s="97"/>
      <c r="C749" s="115"/>
      <c r="D749" s="115"/>
      <c r="E749" s="115"/>
      <c r="F749" s="115"/>
      <c r="G749" s="99"/>
      <c r="H749" s="98"/>
      <c r="I749" s="100"/>
      <c r="J749" s="100"/>
      <c r="K749" s="100"/>
      <c r="L749" s="101"/>
      <c r="M749" s="101"/>
      <c r="N749" s="112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</row>
    <row r="750" spans="1:29" ht="13">
      <c r="A750" s="115"/>
      <c r="B750" s="97"/>
      <c r="C750" s="115"/>
      <c r="D750" s="115"/>
      <c r="E750" s="115"/>
      <c r="F750" s="115"/>
      <c r="G750" s="99"/>
      <c r="H750" s="98"/>
      <c r="I750" s="100"/>
      <c r="J750" s="100"/>
      <c r="K750" s="100"/>
      <c r="L750" s="101"/>
      <c r="M750" s="101"/>
      <c r="N750" s="112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</row>
    <row r="751" spans="1:29" ht="13">
      <c r="A751" s="115"/>
      <c r="B751" s="97"/>
      <c r="C751" s="115"/>
      <c r="D751" s="115"/>
      <c r="E751" s="115"/>
      <c r="F751" s="115"/>
      <c r="G751" s="99"/>
      <c r="H751" s="98"/>
      <c r="I751" s="100"/>
      <c r="J751" s="100"/>
      <c r="K751" s="100"/>
      <c r="L751" s="101"/>
      <c r="M751" s="101"/>
      <c r="N751" s="112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</row>
    <row r="752" spans="1:29" ht="13">
      <c r="A752" s="115"/>
      <c r="B752" s="97"/>
      <c r="C752" s="115"/>
      <c r="D752" s="115"/>
      <c r="E752" s="115"/>
      <c r="F752" s="115"/>
      <c r="G752" s="99"/>
      <c r="H752" s="98"/>
      <c r="I752" s="100"/>
      <c r="J752" s="100"/>
      <c r="K752" s="100"/>
      <c r="L752" s="101"/>
      <c r="M752" s="101"/>
      <c r="N752" s="112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</row>
    <row r="753" spans="1:29" ht="13">
      <c r="A753" s="115"/>
      <c r="B753" s="97"/>
      <c r="C753" s="115"/>
      <c r="D753" s="115"/>
      <c r="E753" s="115"/>
      <c r="F753" s="115"/>
      <c r="G753" s="99"/>
      <c r="H753" s="98"/>
      <c r="I753" s="100"/>
      <c r="J753" s="100"/>
      <c r="K753" s="100"/>
      <c r="L753" s="101"/>
      <c r="M753" s="101"/>
      <c r="N753" s="112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</row>
    <row r="754" spans="1:29" ht="13">
      <c r="A754" s="115"/>
      <c r="B754" s="97"/>
      <c r="C754" s="115"/>
      <c r="D754" s="115"/>
      <c r="E754" s="115"/>
      <c r="F754" s="115"/>
      <c r="G754" s="99"/>
      <c r="H754" s="98"/>
      <c r="I754" s="100"/>
      <c r="J754" s="100"/>
      <c r="K754" s="100"/>
      <c r="L754" s="101"/>
      <c r="M754" s="101"/>
      <c r="N754" s="112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</row>
    <row r="755" spans="1:29" ht="13">
      <c r="A755" s="115"/>
      <c r="B755" s="97"/>
      <c r="C755" s="115"/>
      <c r="D755" s="115"/>
      <c r="E755" s="115"/>
      <c r="F755" s="115"/>
      <c r="G755" s="99"/>
      <c r="H755" s="98"/>
      <c r="I755" s="100"/>
      <c r="J755" s="100"/>
      <c r="K755" s="100"/>
      <c r="L755" s="101"/>
      <c r="M755" s="101"/>
      <c r="N755" s="112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</row>
    <row r="756" spans="1:29" ht="13">
      <c r="A756" s="115"/>
      <c r="B756" s="97"/>
      <c r="C756" s="115"/>
      <c r="D756" s="115"/>
      <c r="E756" s="115"/>
      <c r="F756" s="115"/>
      <c r="G756" s="99"/>
      <c r="H756" s="98"/>
      <c r="I756" s="100"/>
      <c r="J756" s="100"/>
      <c r="K756" s="100"/>
      <c r="L756" s="101"/>
      <c r="M756" s="101"/>
      <c r="N756" s="112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</row>
    <row r="757" spans="1:29" ht="13">
      <c r="A757" s="115"/>
      <c r="B757" s="97"/>
      <c r="C757" s="115"/>
      <c r="D757" s="115"/>
      <c r="E757" s="115"/>
      <c r="F757" s="115"/>
      <c r="G757" s="99"/>
      <c r="H757" s="98"/>
      <c r="I757" s="100"/>
      <c r="J757" s="100"/>
      <c r="K757" s="100"/>
      <c r="L757" s="101"/>
      <c r="M757" s="101"/>
      <c r="N757" s="112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</row>
    <row r="758" spans="1:29" ht="13">
      <c r="A758" s="115"/>
      <c r="B758" s="97"/>
      <c r="C758" s="115"/>
      <c r="D758" s="115"/>
      <c r="E758" s="115"/>
      <c r="F758" s="115"/>
      <c r="G758" s="99"/>
      <c r="H758" s="98"/>
      <c r="I758" s="100"/>
      <c r="J758" s="100"/>
      <c r="K758" s="100"/>
      <c r="L758" s="101"/>
      <c r="M758" s="101"/>
      <c r="N758" s="112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</row>
    <row r="759" spans="1:29" ht="13">
      <c r="A759" s="115"/>
      <c r="B759" s="97"/>
      <c r="C759" s="115"/>
      <c r="D759" s="115"/>
      <c r="E759" s="115"/>
      <c r="F759" s="115"/>
      <c r="G759" s="99"/>
      <c r="H759" s="98"/>
      <c r="I759" s="100"/>
      <c r="J759" s="100"/>
      <c r="K759" s="100"/>
      <c r="L759" s="101"/>
      <c r="M759" s="101"/>
      <c r="N759" s="112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</row>
    <row r="760" spans="1:29" ht="13">
      <c r="A760" s="115"/>
      <c r="B760" s="97"/>
      <c r="C760" s="115"/>
      <c r="D760" s="115"/>
      <c r="E760" s="115"/>
      <c r="F760" s="115"/>
      <c r="G760" s="99"/>
      <c r="H760" s="98"/>
      <c r="I760" s="100"/>
      <c r="J760" s="100"/>
      <c r="K760" s="100"/>
      <c r="L760" s="101"/>
      <c r="M760" s="101"/>
      <c r="N760" s="112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</row>
    <row r="761" spans="1:29" ht="13">
      <c r="A761" s="115"/>
      <c r="B761" s="97"/>
      <c r="C761" s="115"/>
      <c r="D761" s="115"/>
      <c r="E761" s="115"/>
      <c r="F761" s="115"/>
      <c r="G761" s="99"/>
      <c r="H761" s="98"/>
      <c r="I761" s="100"/>
      <c r="J761" s="100"/>
      <c r="K761" s="100"/>
      <c r="L761" s="101"/>
      <c r="M761" s="101"/>
      <c r="N761" s="112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</row>
    <row r="762" spans="1:29" ht="13">
      <c r="A762" s="115"/>
      <c r="B762" s="97"/>
      <c r="C762" s="115"/>
      <c r="D762" s="115"/>
      <c r="E762" s="115"/>
      <c r="F762" s="115"/>
      <c r="G762" s="99"/>
      <c r="H762" s="98"/>
      <c r="I762" s="100"/>
      <c r="J762" s="100"/>
      <c r="K762" s="100"/>
      <c r="L762" s="101"/>
      <c r="M762" s="101"/>
      <c r="N762" s="112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</row>
    <row r="763" spans="1:29" ht="13">
      <c r="A763" s="115"/>
      <c r="B763" s="97"/>
      <c r="C763" s="115"/>
      <c r="D763" s="115"/>
      <c r="E763" s="115"/>
      <c r="F763" s="115"/>
      <c r="G763" s="99"/>
      <c r="H763" s="98"/>
      <c r="I763" s="100"/>
      <c r="J763" s="100"/>
      <c r="K763" s="100"/>
      <c r="L763" s="101"/>
      <c r="M763" s="101"/>
      <c r="N763" s="112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</row>
    <row r="764" spans="1:29" ht="13">
      <c r="A764" s="115"/>
      <c r="B764" s="97"/>
      <c r="C764" s="115"/>
      <c r="D764" s="115"/>
      <c r="E764" s="115"/>
      <c r="F764" s="115"/>
      <c r="G764" s="99"/>
      <c r="H764" s="98"/>
      <c r="I764" s="100"/>
      <c r="J764" s="100"/>
      <c r="K764" s="100"/>
      <c r="L764" s="101"/>
      <c r="M764" s="101"/>
      <c r="N764" s="112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</row>
    <row r="765" spans="1:29" ht="13">
      <c r="A765" s="115"/>
      <c r="B765" s="97"/>
      <c r="C765" s="115"/>
      <c r="D765" s="115"/>
      <c r="E765" s="115"/>
      <c r="F765" s="115"/>
      <c r="G765" s="99"/>
      <c r="H765" s="98"/>
      <c r="I765" s="100"/>
      <c r="J765" s="100"/>
      <c r="K765" s="100"/>
      <c r="L765" s="101"/>
      <c r="M765" s="101"/>
      <c r="N765" s="112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</row>
    <row r="766" spans="1:29" ht="13">
      <c r="A766" s="115"/>
      <c r="B766" s="97"/>
      <c r="C766" s="115"/>
      <c r="D766" s="115"/>
      <c r="E766" s="115"/>
      <c r="F766" s="115"/>
      <c r="G766" s="99"/>
      <c r="H766" s="98"/>
      <c r="I766" s="100"/>
      <c r="J766" s="100"/>
      <c r="K766" s="100"/>
      <c r="L766" s="101"/>
      <c r="M766" s="101"/>
      <c r="N766" s="112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</row>
    <row r="767" spans="1:29" ht="13">
      <c r="A767" s="115"/>
      <c r="B767" s="97"/>
      <c r="C767" s="115"/>
      <c r="D767" s="115"/>
      <c r="E767" s="115"/>
      <c r="F767" s="115"/>
      <c r="G767" s="99"/>
      <c r="H767" s="98"/>
      <c r="I767" s="100"/>
      <c r="J767" s="100"/>
      <c r="K767" s="100"/>
      <c r="L767" s="101"/>
      <c r="M767" s="101"/>
      <c r="N767" s="112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</row>
    <row r="768" spans="1:29" ht="13">
      <c r="A768" s="115"/>
      <c r="B768" s="97"/>
      <c r="C768" s="115"/>
      <c r="D768" s="115"/>
      <c r="E768" s="115"/>
      <c r="F768" s="115"/>
      <c r="G768" s="99"/>
      <c r="H768" s="98"/>
      <c r="I768" s="100"/>
      <c r="J768" s="100"/>
      <c r="K768" s="100"/>
      <c r="L768" s="101"/>
      <c r="M768" s="101"/>
      <c r="N768" s="112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</row>
    <row r="769" spans="1:29" ht="13">
      <c r="A769" s="115"/>
      <c r="B769" s="97"/>
      <c r="C769" s="115"/>
      <c r="D769" s="115"/>
      <c r="E769" s="115"/>
      <c r="F769" s="115"/>
      <c r="G769" s="99"/>
      <c r="H769" s="98"/>
      <c r="I769" s="100"/>
      <c r="J769" s="100"/>
      <c r="K769" s="100"/>
      <c r="L769" s="101"/>
      <c r="M769" s="101"/>
      <c r="N769" s="112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</row>
    <row r="770" spans="1:29" ht="13">
      <c r="A770" s="115"/>
      <c r="B770" s="97"/>
      <c r="C770" s="115"/>
      <c r="D770" s="115"/>
      <c r="E770" s="115"/>
      <c r="F770" s="115"/>
      <c r="G770" s="99"/>
      <c r="H770" s="98"/>
      <c r="I770" s="100"/>
      <c r="J770" s="100"/>
      <c r="K770" s="100"/>
      <c r="L770" s="101"/>
      <c r="M770" s="101"/>
      <c r="N770" s="112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</row>
    <row r="771" spans="1:29" ht="13">
      <c r="A771" s="115"/>
      <c r="B771" s="97"/>
      <c r="C771" s="115"/>
      <c r="D771" s="115"/>
      <c r="E771" s="115"/>
      <c r="F771" s="115"/>
      <c r="G771" s="99"/>
      <c r="H771" s="98"/>
      <c r="I771" s="100"/>
      <c r="J771" s="100"/>
      <c r="K771" s="100"/>
      <c r="L771" s="101"/>
      <c r="M771" s="101"/>
      <c r="N771" s="112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</row>
    <row r="772" spans="1:29" ht="13">
      <c r="A772" s="115"/>
      <c r="B772" s="97"/>
      <c r="C772" s="115"/>
      <c r="D772" s="115"/>
      <c r="E772" s="115"/>
      <c r="F772" s="115"/>
      <c r="G772" s="99"/>
      <c r="H772" s="98"/>
      <c r="I772" s="100"/>
      <c r="J772" s="100"/>
      <c r="K772" s="100"/>
      <c r="L772" s="101"/>
      <c r="M772" s="101"/>
      <c r="N772" s="112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</row>
    <row r="773" spans="1:29" ht="13">
      <c r="A773" s="115"/>
      <c r="B773" s="97"/>
      <c r="C773" s="115"/>
      <c r="D773" s="115"/>
      <c r="E773" s="115"/>
      <c r="F773" s="115"/>
      <c r="G773" s="99"/>
      <c r="H773" s="98"/>
      <c r="I773" s="100"/>
      <c r="J773" s="100"/>
      <c r="K773" s="100"/>
      <c r="L773" s="101"/>
      <c r="M773" s="101"/>
      <c r="N773" s="112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</row>
    <row r="774" spans="1:29" ht="13">
      <c r="A774" s="115"/>
      <c r="B774" s="97"/>
      <c r="C774" s="115"/>
      <c r="D774" s="115"/>
      <c r="E774" s="115"/>
      <c r="F774" s="115"/>
      <c r="G774" s="99"/>
      <c r="H774" s="98"/>
      <c r="I774" s="100"/>
      <c r="J774" s="100"/>
      <c r="K774" s="100"/>
      <c r="L774" s="101"/>
      <c r="M774" s="101"/>
      <c r="N774" s="112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</row>
    <row r="775" spans="1:29" ht="13">
      <c r="A775" s="115"/>
      <c r="B775" s="97"/>
      <c r="C775" s="115"/>
      <c r="D775" s="115"/>
      <c r="E775" s="115"/>
      <c r="F775" s="115"/>
      <c r="G775" s="99"/>
      <c r="H775" s="98"/>
      <c r="I775" s="100"/>
      <c r="J775" s="100"/>
      <c r="K775" s="100"/>
      <c r="L775" s="101"/>
      <c r="M775" s="101"/>
      <c r="N775" s="112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</row>
    <row r="776" spans="1:29" ht="13">
      <c r="A776" s="115"/>
      <c r="B776" s="97"/>
      <c r="C776" s="115"/>
      <c r="D776" s="115"/>
      <c r="E776" s="115"/>
      <c r="F776" s="115"/>
      <c r="G776" s="99"/>
      <c r="H776" s="98"/>
      <c r="I776" s="100"/>
      <c r="J776" s="100"/>
      <c r="K776" s="100"/>
      <c r="L776" s="101"/>
      <c r="M776" s="101"/>
      <c r="N776" s="112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</row>
    <row r="777" spans="1:29" ht="13">
      <c r="A777" s="115"/>
      <c r="B777" s="97"/>
      <c r="C777" s="115"/>
      <c r="D777" s="115"/>
      <c r="E777" s="115"/>
      <c r="F777" s="115"/>
      <c r="G777" s="99"/>
      <c r="H777" s="98"/>
      <c r="I777" s="100"/>
      <c r="J777" s="100"/>
      <c r="K777" s="100"/>
      <c r="L777" s="101"/>
      <c r="M777" s="101"/>
      <c r="N777" s="112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</row>
    <row r="778" spans="1:29" ht="13">
      <c r="A778" s="115"/>
      <c r="B778" s="97"/>
      <c r="C778" s="115"/>
      <c r="D778" s="115"/>
      <c r="E778" s="115"/>
      <c r="F778" s="115"/>
      <c r="G778" s="99"/>
      <c r="H778" s="98"/>
      <c r="I778" s="100"/>
      <c r="J778" s="100"/>
      <c r="K778" s="100"/>
      <c r="L778" s="101"/>
      <c r="M778" s="101"/>
      <c r="N778" s="112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</row>
    <row r="779" spans="1:29" ht="13">
      <c r="A779" s="115"/>
      <c r="B779" s="97"/>
      <c r="C779" s="115"/>
      <c r="D779" s="115"/>
      <c r="E779" s="115"/>
      <c r="F779" s="115"/>
      <c r="G779" s="99"/>
      <c r="H779" s="98"/>
      <c r="I779" s="100"/>
      <c r="J779" s="100"/>
      <c r="K779" s="100"/>
      <c r="L779" s="101"/>
      <c r="M779" s="101"/>
      <c r="N779" s="112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</row>
    <row r="780" spans="1:29" ht="13">
      <c r="A780" s="115"/>
      <c r="B780" s="97"/>
      <c r="C780" s="115"/>
      <c r="D780" s="115"/>
      <c r="E780" s="115"/>
      <c r="F780" s="115"/>
      <c r="G780" s="99"/>
      <c r="H780" s="98"/>
      <c r="I780" s="100"/>
      <c r="J780" s="100"/>
      <c r="K780" s="100"/>
      <c r="L780" s="101"/>
      <c r="M780" s="101"/>
      <c r="N780" s="112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</row>
    <row r="781" spans="1:29" ht="13">
      <c r="A781" s="115"/>
      <c r="B781" s="97"/>
      <c r="C781" s="115"/>
      <c r="D781" s="115"/>
      <c r="E781" s="115"/>
      <c r="F781" s="115"/>
      <c r="G781" s="99"/>
      <c r="H781" s="98"/>
      <c r="I781" s="100"/>
      <c r="J781" s="100"/>
      <c r="K781" s="100"/>
      <c r="L781" s="101"/>
      <c r="M781" s="101"/>
      <c r="N781" s="112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</row>
    <row r="782" spans="1:29" ht="13">
      <c r="A782" s="115"/>
      <c r="B782" s="97"/>
      <c r="C782" s="115"/>
      <c r="D782" s="115"/>
      <c r="E782" s="115"/>
      <c r="F782" s="115"/>
      <c r="G782" s="99"/>
      <c r="H782" s="98"/>
      <c r="I782" s="100"/>
      <c r="J782" s="100"/>
      <c r="K782" s="100"/>
      <c r="L782" s="101"/>
      <c r="M782" s="101"/>
      <c r="N782" s="112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</row>
    <row r="783" spans="1:29" ht="13">
      <c r="A783" s="115"/>
      <c r="B783" s="97"/>
      <c r="C783" s="115"/>
      <c r="D783" s="115"/>
      <c r="E783" s="115"/>
      <c r="F783" s="115"/>
      <c r="G783" s="99"/>
      <c r="H783" s="98"/>
      <c r="I783" s="100"/>
      <c r="J783" s="100"/>
      <c r="K783" s="100"/>
      <c r="L783" s="101"/>
      <c r="M783" s="101"/>
      <c r="N783" s="112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</row>
    <row r="784" spans="1:29" ht="13">
      <c r="A784" s="115"/>
      <c r="B784" s="97"/>
      <c r="C784" s="115"/>
      <c r="D784" s="115"/>
      <c r="E784" s="115"/>
      <c r="F784" s="115"/>
      <c r="G784" s="99"/>
      <c r="H784" s="98"/>
      <c r="I784" s="100"/>
      <c r="J784" s="100"/>
      <c r="K784" s="100"/>
      <c r="L784" s="101"/>
      <c r="M784" s="101"/>
      <c r="N784" s="112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</row>
    <row r="785" spans="1:29" ht="13">
      <c r="A785" s="115"/>
      <c r="B785" s="97"/>
      <c r="C785" s="115"/>
      <c r="D785" s="115"/>
      <c r="E785" s="115"/>
      <c r="F785" s="115"/>
      <c r="G785" s="99"/>
      <c r="H785" s="98"/>
      <c r="I785" s="100"/>
      <c r="J785" s="100"/>
      <c r="K785" s="100"/>
      <c r="L785" s="101"/>
      <c r="M785" s="101"/>
      <c r="N785" s="112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</row>
    <row r="786" spans="1:29" ht="13">
      <c r="A786" s="115"/>
      <c r="B786" s="97"/>
      <c r="C786" s="115"/>
      <c r="D786" s="115"/>
      <c r="E786" s="115"/>
      <c r="F786" s="115"/>
      <c r="G786" s="99"/>
      <c r="H786" s="98"/>
      <c r="I786" s="100"/>
      <c r="J786" s="100"/>
      <c r="K786" s="100"/>
      <c r="L786" s="101"/>
      <c r="M786" s="101"/>
      <c r="N786" s="112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</row>
    <row r="787" spans="1:29" ht="13">
      <c r="A787" s="115"/>
      <c r="B787" s="97"/>
      <c r="C787" s="115"/>
      <c r="D787" s="115"/>
      <c r="E787" s="115"/>
      <c r="F787" s="115"/>
      <c r="G787" s="99"/>
      <c r="H787" s="98"/>
      <c r="I787" s="100"/>
      <c r="J787" s="100"/>
      <c r="K787" s="100"/>
      <c r="L787" s="101"/>
      <c r="M787" s="101"/>
      <c r="N787" s="112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</row>
    <row r="788" spans="1:29" ht="13">
      <c r="A788" s="115"/>
      <c r="B788" s="97"/>
      <c r="C788" s="115"/>
      <c r="D788" s="115"/>
      <c r="E788" s="115"/>
      <c r="F788" s="115"/>
      <c r="G788" s="99"/>
      <c r="H788" s="98"/>
      <c r="I788" s="100"/>
      <c r="J788" s="100"/>
      <c r="K788" s="100"/>
      <c r="L788" s="101"/>
      <c r="M788" s="101"/>
      <c r="N788" s="112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</row>
    <row r="789" spans="1:29" ht="13">
      <c r="A789" s="115"/>
      <c r="B789" s="97"/>
      <c r="C789" s="115"/>
      <c r="D789" s="115"/>
      <c r="E789" s="115"/>
      <c r="F789" s="115"/>
      <c r="G789" s="99"/>
      <c r="H789" s="98"/>
      <c r="I789" s="100"/>
      <c r="J789" s="100"/>
      <c r="K789" s="100"/>
      <c r="L789" s="101"/>
      <c r="M789" s="101"/>
      <c r="N789" s="112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</row>
    <row r="790" spans="1:29" ht="13">
      <c r="A790" s="115"/>
      <c r="B790" s="97"/>
      <c r="C790" s="115"/>
      <c r="D790" s="115"/>
      <c r="E790" s="115"/>
      <c r="F790" s="115"/>
      <c r="G790" s="99"/>
      <c r="H790" s="98"/>
      <c r="I790" s="100"/>
      <c r="J790" s="100"/>
      <c r="K790" s="100"/>
      <c r="L790" s="101"/>
      <c r="M790" s="101"/>
      <c r="N790" s="112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</row>
    <row r="791" spans="1:29" ht="13">
      <c r="A791" s="115"/>
      <c r="B791" s="97"/>
      <c r="C791" s="115"/>
      <c r="D791" s="115"/>
      <c r="E791" s="115"/>
      <c r="F791" s="115"/>
      <c r="G791" s="99"/>
      <c r="H791" s="98"/>
      <c r="I791" s="100"/>
      <c r="J791" s="100"/>
      <c r="K791" s="100"/>
      <c r="L791" s="101"/>
      <c r="M791" s="101"/>
      <c r="N791" s="112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</row>
    <row r="792" spans="1:29" ht="13">
      <c r="A792" s="115"/>
      <c r="B792" s="97"/>
      <c r="C792" s="115"/>
      <c r="D792" s="115"/>
      <c r="E792" s="115"/>
      <c r="F792" s="115"/>
      <c r="G792" s="99"/>
      <c r="H792" s="98"/>
      <c r="I792" s="100"/>
      <c r="J792" s="100"/>
      <c r="K792" s="100"/>
      <c r="L792" s="101"/>
      <c r="M792" s="101"/>
      <c r="N792" s="112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</row>
    <row r="793" spans="1:29" ht="13">
      <c r="A793" s="115"/>
      <c r="B793" s="97"/>
      <c r="C793" s="115"/>
      <c r="D793" s="115"/>
      <c r="E793" s="115"/>
      <c r="F793" s="115"/>
      <c r="G793" s="99"/>
      <c r="H793" s="98"/>
      <c r="I793" s="100"/>
      <c r="J793" s="100"/>
      <c r="K793" s="100"/>
      <c r="L793" s="101"/>
      <c r="M793" s="101"/>
      <c r="N793" s="112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</row>
    <row r="794" spans="1:29" ht="13">
      <c r="A794" s="115"/>
      <c r="B794" s="97"/>
      <c r="C794" s="115"/>
      <c r="D794" s="115"/>
      <c r="E794" s="115"/>
      <c r="F794" s="115"/>
      <c r="G794" s="99"/>
      <c r="H794" s="98"/>
      <c r="I794" s="100"/>
      <c r="J794" s="100"/>
      <c r="K794" s="100"/>
      <c r="L794" s="101"/>
      <c r="M794" s="101"/>
      <c r="N794" s="112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</row>
    <row r="795" spans="1:29" ht="13">
      <c r="A795" s="115"/>
      <c r="B795" s="97"/>
      <c r="C795" s="115"/>
      <c r="D795" s="115"/>
      <c r="E795" s="115"/>
      <c r="F795" s="115"/>
      <c r="G795" s="99"/>
      <c r="H795" s="98"/>
      <c r="I795" s="100"/>
      <c r="J795" s="100"/>
      <c r="K795" s="100"/>
      <c r="L795" s="101"/>
      <c r="M795" s="101"/>
      <c r="N795" s="112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</row>
    <row r="796" spans="1:29" ht="13">
      <c r="A796" s="115"/>
      <c r="B796" s="97"/>
      <c r="C796" s="115"/>
      <c r="D796" s="115"/>
      <c r="E796" s="115"/>
      <c r="F796" s="115"/>
      <c r="G796" s="99"/>
      <c r="H796" s="98"/>
      <c r="I796" s="100"/>
      <c r="J796" s="100"/>
      <c r="K796" s="100"/>
      <c r="L796" s="101"/>
      <c r="M796" s="101"/>
      <c r="N796" s="112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</row>
    <row r="797" spans="1:29" ht="13">
      <c r="A797" s="115"/>
      <c r="B797" s="97"/>
      <c r="C797" s="115"/>
      <c r="D797" s="115"/>
      <c r="E797" s="115"/>
      <c r="F797" s="115"/>
      <c r="G797" s="99"/>
      <c r="H797" s="98"/>
      <c r="I797" s="100"/>
      <c r="J797" s="100"/>
      <c r="K797" s="100"/>
      <c r="L797" s="101"/>
      <c r="M797" s="101"/>
      <c r="N797" s="112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</row>
    <row r="798" spans="1:29" ht="13">
      <c r="A798" s="115"/>
      <c r="B798" s="97"/>
      <c r="C798" s="115"/>
      <c r="D798" s="115"/>
      <c r="E798" s="115"/>
      <c r="F798" s="115"/>
      <c r="G798" s="99"/>
      <c r="H798" s="98"/>
      <c r="I798" s="100"/>
      <c r="J798" s="100"/>
      <c r="K798" s="100"/>
      <c r="L798" s="101"/>
      <c r="M798" s="101"/>
      <c r="N798" s="112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</row>
    <row r="799" spans="1:29" ht="13">
      <c r="A799" s="115"/>
      <c r="B799" s="97"/>
      <c r="C799" s="115"/>
      <c r="D799" s="115"/>
      <c r="E799" s="115"/>
      <c r="F799" s="115"/>
      <c r="G799" s="99"/>
      <c r="H799" s="98"/>
      <c r="I799" s="100"/>
      <c r="J799" s="100"/>
      <c r="K799" s="100"/>
      <c r="L799" s="101"/>
      <c r="M799" s="101"/>
      <c r="N799" s="112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</row>
    <row r="800" spans="1:29" ht="13">
      <c r="A800" s="115"/>
      <c r="B800" s="97"/>
      <c r="C800" s="115"/>
      <c r="D800" s="115"/>
      <c r="E800" s="115"/>
      <c r="F800" s="115"/>
      <c r="G800" s="99"/>
      <c r="H800" s="98"/>
      <c r="I800" s="100"/>
      <c r="J800" s="100"/>
      <c r="K800" s="100"/>
      <c r="L800" s="101"/>
      <c r="M800" s="101"/>
      <c r="N800" s="112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</row>
    <row r="801" spans="1:29" ht="13">
      <c r="A801" s="115"/>
      <c r="B801" s="97"/>
      <c r="C801" s="115"/>
      <c r="D801" s="115"/>
      <c r="E801" s="115"/>
      <c r="F801" s="115"/>
      <c r="G801" s="99"/>
      <c r="H801" s="98"/>
      <c r="I801" s="100"/>
      <c r="J801" s="100"/>
      <c r="K801" s="100"/>
      <c r="L801" s="101"/>
      <c r="M801" s="101"/>
      <c r="N801" s="112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</row>
    <row r="802" spans="1:29" ht="13">
      <c r="A802" s="115"/>
      <c r="B802" s="97"/>
      <c r="C802" s="115"/>
      <c r="D802" s="115"/>
      <c r="E802" s="115"/>
      <c r="F802" s="115"/>
      <c r="G802" s="99"/>
      <c r="H802" s="98"/>
      <c r="I802" s="100"/>
      <c r="J802" s="100"/>
      <c r="K802" s="100"/>
      <c r="L802" s="101"/>
      <c r="M802" s="101"/>
      <c r="N802" s="112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</row>
    <row r="803" spans="1:29" ht="13">
      <c r="A803" s="115"/>
      <c r="B803" s="97"/>
      <c r="C803" s="115"/>
      <c r="D803" s="115"/>
      <c r="E803" s="115"/>
      <c r="F803" s="115"/>
      <c r="G803" s="99"/>
      <c r="H803" s="98"/>
      <c r="I803" s="100"/>
      <c r="J803" s="100"/>
      <c r="K803" s="100"/>
      <c r="L803" s="101"/>
      <c r="M803" s="101"/>
      <c r="N803" s="112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</row>
    <row r="804" spans="1:29" ht="13">
      <c r="A804" s="115"/>
      <c r="B804" s="97"/>
      <c r="C804" s="115"/>
      <c r="D804" s="115"/>
      <c r="E804" s="115"/>
      <c r="F804" s="115"/>
      <c r="G804" s="99"/>
      <c r="H804" s="98"/>
      <c r="I804" s="100"/>
      <c r="J804" s="100"/>
      <c r="K804" s="100"/>
      <c r="L804" s="101"/>
      <c r="M804" s="101"/>
      <c r="N804" s="112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</row>
    <row r="805" spans="1:29" ht="13">
      <c r="A805" s="115"/>
      <c r="B805" s="97"/>
      <c r="C805" s="115"/>
      <c r="D805" s="115"/>
      <c r="E805" s="115"/>
      <c r="F805" s="115"/>
      <c r="G805" s="99"/>
      <c r="H805" s="98"/>
      <c r="I805" s="100"/>
      <c r="J805" s="100"/>
      <c r="K805" s="100"/>
      <c r="L805" s="101"/>
      <c r="M805" s="101"/>
      <c r="N805" s="112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</row>
    <row r="806" spans="1:29" ht="13">
      <c r="A806" s="115"/>
      <c r="B806" s="97"/>
      <c r="C806" s="115"/>
      <c r="D806" s="115"/>
      <c r="E806" s="115"/>
      <c r="F806" s="115"/>
      <c r="G806" s="99"/>
      <c r="H806" s="98"/>
      <c r="I806" s="100"/>
      <c r="J806" s="100"/>
      <c r="K806" s="100"/>
      <c r="L806" s="101"/>
      <c r="M806" s="101"/>
      <c r="N806" s="112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</row>
    <row r="807" spans="1:29" ht="13">
      <c r="A807" s="115"/>
      <c r="B807" s="97"/>
      <c r="C807" s="115"/>
      <c r="D807" s="115"/>
      <c r="E807" s="115"/>
      <c r="F807" s="115"/>
      <c r="G807" s="99"/>
      <c r="H807" s="98"/>
      <c r="I807" s="100"/>
      <c r="J807" s="100"/>
      <c r="K807" s="100"/>
      <c r="L807" s="101"/>
      <c r="M807" s="101"/>
      <c r="N807" s="112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</row>
    <row r="808" spans="1:29" ht="13">
      <c r="A808" s="115"/>
      <c r="B808" s="97"/>
      <c r="C808" s="115"/>
      <c r="D808" s="115"/>
      <c r="E808" s="115"/>
      <c r="F808" s="115"/>
      <c r="G808" s="99"/>
      <c r="H808" s="98"/>
      <c r="I808" s="100"/>
      <c r="J808" s="100"/>
      <c r="K808" s="100"/>
      <c r="L808" s="101"/>
      <c r="M808" s="101"/>
      <c r="N808" s="112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</row>
    <row r="809" spans="1:29" ht="13">
      <c r="A809" s="115"/>
      <c r="B809" s="97"/>
      <c r="C809" s="115"/>
      <c r="D809" s="115"/>
      <c r="E809" s="115"/>
      <c r="F809" s="115"/>
      <c r="G809" s="99"/>
      <c r="H809" s="98"/>
      <c r="I809" s="100"/>
      <c r="J809" s="100"/>
      <c r="K809" s="100"/>
      <c r="L809" s="101"/>
      <c r="M809" s="101"/>
      <c r="N809" s="112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</row>
    <row r="810" spans="1:29" ht="13">
      <c r="A810" s="115"/>
      <c r="B810" s="97"/>
      <c r="C810" s="115"/>
      <c r="D810" s="115"/>
      <c r="E810" s="115"/>
      <c r="F810" s="115"/>
      <c r="G810" s="99"/>
      <c r="H810" s="98"/>
      <c r="I810" s="100"/>
      <c r="J810" s="100"/>
      <c r="K810" s="100"/>
      <c r="L810" s="101"/>
      <c r="M810" s="101"/>
      <c r="N810" s="112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</row>
    <row r="811" spans="1:29" ht="13">
      <c r="A811" s="115"/>
      <c r="B811" s="97"/>
      <c r="C811" s="115"/>
      <c r="D811" s="115"/>
      <c r="E811" s="115"/>
      <c r="F811" s="115"/>
      <c r="G811" s="99"/>
      <c r="H811" s="98"/>
      <c r="I811" s="100"/>
      <c r="J811" s="100"/>
      <c r="K811" s="100"/>
      <c r="L811" s="101"/>
      <c r="M811" s="101"/>
      <c r="N811" s="112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</row>
    <row r="812" spans="1:29" ht="13">
      <c r="A812" s="115"/>
      <c r="B812" s="97"/>
      <c r="C812" s="115"/>
      <c r="D812" s="115"/>
      <c r="E812" s="115"/>
      <c r="F812" s="115"/>
      <c r="G812" s="99"/>
      <c r="H812" s="98"/>
      <c r="I812" s="100"/>
      <c r="J812" s="100"/>
      <c r="K812" s="100"/>
      <c r="L812" s="101"/>
      <c r="M812" s="101"/>
      <c r="N812" s="112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</row>
    <row r="813" spans="1:29" ht="13">
      <c r="A813" s="115"/>
      <c r="B813" s="97"/>
      <c r="C813" s="115"/>
      <c r="D813" s="115"/>
      <c r="E813" s="115"/>
      <c r="F813" s="115"/>
      <c r="G813" s="99"/>
      <c r="H813" s="98"/>
      <c r="I813" s="100"/>
      <c r="J813" s="100"/>
      <c r="K813" s="100"/>
      <c r="L813" s="101"/>
      <c r="M813" s="101"/>
      <c r="N813" s="112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</row>
    <row r="814" spans="1:29" ht="13">
      <c r="A814" s="115"/>
      <c r="B814" s="97"/>
      <c r="C814" s="115"/>
      <c r="D814" s="115"/>
      <c r="E814" s="115"/>
      <c r="F814" s="115"/>
      <c r="G814" s="99"/>
      <c r="H814" s="98"/>
      <c r="I814" s="100"/>
      <c r="J814" s="100"/>
      <c r="K814" s="100"/>
      <c r="L814" s="101"/>
      <c r="M814" s="101"/>
      <c r="N814" s="112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</row>
    <row r="815" spans="1:29" ht="13">
      <c r="A815" s="115"/>
      <c r="B815" s="97"/>
      <c r="C815" s="115"/>
      <c r="D815" s="115"/>
      <c r="E815" s="115"/>
      <c r="F815" s="115"/>
      <c r="G815" s="99"/>
      <c r="H815" s="98"/>
      <c r="I815" s="100"/>
      <c r="J815" s="100"/>
      <c r="K815" s="100"/>
      <c r="L815" s="101"/>
      <c r="M815" s="101"/>
      <c r="N815" s="112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</row>
    <row r="816" spans="1:29" ht="13">
      <c r="A816" s="115"/>
      <c r="B816" s="97"/>
      <c r="C816" s="115"/>
      <c r="D816" s="115"/>
      <c r="E816" s="115"/>
      <c r="F816" s="115"/>
      <c r="G816" s="99"/>
      <c r="H816" s="98"/>
      <c r="I816" s="100"/>
      <c r="J816" s="100"/>
      <c r="K816" s="100"/>
      <c r="L816" s="101"/>
      <c r="M816" s="101"/>
      <c r="N816" s="112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</row>
    <row r="817" spans="1:29" ht="13">
      <c r="A817" s="115"/>
      <c r="B817" s="97"/>
      <c r="C817" s="115"/>
      <c r="D817" s="115"/>
      <c r="E817" s="115"/>
      <c r="F817" s="115"/>
      <c r="G817" s="99"/>
      <c r="H817" s="98"/>
      <c r="I817" s="100"/>
      <c r="J817" s="100"/>
      <c r="K817" s="100"/>
      <c r="L817" s="101"/>
      <c r="M817" s="101"/>
      <c r="N817" s="112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</row>
    <row r="818" spans="1:29" ht="13">
      <c r="A818" s="115"/>
      <c r="B818" s="97"/>
      <c r="C818" s="115"/>
      <c r="D818" s="115"/>
      <c r="E818" s="115"/>
      <c r="F818" s="115"/>
      <c r="G818" s="99"/>
      <c r="H818" s="98"/>
      <c r="I818" s="100"/>
      <c r="J818" s="100"/>
      <c r="K818" s="100"/>
      <c r="L818" s="101"/>
      <c r="M818" s="101"/>
      <c r="N818" s="112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</row>
    <row r="819" spans="1:29" ht="13">
      <c r="A819" s="115"/>
      <c r="B819" s="97"/>
      <c r="C819" s="115"/>
      <c r="D819" s="115"/>
      <c r="E819" s="115"/>
      <c r="F819" s="115"/>
      <c r="G819" s="99"/>
      <c r="H819" s="98"/>
      <c r="I819" s="100"/>
      <c r="J819" s="100"/>
      <c r="K819" s="100"/>
      <c r="L819" s="101"/>
      <c r="M819" s="101"/>
      <c r="N819" s="112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</row>
    <row r="820" spans="1:29" ht="13">
      <c r="A820" s="115"/>
      <c r="B820" s="97"/>
      <c r="C820" s="115"/>
      <c r="D820" s="115"/>
      <c r="E820" s="115"/>
      <c r="F820" s="115"/>
      <c r="G820" s="99"/>
      <c r="H820" s="98"/>
      <c r="I820" s="100"/>
      <c r="J820" s="100"/>
      <c r="K820" s="100"/>
      <c r="L820" s="101"/>
      <c r="M820" s="101"/>
      <c r="N820" s="112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</row>
    <row r="821" spans="1:29" ht="13">
      <c r="A821" s="115"/>
      <c r="B821" s="97"/>
      <c r="C821" s="115"/>
      <c r="D821" s="115"/>
      <c r="E821" s="115"/>
      <c r="F821" s="115"/>
      <c r="G821" s="99"/>
      <c r="H821" s="98"/>
      <c r="I821" s="100"/>
      <c r="J821" s="100"/>
      <c r="K821" s="100"/>
      <c r="L821" s="101"/>
      <c r="M821" s="101"/>
      <c r="N821" s="112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</row>
    <row r="822" spans="1:29" ht="13">
      <c r="A822" s="115"/>
      <c r="B822" s="97"/>
      <c r="C822" s="115"/>
      <c r="D822" s="115"/>
      <c r="E822" s="115"/>
      <c r="F822" s="115"/>
      <c r="G822" s="99"/>
      <c r="H822" s="98"/>
      <c r="I822" s="100"/>
      <c r="J822" s="100"/>
      <c r="K822" s="100"/>
      <c r="L822" s="101"/>
      <c r="M822" s="101"/>
      <c r="N822" s="112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</row>
    <row r="823" spans="1:29" ht="13">
      <c r="A823" s="115"/>
      <c r="B823" s="97"/>
      <c r="C823" s="115"/>
      <c r="D823" s="115"/>
      <c r="E823" s="115"/>
      <c r="F823" s="115"/>
      <c r="G823" s="99"/>
      <c r="H823" s="98"/>
      <c r="I823" s="100"/>
      <c r="J823" s="100"/>
      <c r="K823" s="100"/>
      <c r="L823" s="101"/>
      <c r="M823" s="101"/>
      <c r="N823" s="112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</row>
    <row r="824" spans="1:29" ht="13">
      <c r="A824" s="115"/>
      <c r="B824" s="97"/>
      <c r="C824" s="115"/>
      <c r="D824" s="115"/>
      <c r="E824" s="115"/>
      <c r="F824" s="115"/>
      <c r="G824" s="99"/>
      <c r="H824" s="98"/>
      <c r="I824" s="100"/>
      <c r="J824" s="100"/>
      <c r="K824" s="100"/>
      <c r="L824" s="101"/>
      <c r="M824" s="101"/>
      <c r="N824" s="112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</row>
    <row r="825" spans="1:29" ht="13">
      <c r="A825" s="115"/>
      <c r="B825" s="97"/>
      <c r="C825" s="115"/>
      <c r="D825" s="115"/>
      <c r="E825" s="115"/>
      <c r="F825" s="115"/>
      <c r="G825" s="99"/>
      <c r="H825" s="98"/>
      <c r="I825" s="100"/>
      <c r="J825" s="100"/>
      <c r="K825" s="100"/>
      <c r="L825" s="101"/>
      <c r="M825" s="101"/>
      <c r="N825" s="112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</row>
    <row r="826" spans="1:29" ht="13">
      <c r="A826" s="115"/>
      <c r="B826" s="97"/>
      <c r="C826" s="115"/>
      <c r="D826" s="115"/>
      <c r="E826" s="115"/>
      <c r="F826" s="115"/>
      <c r="G826" s="99"/>
      <c r="H826" s="98"/>
      <c r="I826" s="100"/>
      <c r="J826" s="100"/>
      <c r="K826" s="100"/>
      <c r="L826" s="101"/>
      <c r="M826" s="101"/>
      <c r="N826" s="112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</row>
    <row r="827" spans="1:29" ht="13">
      <c r="A827" s="115"/>
      <c r="B827" s="97"/>
      <c r="C827" s="115"/>
      <c r="D827" s="115"/>
      <c r="E827" s="115"/>
      <c r="F827" s="115"/>
      <c r="G827" s="99"/>
      <c r="H827" s="98"/>
      <c r="I827" s="100"/>
      <c r="J827" s="100"/>
      <c r="K827" s="100"/>
      <c r="L827" s="101"/>
      <c r="M827" s="101"/>
      <c r="N827" s="112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</row>
    <row r="828" spans="1:29" ht="13">
      <c r="A828" s="115"/>
      <c r="B828" s="97"/>
      <c r="C828" s="115"/>
      <c r="D828" s="115"/>
      <c r="E828" s="115"/>
      <c r="F828" s="115"/>
      <c r="G828" s="99"/>
      <c r="H828" s="98"/>
      <c r="I828" s="100"/>
      <c r="J828" s="100"/>
      <c r="K828" s="100"/>
      <c r="L828" s="101"/>
      <c r="M828" s="101"/>
      <c r="N828" s="112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</row>
    <row r="829" spans="1:29" ht="13">
      <c r="A829" s="115"/>
      <c r="B829" s="97"/>
      <c r="C829" s="115"/>
      <c r="D829" s="115"/>
      <c r="E829" s="115"/>
      <c r="F829" s="115"/>
      <c r="G829" s="99"/>
      <c r="H829" s="98"/>
      <c r="I829" s="100"/>
      <c r="J829" s="100"/>
      <c r="K829" s="100"/>
      <c r="L829" s="101"/>
      <c r="M829" s="101"/>
      <c r="N829" s="112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</row>
    <row r="830" spans="1:29" ht="13">
      <c r="A830" s="115"/>
      <c r="B830" s="97"/>
      <c r="C830" s="115"/>
      <c r="D830" s="115"/>
      <c r="E830" s="115"/>
      <c r="F830" s="115"/>
      <c r="G830" s="99"/>
      <c r="H830" s="98"/>
      <c r="I830" s="100"/>
      <c r="J830" s="100"/>
      <c r="K830" s="100"/>
      <c r="L830" s="101"/>
      <c r="M830" s="101"/>
      <c r="N830" s="112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</row>
    <row r="831" spans="1:29" ht="13">
      <c r="A831" s="115"/>
      <c r="B831" s="97"/>
      <c r="C831" s="115"/>
      <c r="D831" s="115"/>
      <c r="E831" s="115"/>
      <c r="F831" s="115"/>
      <c r="G831" s="99"/>
      <c r="H831" s="98"/>
      <c r="I831" s="100"/>
      <c r="J831" s="100"/>
      <c r="K831" s="100"/>
      <c r="L831" s="101"/>
      <c r="M831" s="101"/>
      <c r="N831" s="112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</row>
    <row r="832" spans="1:29" ht="13">
      <c r="A832" s="115"/>
      <c r="B832" s="97"/>
      <c r="C832" s="115"/>
      <c r="D832" s="115"/>
      <c r="E832" s="115"/>
      <c r="F832" s="115"/>
      <c r="G832" s="99"/>
      <c r="H832" s="98"/>
      <c r="I832" s="100"/>
      <c r="J832" s="100"/>
      <c r="K832" s="100"/>
      <c r="L832" s="101"/>
      <c r="M832" s="101"/>
      <c r="N832" s="112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</row>
    <row r="833" spans="1:29" ht="13">
      <c r="A833" s="115"/>
      <c r="B833" s="97"/>
      <c r="C833" s="115"/>
      <c r="D833" s="115"/>
      <c r="E833" s="115"/>
      <c r="F833" s="115"/>
      <c r="G833" s="99"/>
      <c r="H833" s="98"/>
      <c r="I833" s="100"/>
      <c r="J833" s="100"/>
      <c r="K833" s="100"/>
      <c r="L833" s="101"/>
      <c r="M833" s="101"/>
      <c r="N833" s="112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</row>
    <row r="834" spans="1:29" ht="13">
      <c r="A834" s="115"/>
      <c r="B834" s="97"/>
      <c r="C834" s="115"/>
      <c r="D834" s="115"/>
      <c r="E834" s="115"/>
      <c r="F834" s="115"/>
      <c r="G834" s="99"/>
      <c r="H834" s="98"/>
      <c r="I834" s="100"/>
      <c r="J834" s="100"/>
      <c r="K834" s="100"/>
      <c r="L834" s="101"/>
      <c r="M834" s="101"/>
      <c r="N834" s="112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</row>
    <row r="835" spans="1:29" ht="13">
      <c r="A835" s="115"/>
      <c r="B835" s="97"/>
      <c r="C835" s="115"/>
      <c r="D835" s="115"/>
      <c r="E835" s="115"/>
      <c r="F835" s="115"/>
      <c r="G835" s="99"/>
      <c r="H835" s="98"/>
      <c r="I835" s="100"/>
      <c r="J835" s="100"/>
      <c r="K835" s="100"/>
      <c r="L835" s="101"/>
      <c r="M835" s="101"/>
      <c r="N835" s="112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</row>
    <row r="836" spans="1:29" ht="13">
      <c r="A836" s="115"/>
      <c r="B836" s="97"/>
      <c r="C836" s="115"/>
      <c r="D836" s="115"/>
      <c r="E836" s="115"/>
      <c r="F836" s="115"/>
      <c r="G836" s="99"/>
      <c r="H836" s="98"/>
      <c r="I836" s="100"/>
      <c r="J836" s="100"/>
      <c r="K836" s="100"/>
      <c r="L836" s="101"/>
      <c r="M836" s="101"/>
      <c r="N836" s="112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</row>
    <row r="837" spans="1:29" ht="13">
      <c r="A837" s="115"/>
      <c r="B837" s="97"/>
      <c r="C837" s="115"/>
      <c r="D837" s="115"/>
      <c r="E837" s="115"/>
      <c r="F837" s="115"/>
      <c r="G837" s="99"/>
      <c r="H837" s="98"/>
      <c r="I837" s="100"/>
      <c r="J837" s="100"/>
      <c r="K837" s="100"/>
      <c r="L837" s="101"/>
      <c r="M837" s="101"/>
      <c r="N837" s="112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</row>
    <row r="838" spans="1:29" ht="13">
      <c r="A838" s="115"/>
      <c r="B838" s="97"/>
      <c r="C838" s="115"/>
      <c r="D838" s="115"/>
      <c r="E838" s="115"/>
      <c r="F838" s="115"/>
      <c r="G838" s="99"/>
      <c r="H838" s="98"/>
      <c r="I838" s="100"/>
      <c r="J838" s="100"/>
      <c r="K838" s="100"/>
      <c r="L838" s="101"/>
      <c r="M838" s="101"/>
      <c r="N838" s="112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</row>
    <row r="839" spans="1:29" ht="13">
      <c r="A839" s="115"/>
      <c r="B839" s="97"/>
      <c r="C839" s="115"/>
      <c r="D839" s="115"/>
      <c r="E839" s="115"/>
      <c r="F839" s="115"/>
      <c r="G839" s="99"/>
      <c r="H839" s="98"/>
      <c r="I839" s="100"/>
      <c r="J839" s="100"/>
      <c r="K839" s="100"/>
      <c r="L839" s="101"/>
      <c r="M839" s="101"/>
      <c r="N839" s="112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</row>
    <row r="840" spans="1:29" ht="13">
      <c r="A840" s="115"/>
      <c r="B840" s="97"/>
      <c r="C840" s="115"/>
      <c r="D840" s="115"/>
      <c r="E840" s="115"/>
      <c r="F840" s="115"/>
      <c r="G840" s="99"/>
      <c r="H840" s="98"/>
      <c r="I840" s="100"/>
      <c r="J840" s="100"/>
      <c r="K840" s="100"/>
      <c r="L840" s="101"/>
      <c r="M840" s="101"/>
      <c r="N840" s="112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</row>
    <row r="841" spans="1:29" ht="13">
      <c r="A841" s="115"/>
      <c r="B841" s="97"/>
      <c r="C841" s="115"/>
      <c r="D841" s="115"/>
      <c r="E841" s="115"/>
      <c r="F841" s="115"/>
      <c r="G841" s="99"/>
      <c r="H841" s="98"/>
      <c r="I841" s="100"/>
      <c r="J841" s="100"/>
      <c r="K841" s="100"/>
      <c r="L841" s="101"/>
      <c r="M841" s="101"/>
      <c r="N841" s="112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</row>
    <row r="842" spans="1:29" ht="13">
      <c r="A842" s="115"/>
      <c r="B842" s="97"/>
      <c r="C842" s="115"/>
      <c r="D842" s="115"/>
      <c r="E842" s="115"/>
      <c r="F842" s="115"/>
      <c r="G842" s="99"/>
      <c r="H842" s="98"/>
      <c r="I842" s="100"/>
      <c r="J842" s="100"/>
      <c r="K842" s="100"/>
      <c r="L842" s="101"/>
      <c r="M842" s="101"/>
      <c r="N842" s="112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</row>
    <row r="843" spans="1:29" ht="13">
      <c r="A843" s="115"/>
      <c r="B843" s="97"/>
      <c r="C843" s="115"/>
      <c r="D843" s="115"/>
      <c r="E843" s="115"/>
      <c r="F843" s="115"/>
      <c r="G843" s="99"/>
      <c r="H843" s="98"/>
      <c r="I843" s="100"/>
      <c r="J843" s="100"/>
      <c r="K843" s="100"/>
      <c r="L843" s="101"/>
      <c r="M843" s="101"/>
      <c r="N843" s="112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</row>
    <row r="844" spans="1:29" ht="13">
      <c r="A844" s="115"/>
      <c r="B844" s="97"/>
      <c r="C844" s="115"/>
      <c r="D844" s="115"/>
      <c r="E844" s="115"/>
      <c r="F844" s="115"/>
      <c r="G844" s="99"/>
      <c r="H844" s="98"/>
      <c r="I844" s="100"/>
      <c r="J844" s="100"/>
      <c r="K844" s="100"/>
      <c r="L844" s="101"/>
      <c r="M844" s="101"/>
      <c r="N844" s="112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</row>
    <row r="845" spans="1:29" ht="13">
      <c r="A845" s="115"/>
      <c r="B845" s="97"/>
      <c r="C845" s="115"/>
      <c r="D845" s="115"/>
      <c r="E845" s="115"/>
      <c r="F845" s="115"/>
      <c r="G845" s="99"/>
      <c r="H845" s="98"/>
      <c r="I845" s="100"/>
      <c r="J845" s="100"/>
      <c r="K845" s="100"/>
      <c r="L845" s="101"/>
      <c r="M845" s="101"/>
      <c r="N845" s="112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</row>
    <row r="846" spans="1:29" ht="13">
      <c r="A846" s="115"/>
      <c r="B846" s="97"/>
      <c r="C846" s="115"/>
      <c r="D846" s="115"/>
      <c r="E846" s="115"/>
      <c r="F846" s="115"/>
      <c r="G846" s="99"/>
      <c r="H846" s="98"/>
      <c r="I846" s="100"/>
      <c r="J846" s="100"/>
      <c r="K846" s="100"/>
      <c r="L846" s="101"/>
      <c r="M846" s="101"/>
      <c r="N846" s="112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</row>
    <row r="847" spans="1:29" ht="13">
      <c r="A847" s="115"/>
      <c r="B847" s="97"/>
      <c r="C847" s="115"/>
      <c r="D847" s="115"/>
      <c r="E847" s="115"/>
      <c r="F847" s="115"/>
      <c r="G847" s="99"/>
      <c r="H847" s="98"/>
      <c r="I847" s="100"/>
      <c r="J847" s="100"/>
      <c r="K847" s="100"/>
      <c r="L847" s="101"/>
      <c r="M847" s="101"/>
      <c r="N847" s="112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</row>
    <row r="848" spans="1:29" ht="13">
      <c r="A848" s="115"/>
      <c r="B848" s="97"/>
      <c r="C848" s="115"/>
      <c r="D848" s="115"/>
      <c r="E848" s="115"/>
      <c r="F848" s="115"/>
      <c r="G848" s="99"/>
      <c r="H848" s="98"/>
      <c r="I848" s="100"/>
      <c r="J848" s="100"/>
      <c r="K848" s="100"/>
      <c r="L848" s="101"/>
      <c r="M848" s="101"/>
      <c r="N848" s="112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</row>
    <row r="849" spans="1:29" ht="13">
      <c r="A849" s="115"/>
      <c r="B849" s="97"/>
      <c r="C849" s="115"/>
      <c r="D849" s="115"/>
      <c r="E849" s="115"/>
      <c r="F849" s="115"/>
      <c r="G849" s="99"/>
      <c r="H849" s="98"/>
      <c r="I849" s="100"/>
      <c r="J849" s="100"/>
      <c r="K849" s="100"/>
      <c r="L849" s="101"/>
      <c r="M849" s="101"/>
      <c r="N849" s="112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</row>
    <row r="850" spans="1:29" ht="13">
      <c r="A850" s="115"/>
      <c r="B850" s="97"/>
      <c r="C850" s="115"/>
      <c r="D850" s="115"/>
      <c r="E850" s="115"/>
      <c r="F850" s="115"/>
      <c r="G850" s="99"/>
      <c r="H850" s="98"/>
      <c r="I850" s="100"/>
      <c r="J850" s="100"/>
      <c r="K850" s="100"/>
      <c r="L850" s="101"/>
      <c r="M850" s="101"/>
      <c r="N850" s="112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</row>
    <row r="851" spans="1:29" ht="13">
      <c r="A851" s="115"/>
      <c r="B851" s="97"/>
      <c r="C851" s="115"/>
      <c r="D851" s="115"/>
      <c r="E851" s="115"/>
      <c r="F851" s="115"/>
      <c r="G851" s="99"/>
      <c r="H851" s="98"/>
      <c r="I851" s="100"/>
      <c r="J851" s="100"/>
      <c r="K851" s="100"/>
      <c r="L851" s="101"/>
      <c r="M851" s="101"/>
      <c r="N851" s="112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</row>
    <row r="852" spans="1:29" ht="13">
      <c r="A852" s="115"/>
      <c r="B852" s="97"/>
      <c r="C852" s="115"/>
      <c r="D852" s="115"/>
      <c r="E852" s="115"/>
      <c r="F852" s="115"/>
      <c r="G852" s="99"/>
      <c r="H852" s="98"/>
      <c r="I852" s="100"/>
      <c r="J852" s="100"/>
      <c r="K852" s="100"/>
      <c r="L852" s="101"/>
      <c r="M852" s="101"/>
      <c r="N852" s="112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</row>
    <row r="853" spans="1:29" ht="13">
      <c r="A853" s="115"/>
      <c r="B853" s="97"/>
      <c r="C853" s="115"/>
      <c r="D853" s="115"/>
      <c r="E853" s="115"/>
      <c r="F853" s="115"/>
      <c r="G853" s="99"/>
      <c r="H853" s="98"/>
      <c r="I853" s="100"/>
      <c r="J853" s="100"/>
      <c r="K853" s="100"/>
      <c r="L853" s="101"/>
      <c r="M853" s="101"/>
      <c r="N853" s="112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</row>
    <row r="854" spans="1:29" ht="13">
      <c r="A854" s="115"/>
      <c r="B854" s="97"/>
      <c r="C854" s="115"/>
      <c r="D854" s="115"/>
      <c r="E854" s="115"/>
      <c r="F854" s="115"/>
      <c r="G854" s="99"/>
      <c r="H854" s="98"/>
      <c r="I854" s="100"/>
      <c r="J854" s="100"/>
      <c r="K854" s="100"/>
      <c r="L854" s="101"/>
      <c r="M854" s="101"/>
      <c r="N854" s="112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</row>
    <row r="855" spans="1:29" ht="13">
      <c r="A855" s="115"/>
      <c r="B855" s="97"/>
      <c r="C855" s="115"/>
      <c r="D855" s="115"/>
      <c r="E855" s="115"/>
      <c r="F855" s="115"/>
      <c r="G855" s="99"/>
      <c r="H855" s="98"/>
      <c r="I855" s="100"/>
      <c r="J855" s="100"/>
      <c r="K855" s="100"/>
      <c r="L855" s="101"/>
      <c r="M855" s="101"/>
      <c r="N855" s="112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</row>
    <row r="856" spans="1:29" ht="13">
      <c r="A856" s="115"/>
      <c r="B856" s="97"/>
      <c r="C856" s="115"/>
      <c r="D856" s="115"/>
      <c r="E856" s="115"/>
      <c r="F856" s="115"/>
      <c r="G856" s="99"/>
      <c r="H856" s="98"/>
      <c r="I856" s="100"/>
      <c r="J856" s="100"/>
      <c r="K856" s="100"/>
      <c r="L856" s="101"/>
      <c r="M856" s="101"/>
      <c r="N856" s="112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</row>
    <row r="857" spans="1:29" ht="13">
      <c r="A857" s="115"/>
      <c r="B857" s="97"/>
      <c r="C857" s="115"/>
      <c r="D857" s="115"/>
      <c r="E857" s="115"/>
      <c r="F857" s="115"/>
      <c r="G857" s="99"/>
      <c r="H857" s="98"/>
      <c r="I857" s="100"/>
      <c r="J857" s="100"/>
      <c r="K857" s="100"/>
      <c r="L857" s="101"/>
      <c r="M857" s="101"/>
      <c r="N857" s="112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</row>
    <row r="858" spans="1:29" ht="13">
      <c r="A858" s="115"/>
      <c r="B858" s="97"/>
      <c r="C858" s="115"/>
      <c r="D858" s="115"/>
      <c r="E858" s="115"/>
      <c r="F858" s="115"/>
      <c r="G858" s="99"/>
      <c r="H858" s="98"/>
      <c r="I858" s="100"/>
      <c r="J858" s="100"/>
      <c r="K858" s="100"/>
      <c r="L858" s="101"/>
      <c r="M858" s="101"/>
      <c r="N858" s="112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</row>
    <row r="859" spans="1:29" ht="13">
      <c r="A859" s="115"/>
      <c r="B859" s="97"/>
      <c r="C859" s="115"/>
      <c r="D859" s="115"/>
      <c r="E859" s="115"/>
      <c r="F859" s="115"/>
      <c r="G859" s="99"/>
      <c r="H859" s="98"/>
      <c r="I859" s="100"/>
      <c r="J859" s="100"/>
      <c r="K859" s="100"/>
      <c r="L859" s="101"/>
      <c r="M859" s="101"/>
      <c r="N859" s="112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</row>
    <row r="860" spans="1:29" ht="13">
      <c r="A860" s="115"/>
      <c r="B860" s="97"/>
      <c r="C860" s="115"/>
      <c r="D860" s="115"/>
      <c r="E860" s="115"/>
      <c r="F860" s="115"/>
      <c r="G860" s="99"/>
      <c r="H860" s="98"/>
      <c r="I860" s="100"/>
      <c r="J860" s="100"/>
      <c r="K860" s="100"/>
      <c r="L860" s="101"/>
      <c r="M860" s="101"/>
      <c r="N860" s="112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</row>
    <row r="861" spans="1:29" ht="13">
      <c r="A861" s="115"/>
      <c r="B861" s="97"/>
      <c r="C861" s="115"/>
      <c r="D861" s="115"/>
      <c r="E861" s="115"/>
      <c r="F861" s="115"/>
      <c r="G861" s="99"/>
      <c r="H861" s="98"/>
      <c r="I861" s="100"/>
      <c r="J861" s="100"/>
      <c r="K861" s="100"/>
      <c r="L861" s="101"/>
      <c r="M861" s="101"/>
      <c r="N861" s="112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</row>
    <row r="862" spans="1:29" ht="13">
      <c r="A862" s="115"/>
      <c r="B862" s="97"/>
      <c r="C862" s="115"/>
      <c r="D862" s="115"/>
      <c r="E862" s="115"/>
      <c r="F862" s="115"/>
      <c r="G862" s="99"/>
      <c r="H862" s="98"/>
      <c r="I862" s="100"/>
      <c r="J862" s="100"/>
      <c r="K862" s="100"/>
      <c r="L862" s="101"/>
      <c r="M862" s="101"/>
      <c r="N862" s="112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</row>
    <row r="863" spans="1:29" ht="13">
      <c r="A863" s="115"/>
      <c r="B863" s="97"/>
      <c r="C863" s="115"/>
      <c r="D863" s="115"/>
      <c r="E863" s="115"/>
      <c r="F863" s="115"/>
      <c r="G863" s="99"/>
      <c r="H863" s="98"/>
      <c r="I863" s="100"/>
      <c r="J863" s="100"/>
      <c r="K863" s="100"/>
      <c r="L863" s="101"/>
      <c r="M863" s="101"/>
      <c r="N863" s="112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</row>
    <row r="864" spans="1:29" ht="13">
      <c r="A864" s="115"/>
      <c r="B864" s="97"/>
      <c r="C864" s="115"/>
      <c r="D864" s="115"/>
      <c r="E864" s="115"/>
      <c r="F864" s="115"/>
      <c r="G864" s="99"/>
      <c r="H864" s="98"/>
      <c r="I864" s="100"/>
      <c r="J864" s="100"/>
      <c r="K864" s="100"/>
      <c r="L864" s="101"/>
      <c r="M864" s="101"/>
      <c r="N864" s="112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</row>
    <row r="865" spans="1:29" ht="13">
      <c r="A865" s="115"/>
      <c r="B865" s="97"/>
      <c r="C865" s="115"/>
      <c r="D865" s="115"/>
      <c r="E865" s="115"/>
      <c r="F865" s="115"/>
      <c r="G865" s="99"/>
      <c r="H865" s="98"/>
      <c r="I865" s="100"/>
      <c r="J865" s="100"/>
      <c r="K865" s="100"/>
      <c r="L865" s="101"/>
      <c r="M865" s="101"/>
      <c r="N865" s="112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</row>
    <row r="866" spans="1:29" ht="13">
      <c r="A866" s="115"/>
      <c r="B866" s="97"/>
      <c r="C866" s="115"/>
      <c r="D866" s="115"/>
      <c r="E866" s="115"/>
      <c r="F866" s="115"/>
      <c r="G866" s="99"/>
      <c r="H866" s="98"/>
      <c r="I866" s="100"/>
      <c r="J866" s="100"/>
      <c r="K866" s="100"/>
      <c r="L866" s="101"/>
      <c r="M866" s="101"/>
      <c r="N866" s="112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</row>
    <row r="867" spans="1:29" ht="13">
      <c r="A867" s="115"/>
      <c r="B867" s="97"/>
      <c r="C867" s="115"/>
      <c r="D867" s="115"/>
      <c r="E867" s="115"/>
      <c r="F867" s="115"/>
      <c r="G867" s="99"/>
      <c r="H867" s="98"/>
      <c r="I867" s="100"/>
      <c r="J867" s="100"/>
      <c r="K867" s="100"/>
      <c r="L867" s="101"/>
      <c r="M867" s="101"/>
      <c r="N867" s="112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</row>
    <row r="868" spans="1:29" ht="13">
      <c r="A868" s="115"/>
      <c r="B868" s="97"/>
      <c r="C868" s="115"/>
      <c r="D868" s="115"/>
      <c r="E868" s="115"/>
      <c r="F868" s="115"/>
      <c r="G868" s="99"/>
      <c r="H868" s="98"/>
      <c r="I868" s="100"/>
      <c r="J868" s="100"/>
      <c r="K868" s="100"/>
      <c r="L868" s="101"/>
      <c r="M868" s="101"/>
      <c r="N868" s="112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</row>
    <row r="869" spans="1:29" ht="13">
      <c r="A869" s="115"/>
      <c r="B869" s="97"/>
      <c r="C869" s="115"/>
      <c r="D869" s="115"/>
      <c r="E869" s="115"/>
      <c r="F869" s="115"/>
      <c r="G869" s="99"/>
      <c r="H869" s="98"/>
      <c r="I869" s="100"/>
      <c r="J869" s="100"/>
      <c r="K869" s="100"/>
      <c r="L869" s="101"/>
      <c r="M869" s="101"/>
      <c r="N869" s="112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</row>
    <row r="870" spans="1:29" ht="13">
      <c r="A870" s="115"/>
      <c r="B870" s="97"/>
      <c r="C870" s="115"/>
      <c r="D870" s="115"/>
      <c r="E870" s="115"/>
      <c r="F870" s="115"/>
      <c r="G870" s="99"/>
      <c r="H870" s="98"/>
      <c r="I870" s="100"/>
      <c r="J870" s="100"/>
      <c r="K870" s="100"/>
      <c r="L870" s="101"/>
      <c r="M870" s="101"/>
      <c r="N870" s="112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</row>
    <row r="871" spans="1:29" ht="13">
      <c r="A871" s="115"/>
      <c r="B871" s="97"/>
      <c r="C871" s="115"/>
      <c r="D871" s="115"/>
      <c r="E871" s="115"/>
      <c r="F871" s="115"/>
      <c r="G871" s="99"/>
      <c r="H871" s="98"/>
      <c r="I871" s="100"/>
      <c r="J871" s="100"/>
      <c r="K871" s="100"/>
      <c r="L871" s="101"/>
      <c r="M871" s="101"/>
      <c r="N871" s="112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</row>
    <row r="872" spans="1:29" ht="13">
      <c r="A872" s="115"/>
      <c r="B872" s="97"/>
      <c r="C872" s="115"/>
      <c r="D872" s="115"/>
      <c r="E872" s="115"/>
      <c r="F872" s="115"/>
      <c r="G872" s="99"/>
      <c r="H872" s="98"/>
      <c r="I872" s="100"/>
      <c r="J872" s="100"/>
      <c r="K872" s="100"/>
      <c r="L872" s="101"/>
      <c r="M872" s="101"/>
      <c r="N872" s="112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</row>
    <row r="873" spans="1:29" ht="13">
      <c r="A873" s="115"/>
      <c r="B873" s="97"/>
      <c r="C873" s="115"/>
      <c r="D873" s="115"/>
      <c r="E873" s="115"/>
      <c r="F873" s="115"/>
      <c r="G873" s="99"/>
      <c r="H873" s="98"/>
      <c r="I873" s="100"/>
      <c r="J873" s="100"/>
      <c r="K873" s="100"/>
      <c r="L873" s="101"/>
      <c r="M873" s="101"/>
      <c r="N873" s="112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</row>
    <row r="874" spans="1:29" ht="13">
      <c r="A874" s="115"/>
      <c r="B874" s="97"/>
      <c r="C874" s="115"/>
      <c r="D874" s="115"/>
      <c r="E874" s="115"/>
      <c r="F874" s="115"/>
      <c r="G874" s="99"/>
      <c r="H874" s="98"/>
      <c r="I874" s="100"/>
      <c r="J874" s="100"/>
      <c r="K874" s="100"/>
      <c r="L874" s="101"/>
      <c r="M874" s="101"/>
      <c r="N874" s="112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</row>
    <row r="875" spans="1:29" ht="13">
      <c r="A875" s="115"/>
      <c r="B875" s="97"/>
      <c r="C875" s="115"/>
      <c r="D875" s="115"/>
      <c r="E875" s="115"/>
      <c r="F875" s="115"/>
      <c r="G875" s="99"/>
      <c r="H875" s="98"/>
      <c r="I875" s="100"/>
      <c r="J875" s="100"/>
      <c r="K875" s="100"/>
      <c r="L875" s="101"/>
      <c r="M875" s="101"/>
      <c r="N875" s="112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</row>
    <row r="876" spans="1:29" ht="13">
      <c r="A876" s="115"/>
      <c r="B876" s="97"/>
      <c r="C876" s="115"/>
      <c r="D876" s="115"/>
      <c r="E876" s="115"/>
      <c r="F876" s="115"/>
      <c r="G876" s="99"/>
      <c r="H876" s="98"/>
      <c r="I876" s="100"/>
      <c r="J876" s="100"/>
      <c r="K876" s="100"/>
      <c r="L876" s="101"/>
      <c r="M876" s="101"/>
      <c r="N876" s="112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</row>
    <row r="877" spans="1:29" ht="13">
      <c r="A877" s="115"/>
      <c r="B877" s="97"/>
      <c r="C877" s="115"/>
      <c r="D877" s="115"/>
      <c r="E877" s="115"/>
      <c r="F877" s="115"/>
      <c r="G877" s="99"/>
      <c r="H877" s="98"/>
      <c r="I877" s="100"/>
      <c r="J877" s="100"/>
      <c r="K877" s="100"/>
      <c r="L877" s="101"/>
      <c r="M877" s="101"/>
      <c r="N877" s="112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</row>
    <row r="878" spans="1:29" ht="13">
      <c r="A878" s="115"/>
      <c r="B878" s="97"/>
      <c r="C878" s="115"/>
      <c r="D878" s="115"/>
      <c r="E878" s="115"/>
      <c r="F878" s="115"/>
      <c r="G878" s="99"/>
      <c r="H878" s="98"/>
      <c r="I878" s="100"/>
      <c r="J878" s="100"/>
      <c r="K878" s="100"/>
      <c r="L878" s="101"/>
      <c r="M878" s="101"/>
      <c r="N878" s="112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</row>
    <row r="879" spans="1:29" ht="13">
      <c r="A879" s="115"/>
      <c r="B879" s="97"/>
      <c r="C879" s="115"/>
      <c r="D879" s="115"/>
      <c r="E879" s="115"/>
      <c r="F879" s="115"/>
      <c r="G879" s="99"/>
      <c r="H879" s="98"/>
      <c r="I879" s="100"/>
      <c r="J879" s="100"/>
      <c r="K879" s="100"/>
      <c r="L879" s="101"/>
      <c r="M879" s="101"/>
      <c r="N879" s="112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</row>
    <row r="880" spans="1:29" ht="13">
      <c r="A880" s="115"/>
      <c r="B880" s="97"/>
      <c r="C880" s="115"/>
      <c r="D880" s="115"/>
      <c r="E880" s="115"/>
      <c r="F880" s="115"/>
      <c r="G880" s="99"/>
      <c r="H880" s="98"/>
      <c r="I880" s="100"/>
      <c r="J880" s="100"/>
      <c r="K880" s="100"/>
      <c r="L880" s="101"/>
      <c r="M880" s="101"/>
      <c r="N880" s="112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</row>
    <row r="881" spans="1:29" ht="13">
      <c r="A881" s="115"/>
      <c r="B881" s="97"/>
      <c r="C881" s="115"/>
      <c r="D881" s="115"/>
      <c r="E881" s="115"/>
      <c r="F881" s="115"/>
      <c r="G881" s="99"/>
      <c r="H881" s="98"/>
      <c r="I881" s="100"/>
      <c r="J881" s="100"/>
      <c r="K881" s="100"/>
      <c r="L881" s="101"/>
      <c r="M881" s="101"/>
      <c r="N881" s="112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</row>
    <row r="882" spans="1:29" ht="13">
      <c r="A882" s="115"/>
      <c r="B882" s="97"/>
      <c r="C882" s="115"/>
      <c r="D882" s="115"/>
      <c r="E882" s="115"/>
      <c r="F882" s="115"/>
      <c r="G882" s="99"/>
      <c r="H882" s="98"/>
      <c r="I882" s="100"/>
      <c r="J882" s="100"/>
      <c r="K882" s="100"/>
      <c r="L882" s="101"/>
      <c r="M882" s="101"/>
      <c r="N882" s="112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</row>
    <row r="883" spans="1:29" ht="13">
      <c r="A883" s="115"/>
      <c r="B883" s="97"/>
      <c r="C883" s="115"/>
      <c r="D883" s="115"/>
      <c r="E883" s="115"/>
      <c r="F883" s="115"/>
      <c r="G883" s="99"/>
      <c r="H883" s="98"/>
      <c r="I883" s="100"/>
      <c r="J883" s="100"/>
      <c r="K883" s="100"/>
      <c r="L883" s="101"/>
      <c r="M883" s="101"/>
      <c r="N883" s="112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</row>
    <row r="884" spans="1:29" ht="13">
      <c r="A884" s="115"/>
      <c r="B884" s="97"/>
      <c r="C884" s="115"/>
      <c r="D884" s="115"/>
      <c r="E884" s="115"/>
      <c r="F884" s="115"/>
      <c r="G884" s="99"/>
      <c r="H884" s="98"/>
      <c r="I884" s="100"/>
      <c r="J884" s="100"/>
      <c r="K884" s="100"/>
      <c r="L884" s="101"/>
      <c r="M884" s="101"/>
      <c r="N884" s="112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</row>
    <row r="885" spans="1:29" ht="13">
      <c r="A885" s="115"/>
      <c r="B885" s="97"/>
      <c r="C885" s="115"/>
      <c r="D885" s="115"/>
      <c r="E885" s="115"/>
      <c r="F885" s="115"/>
      <c r="G885" s="99"/>
      <c r="H885" s="98"/>
      <c r="I885" s="100"/>
      <c r="J885" s="100"/>
      <c r="K885" s="100"/>
      <c r="L885" s="101"/>
      <c r="M885" s="101"/>
      <c r="N885" s="112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</row>
    <row r="886" spans="1:29" ht="13">
      <c r="A886" s="115"/>
      <c r="B886" s="97"/>
      <c r="C886" s="115"/>
      <c r="D886" s="115"/>
      <c r="E886" s="115"/>
      <c r="F886" s="115"/>
      <c r="G886" s="99"/>
      <c r="H886" s="98"/>
      <c r="I886" s="100"/>
      <c r="J886" s="100"/>
      <c r="K886" s="100"/>
      <c r="L886" s="101"/>
      <c r="M886" s="101"/>
      <c r="N886" s="112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</row>
    <row r="887" spans="1:29" ht="13">
      <c r="A887" s="115"/>
      <c r="B887" s="97"/>
      <c r="C887" s="115"/>
      <c r="D887" s="115"/>
      <c r="E887" s="115"/>
      <c r="F887" s="115"/>
      <c r="G887" s="99"/>
      <c r="H887" s="98"/>
      <c r="I887" s="100"/>
      <c r="J887" s="100"/>
      <c r="K887" s="100"/>
      <c r="L887" s="101"/>
      <c r="M887" s="101"/>
      <c r="N887" s="112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</row>
    <row r="888" spans="1:29" ht="13">
      <c r="A888" s="115"/>
      <c r="B888" s="97"/>
      <c r="C888" s="115"/>
      <c r="D888" s="115"/>
      <c r="E888" s="115"/>
      <c r="F888" s="115"/>
      <c r="G888" s="99"/>
      <c r="H888" s="98"/>
      <c r="I888" s="100"/>
      <c r="J888" s="100"/>
      <c r="K888" s="100"/>
      <c r="L888" s="101"/>
      <c r="M888" s="101"/>
      <c r="N888" s="112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</row>
    <row r="889" spans="1:29" ht="13">
      <c r="A889" s="115"/>
      <c r="B889" s="97"/>
      <c r="C889" s="115"/>
      <c r="D889" s="115"/>
      <c r="E889" s="115"/>
      <c r="F889" s="115"/>
      <c r="G889" s="99"/>
      <c r="H889" s="98"/>
      <c r="I889" s="100"/>
      <c r="J889" s="100"/>
      <c r="K889" s="100"/>
      <c r="L889" s="101"/>
      <c r="M889" s="101"/>
      <c r="N889" s="112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</row>
    <row r="890" spans="1:29" ht="13">
      <c r="A890" s="115"/>
      <c r="B890" s="97"/>
      <c r="C890" s="115"/>
      <c r="D890" s="115"/>
      <c r="E890" s="115"/>
      <c r="F890" s="115"/>
      <c r="G890" s="99"/>
      <c r="H890" s="98"/>
      <c r="I890" s="100"/>
      <c r="J890" s="100"/>
      <c r="K890" s="100"/>
      <c r="L890" s="101"/>
      <c r="M890" s="101"/>
      <c r="N890" s="112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</row>
    <row r="891" spans="1:29" ht="13">
      <c r="A891" s="115"/>
      <c r="B891" s="97"/>
      <c r="C891" s="115"/>
      <c r="D891" s="115"/>
      <c r="E891" s="115"/>
      <c r="F891" s="115"/>
      <c r="G891" s="99"/>
      <c r="H891" s="98"/>
      <c r="I891" s="100"/>
      <c r="J891" s="100"/>
      <c r="K891" s="100"/>
      <c r="L891" s="101"/>
      <c r="M891" s="101"/>
      <c r="N891" s="112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</row>
    <row r="892" spans="1:29" ht="13">
      <c r="A892" s="115"/>
      <c r="B892" s="97"/>
      <c r="C892" s="115"/>
      <c r="D892" s="115"/>
      <c r="E892" s="115"/>
      <c r="F892" s="115"/>
      <c r="G892" s="99"/>
      <c r="H892" s="98"/>
      <c r="I892" s="100"/>
      <c r="J892" s="100"/>
      <c r="K892" s="100"/>
      <c r="L892" s="101"/>
      <c r="M892" s="101"/>
      <c r="N892" s="112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</row>
    <row r="893" spans="1:29" ht="13">
      <c r="A893" s="115"/>
      <c r="B893" s="97"/>
      <c r="C893" s="115"/>
      <c r="D893" s="115"/>
      <c r="E893" s="115"/>
      <c r="F893" s="115"/>
      <c r="G893" s="99"/>
      <c r="H893" s="98"/>
      <c r="I893" s="100"/>
      <c r="J893" s="100"/>
      <c r="K893" s="100"/>
      <c r="L893" s="101"/>
      <c r="M893" s="101"/>
      <c r="N893" s="112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</row>
    <row r="894" spans="1:29" ht="13">
      <c r="A894" s="115"/>
      <c r="B894" s="97"/>
      <c r="C894" s="115"/>
      <c r="D894" s="115"/>
      <c r="E894" s="115"/>
      <c r="F894" s="115"/>
      <c r="G894" s="99"/>
      <c r="H894" s="98"/>
      <c r="I894" s="100"/>
      <c r="J894" s="100"/>
      <c r="K894" s="100"/>
      <c r="L894" s="101"/>
      <c r="M894" s="101"/>
      <c r="N894" s="112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</row>
    <row r="895" spans="1:29" ht="13">
      <c r="A895" s="115"/>
      <c r="B895" s="97"/>
      <c r="C895" s="115"/>
      <c r="D895" s="115"/>
      <c r="E895" s="115"/>
      <c r="F895" s="115"/>
      <c r="G895" s="99"/>
      <c r="H895" s="98"/>
      <c r="I895" s="100"/>
      <c r="J895" s="100"/>
      <c r="K895" s="100"/>
      <c r="L895" s="101"/>
      <c r="M895" s="101"/>
      <c r="N895" s="112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</row>
    <row r="896" spans="1:29" ht="13">
      <c r="A896" s="115"/>
      <c r="B896" s="97"/>
      <c r="C896" s="115"/>
      <c r="D896" s="115"/>
      <c r="E896" s="115"/>
      <c r="F896" s="115"/>
      <c r="G896" s="99"/>
      <c r="H896" s="98"/>
      <c r="I896" s="100"/>
      <c r="J896" s="100"/>
      <c r="K896" s="100"/>
      <c r="L896" s="101"/>
      <c r="M896" s="101"/>
      <c r="N896" s="112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</row>
    <row r="897" spans="1:29" ht="13">
      <c r="A897" s="115"/>
      <c r="B897" s="97"/>
      <c r="C897" s="115"/>
      <c r="D897" s="115"/>
      <c r="E897" s="115"/>
      <c r="F897" s="115"/>
      <c r="G897" s="99"/>
      <c r="H897" s="98"/>
      <c r="I897" s="100"/>
      <c r="J897" s="100"/>
      <c r="K897" s="100"/>
      <c r="L897" s="101"/>
      <c r="M897" s="101"/>
      <c r="N897" s="112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</row>
    <row r="898" spans="1:29" ht="13">
      <c r="A898" s="115"/>
      <c r="B898" s="97"/>
      <c r="C898" s="115"/>
      <c r="D898" s="115"/>
      <c r="E898" s="115"/>
      <c r="F898" s="115"/>
      <c r="G898" s="99"/>
      <c r="H898" s="98"/>
      <c r="I898" s="100"/>
      <c r="J898" s="100"/>
      <c r="K898" s="100"/>
      <c r="L898" s="101"/>
      <c r="M898" s="101"/>
      <c r="N898" s="112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</row>
    <row r="899" spans="1:29" ht="13">
      <c r="A899" s="115"/>
      <c r="B899" s="97"/>
      <c r="C899" s="115"/>
      <c r="D899" s="115"/>
      <c r="E899" s="115"/>
      <c r="F899" s="115"/>
      <c r="G899" s="99"/>
      <c r="H899" s="98"/>
      <c r="I899" s="100"/>
      <c r="J899" s="100"/>
      <c r="K899" s="100"/>
      <c r="L899" s="101"/>
      <c r="M899" s="101"/>
      <c r="N899" s="112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</row>
    <row r="900" spans="1:29" ht="13">
      <c r="A900" s="115"/>
      <c r="B900" s="97"/>
      <c r="C900" s="115"/>
      <c r="D900" s="115"/>
      <c r="E900" s="115"/>
      <c r="F900" s="115"/>
      <c r="G900" s="99"/>
      <c r="H900" s="98"/>
      <c r="I900" s="100"/>
      <c r="J900" s="100"/>
      <c r="K900" s="100"/>
      <c r="L900" s="101"/>
      <c r="M900" s="101"/>
      <c r="N900" s="112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</row>
    <row r="901" spans="1:29" ht="13">
      <c r="A901" s="115"/>
      <c r="B901" s="97"/>
      <c r="C901" s="115"/>
      <c r="D901" s="115"/>
      <c r="E901" s="115"/>
      <c r="F901" s="115"/>
      <c r="G901" s="99"/>
      <c r="H901" s="98"/>
      <c r="I901" s="100"/>
      <c r="J901" s="100"/>
      <c r="K901" s="100"/>
      <c r="L901" s="101"/>
      <c r="M901" s="101"/>
      <c r="N901" s="112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</row>
    <row r="902" spans="1:29" ht="13">
      <c r="A902" s="115"/>
      <c r="B902" s="97"/>
      <c r="C902" s="115"/>
      <c r="D902" s="115"/>
      <c r="E902" s="115"/>
      <c r="F902" s="115"/>
      <c r="G902" s="99"/>
      <c r="H902" s="98"/>
      <c r="I902" s="100"/>
      <c r="J902" s="100"/>
      <c r="K902" s="100"/>
      <c r="L902" s="101"/>
      <c r="M902" s="101"/>
      <c r="N902" s="112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</row>
    <row r="903" spans="1:29" ht="13">
      <c r="A903" s="115"/>
      <c r="B903" s="97"/>
      <c r="C903" s="115"/>
      <c r="D903" s="115"/>
      <c r="E903" s="115"/>
      <c r="F903" s="115"/>
      <c r="G903" s="99"/>
      <c r="H903" s="98"/>
      <c r="I903" s="100"/>
      <c r="J903" s="100"/>
      <c r="K903" s="100"/>
      <c r="L903" s="101"/>
      <c r="M903" s="101"/>
      <c r="N903" s="112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</row>
    <row r="904" spans="1:29" ht="13">
      <c r="A904" s="115"/>
      <c r="B904" s="97"/>
      <c r="C904" s="115"/>
      <c r="D904" s="115"/>
      <c r="E904" s="115"/>
      <c r="F904" s="115"/>
      <c r="G904" s="99"/>
      <c r="H904" s="98"/>
      <c r="I904" s="100"/>
      <c r="J904" s="100"/>
      <c r="K904" s="100"/>
      <c r="L904" s="101"/>
      <c r="M904" s="101"/>
      <c r="N904" s="112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</row>
    <row r="905" spans="1:29" ht="13">
      <c r="A905" s="115"/>
      <c r="B905" s="97"/>
      <c r="C905" s="115"/>
      <c r="D905" s="115"/>
      <c r="E905" s="115"/>
      <c r="F905" s="115"/>
      <c r="G905" s="99"/>
      <c r="H905" s="98"/>
      <c r="I905" s="100"/>
      <c r="J905" s="100"/>
      <c r="K905" s="100"/>
      <c r="L905" s="101"/>
      <c r="M905" s="101"/>
      <c r="N905" s="112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</row>
    <row r="906" spans="1:29" ht="13">
      <c r="A906" s="115"/>
      <c r="B906" s="97"/>
      <c r="C906" s="115"/>
      <c r="D906" s="115"/>
      <c r="E906" s="115"/>
      <c r="F906" s="115"/>
      <c r="G906" s="99"/>
      <c r="H906" s="98"/>
      <c r="I906" s="100"/>
      <c r="J906" s="100"/>
      <c r="K906" s="100"/>
      <c r="L906" s="101"/>
      <c r="M906" s="101"/>
      <c r="N906" s="112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</row>
    <row r="907" spans="1:29" ht="13">
      <c r="A907" s="115"/>
      <c r="B907" s="97"/>
      <c r="C907" s="115"/>
      <c r="D907" s="115"/>
      <c r="E907" s="115"/>
      <c r="F907" s="115"/>
      <c r="G907" s="99"/>
      <c r="H907" s="98"/>
      <c r="I907" s="100"/>
      <c r="J907" s="100"/>
      <c r="K907" s="100"/>
      <c r="L907" s="101"/>
      <c r="M907" s="101"/>
      <c r="N907" s="112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</row>
    <row r="908" spans="1:29" ht="13">
      <c r="A908" s="115"/>
      <c r="B908" s="97"/>
      <c r="C908" s="115"/>
      <c r="D908" s="115"/>
      <c r="E908" s="115"/>
      <c r="F908" s="115"/>
      <c r="G908" s="99"/>
      <c r="H908" s="98"/>
      <c r="I908" s="100"/>
      <c r="J908" s="100"/>
      <c r="K908" s="100"/>
      <c r="L908" s="101"/>
      <c r="M908" s="101"/>
      <c r="N908" s="112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</row>
    <row r="909" spans="1:29" ht="13">
      <c r="A909" s="115"/>
      <c r="B909" s="97"/>
      <c r="C909" s="115"/>
      <c r="D909" s="115"/>
      <c r="E909" s="115"/>
      <c r="F909" s="115"/>
      <c r="G909" s="99"/>
      <c r="H909" s="98"/>
      <c r="I909" s="100"/>
      <c r="J909" s="100"/>
      <c r="K909" s="100"/>
      <c r="L909" s="101"/>
      <c r="M909" s="101"/>
      <c r="N909" s="112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</row>
    <row r="910" spans="1:29" ht="13">
      <c r="A910" s="115"/>
      <c r="B910" s="97"/>
      <c r="C910" s="115"/>
      <c r="D910" s="115"/>
      <c r="E910" s="115"/>
      <c r="F910" s="115"/>
      <c r="G910" s="99"/>
      <c r="H910" s="98"/>
      <c r="I910" s="100"/>
      <c r="J910" s="100"/>
      <c r="K910" s="100"/>
      <c r="L910" s="101"/>
      <c r="M910" s="101"/>
      <c r="N910" s="112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</row>
    <row r="911" spans="1:29" ht="13">
      <c r="A911" s="115"/>
      <c r="B911" s="97"/>
      <c r="C911" s="115"/>
      <c r="D911" s="115"/>
      <c r="E911" s="115"/>
      <c r="F911" s="115"/>
      <c r="G911" s="99"/>
      <c r="H911" s="98"/>
      <c r="I911" s="100"/>
      <c r="J911" s="100"/>
      <c r="K911" s="100"/>
      <c r="L911" s="101"/>
      <c r="M911" s="101"/>
      <c r="N911" s="112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</row>
    <row r="912" spans="1:29" ht="13">
      <c r="A912" s="115"/>
      <c r="B912" s="97"/>
      <c r="C912" s="115"/>
      <c r="D912" s="115"/>
      <c r="E912" s="115"/>
      <c r="F912" s="115"/>
      <c r="G912" s="99"/>
      <c r="H912" s="98"/>
      <c r="I912" s="100"/>
      <c r="J912" s="100"/>
      <c r="K912" s="100"/>
      <c r="L912" s="101"/>
      <c r="M912" s="101"/>
      <c r="N912" s="112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</row>
    <row r="913" spans="1:29" ht="13">
      <c r="A913" s="115"/>
      <c r="B913" s="97"/>
      <c r="C913" s="115"/>
      <c r="D913" s="115"/>
      <c r="E913" s="115"/>
      <c r="F913" s="115"/>
      <c r="G913" s="99"/>
      <c r="H913" s="98"/>
      <c r="I913" s="100"/>
      <c r="J913" s="100"/>
      <c r="K913" s="100"/>
      <c r="L913" s="101"/>
      <c r="M913" s="101"/>
      <c r="N913" s="112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</row>
    <row r="914" spans="1:29" ht="13">
      <c r="A914" s="115"/>
      <c r="B914" s="97"/>
      <c r="C914" s="115"/>
      <c r="D914" s="115"/>
      <c r="E914" s="115"/>
      <c r="F914" s="115"/>
      <c r="G914" s="99"/>
      <c r="H914" s="98"/>
      <c r="I914" s="100"/>
      <c r="J914" s="100"/>
      <c r="K914" s="100"/>
      <c r="L914" s="101"/>
      <c r="M914" s="101"/>
      <c r="N914" s="112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</row>
    <row r="915" spans="1:29" ht="13">
      <c r="A915" s="115"/>
      <c r="B915" s="97"/>
      <c r="C915" s="115"/>
      <c r="D915" s="115"/>
      <c r="E915" s="115"/>
      <c r="F915" s="115"/>
      <c r="G915" s="99"/>
      <c r="H915" s="98"/>
      <c r="I915" s="100"/>
      <c r="J915" s="100"/>
      <c r="K915" s="100"/>
      <c r="L915" s="101"/>
      <c r="M915" s="101"/>
      <c r="N915" s="112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</row>
    <row r="916" spans="1:29" ht="13">
      <c r="A916" s="115"/>
      <c r="B916" s="97"/>
      <c r="C916" s="115"/>
      <c r="D916" s="115"/>
      <c r="E916" s="115"/>
      <c r="F916" s="115"/>
      <c r="G916" s="99"/>
      <c r="H916" s="98"/>
      <c r="I916" s="100"/>
      <c r="J916" s="100"/>
      <c r="K916" s="100"/>
      <c r="L916" s="101"/>
      <c r="M916" s="101"/>
      <c r="N916" s="112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</row>
    <row r="917" spans="1:29" ht="13">
      <c r="A917" s="115"/>
      <c r="B917" s="97"/>
      <c r="C917" s="115"/>
      <c r="D917" s="115"/>
      <c r="E917" s="115"/>
      <c r="F917" s="115"/>
      <c r="G917" s="99"/>
      <c r="H917" s="98"/>
      <c r="I917" s="100"/>
      <c r="J917" s="100"/>
      <c r="K917" s="100"/>
      <c r="L917" s="101"/>
      <c r="M917" s="101"/>
      <c r="N917" s="112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</row>
    <row r="918" spans="1:29" ht="13">
      <c r="A918" s="115"/>
      <c r="B918" s="97"/>
      <c r="C918" s="115"/>
      <c r="D918" s="115"/>
      <c r="E918" s="115"/>
      <c r="F918" s="115"/>
      <c r="G918" s="99"/>
      <c r="H918" s="98"/>
      <c r="I918" s="100"/>
      <c r="J918" s="100"/>
      <c r="K918" s="100"/>
      <c r="L918" s="101"/>
      <c r="M918" s="101"/>
      <c r="N918" s="112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</row>
    <row r="919" spans="1:29" ht="13">
      <c r="A919" s="115"/>
      <c r="B919" s="97"/>
      <c r="C919" s="115"/>
      <c r="D919" s="115"/>
      <c r="E919" s="115"/>
      <c r="F919" s="115"/>
      <c r="G919" s="99"/>
      <c r="H919" s="98"/>
      <c r="I919" s="100"/>
      <c r="J919" s="100"/>
      <c r="K919" s="100"/>
      <c r="L919" s="101"/>
      <c r="M919" s="101"/>
      <c r="N919" s="112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</row>
    <row r="920" spans="1:29" ht="13">
      <c r="A920" s="115"/>
      <c r="B920" s="97"/>
      <c r="C920" s="115"/>
      <c r="D920" s="115"/>
      <c r="E920" s="115"/>
      <c r="F920" s="115"/>
      <c r="G920" s="99"/>
      <c r="H920" s="98"/>
      <c r="I920" s="100"/>
      <c r="J920" s="100"/>
      <c r="K920" s="100"/>
      <c r="L920" s="101"/>
      <c r="M920" s="101"/>
      <c r="N920" s="112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</row>
    <row r="921" spans="1:29" ht="13">
      <c r="A921" s="115"/>
      <c r="B921" s="97"/>
      <c r="C921" s="115"/>
      <c r="D921" s="115"/>
      <c r="E921" s="115"/>
      <c r="F921" s="115"/>
      <c r="G921" s="99"/>
      <c r="H921" s="98"/>
      <c r="I921" s="100"/>
      <c r="J921" s="100"/>
      <c r="K921" s="100"/>
      <c r="L921" s="101"/>
      <c r="M921" s="101"/>
      <c r="N921" s="112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</row>
    <row r="922" spans="1:29" ht="13">
      <c r="A922" s="115"/>
      <c r="B922" s="97"/>
      <c r="C922" s="115"/>
      <c r="D922" s="115"/>
      <c r="E922" s="115"/>
      <c r="F922" s="115"/>
      <c r="G922" s="99"/>
      <c r="H922" s="98"/>
      <c r="I922" s="100"/>
      <c r="J922" s="100"/>
      <c r="K922" s="100"/>
      <c r="L922" s="101"/>
      <c r="M922" s="101"/>
      <c r="N922" s="112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</row>
    <row r="923" spans="1:29" ht="13">
      <c r="A923" s="115"/>
      <c r="B923" s="97"/>
      <c r="C923" s="115"/>
      <c r="D923" s="115"/>
      <c r="E923" s="115"/>
      <c r="F923" s="115"/>
      <c r="G923" s="99"/>
      <c r="H923" s="98"/>
      <c r="I923" s="100"/>
      <c r="J923" s="100"/>
      <c r="K923" s="100"/>
      <c r="L923" s="101"/>
      <c r="M923" s="101"/>
      <c r="N923" s="112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</row>
    <row r="924" spans="1:29" ht="13">
      <c r="A924" s="115"/>
      <c r="B924" s="97"/>
      <c r="C924" s="115"/>
      <c r="D924" s="115"/>
      <c r="E924" s="115"/>
      <c r="F924" s="115"/>
      <c r="G924" s="99"/>
      <c r="H924" s="98"/>
      <c r="I924" s="100"/>
      <c r="J924" s="100"/>
      <c r="K924" s="100"/>
      <c r="L924" s="101"/>
      <c r="M924" s="101"/>
      <c r="N924" s="112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</row>
    <row r="925" spans="1:29" ht="13">
      <c r="A925" s="115"/>
      <c r="B925" s="97"/>
      <c r="C925" s="115"/>
      <c r="D925" s="115"/>
      <c r="E925" s="115"/>
      <c r="F925" s="115"/>
      <c r="G925" s="99"/>
      <c r="H925" s="98"/>
      <c r="I925" s="100"/>
      <c r="J925" s="100"/>
      <c r="K925" s="100"/>
      <c r="L925" s="101"/>
      <c r="M925" s="101"/>
      <c r="N925" s="112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</row>
    <row r="926" spans="1:29" ht="13">
      <c r="A926" s="115"/>
      <c r="B926" s="97"/>
      <c r="C926" s="115"/>
      <c r="D926" s="115"/>
      <c r="E926" s="115"/>
      <c r="F926" s="115"/>
      <c r="G926" s="99"/>
      <c r="H926" s="98"/>
      <c r="I926" s="100"/>
      <c r="J926" s="100"/>
      <c r="K926" s="100"/>
      <c r="L926" s="101"/>
      <c r="M926" s="101"/>
      <c r="N926" s="112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</row>
    <row r="927" spans="1:29" ht="13">
      <c r="A927" s="115"/>
      <c r="B927" s="97"/>
      <c r="C927" s="115"/>
      <c r="D927" s="115"/>
      <c r="E927" s="115"/>
      <c r="F927" s="115"/>
      <c r="G927" s="99"/>
      <c r="H927" s="98"/>
      <c r="I927" s="100"/>
      <c r="J927" s="100"/>
      <c r="K927" s="100"/>
      <c r="L927" s="101"/>
      <c r="M927" s="101"/>
      <c r="N927" s="112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</row>
    <row r="928" spans="1:29" ht="13">
      <c r="A928" s="115"/>
      <c r="B928" s="97"/>
      <c r="C928" s="115"/>
      <c r="D928" s="115"/>
      <c r="E928" s="115"/>
      <c r="F928" s="115"/>
      <c r="G928" s="99"/>
      <c r="H928" s="98"/>
      <c r="I928" s="100"/>
      <c r="J928" s="100"/>
      <c r="K928" s="100"/>
      <c r="L928" s="101"/>
      <c r="M928" s="101"/>
      <c r="N928" s="112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</row>
    <row r="929" spans="1:29" ht="13">
      <c r="A929" s="115"/>
      <c r="B929" s="97"/>
      <c r="C929" s="115"/>
      <c r="D929" s="115"/>
      <c r="E929" s="115"/>
      <c r="F929" s="115"/>
      <c r="G929" s="99"/>
      <c r="H929" s="98"/>
      <c r="I929" s="100"/>
      <c r="J929" s="100"/>
      <c r="K929" s="100"/>
      <c r="L929" s="101"/>
      <c r="M929" s="101"/>
      <c r="N929" s="112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</row>
    <row r="930" spans="1:29" ht="13">
      <c r="A930" s="115"/>
      <c r="B930" s="97"/>
      <c r="C930" s="115"/>
      <c r="D930" s="115"/>
      <c r="E930" s="115"/>
      <c r="F930" s="115"/>
      <c r="G930" s="99"/>
      <c r="H930" s="98"/>
      <c r="I930" s="100"/>
      <c r="J930" s="100"/>
      <c r="K930" s="100"/>
      <c r="L930" s="101"/>
      <c r="M930" s="101"/>
      <c r="N930" s="112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</row>
    <row r="931" spans="1:29" ht="13">
      <c r="A931" s="115"/>
      <c r="B931" s="97"/>
      <c r="C931" s="115"/>
      <c r="D931" s="115"/>
      <c r="E931" s="115"/>
      <c r="F931" s="115"/>
      <c r="G931" s="99"/>
      <c r="H931" s="98"/>
      <c r="I931" s="100"/>
      <c r="J931" s="100"/>
      <c r="K931" s="100"/>
      <c r="L931" s="101"/>
      <c r="M931" s="101"/>
      <c r="N931" s="112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</row>
    <row r="932" spans="1:29" ht="13">
      <c r="A932" s="115"/>
      <c r="B932" s="97"/>
      <c r="C932" s="115"/>
      <c r="D932" s="115"/>
      <c r="E932" s="115"/>
      <c r="F932" s="115"/>
      <c r="G932" s="99"/>
      <c r="H932" s="98"/>
      <c r="I932" s="100"/>
      <c r="J932" s="100"/>
      <c r="K932" s="100"/>
      <c r="L932" s="101"/>
      <c r="M932" s="101"/>
      <c r="N932" s="112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</row>
    <row r="933" spans="1:29" ht="13">
      <c r="A933" s="115"/>
      <c r="B933" s="97"/>
      <c r="C933" s="115"/>
      <c r="D933" s="115"/>
      <c r="E933" s="115"/>
      <c r="F933" s="115"/>
      <c r="G933" s="99"/>
      <c r="H933" s="98"/>
      <c r="I933" s="100"/>
      <c r="J933" s="100"/>
      <c r="K933" s="100"/>
      <c r="L933" s="101"/>
      <c r="M933" s="101"/>
      <c r="N933" s="112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</row>
    <row r="934" spans="1:29" ht="13">
      <c r="A934" s="115"/>
      <c r="B934" s="97"/>
      <c r="C934" s="115"/>
      <c r="D934" s="115"/>
      <c r="E934" s="115"/>
      <c r="F934" s="115"/>
      <c r="G934" s="99"/>
      <c r="H934" s="98"/>
      <c r="I934" s="100"/>
      <c r="J934" s="100"/>
      <c r="K934" s="100"/>
      <c r="L934" s="101"/>
      <c r="M934" s="101"/>
      <c r="N934" s="112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</row>
    <row r="935" spans="1:29" ht="13">
      <c r="A935" s="115"/>
      <c r="B935" s="97"/>
      <c r="C935" s="115"/>
      <c r="D935" s="115"/>
      <c r="E935" s="115"/>
      <c r="F935" s="115"/>
      <c r="G935" s="99"/>
      <c r="H935" s="98"/>
      <c r="I935" s="100"/>
      <c r="J935" s="100"/>
      <c r="K935" s="100"/>
      <c r="L935" s="101"/>
      <c r="M935" s="101"/>
      <c r="N935" s="112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</row>
    <row r="936" spans="1:29" ht="13">
      <c r="A936" s="115"/>
      <c r="B936" s="97"/>
      <c r="C936" s="115"/>
      <c r="D936" s="115"/>
      <c r="E936" s="115"/>
      <c r="F936" s="115"/>
      <c r="G936" s="99"/>
      <c r="H936" s="98"/>
      <c r="I936" s="100"/>
      <c r="J936" s="100"/>
      <c r="K936" s="100"/>
      <c r="L936" s="101"/>
      <c r="M936" s="101"/>
      <c r="N936" s="112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</row>
    <row r="937" spans="1:29" ht="13">
      <c r="A937" s="115"/>
      <c r="B937" s="97"/>
      <c r="C937" s="115"/>
      <c r="D937" s="115"/>
      <c r="E937" s="115"/>
      <c r="F937" s="115"/>
      <c r="G937" s="99"/>
      <c r="H937" s="98"/>
      <c r="I937" s="100"/>
      <c r="J937" s="100"/>
      <c r="K937" s="100"/>
      <c r="L937" s="101"/>
      <c r="M937" s="101"/>
      <c r="N937" s="112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</row>
    <row r="938" spans="1:29" ht="13">
      <c r="A938" s="115"/>
      <c r="B938" s="97"/>
      <c r="C938" s="115"/>
      <c r="D938" s="115"/>
      <c r="E938" s="115"/>
      <c r="F938" s="115"/>
      <c r="G938" s="99"/>
      <c r="H938" s="98"/>
      <c r="I938" s="100"/>
      <c r="J938" s="100"/>
      <c r="K938" s="100"/>
      <c r="L938" s="101"/>
      <c r="M938" s="101"/>
      <c r="N938" s="112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</row>
    <row r="939" spans="1:29" ht="13">
      <c r="A939" s="115"/>
      <c r="B939" s="97"/>
      <c r="C939" s="115"/>
      <c r="D939" s="115"/>
      <c r="E939" s="115"/>
      <c r="F939" s="115"/>
      <c r="G939" s="99"/>
      <c r="H939" s="98"/>
      <c r="I939" s="100"/>
      <c r="J939" s="100"/>
      <c r="K939" s="100"/>
      <c r="L939" s="101"/>
      <c r="M939" s="101"/>
      <c r="N939" s="112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</row>
    <row r="940" spans="1:29" ht="13">
      <c r="A940" s="115"/>
      <c r="B940" s="97"/>
      <c r="C940" s="115"/>
      <c r="D940" s="115"/>
      <c r="E940" s="115"/>
      <c r="F940" s="115"/>
      <c r="G940" s="99"/>
      <c r="H940" s="98"/>
      <c r="I940" s="100"/>
      <c r="J940" s="100"/>
      <c r="K940" s="100"/>
      <c r="L940" s="101"/>
      <c r="M940" s="101"/>
      <c r="N940" s="112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</row>
    <row r="941" spans="1:29" ht="13">
      <c r="A941" s="115"/>
      <c r="B941" s="97"/>
      <c r="C941" s="115"/>
      <c r="D941" s="115"/>
      <c r="E941" s="115"/>
      <c r="F941" s="115"/>
      <c r="G941" s="99"/>
      <c r="H941" s="98"/>
      <c r="I941" s="100"/>
      <c r="J941" s="100"/>
      <c r="K941" s="100"/>
      <c r="L941" s="101"/>
      <c r="M941" s="101"/>
      <c r="N941" s="112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</row>
    <row r="942" spans="1:29" ht="13">
      <c r="A942" s="115"/>
      <c r="B942" s="97"/>
      <c r="C942" s="115"/>
      <c r="D942" s="115"/>
      <c r="E942" s="115"/>
      <c r="F942" s="115"/>
      <c r="G942" s="99"/>
      <c r="H942" s="98"/>
      <c r="I942" s="100"/>
      <c r="J942" s="100"/>
      <c r="K942" s="100"/>
      <c r="L942" s="101"/>
      <c r="M942" s="101"/>
      <c r="N942" s="112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</row>
    <row r="943" spans="1:29" ht="13">
      <c r="A943" s="115"/>
      <c r="B943" s="97"/>
      <c r="C943" s="115"/>
      <c r="D943" s="115"/>
      <c r="E943" s="115"/>
      <c r="F943" s="115"/>
      <c r="G943" s="99"/>
      <c r="H943" s="98"/>
      <c r="I943" s="100"/>
      <c r="J943" s="100"/>
      <c r="K943" s="100"/>
      <c r="L943" s="101"/>
      <c r="M943" s="101"/>
      <c r="N943" s="112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</row>
    <row r="944" spans="1:29" ht="13">
      <c r="A944" s="115"/>
      <c r="B944" s="97"/>
      <c r="C944" s="115"/>
      <c r="D944" s="115"/>
      <c r="E944" s="115"/>
      <c r="F944" s="115"/>
      <c r="G944" s="99"/>
      <c r="H944" s="98"/>
      <c r="I944" s="100"/>
      <c r="J944" s="100"/>
      <c r="K944" s="100"/>
      <c r="L944" s="101"/>
      <c r="M944" s="101"/>
      <c r="N944" s="112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</row>
    <row r="945" spans="1:29" ht="13">
      <c r="A945" s="115"/>
      <c r="B945" s="97"/>
      <c r="C945" s="115"/>
      <c r="D945" s="115"/>
      <c r="E945" s="115"/>
      <c r="F945" s="115"/>
      <c r="G945" s="99"/>
      <c r="H945" s="98"/>
      <c r="I945" s="100"/>
      <c r="J945" s="100"/>
      <c r="K945" s="100"/>
      <c r="L945" s="101"/>
      <c r="M945" s="101"/>
      <c r="N945" s="112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</row>
    <row r="946" spans="1:29" ht="13">
      <c r="A946" s="115"/>
      <c r="B946" s="97"/>
      <c r="C946" s="115"/>
      <c r="D946" s="115"/>
      <c r="E946" s="115"/>
      <c r="F946" s="115"/>
      <c r="G946" s="99"/>
      <c r="H946" s="98"/>
      <c r="I946" s="100"/>
      <c r="J946" s="100"/>
      <c r="K946" s="100"/>
      <c r="L946" s="101"/>
      <c r="M946" s="101"/>
      <c r="N946" s="112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</row>
    <row r="947" spans="1:29" ht="13">
      <c r="A947" s="115"/>
      <c r="B947" s="97"/>
      <c r="C947" s="115"/>
      <c r="D947" s="115"/>
      <c r="E947" s="115"/>
      <c r="F947" s="115"/>
      <c r="G947" s="99"/>
      <c r="H947" s="98"/>
      <c r="I947" s="100"/>
      <c r="J947" s="100"/>
      <c r="K947" s="100"/>
      <c r="L947" s="101"/>
      <c r="M947" s="101"/>
      <c r="N947" s="112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</row>
    <row r="948" spans="1:29" ht="13">
      <c r="A948" s="115"/>
      <c r="B948" s="97"/>
      <c r="C948" s="115"/>
      <c r="D948" s="115"/>
      <c r="E948" s="115"/>
      <c r="F948" s="115"/>
      <c r="G948" s="99"/>
      <c r="H948" s="98"/>
      <c r="I948" s="100"/>
      <c r="J948" s="100"/>
      <c r="K948" s="100"/>
      <c r="L948" s="101"/>
      <c r="M948" s="101"/>
      <c r="N948" s="112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</row>
    <row r="949" spans="1:29" ht="13">
      <c r="A949" s="115"/>
      <c r="B949" s="97"/>
      <c r="C949" s="115"/>
      <c r="D949" s="115"/>
      <c r="E949" s="115"/>
      <c r="F949" s="115"/>
      <c r="G949" s="99"/>
      <c r="H949" s="98"/>
      <c r="I949" s="100"/>
      <c r="J949" s="100"/>
      <c r="K949" s="100"/>
      <c r="L949" s="101"/>
      <c r="M949" s="101"/>
      <c r="N949" s="112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</row>
    <row r="950" spans="1:29" ht="13">
      <c r="A950" s="115"/>
      <c r="B950" s="97"/>
      <c r="C950" s="115"/>
      <c r="D950" s="115"/>
      <c r="E950" s="115"/>
      <c r="F950" s="115"/>
      <c r="G950" s="99"/>
      <c r="H950" s="98"/>
      <c r="I950" s="100"/>
      <c r="J950" s="100"/>
      <c r="K950" s="100"/>
      <c r="L950" s="101"/>
      <c r="M950" s="101"/>
      <c r="N950" s="112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</row>
    <row r="951" spans="1:29" ht="13">
      <c r="A951" s="115"/>
      <c r="B951" s="97"/>
      <c r="C951" s="115"/>
      <c r="D951" s="115"/>
      <c r="E951" s="115"/>
      <c r="F951" s="115"/>
      <c r="G951" s="99"/>
      <c r="H951" s="98"/>
      <c r="I951" s="100"/>
      <c r="J951" s="100"/>
      <c r="K951" s="100"/>
      <c r="L951" s="101"/>
      <c r="M951" s="101"/>
      <c r="N951" s="112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1"/>
      <c r="AC951" s="101"/>
    </row>
    <row r="952" spans="1:29" ht="13">
      <c r="A952" s="115"/>
      <c r="B952" s="97"/>
      <c r="C952" s="115"/>
      <c r="D952" s="115"/>
      <c r="E952" s="115"/>
      <c r="F952" s="115"/>
      <c r="G952" s="99"/>
      <c r="H952" s="98"/>
      <c r="I952" s="100"/>
      <c r="J952" s="100"/>
      <c r="K952" s="100"/>
      <c r="L952" s="101"/>
      <c r="M952" s="101"/>
      <c r="N952" s="112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1"/>
      <c r="AC952" s="101"/>
    </row>
    <row r="953" spans="1:29" ht="13">
      <c r="A953" s="115"/>
      <c r="B953" s="97"/>
      <c r="C953" s="115"/>
      <c r="D953" s="115"/>
      <c r="E953" s="115"/>
      <c r="F953" s="115"/>
      <c r="G953" s="99"/>
      <c r="H953" s="98"/>
      <c r="I953" s="100"/>
      <c r="J953" s="100"/>
      <c r="K953" s="100"/>
      <c r="L953" s="101"/>
      <c r="M953" s="101"/>
      <c r="N953" s="112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</row>
    <row r="954" spans="1:29" ht="13">
      <c r="A954" s="115"/>
      <c r="B954" s="97"/>
      <c r="C954" s="115"/>
      <c r="D954" s="115"/>
      <c r="E954" s="115"/>
      <c r="F954" s="115"/>
      <c r="G954" s="99"/>
      <c r="H954" s="98"/>
      <c r="I954" s="100"/>
      <c r="J954" s="100"/>
      <c r="K954" s="100"/>
      <c r="L954" s="101"/>
      <c r="M954" s="101"/>
      <c r="N954" s="112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  <c r="AA954" s="101"/>
      <c r="AB954" s="101"/>
      <c r="AC954" s="101"/>
    </row>
    <row r="955" spans="1:29" ht="13">
      <c r="A955" s="115"/>
      <c r="B955" s="97"/>
      <c r="C955" s="115"/>
      <c r="D955" s="115"/>
      <c r="E955" s="115"/>
      <c r="F955" s="115"/>
      <c r="G955" s="99"/>
      <c r="H955" s="98"/>
      <c r="I955" s="100"/>
      <c r="J955" s="100"/>
      <c r="K955" s="100"/>
      <c r="L955" s="101"/>
      <c r="M955" s="101"/>
      <c r="N955" s="112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  <c r="AA955" s="101"/>
      <c r="AB955" s="101"/>
      <c r="AC955" s="101"/>
    </row>
    <row r="956" spans="1:29" ht="13">
      <c r="A956" s="115"/>
      <c r="B956" s="97"/>
      <c r="C956" s="115"/>
      <c r="D956" s="115"/>
      <c r="E956" s="115"/>
      <c r="F956" s="115"/>
      <c r="G956" s="99"/>
      <c r="H956" s="98"/>
      <c r="I956" s="100"/>
      <c r="J956" s="100"/>
      <c r="K956" s="100"/>
      <c r="L956" s="101"/>
      <c r="M956" s="101"/>
      <c r="N956" s="112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1"/>
      <c r="AC956" s="101"/>
    </row>
    <row r="957" spans="1:29" ht="13">
      <c r="A957" s="115"/>
      <c r="B957" s="97"/>
      <c r="C957" s="115"/>
      <c r="D957" s="115"/>
      <c r="E957" s="115"/>
      <c r="F957" s="115"/>
      <c r="G957" s="99"/>
      <c r="H957" s="98"/>
      <c r="I957" s="100"/>
      <c r="J957" s="100"/>
      <c r="K957" s="100"/>
      <c r="L957" s="101"/>
      <c r="M957" s="101"/>
      <c r="N957" s="112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  <c r="AA957" s="101"/>
      <c r="AB957" s="101"/>
      <c r="AC957" s="101"/>
    </row>
    <row r="958" spans="1:29" ht="13">
      <c r="A958" s="115"/>
      <c r="B958" s="97"/>
      <c r="C958" s="115"/>
      <c r="D958" s="115"/>
      <c r="E958" s="115"/>
      <c r="F958" s="115"/>
      <c r="G958" s="99"/>
      <c r="H958" s="98"/>
      <c r="I958" s="100"/>
      <c r="J958" s="100"/>
      <c r="K958" s="100"/>
      <c r="L958" s="101"/>
      <c r="M958" s="101"/>
      <c r="N958" s="112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  <c r="AA958" s="101"/>
      <c r="AB958" s="101"/>
      <c r="AC958" s="101"/>
    </row>
    <row r="959" spans="1:29" ht="13">
      <c r="A959" s="115"/>
      <c r="B959" s="97"/>
      <c r="C959" s="115"/>
      <c r="D959" s="115"/>
      <c r="E959" s="115"/>
      <c r="F959" s="115"/>
      <c r="G959" s="99"/>
      <c r="H959" s="98"/>
      <c r="I959" s="100"/>
      <c r="J959" s="100"/>
      <c r="K959" s="100"/>
      <c r="L959" s="101"/>
      <c r="M959" s="101"/>
      <c r="N959" s="112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  <c r="AA959" s="101"/>
      <c r="AB959" s="101"/>
      <c r="AC959" s="101"/>
    </row>
    <row r="960" spans="1:29" ht="13">
      <c r="A960" s="115"/>
      <c r="B960" s="97"/>
      <c r="C960" s="115"/>
      <c r="D960" s="115"/>
      <c r="E960" s="115"/>
      <c r="F960" s="115"/>
      <c r="G960" s="99"/>
      <c r="H960" s="98"/>
      <c r="I960" s="100"/>
      <c r="J960" s="100"/>
      <c r="K960" s="100"/>
      <c r="L960" s="101"/>
      <c r="M960" s="101"/>
      <c r="N960" s="112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  <c r="AA960" s="101"/>
      <c r="AB960" s="101"/>
      <c r="AC960" s="101"/>
    </row>
    <row r="961" spans="1:29" ht="13">
      <c r="A961" s="115"/>
      <c r="B961" s="97"/>
      <c r="C961" s="115"/>
      <c r="D961" s="115"/>
      <c r="E961" s="115"/>
      <c r="F961" s="115"/>
      <c r="G961" s="99"/>
      <c r="H961" s="98"/>
      <c r="I961" s="100"/>
      <c r="J961" s="100"/>
      <c r="K961" s="100"/>
      <c r="L961" s="101"/>
      <c r="M961" s="101"/>
      <c r="N961" s="112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  <c r="AA961" s="101"/>
      <c r="AB961" s="101"/>
      <c r="AC961" s="101"/>
    </row>
    <row r="962" spans="1:29" ht="13">
      <c r="A962" s="115"/>
      <c r="B962" s="97"/>
      <c r="C962" s="115"/>
      <c r="D962" s="115"/>
      <c r="E962" s="115"/>
      <c r="F962" s="115"/>
      <c r="G962" s="99"/>
      <c r="H962" s="98"/>
      <c r="I962" s="100"/>
      <c r="J962" s="100"/>
      <c r="K962" s="100"/>
      <c r="L962" s="101"/>
      <c r="M962" s="101"/>
      <c r="N962" s="112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  <c r="AA962" s="101"/>
      <c r="AB962" s="101"/>
      <c r="AC962" s="101"/>
    </row>
    <row r="963" spans="1:29" ht="13">
      <c r="A963" s="115"/>
      <c r="B963" s="97"/>
      <c r="C963" s="115"/>
      <c r="D963" s="115"/>
      <c r="E963" s="115"/>
      <c r="F963" s="115"/>
      <c r="G963" s="99"/>
      <c r="H963" s="98"/>
      <c r="I963" s="100"/>
      <c r="J963" s="100"/>
      <c r="K963" s="100"/>
      <c r="L963" s="101"/>
      <c r="M963" s="101"/>
      <c r="N963" s="112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  <c r="AA963" s="101"/>
      <c r="AB963" s="101"/>
      <c r="AC963" s="101"/>
    </row>
    <row r="964" spans="1:29" ht="13">
      <c r="A964" s="115"/>
      <c r="B964" s="97"/>
      <c r="C964" s="115"/>
      <c r="D964" s="115"/>
      <c r="E964" s="115"/>
      <c r="F964" s="115"/>
      <c r="G964" s="99"/>
      <c r="H964" s="98"/>
      <c r="I964" s="100"/>
      <c r="J964" s="100"/>
      <c r="K964" s="100"/>
      <c r="L964" s="101"/>
      <c r="M964" s="101"/>
      <c r="N964" s="112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  <c r="AA964" s="101"/>
      <c r="AB964" s="101"/>
      <c r="AC964" s="101"/>
    </row>
    <row r="965" spans="1:29" ht="13">
      <c r="A965" s="115"/>
      <c r="B965" s="97"/>
      <c r="C965" s="115"/>
      <c r="D965" s="115"/>
      <c r="E965" s="115"/>
      <c r="F965" s="115"/>
      <c r="G965" s="99"/>
      <c r="H965" s="98"/>
      <c r="I965" s="100"/>
      <c r="J965" s="100"/>
      <c r="K965" s="100"/>
      <c r="L965" s="101"/>
      <c r="M965" s="101"/>
      <c r="N965" s="112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  <c r="AA965" s="101"/>
      <c r="AB965" s="101"/>
      <c r="AC965" s="101"/>
    </row>
    <row r="966" spans="1:29" ht="13">
      <c r="A966" s="115"/>
      <c r="B966" s="97"/>
      <c r="C966" s="115"/>
      <c r="D966" s="115"/>
      <c r="E966" s="115"/>
      <c r="F966" s="115"/>
      <c r="G966" s="99"/>
      <c r="H966" s="98"/>
      <c r="I966" s="100"/>
      <c r="J966" s="100"/>
      <c r="K966" s="100"/>
      <c r="L966" s="101"/>
      <c r="M966" s="101"/>
      <c r="N966" s="112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  <c r="AA966" s="101"/>
      <c r="AB966" s="101"/>
      <c r="AC966" s="101"/>
    </row>
    <row r="967" spans="1:29" ht="13">
      <c r="A967" s="115"/>
      <c r="B967" s="97"/>
      <c r="C967" s="115"/>
      <c r="D967" s="115"/>
      <c r="E967" s="115"/>
      <c r="F967" s="115"/>
      <c r="G967" s="99"/>
      <c r="H967" s="98"/>
      <c r="I967" s="100"/>
      <c r="J967" s="100"/>
      <c r="K967" s="100"/>
      <c r="L967" s="101"/>
      <c r="M967" s="101"/>
      <c r="N967" s="112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  <c r="AA967" s="101"/>
      <c r="AB967" s="101"/>
      <c r="AC967" s="101"/>
    </row>
    <row r="968" spans="1:29" ht="13">
      <c r="A968" s="115"/>
      <c r="B968" s="97"/>
      <c r="C968" s="115"/>
      <c r="D968" s="115"/>
      <c r="E968" s="115"/>
      <c r="F968" s="115"/>
      <c r="G968" s="99"/>
      <c r="H968" s="98"/>
      <c r="I968" s="100"/>
      <c r="J968" s="100"/>
      <c r="K968" s="100"/>
      <c r="L968" s="101"/>
      <c r="M968" s="101"/>
      <c r="N968" s="112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  <c r="AA968" s="101"/>
      <c r="AB968" s="101"/>
      <c r="AC968" s="101"/>
    </row>
    <row r="969" spans="1:29" ht="13">
      <c r="A969" s="115"/>
      <c r="B969" s="97"/>
      <c r="C969" s="115"/>
      <c r="D969" s="115"/>
      <c r="E969" s="115"/>
      <c r="F969" s="115"/>
      <c r="G969" s="99"/>
      <c r="H969" s="98"/>
      <c r="I969" s="100"/>
      <c r="J969" s="100"/>
      <c r="K969" s="100"/>
      <c r="L969" s="101"/>
      <c r="M969" s="101"/>
      <c r="N969" s="112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  <c r="AA969" s="101"/>
      <c r="AB969" s="101"/>
      <c r="AC969" s="101"/>
    </row>
    <row r="970" spans="1:29" ht="13">
      <c r="A970" s="115"/>
      <c r="B970" s="97"/>
      <c r="C970" s="115"/>
      <c r="D970" s="115"/>
      <c r="E970" s="115"/>
      <c r="F970" s="115"/>
      <c r="G970" s="99"/>
      <c r="H970" s="98"/>
      <c r="I970" s="100"/>
      <c r="J970" s="100"/>
      <c r="K970" s="100"/>
      <c r="L970" s="101"/>
      <c r="M970" s="101"/>
      <c r="N970" s="112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  <c r="AA970" s="101"/>
      <c r="AB970" s="101"/>
      <c r="AC970" s="101"/>
    </row>
    <row r="971" spans="1:29" ht="13">
      <c r="A971" s="115"/>
      <c r="B971" s="97"/>
      <c r="C971" s="115"/>
      <c r="D971" s="115"/>
      <c r="E971" s="115"/>
      <c r="F971" s="115"/>
      <c r="G971" s="99"/>
      <c r="H971" s="98"/>
      <c r="I971" s="100"/>
      <c r="J971" s="100"/>
      <c r="K971" s="100"/>
      <c r="L971" s="101"/>
      <c r="M971" s="101"/>
      <c r="N971" s="112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  <c r="AA971" s="101"/>
      <c r="AB971" s="101"/>
      <c r="AC971" s="101"/>
    </row>
    <row r="972" spans="1:29" ht="13">
      <c r="A972" s="115"/>
      <c r="B972" s="97"/>
      <c r="C972" s="115"/>
      <c r="D972" s="115"/>
      <c r="E972" s="115"/>
      <c r="F972" s="115"/>
      <c r="G972" s="99"/>
      <c r="H972" s="98"/>
      <c r="I972" s="100"/>
      <c r="J972" s="100"/>
      <c r="K972" s="100"/>
      <c r="L972" s="101"/>
      <c r="M972" s="101"/>
      <c r="N972" s="112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  <c r="AA972" s="101"/>
      <c r="AB972" s="101"/>
      <c r="AC972" s="101"/>
    </row>
    <row r="973" spans="1:29" ht="13">
      <c r="A973" s="115"/>
      <c r="B973" s="97"/>
      <c r="C973" s="115"/>
      <c r="D973" s="115"/>
      <c r="E973" s="115"/>
      <c r="F973" s="115"/>
      <c r="G973" s="99"/>
      <c r="H973" s="98"/>
      <c r="I973" s="100"/>
      <c r="J973" s="100"/>
      <c r="K973" s="100"/>
      <c r="L973" s="101"/>
      <c r="M973" s="101"/>
      <c r="N973" s="112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  <c r="AA973" s="101"/>
      <c r="AB973" s="101"/>
      <c r="AC973" s="101"/>
    </row>
    <row r="974" spans="1:29" ht="13">
      <c r="A974" s="115"/>
      <c r="B974" s="97"/>
      <c r="C974" s="115"/>
      <c r="D974" s="115"/>
      <c r="E974" s="115"/>
      <c r="F974" s="115"/>
      <c r="G974" s="99"/>
      <c r="H974" s="98"/>
      <c r="I974" s="100"/>
      <c r="J974" s="100"/>
      <c r="K974" s="100"/>
      <c r="L974" s="101"/>
      <c r="M974" s="101"/>
      <c r="N974" s="112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  <c r="AA974" s="101"/>
      <c r="AB974" s="101"/>
      <c r="AC974" s="101"/>
    </row>
    <row r="975" spans="1:29" ht="13">
      <c r="A975" s="115"/>
      <c r="B975" s="97"/>
      <c r="C975" s="115"/>
      <c r="D975" s="115"/>
      <c r="E975" s="115"/>
      <c r="F975" s="115"/>
      <c r="G975" s="99"/>
      <c r="H975" s="98"/>
      <c r="I975" s="100"/>
      <c r="J975" s="100"/>
      <c r="K975" s="100"/>
      <c r="L975" s="101"/>
      <c r="M975" s="101"/>
      <c r="N975" s="112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  <c r="AA975" s="101"/>
      <c r="AB975" s="101"/>
      <c r="AC975" s="101"/>
    </row>
    <row r="976" spans="1:29" ht="13">
      <c r="A976" s="115"/>
      <c r="B976" s="97"/>
      <c r="C976" s="115"/>
      <c r="D976" s="115"/>
      <c r="E976" s="115"/>
      <c r="F976" s="115"/>
      <c r="G976" s="99"/>
      <c r="H976" s="98"/>
      <c r="I976" s="100"/>
      <c r="J976" s="100"/>
      <c r="K976" s="100"/>
      <c r="L976" s="101"/>
      <c r="M976" s="101"/>
      <c r="N976" s="112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  <c r="AA976" s="101"/>
      <c r="AB976" s="101"/>
      <c r="AC976" s="101"/>
    </row>
    <row r="977" spans="1:29" ht="13">
      <c r="A977" s="115"/>
      <c r="B977" s="97"/>
      <c r="C977" s="115"/>
      <c r="D977" s="115"/>
      <c r="E977" s="115"/>
      <c r="F977" s="115"/>
      <c r="G977" s="99"/>
      <c r="H977" s="98"/>
      <c r="I977" s="100"/>
      <c r="J977" s="100"/>
      <c r="K977" s="100"/>
      <c r="L977" s="101"/>
      <c r="M977" s="101"/>
      <c r="N977" s="112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  <c r="AA977" s="101"/>
      <c r="AB977" s="101"/>
      <c r="AC977" s="101"/>
    </row>
    <row r="978" spans="1:29" ht="13">
      <c r="A978" s="115"/>
      <c r="B978" s="97"/>
      <c r="C978" s="115"/>
      <c r="D978" s="115"/>
      <c r="E978" s="115"/>
      <c r="F978" s="115"/>
      <c r="G978" s="99"/>
      <c r="H978" s="98"/>
      <c r="I978" s="100"/>
      <c r="J978" s="100"/>
      <c r="K978" s="100"/>
      <c r="L978" s="101"/>
      <c r="M978" s="101"/>
      <c r="N978" s="112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  <c r="AA978" s="101"/>
      <c r="AB978" s="101"/>
      <c r="AC978" s="101"/>
    </row>
    <row r="979" spans="1:29" ht="13">
      <c r="A979" s="115"/>
      <c r="B979" s="97"/>
      <c r="C979" s="115"/>
      <c r="D979" s="115"/>
      <c r="E979" s="115"/>
      <c r="F979" s="115"/>
      <c r="G979" s="99"/>
      <c r="H979" s="98"/>
      <c r="I979" s="100"/>
      <c r="J979" s="100"/>
      <c r="K979" s="100"/>
      <c r="L979" s="101"/>
      <c r="M979" s="101"/>
      <c r="N979" s="112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  <c r="AA979" s="101"/>
      <c r="AB979" s="101"/>
      <c r="AC979" s="101"/>
    </row>
    <row r="980" spans="1:29" ht="13">
      <c r="A980" s="115"/>
      <c r="B980" s="97"/>
      <c r="C980" s="115"/>
      <c r="D980" s="115"/>
      <c r="E980" s="115"/>
      <c r="F980" s="115"/>
      <c r="G980" s="99"/>
      <c r="H980" s="98"/>
      <c r="I980" s="100"/>
      <c r="J980" s="100"/>
      <c r="K980" s="100"/>
      <c r="L980" s="101"/>
      <c r="M980" s="101"/>
      <c r="N980" s="112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  <c r="AA980" s="101"/>
      <c r="AB980" s="101"/>
      <c r="AC980" s="101"/>
    </row>
    <row r="981" spans="1:29" ht="13">
      <c r="A981" s="115"/>
      <c r="B981" s="97"/>
      <c r="C981" s="115"/>
      <c r="D981" s="115"/>
      <c r="E981" s="115"/>
      <c r="F981" s="115"/>
      <c r="G981" s="99"/>
      <c r="H981" s="98"/>
      <c r="I981" s="100"/>
      <c r="J981" s="100"/>
      <c r="K981" s="100"/>
      <c r="L981" s="101"/>
      <c r="M981" s="101"/>
      <c r="N981" s="112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  <c r="AA981" s="101"/>
      <c r="AB981" s="101"/>
      <c r="AC981" s="101"/>
    </row>
    <row r="982" spans="1:29" ht="13">
      <c r="A982" s="115"/>
      <c r="B982" s="97"/>
      <c r="C982" s="115"/>
      <c r="D982" s="115"/>
      <c r="E982" s="115"/>
      <c r="F982" s="115"/>
      <c r="G982" s="99"/>
      <c r="H982" s="98"/>
      <c r="I982" s="100"/>
      <c r="J982" s="100"/>
      <c r="K982" s="100"/>
      <c r="L982" s="101"/>
      <c r="M982" s="101"/>
      <c r="N982" s="112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  <c r="AA982" s="101"/>
      <c r="AB982" s="101"/>
      <c r="AC982" s="101"/>
    </row>
    <row r="983" spans="1:29" ht="13">
      <c r="A983" s="115"/>
      <c r="B983" s="97"/>
      <c r="C983" s="115"/>
      <c r="D983" s="115"/>
      <c r="E983" s="115"/>
      <c r="F983" s="115"/>
      <c r="G983" s="99"/>
      <c r="H983" s="98"/>
      <c r="I983" s="100"/>
      <c r="J983" s="100"/>
      <c r="K983" s="100"/>
      <c r="L983" s="101"/>
      <c r="M983" s="101"/>
      <c r="N983" s="112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  <c r="AA983" s="101"/>
      <c r="AB983" s="101"/>
      <c r="AC983" s="101"/>
    </row>
    <row r="984" spans="1:29" ht="13">
      <c r="A984" s="115"/>
      <c r="B984" s="97"/>
      <c r="C984" s="115"/>
      <c r="D984" s="115"/>
      <c r="E984" s="115"/>
      <c r="F984" s="115"/>
      <c r="G984" s="99"/>
      <c r="H984" s="98"/>
      <c r="I984" s="100"/>
      <c r="J984" s="100"/>
      <c r="K984" s="100"/>
      <c r="L984" s="101"/>
      <c r="M984" s="101"/>
      <c r="N984" s="112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  <c r="AA984" s="101"/>
      <c r="AB984" s="101"/>
      <c r="AC984" s="101"/>
    </row>
    <row r="985" spans="1:29" ht="13">
      <c r="A985" s="115"/>
      <c r="B985" s="97"/>
      <c r="C985" s="115"/>
      <c r="D985" s="115"/>
      <c r="E985" s="115"/>
      <c r="F985" s="115"/>
      <c r="G985" s="99"/>
      <c r="H985" s="98"/>
      <c r="I985" s="100"/>
      <c r="J985" s="100"/>
      <c r="K985" s="100"/>
      <c r="L985" s="101"/>
      <c r="M985" s="101"/>
      <c r="N985" s="112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  <c r="AA985" s="101"/>
      <c r="AB985" s="101"/>
      <c r="AC985" s="101"/>
    </row>
    <row r="986" spans="1:29" ht="13">
      <c r="A986" s="115"/>
      <c r="B986" s="97"/>
      <c r="C986" s="115"/>
      <c r="D986" s="115"/>
      <c r="E986" s="115"/>
      <c r="F986" s="115"/>
      <c r="G986" s="99"/>
      <c r="H986" s="98"/>
      <c r="I986" s="100"/>
      <c r="J986" s="100"/>
      <c r="K986" s="100"/>
      <c r="L986" s="101"/>
      <c r="M986" s="101"/>
      <c r="N986" s="112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  <c r="AA986" s="101"/>
      <c r="AB986" s="101"/>
      <c r="AC986" s="101"/>
    </row>
    <row r="987" spans="1:29" ht="13">
      <c r="A987" s="115"/>
      <c r="B987" s="97"/>
      <c r="C987" s="115"/>
      <c r="D987" s="115"/>
      <c r="E987" s="115"/>
      <c r="F987" s="115"/>
      <c r="G987" s="99"/>
      <c r="H987" s="98"/>
      <c r="I987" s="100"/>
      <c r="J987" s="100"/>
      <c r="K987" s="100"/>
      <c r="L987" s="101"/>
      <c r="M987" s="101"/>
      <c r="N987" s="112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  <c r="AA987" s="101"/>
      <c r="AB987" s="101"/>
      <c r="AC987" s="101"/>
    </row>
    <row r="988" spans="1:29" ht="13">
      <c r="A988" s="115"/>
      <c r="B988" s="97"/>
      <c r="C988" s="115"/>
      <c r="D988" s="115"/>
      <c r="E988" s="115"/>
      <c r="F988" s="115"/>
      <c r="G988" s="99"/>
      <c r="H988" s="98"/>
      <c r="I988" s="100"/>
      <c r="J988" s="100"/>
      <c r="K988" s="100"/>
      <c r="L988" s="101"/>
      <c r="M988" s="101"/>
      <c r="N988" s="112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  <c r="AA988" s="101"/>
      <c r="AB988" s="101"/>
      <c r="AC988" s="101"/>
    </row>
    <row r="989" spans="1:29" ht="13">
      <c r="A989" s="115"/>
      <c r="B989" s="97"/>
      <c r="C989" s="115"/>
      <c r="D989" s="115"/>
      <c r="E989" s="115"/>
      <c r="F989" s="115"/>
      <c r="G989" s="99"/>
      <c r="H989" s="98"/>
      <c r="I989" s="100"/>
      <c r="J989" s="100"/>
      <c r="K989" s="100"/>
      <c r="L989" s="101"/>
      <c r="M989" s="101"/>
      <c r="N989" s="112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  <c r="AA989" s="101"/>
      <c r="AB989" s="101"/>
      <c r="AC989" s="101"/>
    </row>
    <row r="990" spans="1:29" ht="13">
      <c r="A990" s="115"/>
      <c r="B990" s="97"/>
      <c r="C990" s="115"/>
      <c r="D990" s="115"/>
      <c r="E990" s="115"/>
      <c r="F990" s="115"/>
      <c r="G990" s="99"/>
      <c r="H990" s="98"/>
      <c r="I990" s="100"/>
      <c r="J990" s="100"/>
      <c r="K990" s="100"/>
      <c r="L990" s="101"/>
      <c r="M990" s="101"/>
      <c r="N990" s="112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  <c r="AA990" s="101"/>
      <c r="AB990" s="101"/>
      <c r="AC990" s="101"/>
    </row>
    <row r="991" spans="1:29" ht="13">
      <c r="A991" s="115"/>
      <c r="B991" s="97"/>
      <c r="C991" s="115"/>
      <c r="D991" s="115"/>
      <c r="E991" s="115"/>
      <c r="F991" s="115"/>
      <c r="G991" s="99"/>
      <c r="H991" s="98"/>
      <c r="I991" s="100"/>
      <c r="J991" s="100"/>
      <c r="K991" s="100"/>
      <c r="L991" s="101"/>
      <c r="M991" s="101"/>
      <c r="N991" s="112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  <c r="AA991" s="101"/>
      <c r="AB991" s="101"/>
      <c r="AC991" s="101"/>
    </row>
    <row r="992" spans="1:29" ht="13">
      <c r="A992" s="115"/>
      <c r="B992" s="97"/>
      <c r="C992" s="115"/>
      <c r="D992" s="115"/>
      <c r="E992" s="115"/>
      <c r="F992" s="115"/>
      <c r="G992" s="99"/>
      <c r="H992" s="98"/>
      <c r="I992" s="100"/>
      <c r="J992" s="100"/>
      <c r="K992" s="100"/>
      <c r="L992" s="101"/>
      <c r="M992" s="101"/>
      <c r="N992" s="112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  <c r="AA992" s="101"/>
      <c r="AB992" s="101"/>
      <c r="AC992" s="101"/>
    </row>
    <row r="993" spans="1:29" ht="13">
      <c r="A993" s="115"/>
      <c r="B993" s="97"/>
      <c r="C993" s="115"/>
      <c r="D993" s="115"/>
      <c r="E993" s="115"/>
      <c r="F993" s="115"/>
      <c r="G993" s="99"/>
      <c r="H993" s="98"/>
      <c r="I993" s="100"/>
      <c r="J993" s="100"/>
      <c r="K993" s="100"/>
      <c r="L993" s="101"/>
      <c r="M993" s="101"/>
      <c r="N993" s="112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  <c r="AA993" s="101"/>
      <c r="AB993" s="101"/>
      <c r="AC993" s="101"/>
    </row>
    <row r="994" spans="1:29" ht="13">
      <c r="A994" s="115"/>
      <c r="B994" s="97"/>
      <c r="C994" s="115"/>
      <c r="D994" s="115"/>
      <c r="E994" s="115"/>
      <c r="F994" s="115"/>
      <c r="G994" s="99"/>
      <c r="H994" s="98"/>
      <c r="I994" s="100"/>
      <c r="J994" s="100"/>
      <c r="K994" s="100"/>
      <c r="L994" s="101"/>
      <c r="M994" s="101"/>
      <c r="N994" s="112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  <c r="AA994" s="101"/>
      <c r="AB994" s="101"/>
      <c r="AC994" s="101"/>
    </row>
    <row r="995" spans="1:29" ht="13">
      <c r="A995" s="115"/>
      <c r="B995" s="97"/>
      <c r="C995" s="115"/>
      <c r="D995" s="115"/>
      <c r="E995" s="115"/>
      <c r="F995" s="115"/>
      <c r="G995" s="99"/>
      <c r="H995" s="98"/>
      <c r="I995" s="100"/>
      <c r="J995" s="100"/>
      <c r="K995" s="100"/>
      <c r="L995" s="101"/>
      <c r="M995" s="101"/>
      <c r="N995" s="112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  <c r="AA995" s="101"/>
      <c r="AB995" s="101"/>
      <c r="AC995" s="101"/>
    </row>
    <row r="996" spans="1:29" ht="13">
      <c r="A996" s="115"/>
      <c r="B996" s="97"/>
      <c r="C996" s="115"/>
      <c r="D996" s="115"/>
      <c r="E996" s="115"/>
      <c r="F996" s="115"/>
      <c r="G996" s="99"/>
      <c r="H996" s="98"/>
      <c r="I996" s="100"/>
      <c r="J996" s="100"/>
      <c r="K996" s="100"/>
      <c r="L996" s="101"/>
      <c r="M996" s="101"/>
      <c r="N996" s="112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  <c r="AA996" s="101"/>
      <c r="AB996" s="101"/>
      <c r="AC996" s="101"/>
    </row>
    <row r="997" spans="1:29" ht="13">
      <c r="A997" s="115"/>
      <c r="B997" s="97"/>
      <c r="C997" s="115"/>
      <c r="D997" s="115"/>
      <c r="E997" s="115"/>
      <c r="F997" s="115"/>
      <c r="G997" s="99"/>
      <c r="H997" s="98"/>
      <c r="I997" s="100"/>
      <c r="J997" s="100"/>
      <c r="K997" s="100"/>
      <c r="L997" s="101"/>
      <c r="M997" s="101"/>
      <c r="N997" s="112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  <c r="AA997" s="101"/>
      <c r="AB997" s="101"/>
      <c r="AC997" s="101"/>
    </row>
    <row r="998" spans="1:29" ht="13">
      <c r="A998" s="115"/>
      <c r="B998" s="97"/>
      <c r="C998" s="115"/>
      <c r="D998" s="115"/>
      <c r="E998" s="115"/>
      <c r="F998" s="115"/>
      <c r="G998" s="99"/>
      <c r="H998" s="98"/>
      <c r="I998" s="100"/>
      <c r="J998" s="100"/>
      <c r="K998" s="100"/>
      <c r="L998" s="101"/>
      <c r="M998" s="101"/>
      <c r="N998" s="112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  <c r="AA998" s="101"/>
      <c r="AB998" s="101"/>
      <c r="AC998" s="101"/>
    </row>
    <row r="999" spans="1:29" ht="13">
      <c r="A999" s="115"/>
      <c r="B999" s="97"/>
      <c r="C999" s="115"/>
      <c r="D999" s="115"/>
      <c r="E999" s="115"/>
      <c r="F999" s="115"/>
      <c r="G999" s="99"/>
      <c r="H999" s="98"/>
      <c r="I999" s="100"/>
      <c r="J999" s="100"/>
      <c r="K999" s="100"/>
      <c r="L999" s="101"/>
      <c r="M999" s="101"/>
      <c r="N999" s="112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  <c r="AA999" s="101"/>
      <c r="AB999" s="101"/>
      <c r="AC999" s="101"/>
    </row>
    <row r="1000" spans="1:29" ht="13">
      <c r="A1000" s="115"/>
      <c r="B1000" s="97"/>
      <c r="C1000" s="115"/>
      <c r="D1000" s="115"/>
      <c r="E1000" s="115"/>
      <c r="F1000" s="115"/>
      <c r="G1000" s="99"/>
      <c r="H1000" s="98"/>
      <c r="I1000" s="100"/>
      <c r="J1000" s="100"/>
      <c r="K1000" s="100"/>
      <c r="L1000" s="101"/>
      <c r="M1000" s="101"/>
      <c r="N1000" s="112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  <c r="AA1000" s="101"/>
      <c r="AB1000" s="101"/>
      <c r="AC1000" s="101"/>
    </row>
    <row r="1001" spans="1:29" ht="13">
      <c r="A1001" s="115"/>
      <c r="B1001" s="97"/>
      <c r="C1001" s="115"/>
      <c r="D1001" s="115"/>
      <c r="E1001" s="115"/>
      <c r="F1001" s="115"/>
      <c r="G1001" s="99"/>
      <c r="H1001" s="98"/>
      <c r="I1001" s="100"/>
      <c r="J1001" s="100"/>
      <c r="K1001" s="100"/>
      <c r="L1001" s="101"/>
      <c r="M1001" s="101"/>
      <c r="N1001" s="112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1"/>
      <c r="Y1001" s="101"/>
      <c r="Z1001" s="101"/>
      <c r="AA1001" s="101"/>
      <c r="AB1001" s="101"/>
      <c r="AC1001" s="101"/>
    </row>
  </sheetData>
  <mergeCells count="1">
    <mergeCell ref="M1:N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E6B8AF"/>
    <outlinePr summaryBelow="0" summaryRight="0"/>
    <pageSetUpPr fitToPage="1"/>
  </sheetPr>
  <dimension ref="A1:W1001"/>
  <sheetViews>
    <sheetView workbookViewId="0">
      <pane ySplit="4" topLeftCell="A5" activePane="bottomLeft" state="frozen"/>
      <selection pane="bottomLeft" activeCell="B6" sqref="B6"/>
    </sheetView>
  </sheetViews>
  <sheetFormatPr defaultColWidth="14.453125" defaultRowHeight="15" customHeight="1"/>
  <cols>
    <col min="1" max="1" width="13.08984375" customWidth="1"/>
    <col min="2" max="2" width="11.81640625" customWidth="1"/>
    <col min="3" max="3" width="40.81640625" customWidth="1"/>
    <col min="4" max="4" width="30.26953125" customWidth="1"/>
    <col min="5" max="5" width="16.08984375" customWidth="1"/>
    <col min="6" max="6" width="16.54296875" customWidth="1"/>
    <col min="7" max="7" width="14.453125" customWidth="1"/>
    <col min="8" max="8" width="15.453125" customWidth="1"/>
    <col min="9" max="9" width="17.54296875" customWidth="1"/>
    <col min="10" max="23" width="14.453125" customWidth="1"/>
  </cols>
  <sheetData>
    <row r="1" spans="1:22" ht="15.75" customHeight="1">
      <c r="A1" s="17"/>
      <c r="B1" s="168" t="s">
        <v>1168</v>
      </c>
      <c r="C1" s="17" t="s">
        <v>1340</v>
      </c>
      <c r="D1" s="225"/>
      <c r="E1" s="231" t="s">
        <v>1341</v>
      </c>
      <c r="F1" s="219"/>
      <c r="G1" s="232"/>
      <c r="H1" s="233" t="s">
        <v>1342</v>
      </c>
    </row>
    <row r="2" spans="1:22" ht="15.75" customHeight="1">
      <c r="A2" s="17"/>
      <c r="B2" s="234" t="s">
        <v>1343</v>
      </c>
      <c r="C2" s="235"/>
      <c r="D2" s="225"/>
      <c r="E2" s="226"/>
      <c r="F2" s="219"/>
      <c r="G2" s="219"/>
      <c r="H2" s="219"/>
    </row>
    <row r="3" spans="1:22" ht="15.75" customHeight="1">
      <c r="A3" s="18" t="s">
        <v>1344</v>
      </c>
      <c r="C3" s="17"/>
      <c r="D3" s="225"/>
      <c r="E3" s="226"/>
      <c r="F3" s="219"/>
      <c r="G3" s="219"/>
      <c r="H3" s="219"/>
    </row>
    <row r="4" spans="1:22" ht="50.25" customHeight="1">
      <c r="A4" s="236" t="s">
        <v>1172</v>
      </c>
      <c r="B4" s="237" t="s">
        <v>1173</v>
      </c>
      <c r="C4" s="238" t="s">
        <v>109</v>
      </c>
      <c r="D4" s="236" t="s">
        <v>1175</v>
      </c>
      <c r="E4" s="237" t="s">
        <v>1176</v>
      </c>
      <c r="F4" s="237" t="s">
        <v>1177</v>
      </c>
      <c r="G4" s="237" t="s">
        <v>1178</v>
      </c>
      <c r="H4" s="237" t="s">
        <v>1345</v>
      </c>
      <c r="I4" s="236" t="s">
        <v>1180</v>
      </c>
      <c r="J4" s="237" t="s">
        <v>1181</v>
      </c>
      <c r="K4" s="237" t="s">
        <v>1182</v>
      </c>
      <c r="L4" s="237" t="s">
        <v>1346</v>
      </c>
      <c r="M4" s="237" t="s">
        <v>1347</v>
      </c>
      <c r="U4" s="223" t="s">
        <v>1348</v>
      </c>
      <c r="V4" s="223" t="s">
        <v>523</v>
      </c>
    </row>
    <row r="5" spans="1:22" ht="15.75" customHeight="1">
      <c r="A5" s="239" t="s">
        <v>1349</v>
      </c>
      <c r="B5" s="392">
        <v>200</v>
      </c>
      <c r="C5" s="241" t="s">
        <v>1350</v>
      </c>
      <c r="D5" s="242" t="s">
        <v>1351</v>
      </c>
      <c r="E5" s="243" t="s">
        <v>1352</v>
      </c>
      <c r="F5" s="392">
        <f>AVERAGE(E5:E8)</f>
        <v>49</v>
      </c>
      <c r="G5" s="395"/>
      <c r="H5" s="395"/>
      <c r="I5" s="239"/>
      <c r="J5" s="392"/>
      <c r="K5" s="399"/>
      <c r="L5" s="399">
        <f>J5-K5</f>
        <v>0</v>
      </c>
      <c r="M5" s="392">
        <f>L5*L5</f>
        <v>0</v>
      </c>
      <c r="N5" s="192"/>
      <c r="O5" s="192"/>
      <c r="P5" s="192"/>
      <c r="T5" s="223" t="e">
        <f t="shared" ref="T5:T30" si="0">RANK(N5,N$5:N$30,1)</f>
        <v>#N/A</v>
      </c>
      <c r="U5" s="223" t="e">
        <f t="shared" ref="U5:U30" si="1">O5-T5</f>
        <v>#N/A</v>
      </c>
      <c r="V5" s="223" t="e">
        <f t="shared" ref="V5:V30" si="2">U5^2</f>
        <v>#N/A</v>
      </c>
    </row>
    <row r="6" spans="1:22" ht="15.75" customHeight="1">
      <c r="A6" s="239" t="s">
        <v>1353</v>
      </c>
      <c r="B6" s="393"/>
      <c r="C6" s="241" t="s">
        <v>1354</v>
      </c>
      <c r="D6" s="244" t="s">
        <v>1355</v>
      </c>
      <c r="E6" s="243">
        <v>48</v>
      </c>
      <c r="F6" s="393"/>
      <c r="G6" s="393"/>
      <c r="H6" s="393"/>
      <c r="I6" s="239"/>
      <c r="J6" s="393"/>
      <c r="K6" s="393"/>
      <c r="L6" s="393"/>
      <c r="M6" s="393"/>
      <c r="N6" s="192"/>
      <c r="O6" s="192"/>
      <c r="P6" s="192"/>
      <c r="T6" s="223" t="e">
        <f t="shared" si="0"/>
        <v>#N/A</v>
      </c>
      <c r="U6" s="223" t="e">
        <f t="shared" si="1"/>
        <v>#N/A</v>
      </c>
      <c r="V6" s="223" t="e">
        <f t="shared" si="2"/>
        <v>#N/A</v>
      </c>
    </row>
    <row r="7" spans="1:22" ht="15.75" customHeight="1">
      <c r="A7" s="239" t="s">
        <v>1356</v>
      </c>
      <c r="B7" s="393"/>
      <c r="C7" s="245" t="s">
        <v>1357</v>
      </c>
      <c r="D7" s="244" t="s">
        <v>1358</v>
      </c>
      <c r="E7" s="243">
        <v>50</v>
      </c>
      <c r="F7" s="393"/>
      <c r="G7" s="393"/>
      <c r="H7" s="393"/>
      <c r="I7" s="246"/>
      <c r="J7" s="393"/>
      <c r="K7" s="393"/>
      <c r="L7" s="393"/>
      <c r="M7" s="393"/>
      <c r="N7" s="192"/>
      <c r="O7" s="192"/>
      <c r="P7" s="192"/>
      <c r="T7" s="223" t="e">
        <f t="shared" si="0"/>
        <v>#N/A</v>
      </c>
      <c r="U7" s="223" t="e">
        <f t="shared" si="1"/>
        <v>#N/A</v>
      </c>
      <c r="V7" s="223" t="e">
        <f t="shared" si="2"/>
        <v>#N/A</v>
      </c>
    </row>
    <row r="8" spans="1:22" ht="15.75" customHeight="1">
      <c r="A8" s="239" t="s">
        <v>1359</v>
      </c>
      <c r="B8" s="394"/>
      <c r="C8" s="245" t="s">
        <v>1357</v>
      </c>
      <c r="D8" s="244" t="s">
        <v>1360</v>
      </c>
      <c r="E8" s="247"/>
      <c r="F8" s="394"/>
      <c r="G8" s="394"/>
      <c r="H8" s="394"/>
      <c r="I8" s="246"/>
      <c r="J8" s="394"/>
      <c r="K8" s="394"/>
      <c r="L8" s="394"/>
      <c r="M8" s="394"/>
      <c r="N8" s="192"/>
      <c r="O8" s="192"/>
      <c r="P8" s="192"/>
      <c r="T8" s="223" t="e">
        <f t="shared" si="0"/>
        <v>#N/A</v>
      </c>
      <c r="U8" s="223" t="e">
        <f t="shared" si="1"/>
        <v>#N/A</v>
      </c>
      <c r="V8" s="223" t="e">
        <f t="shared" si="2"/>
        <v>#N/A</v>
      </c>
    </row>
    <row r="9" spans="1:22" ht="16.5" customHeight="1">
      <c r="A9" s="239" t="s">
        <v>1361</v>
      </c>
      <c r="B9" s="392">
        <v>400</v>
      </c>
      <c r="C9" s="248" t="s">
        <v>1362</v>
      </c>
      <c r="D9" s="242"/>
      <c r="E9" s="243" t="s">
        <v>1363</v>
      </c>
      <c r="F9" s="392">
        <f>AVERAGE(E9:E12)</f>
        <v>30</v>
      </c>
      <c r="G9" s="395"/>
      <c r="H9" s="395"/>
      <c r="I9" s="239"/>
      <c r="J9" s="392"/>
      <c r="K9" s="392"/>
      <c r="L9" s="392">
        <f>J9-K9</f>
        <v>0</v>
      </c>
      <c r="M9" s="392">
        <f>L9*L9</f>
        <v>0</v>
      </c>
      <c r="N9" s="192"/>
      <c r="O9" s="192"/>
      <c r="P9" s="192"/>
      <c r="T9" s="223" t="e">
        <f t="shared" si="0"/>
        <v>#N/A</v>
      </c>
      <c r="U9" s="223" t="e">
        <f t="shared" si="1"/>
        <v>#N/A</v>
      </c>
      <c r="V9" s="223" t="e">
        <f t="shared" si="2"/>
        <v>#N/A</v>
      </c>
    </row>
    <row r="10" spans="1:22" ht="15.75" customHeight="1">
      <c r="A10" s="239" t="s">
        <v>1364</v>
      </c>
      <c r="B10" s="393"/>
      <c r="C10" s="241" t="s">
        <v>1365</v>
      </c>
      <c r="D10" s="244" t="s">
        <v>1366</v>
      </c>
      <c r="E10" s="243">
        <v>30</v>
      </c>
      <c r="F10" s="393"/>
      <c r="G10" s="393"/>
      <c r="H10" s="393"/>
      <c r="I10" s="246"/>
      <c r="J10" s="393"/>
      <c r="K10" s="393"/>
      <c r="L10" s="393"/>
      <c r="M10" s="393"/>
      <c r="N10" s="192"/>
      <c r="O10" s="192"/>
      <c r="P10" s="192"/>
      <c r="T10" s="223" t="e">
        <f t="shared" si="0"/>
        <v>#N/A</v>
      </c>
      <c r="U10" s="223" t="e">
        <f t="shared" si="1"/>
        <v>#N/A</v>
      </c>
      <c r="V10" s="223" t="e">
        <f t="shared" si="2"/>
        <v>#N/A</v>
      </c>
    </row>
    <row r="11" spans="1:22" ht="15.75" customHeight="1">
      <c r="A11" s="239" t="s">
        <v>1367</v>
      </c>
      <c r="B11" s="393"/>
      <c r="C11" s="241" t="s">
        <v>1368</v>
      </c>
      <c r="D11" s="249"/>
      <c r="E11" s="243" t="s">
        <v>1363</v>
      </c>
      <c r="F11" s="393"/>
      <c r="G11" s="393"/>
      <c r="H11" s="393"/>
      <c r="I11" s="246"/>
      <c r="J11" s="393"/>
      <c r="K11" s="393"/>
      <c r="L11" s="393"/>
      <c r="M11" s="393"/>
      <c r="N11" s="192"/>
      <c r="O11" s="192"/>
      <c r="P11" s="192"/>
      <c r="T11" s="223" t="e">
        <f t="shared" si="0"/>
        <v>#N/A</v>
      </c>
      <c r="U11" s="223" t="e">
        <f t="shared" si="1"/>
        <v>#N/A</v>
      </c>
      <c r="V11" s="223" t="e">
        <f t="shared" si="2"/>
        <v>#N/A</v>
      </c>
    </row>
    <row r="12" spans="1:22" ht="15.75" customHeight="1">
      <c r="A12" s="239" t="s">
        <v>1369</v>
      </c>
      <c r="B12" s="394"/>
      <c r="C12" s="250" t="s">
        <v>1370</v>
      </c>
      <c r="D12" s="251" t="s">
        <v>1371</v>
      </c>
      <c r="E12" s="243">
        <v>30</v>
      </c>
      <c r="F12" s="394"/>
      <c r="G12" s="393"/>
      <c r="H12" s="393"/>
      <c r="I12" s="246"/>
      <c r="J12" s="394"/>
      <c r="K12" s="394"/>
      <c r="L12" s="394"/>
      <c r="M12" s="394"/>
      <c r="N12" s="192"/>
      <c r="O12" s="192"/>
      <c r="P12" s="192"/>
      <c r="T12" s="223" t="e">
        <f t="shared" si="0"/>
        <v>#N/A</v>
      </c>
      <c r="U12" s="223" t="e">
        <f t="shared" si="1"/>
        <v>#N/A</v>
      </c>
      <c r="V12" s="223" t="e">
        <f t="shared" si="2"/>
        <v>#N/A</v>
      </c>
    </row>
    <row r="13" spans="1:22" ht="15.75" customHeight="1">
      <c r="A13" s="239" t="s">
        <v>1372</v>
      </c>
      <c r="B13" s="392">
        <v>600</v>
      </c>
      <c r="C13" s="241" t="s">
        <v>1373</v>
      </c>
      <c r="D13" s="252" t="s">
        <v>1374</v>
      </c>
      <c r="E13" s="243">
        <v>29</v>
      </c>
      <c r="F13" s="392">
        <f>AVERAGE(E13:E16)</f>
        <v>21.75</v>
      </c>
      <c r="G13" s="395"/>
      <c r="H13" s="395"/>
      <c r="I13" s="246"/>
      <c r="J13" s="392"/>
      <c r="K13" s="392"/>
      <c r="L13" s="392">
        <f>J13-K13</f>
        <v>0</v>
      </c>
      <c r="M13" s="392">
        <f>L13*L13</f>
        <v>0</v>
      </c>
      <c r="T13" s="223" t="e">
        <f t="shared" si="0"/>
        <v>#N/A</v>
      </c>
      <c r="U13" s="223" t="e">
        <f t="shared" si="1"/>
        <v>#N/A</v>
      </c>
      <c r="V13" s="223" t="e">
        <f t="shared" si="2"/>
        <v>#N/A</v>
      </c>
    </row>
    <row r="14" spans="1:22" ht="15.75" customHeight="1">
      <c r="A14" s="239" t="s">
        <v>1375</v>
      </c>
      <c r="B14" s="393"/>
      <c r="C14" s="253" t="s">
        <v>1376</v>
      </c>
      <c r="D14" s="254" t="s">
        <v>1377</v>
      </c>
      <c r="E14" s="243">
        <v>26</v>
      </c>
      <c r="F14" s="393"/>
      <c r="G14" s="393"/>
      <c r="H14" s="393"/>
      <c r="I14" s="246"/>
      <c r="J14" s="393"/>
      <c r="K14" s="393"/>
      <c r="L14" s="393"/>
      <c r="M14" s="393"/>
      <c r="T14" s="223" t="e">
        <f t="shared" si="0"/>
        <v>#N/A</v>
      </c>
      <c r="U14" s="223" t="e">
        <f t="shared" si="1"/>
        <v>#N/A</v>
      </c>
      <c r="V14" s="223" t="e">
        <f t="shared" si="2"/>
        <v>#N/A</v>
      </c>
    </row>
    <row r="15" spans="1:22" ht="15.75" customHeight="1">
      <c r="A15" s="239" t="s">
        <v>1378</v>
      </c>
      <c r="B15" s="393"/>
      <c r="C15" s="241" t="s">
        <v>1379</v>
      </c>
      <c r="D15" s="255" t="s">
        <v>1380</v>
      </c>
      <c r="E15" s="243">
        <v>15</v>
      </c>
      <c r="F15" s="393"/>
      <c r="G15" s="393"/>
      <c r="H15" s="393"/>
      <c r="I15" s="246"/>
      <c r="J15" s="393"/>
      <c r="K15" s="393"/>
      <c r="L15" s="393"/>
      <c r="M15" s="393"/>
      <c r="T15" s="223" t="e">
        <f t="shared" si="0"/>
        <v>#N/A</v>
      </c>
      <c r="U15" s="223" t="e">
        <f t="shared" si="1"/>
        <v>#N/A</v>
      </c>
      <c r="V15" s="223" t="e">
        <f t="shared" si="2"/>
        <v>#N/A</v>
      </c>
    </row>
    <row r="16" spans="1:22" ht="15.75" customHeight="1">
      <c r="A16" s="239" t="s">
        <v>1381</v>
      </c>
      <c r="B16" s="394"/>
      <c r="C16" s="241" t="s">
        <v>1373</v>
      </c>
      <c r="D16" s="244" t="s">
        <v>1382</v>
      </c>
      <c r="E16" s="256">
        <v>17</v>
      </c>
      <c r="F16" s="394"/>
      <c r="G16" s="394"/>
      <c r="H16" s="394"/>
      <c r="I16" s="246"/>
      <c r="J16" s="394"/>
      <c r="K16" s="394"/>
      <c r="L16" s="394"/>
      <c r="M16" s="394"/>
      <c r="T16" s="223" t="e">
        <f t="shared" si="0"/>
        <v>#N/A</v>
      </c>
      <c r="U16" s="223" t="e">
        <f t="shared" si="1"/>
        <v>#N/A</v>
      </c>
      <c r="V16" s="223" t="e">
        <f t="shared" si="2"/>
        <v>#N/A</v>
      </c>
    </row>
    <row r="17" spans="1:23" ht="15.75" customHeight="1">
      <c r="A17" s="239" t="s">
        <v>1383</v>
      </c>
      <c r="B17" s="392">
        <v>800</v>
      </c>
      <c r="C17" s="253" t="s">
        <v>1384</v>
      </c>
      <c r="D17" s="257" t="s">
        <v>1385</v>
      </c>
      <c r="E17" s="243" t="s">
        <v>1386</v>
      </c>
      <c r="F17" s="392">
        <f>AVERAGE(E17:E20)</f>
        <v>21</v>
      </c>
      <c r="G17" s="395"/>
      <c r="H17" s="395"/>
      <c r="I17" s="246"/>
      <c r="J17" s="392"/>
      <c r="K17" s="392"/>
      <c r="L17" s="392">
        <f>J17-K17</f>
        <v>0</v>
      </c>
      <c r="M17" s="392">
        <f>L17*L17</f>
        <v>0</v>
      </c>
      <c r="T17" s="223" t="e">
        <f t="shared" si="0"/>
        <v>#N/A</v>
      </c>
      <c r="U17" s="223" t="e">
        <f t="shared" si="1"/>
        <v>#N/A</v>
      </c>
      <c r="V17" s="223" t="e">
        <f t="shared" si="2"/>
        <v>#N/A</v>
      </c>
    </row>
    <row r="18" spans="1:23" ht="15.75" customHeight="1">
      <c r="A18" s="239" t="s">
        <v>1387</v>
      </c>
      <c r="B18" s="393"/>
      <c r="C18" s="258" t="s">
        <v>1388</v>
      </c>
      <c r="D18" s="244" t="s">
        <v>1389</v>
      </c>
      <c r="E18" s="243" t="s">
        <v>1390</v>
      </c>
      <c r="F18" s="393"/>
      <c r="G18" s="393"/>
      <c r="H18" s="393"/>
      <c r="I18" s="246"/>
      <c r="J18" s="393"/>
      <c r="K18" s="393"/>
      <c r="L18" s="393"/>
      <c r="M18" s="393"/>
      <c r="T18" s="223" t="e">
        <f t="shared" si="0"/>
        <v>#N/A</v>
      </c>
      <c r="U18" s="223" t="e">
        <f t="shared" si="1"/>
        <v>#N/A</v>
      </c>
      <c r="V18" s="223" t="e">
        <f t="shared" si="2"/>
        <v>#N/A</v>
      </c>
    </row>
    <row r="19" spans="1:23" ht="15.75" customHeight="1">
      <c r="A19" s="239" t="s">
        <v>1391</v>
      </c>
      <c r="B19" s="393"/>
      <c r="C19" s="253" t="s">
        <v>1392</v>
      </c>
      <c r="D19" s="255" t="s">
        <v>1393</v>
      </c>
      <c r="E19" s="243">
        <v>26</v>
      </c>
      <c r="F19" s="393"/>
      <c r="G19" s="393"/>
      <c r="H19" s="393"/>
      <c r="I19" s="239"/>
      <c r="J19" s="393"/>
      <c r="K19" s="393"/>
      <c r="L19" s="393"/>
      <c r="M19" s="393"/>
      <c r="T19" s="223" t="e">
        <f t="shared" si="0"/>
        <v>#N/A</v>
      </c>
      <c r="U19" s="223" t="e">
        <f t="shared" si="1"/>
        <v>#N/A</v>
      </c>
      <c r="V19" s="223" t="e">
        <f t="shared" si="2"/>
        <v>#N/A</v>
      </c>
    </row>
    <row r="20" spans="1:23" ht="15.75" customHeight="1">
      <c r="A20" s="239" t="s">
        <v>1394</v>
      </c>
      <c r="B20" s="394"/>
      <c r="C20" s="241" t="s">
        <v>1395</v>
      </c>
      <c r="D20" s="257" t="s">
        <v>1396</v>
      </c>
      <c r="E20" s="243">
        <v>16</v>
      </c>
      <c r="F20" s="394"/>
      <c r="G20" s="393"/>
      <c r="H20" s="393"/>
      <c r="I20" s="246"/>
      <c r="J20" s="394"/>
      <c r="K20" s="394"/>
      <c r="L20" s="394"/>
      <c r="M20" s="394"/>
      <c r="T20" s="223" t="e">
        <f t="shared" si="0"/>
        <v>#N/A</v>
      </c>
      <c r="U20" s="223" t="e">
        <f t="shared" si="1"/>
        <v>#N/A</v>
      </c>
      <c r="V20" s="223" t="e">
        <f t="shared" si="2"/>
        <v>#N/A</v>
      </c>
    </row>
    <row r="21" spans="1:23" ht="15.75" customHeight="1">
      <c r="A21" s="239" t="s">
        <v>1397</v>
      </c>
      <c r="B21" s="392">
        <v>1000</v>
      </c>
      <c r="C21" s="258" t="s">
        <v>1398</v>
      </c>
      <c r="D21" s="244" t="s">
        <v>1399</v>
      </c>
      <c r="E21" s="243">
        <v>29</v>
      </c>
      <c r="F21" s="392">
        <f>AVERAGE(E21:E24)</f>
        <v>23.666666666666668</v>
      </c>
      <c r="G21" s="395"/>
      <c r="H21" s="395"/>
      <c r="I21" s="246"/>
      <c r="J21" s="392"/>
      <c r="K21" s="392"/>
      <c r="L21" s="392">
        <f>J21-K21</f>
        <v>0</v>
      </c>
      <c r="M21" s="392">
        <f>L21*L21</f>
        <v>0</v>
      </c>
      <c r="T21" s="223" t="e">
        <f t="shared" si="0"/>
        <v>#N/A</v>
      </c>
      <c r="U21" s="223" t="e">
        <f t="shared" si="1"/>
        <v>#N/A</v>
      </c>
      <c r="V21" s="223" t="e">
        <f t="shared" si="2"/>
        <v>#N/A</v>
      </c>
    </row>
    <row r="22" spans="1:23" ht="15.75" customHeight="1">
      <c r="A22" s="239" t="s">
        <v>1400</v>
      </c>
      <c r="B22" s="393"/>
      <c r="C22" s="253" t="s">
        <v>1401</v>
      </c>
      <c r="D22" s="259"/>
      <c r="E22" s="243" t="s">
        <v>1402</v>
      </c>
      <c r="F22" s="393"/>
      <c r="G22" s="393"/>
      <c r="H22" s="393"/>
      <c r="I22" s="246"/>
      <c r="J22" s="393"/>
      <c r="K22" s="393"/>
      <c r="L22" s="393"/>
      <c r="M22" s="393"/>
      <c r="T22" s="223" t="e">
        <f t="shared" si="0"/>
        <v>#N/A</v>
      </c>
      <c r="U22" s="223" t="e">
        <f t="shared" si="1"/>
        <v>#N/A</v>
      </c>
      <c r="V22" s="223" t="e">
        <f t="shared" si="2"/>
        <v>#N/A</v>
      </c>
    </row>
    <row r="23" spans="1:23" ht="15.75" customHeight="1">
      <c r="A23" s="239" t="s">
        <v>1403</v>
      </c>
      <c r="B23" s="393"/>
      <c r="C23" s="253" t="s">
        <v>1404</v>
      </c>
      <c r="D23" s="244" t="s">
        <v>1405</v>
      </c>
      <c r="E23" s="243">
        <v>14</v>
      </c>
      <c r="F23" s="393"/>
      <c r="G23" s="393"/>
      <c r="H23" s="393"/>
      <c r="I23" s="246"/>
      <c r="J23" s="393"/>
      <c r="K23" s="393"/>
      <c r="L23" s="393"/>
      <c r="M23" s="393"/>
      <c r="T23" s="223" t="e">
        <f t="shared" si="0"/>
        <v>#N/A</v>
      </c>
      <c r="U23" s="223" t="e">
        <f t="shared" si="1"/>
        <v>#N/A</v>
      </c>
      <c r="V23" s="223" t="e">
        <f t="shared" si="2"/>
        <v>#N/A</v>
      </c>
    </row>
    <row r="24" spans="1:23" ht="16.5" customHeight="1">
      <c r="A24" s="239" t="s">
        <v>1406</v>
      </c>
      <c r="B24" s="394"/>
      <c r="C24" s="258" t="s">
        <v>1388</v>
      </c>
      <c r="D24" s="244" t="s">
        <v>1407</v>
      </c>
      <c r="E24" s="243">
        <v>28</v>
      </c>
      <c r="F24" s="394"/>
      <c r="G24" s="394"/>
      <c r="H24" s="394"/>
      <c r="I24" s="246"/>
      <c r="J24" s="394"/>
      <c r="K24" s="394"/>
      <c r="L24" s="394"/>
      <c r="M24" s="394"/>
      <c r="T24" s="223" t="e">
        <f t="shared" si="0"/>
        <v>#N/A</v>
      </c>
      <c r="U24" s="223" t="e">
        <f t="shared" si="1"/>
        <v>#N/A</v>
      </c>
      <c r="V24" s="223" t="e">
        <f t="shared" si="2"/>
        <v>#N/A</v>
      </c>
    </row>
    <row r="25" spans="1:23" ht="13.5" customHeight="1">
      <c r="A25" s="239" t="s">
        <v>1408</v>
      </c>
      <c r="B25" s="392">
        <v>1200</v>
      </c>
      <c r="C25" s="260" t="s">
        <v>1409</v>
      </c>
      <c r="D25" s="261" t="s">
        <v>1410</v>
      </c>
      <c r="E25" s="243">
        <v>15</v>
      </c>
      <c r="F25" s="392">
        <f>AVERAGE(E25:E28)</f>
        <v>20.5</v>
      </c>
      <c r="G25" s="395"/>
      <c r="H25" s="395"/>
      <c r="I25" s="246"/>
      <c r="J25" s="392"/>
      <c r="K25" s="392"/>
      <c r="L25" s="392">
        <f>J25-K25</f>
        <v>0</v>
      </c>
      <c r="M25" s="392">
        <f>L25*L25</f>
        <v>0</v>
      </c>
      <c r="T25" s="223" t="e">
        <f t="shared" si="0"/>
        <v>#N/A</v>
      </c>
      <c r="U25" s="223" t="e">
        <f t="shared" si="1"/>
        <v>#N/A</v>
      </c>
      <c r="V25" s="223" t="e">
        <f t="shared" si="2"/>
        <v>#N/A</v>
      </c>
    </row>
    <row r="26" spans="1:23" ht="15.75" customHeight="1">
      <c r="A26" s="239" t="s">
        <v>1411</v>
      </c>
      <c r="B26" s="393"/>
      <c r="C26" s="253" t="s">
        <v>1412</v>
      </c>
      <c r="D26" s="257" t="s">
        <v>1413</v>
      </c>
      <c r="E26" s="243">
        <v>21</v>
      </c>
      <c r="F26" s="393"/>
      <c r="G26" s="393"/>
      <c r="H26" s="393"/>
      <c r="I26" s="246"/>
      <c r="J26" s="393"/>
      <c r="K26" s="393"/>
      <c r="L26" s="393"/>
      <c r="M26" s="393"/>
      <c r="T26" s="223" t="e">
        <f t="shared" si="0"/>
        <v>#N/A</v>
      </c>
      <c r="U26" s="223" t="e">
        <f t="shared" si="1"/>
        <v>#N/A</v>
      </c>
      <c r="V26" s="223" t="e">
        <f t="shared" si="2"/>
        <v>#N/A</v>
      </c>
    </row>
    <row r="27" spans="1:23" ht="15.75" customHeight="1">
      <c r="A27" s="239" t="s">
        <v>1414</v>
      </c>
      <c r="B27" s="393"/>
      <c r="C27" s="262" t="s">
        <v>1415</v>
      </c>
      <c r="D27" s="251" t="s">
        <v>1416</v>
      </c>
      <c r="E27" s="243">
        <v>26</v>
      </c>
      <c r="F27" s="393"/>
      <c r="G27" s="393"/>
      <c r="H27" s="393"/>
      <c r="I27" s="246"/>
      <c r="J27" s="393"/>
      <c r="K27" s="393"/>
      <c r="L27" s="393"/>
      <c r="M27" s="393"/>
      <c r="T27" s="223" t="e">
        <f t="shared" si="0"/>
        <v>#N/A</v>
      </c>
      <c r="U27" s="223" t="e">
        <f t="shared" si="1"/>
        <v>#N/A</v>
      </c>
      <c r="V27" s="223" t="e">
        <f t="shared" si="2"/>
        <v>#N/A</v>
      </c>
    </row>
    <row r="28" spans="1:23" ht="15.75" customHeight="1">
      <c r="A28" s="239" t="s">
        <v>1417</v>
      </c>
      <c r="B28" s="394"/>
      <c r="C28" s="263" t="s">
        <v>1398</v>
      </c>
      <c r="D28" s="255" t="s">
        <v>1418</v>
      </c>
      <c r="E28" s="243">
        <v>20</v>
      </c>
      <c r="F28" s="394"/>
      <c r="G28" s="394"/>
      <c r="H28" s="394"/>
      <c r="I28" s="246"/>
      <c r="J28" s="394"/>
      <c r="K28" s="394"/>
      <c r="L28" s="394"/>
      <c r="M28" s="394"/>
      <c r="T28" s="223" t="e">
        <f t="shared" si="0"/>
        <v>#N/A</v>
      </c>
      <c r="U28" s="223" t="e">
        <f t="shared" si="1"/>
        <v>#N/A</v>
      </c>
      <c r="V28" s="223" t="e">
        <f t="shared" si="2"/>
        <v>#N/A</v>
      </c>
    </row>
    <row r="29" spans="1:23" ht="15.75" customHeight="1">
      <c r="A29" s="239" t="s">
        <v>1419</v>
      </c>
      <c r="B29" s="392">
        <v>1400</v>
      </c>
      <c r="C29" s="258" t="s">
        <v>1420</v>
      </c>
      <c r="D29" s="244" t="s">
        <v>1421</v>
      </c>
      <c r="E29" s="243">
        <v>21</v>
      </c>
      <c r="F29" s="392">
        <f>AVERAGE(E29:E32)</f>
        <v>11.5</v>
      </c>
      <c r="G29" s="395"/>
      <c r="H29" s="395"/>
      <c r="I29" s="239"/>
      <c r="J29" s="392"/>
      <c r="K29" s="392"/>
      <c r="L29" s="392">
        <f>J29-K29</f>
        <v>0</v>
      </c>
      <c r="M29" s="392">
        <f>L29*L29</f>
        <v>0</v>
      </c>
      <c r="T29" s="223" t="e">
        <f t="shared" si="0"/>
        <v>#N/A</v>
      </c>
      <c r="U29" s="223" t="e">
        <f t="shared" si="1"/>
        <v>#N/A</v>
      </c>
      <c r="V29" s="223" t="e">
        <f t="shared" si="2"/>
        <v>#N/A</v>
      </c>
    </row>
    <row r="30" spans="1:23" ht="15.75" customHeight="1">
      <c r="A30" s="239" t="s">
        <v>1422</v>
      </c>
      <c r="B30" s="393"/>
      <c r="C30" s="253" t="s">
        <v>1423</v>
      </c>
      <c r="D30" s="244" t="s">
        <v>1424</v>
      </c>
      <c r="E30" s="243" t="s">
        <v>1425</v>
      </c>
      <c r="F30" s="393"/>
      <c r="G30" s="393"/>
      <c r="H30" s="393"/>
      <c r="I30" s="239"/>
      <c r="J30" s="393"/>
      <c r="K30" s="393"/>
      <c r="L30" s="393"/>
      <c r="M30" s="393"/>
      <c r="T30" s="223" t="e">
        <f t="shared" si="0"/>
        <v>#N/A</v>
      </c>
      <c r="U30" s="223" t="e">
        <f t="shared" si="1"/>
        <v>#N/A</v>
      </c>
      <c r="V30" s="223" t="e">
        <f t="shared" si="2"/>
        <v>#N/A</v>
      </c>
    </row>
    <row r="31" spans="1:23" ht="15.75" customHeight="1">
      <c r="A31" s="239" t="s">
        <v>1426</v>
      </c>
      <c r="B31" s="393"/>
      <c r="C31" s="241" t="s">
        <v>1427</v>
      </c>
      <c r="D31" s="264" t="s">
        <v>1428</v>
      </c>
      <c r="E31" s="243" t="s">
        <v>1352</v>
      </c>
      <c r="F31" s="393"/>
      <c r="G31" s="393"/>
      <c r="H31" s="393"/>
      <c r="I31" s="246"/>
      <c r="J31" s="393"/>
      <c r="K31" s="393"/>
      <c r="L31" s="393"/>
      <c r="M31" s="393"/>
      <c r="V31" s="223" t="e">
        <f>SUM(V5:V30)</f>
        <v>#N/A</v>
      </c>
      <c r="W31" s="223" t="s">
        <v>1429</v>
      </c>
    </row>
    <row r="32" spans="1:23" ht="15.75" customHeight="1">
      <c r="A32" s="239" t="s">
        <v>1430</v>
      </c>
      <c r="B32" s="394"/>
      <c r="C32" s="253" t="s">
        <v>1431</v>
      </c>
      <c r="D32" s="244" t="s">
        <v>1432</v>
      </c>
      <c r="E32" s="243">
        <v>2</v>
      </c>
      <c r="F32" s="394"/>
      <c r="G32" s="394"/>
      <c r="H32" s="394"/>
      <c r="I32" s="246"/>
      <c r="J32" s="394"/>
      <c r="K32" s="394"/>
      <c r="L32" s="394"/>
      <c r="M32" s="394"/>
      <c r="U32" s="223" t="s">
        <v>1433</v>
      </c>
      <c r="V32" s="223" t="e">
        <f>SUM(V5:V30)</f>
        <v>#N/A</v>
      </c>
    </row>
    <row r="33" spans="1:22" ht="15.75" customHeight="1">
      <c r="A33" s="239" t="s">
        <v>1434</v>
      </c>
      <c r="B33" s="392">
        <v>1600</v>
      </c>
      <c r="C33" s="253" t="s">
        <v>1435</v>
      </c>
      <c r="D33" s="265"/>
      <c r="E33" s="266" t="s">
        <v>1436</v>
      </c>
      <c r="F33" s="392">
        <f>AVERAGE(E33:E36)</f>
        <v>22.5</v>
      </c>
      <c r="G33" s="395"/>
      <c r="H33" s="395"/>
      <c r="I33" s="239"/>
      <c r="J33" s="392"/>
      <c r="K33" s="392"/>
      <c r="L33" s="392">
        <f>J33-K33</f>
        <v>0</v>
      </c>
      <c r="M33" s="392">
        <f>L33*L33</f>
        <v>0</v>
      </c>
      <c r="U33" s="223" t="s">
        <v>1437</v>
      </c>
      <c r="V33" s="267" t="e">
        <f>1-(6*V32/(26^3-26))</f>
        <v>#N/A</v>
      </c>
    </row>
    <row r="34" spans="1:22" ht="15.75" customHeight="1">
      <c r="A34" s="239" t="s">
        <v>1438</v>
      </c>
      <c r="B34" s="393"/>
      <c r="C34" s="241" t="s">
        <v>1439</v>
      </c>
      <c r="D34" s="244" t="s">
        <v>1440</v>
      </c>
      <c r="E34" s="243">
        <v>23</v>
      </c>
      <c r="F34" s="393"/>
      <c r="G34" s="393"/>
      <c r="H34" s="393"/>
      <c r="I34" s="239"/>
      <c r="J34" s="393"/>
      <c r="K34" s="393"/>
      <c r="L34" s="393"/>
      <c r="M34" s="393"/>
    </row>
    <row r="35" spans="1:22" ht="15.75" customHeight="1">
      <c r="A35" s="239" t="s">
        <v>1441</v>
      </c>
      <c r="B35" s="393"/>
      <c r="C35" s="253" t="s">
        <v>1442</v>
      </c>
      <c r="D35" s="244" t="s">
        <v>1443</v>
      </c>
      <c r="E35" s="243">
        <v>22</v>
      </c>
      <c r="F35" s="393"/>
      <c r="G35" s="393"/>
      <c r="H35" s="393"/>
      <c r="I35" s="239"/>
      <c r="J35" s="393"/>
      <c r="K35" s="393"/>
      <c r="L35" s="393"/>
      <c r="M35" s="393"/>
    </row>
    <row r="36" spans="1:22" ht="15.75" customHeight="1">
      <c r="A36" s="239" t="s">
        <v>1444</v>
      </c>
      <c r="B36" s="394"/>
      <c r="C36" s="253" t="s">
        <v>1445</v>
      </c>
      <c r="D36" s="268"/>
      <c r="E36" s="243" t="s">
        <v>1436</v>
      </c>
      <c r="F36" s="394"/>
      <c r="G36" s="394"/>
      <c r="H36" s="394"/>
      <c r="I36" s="239"/>
      <c r="J36" s="394"/>
      <c r="K36" s="394"/>
      <c r="L36" s="394"/>
      <c r="M36" s="394"/>
    </row>
    <row r="37" spans="1:22" ht="15.75" customHeight="1">
      <c r="A37" s="239" t="s">
        <v>1446</v>
      </c>
      <c r="B37" s="392">
        <v>1800</v>
      </c>
      <c r="C37" s="250" t="s">
        <v>1447</v>
      </c>
      <c r="D37" s="254" t="s">
        <v>1448</v>
      </c>
      <c r="E37" s="243">
        <v>25</v>
      </c>
      <c r="F37" s="392">
        <f>AVERAGE(E37:E40)</f>
        <v>19.25</v>
      </c>
      <c r="G37" s="395"/>
      <c r="H37" s="395"/>
      <c r="I37" s="239"/>
      <c r="J37" s="392"/>
      <c r="K37" s="392"/>
      <c r="L37" s="392">
        <f>J37-K37</f>
        <v>0</v>
      </c>
      <c r="M37" s="392">
        <f>L37*L37</f>
        <v>0</v>
      </c>
    </row>
    <row r="38" spans="1:22" ht="15.75" customHeight="1">
      <c r="A38" s="239" t="s">
        <v>1449</v>
      </c>
      <c r="B38" s="393"/>
      <c r="C38" s="253" t="s">
        <v>1450</v>
      </c>
      <c r="D38" s="254" t="s">
        <v>1451</v>
      </c>
      <c r="E38" s="243">
        <v>15</v>
      </c>
      <c r="F38" s="393"/>
      <c r="G38" s="393"/>
      <c r="H38" s="393"/>
      <c r="I38" s="269"/>
      <c r="J38" s="393"/>
      <c r="K38" s="393"/>
      <c r="L38" s="393"/>
      <c r="M38" s="393"/>
    </row>
    <row r="39" spans="1:22" ht="15.75" customHeight="1">
      <c r="A39" s="239" t="s">
        <v>1452</v>
      </c>
      <c r="B39" s="393"/>
      <c r="C39" s="253" t="s">
        <v>1453</v>
      </c>
      <c r="D39" s="244" t="s">
        <v>1454</v>
      </c>
      <c r="E39" s="243">
        <v>21</v>
      </c>
      <c r="F39" s="393"/>
      <c r="G39" s="393"/>
      <c r="H39" s="393"/>
      <c r="I39" s="239"/>
      <c r="J39" s="393"/>
      <c r="K39" s="393"/>
      <c r="L39" s="393"/>
      <c r="M39" s="393"/>
    </row>
    <row r="40" spans="1:22" ht="15.75" customHeight="1">
      <c r="A40" s="239" t="s">
        <v>1455</v>
      </c>
      <c r="B40" s="394"/>
      <c r="C40" s="250" t="s">
        <v>1456</v>
      </c>
      <c r="D40" s="244" t="s">
        <v>1457</v>
      </c>
      <c r="E40" s="243">
        <v>16</v>
      </c>
      <c r="F40" s="394"/>
      <c r="G40" s="394"/>
      <c r="H40" s="394"/>
      <c r="I40" s="239"/>
      <c r="J40" s="394"/>
      <c r="K40" s="394"/>
      <c r="L40" s="394"/>
      <c r="M40" s="394"/>
    </row>
    <row r="41" spans="1:22" ht="15.75" customHeight="1">
      <c r="A41" s="239" t="s">
        <v>1458</v>
      </c>
      <c r="B41" s="392">
        <v>2000</v>
      </c>
      <c r="C41" s="250" t="s">
        <v>1459</v>
      </c>
      <c r="D41" s="257" t="s">
        <v>1460</v>
      </c>
      <c r="E41" s="243">
        <v>10</v>
      </c>
      <c r="F41" s="392">
        <f>AVERAGE(E41:E44)</f>
        <v>18</v>
      </c>
      <c r="G41" s="395"/>
      <c r="H41" s="395"/>
      <c r="I41" s="239"/>
      <c r="J41" s="392"/>
      <c r="K41" s="392"/>
      <c r="L41" s="392">
        <f>J41-K41</f>
        <v>0</v>
      </c>
      <c r="M41" s="392">
        <f>L41*L41</f>
        <v>0</v>
      </c>
    </row>
    <row r="42" spans="1:22" ht="15.75" customHeight="1">
      <c r="A42" s="239" t="s">
        <v>1461</v>
      </c>
      <c r="B42" s="393"/>
      <c r="C42" s="258" t="s">
        <v>1462</v>
      </c>
      <c r="D42" s="270" t="s">
        <v>1463</v>
      </c>
      <c r="E42" s="243">
        <v>9</v>
      </c>
      <c r="F42" s="393"/>
      <c r="G42" s="393"/>
      <c r="H42" s="393"/>
      <c r="I42" s="269"/>
      <c r="J42" s="393"/>
      <c r="K42" s="393"/>
      <c r="L42" s="393"/>
      <c r="M42" s="393"/>
    </row>
    <row r="43" spans="1:22" ht="15.75" customHeight="1">
      <c r="A43" s="239" t="s">
        <v>1464</v>
      </c>
      <c r="B43" s="393"/>
      <c r="C43" s="271" t="s">
        <v>1462</v>
      </c>
      <c r="D43" s="244" t="s">
        <v>1465</v>
      </c>
      <c r="E43" s="243">
        <v>29</v>
      </c>
      <c r="F43" s="393"/>
      <c r="G43" s="393"/>
      <c r="H43" s="393"/>
      <c r="I43" s="239"/>
      <c r="J43" s="393"/>
      <c r="K43" s="393"/>
      <c r="L43" s="393"/>
      <c r="M43" s="393"/>
    </row>
    <row r="44" spans="1:22" ht="15.75" customHeight="1">
      <c r="A44" s="239" t="s">
        <v>1466</v>
      </c>
      <c r="B44" s="394"/>
      <c r="C44" s="250" t="s">
        <v>1459</v>
      </c>
      <c r="D44" s="244" t="s">
        <v>1467</v>
      </c>
      <c r="E44" s="243">
        <v>24</v>
      </c>
      <c r="F44" s="394"/>
      <c r="G44" s="394"/>
      <c r="H44" s="394"/>
      <c r="I44" s="239"/>
      <c r="J44" s="394"/>
      <c r="K44" s="394"/>
      <c r="L44" s="394"/>
      <c r="M44" s="394"/>
    </row>
    <row r="45" spans="1:22" ht="15.75" customHeight="1">
      <c r="A45" s="239" t="s">
        <v>1468</v>
      </c>
      <c r="B45" s="392">
        <v>2200</v>
      </c>
      <c r="C45" s="250" t="s">
        <v>1469</v>
      </c>
      <c r="D45" s="244" t="s">
        <v>1470</v>
      </c>
      <c r="E45" s="243">
        <v>15</v>
      </c>
      <c r="F45" s="392">
        <f>AVERAGE(E45:E48)</f>
        <v>12.75</v>
      </c>
      <c r="G45" s="395"/>
      <c r="H45" s="395"/>
      <c r="I45" s="239"/>
      <c r="J45" s="392"/>
      <c r="K45" s="392"/>
      <c r="L45" s="392">
        <f>J45-K45</f>
        <v>0</v>
      </c>
      <c r="M45" s="392">
        <f>L45*L45</f>
        <v>0</v>
      </c>
    </row>
    <row r="46" spans="1:22" ht="15.75" customHeight="1">
      <c r="A46" s="239" t="s">
        <v>1471</v>
      </c>
      <c r="B46" s="393"/>
      <c r="C46" s="250" t="s">
        <v>1472</v>
      </c>
      <c r="D46" s="244" t="s">
        <v>1473</v>
      </c>
      <c r="E46" s="243">
        <v>14</v>
      </c>
      <c r="F46" s="393"/>
      <c r="G46" s="393"/>
      <c r="H46" s="393"/>
      <c r="I46" s="239"/>
      <c r="J46" s="393"/>
      <c r="K46" s="393"/>
      <c r="L46" s="393"/>
      <c r="M46" s="393"/>
    </row>
    <row r="47" spans="1:22" ht="15.75" customHeight="1">
      <c r="A47" s="239" t="s">
        <v>1474</v>
      </c>
      <c r="B47" s="393"/>
      <c r="C47" s="250" t="s">
        <v>1475</v>
      </c>
      <c r="D47" s="244" t="s">
        <v>1476</v>
      </c>
      <c r="E47" s="243">
        <v>14</v>
      </c>
      <c r="F47" s="393"/>
      <c r="G47" s="393"/>
      <c r="H47" s="393"/>
      <c r="I47" s="239"/>
      <c r="J47" s="393"/>
      <c r="K47" s="393"/>
      <c r="L47" s="393"/>
      <c r="M47" s="393"/>
    </row>
    <row r="48" spans="1:22" ht="15.75" customHeight="1">
      <c r="A48" s="239" t="s">
        <v>1477</v>
      </c>
      <c r="B48" s="394"/>
      <c r="C48" s="250" t="s">
        <v>1469</v>
      </c>
      <c r="D48" s="244" t="s">
        <v>1478</v>
      </c>
      <c r="E48" s="243">
        <v>8</v>
      </c>
      <c r="F48" s="394"/>
      <c r="G48" s="394"/>
      <c r="H48" s="394"/>
      <c r="I48" s="239"/>
      <c r="J48" s="394"/>
      <c r="K48" s="394"/>
      <c r="L48" s="394"/>
      <c r="M48" s="394"/>
    </row>
    <row r="49" spans="1:13" ht="18" customHeight="1">
      <c r="A49" s="239" t="s">
        <v>1479</v>
      </c>
      <c r="B49" s="392">
        <v>2400</v>
      </c>
      <c r="C49" s="250" t="s">
        <v>1480</v>
      </c>
      <c r="D49" s="272" t="s">
        <v>1481</v>
      </c>
      <c r="E49" s="243">
        <v>5</v>
      </c>
      <c r="F49" s="392">
        <f>AVERAGE(E49:E52)</f>
        <v>12.5</v>
      </c>
      <c r="G49" s="395"/>
      <c r="H49" s="395"/>
      <c r="I49" s="239"/>
      <c r="J49" s="392"/>
      <c r="K49" s="392"/>
      <c r="L49" s="392">
        <f>J49-K49</f>
        <v>0</v>
      </c>
      <c r="M49" s="392">
        <f>L49*L49</f>
        <v>0</v>
      </c>
    </row>
    <row r="50" spans="1:13" ht="15.75" customHeight="1">
      <c r="A50" s="239" t="s">
        <v>1482</v>
      </c>
      <c r="B50" s="393"/>
      <c r="C50" s="273" t="s">
        <v>1483</v>
      </c>
      <c r="D50" s="244" t="s">
        <v>1484</v>
      </c>
      <c r="E50" s="243">
        <v>24</v>
      </c>
      <c r="F50" s="393"/>
      <c r="G50" s="393"/>
      <c r="H50" s="393"/>
      <c r="I50" s="239"/>
      <c r="J50" s="393"/>
      <c r="K50" s="393"/>
      <c r="L50" s="393"/>
      <c r="M50" s="393"/>
    </row>
    <row r="51" spans="1:13" ht="15.75" customHeight="1">
      <c r="A51" s="239" t="s">
        <v>1485</v>
      </c>
      <c r="B51" s="393"/>
      <c r="C51" s="250" t="s">
        <v>1486</v>
      </c>
      <c r="D51" s="254" t="s">
        <v>1487</v>
      </c>
      <c r="E51" s="243">
        <v>16</v>
      </c>
      <c r="F51" s="393"/>
      <c r="G51" s="393"/>
      <c r="H51" s="393"/>
      <c r="I51" s="239"/>
      <c r="J51" s="393"/>
      <c r="K51" s="393"/>
      <c r="L51" s="393"/>
      <c r="M51" s="393"/>
    </row>
    <row r="52" spans="1:13" ht="15.75" customHeight="1">
      <c r="A52" s="239" t="s">
        <v>1488</v>
      </c>
      <c r="B52" s="394"/>
      <c r="C52" s="250" t="s">
        <v>1489</v>
      </c>
      <c r="D52" s="244" t="s">
        <v>1490</v>
      </c>
      <c r="E52" s="243">
        <v>5</v>
      </c>
      <c r="F52" s="394"/>
      <c r="G52" s="394"/>
      <c r="H52" s="394"/>
      <c r="I52" s="239"/>
      <c r="J52" s="394"/>
      <c r="K52" s="394"/>
      <c r="L52" s="394"/>
      <c r="M52" s="394"/>
    </row>
    <row r="53" spans="1:13" ht="15.75" customHeight="1">
      <c r="A53" s="239" t="s">
        <v>1491</v>
      </c>
      <c r="B53" s="392">
        <v>2600</v>
      </c>
      <c r="C53" s="274" t="s">
        <v>1492</v>
      </c>
      <c r="D53" s="244" t="s">
        <v>1493</v>
      </c>
      <c r="E53" s="243">
        <v>6</v>
      </c>
      <c r="F53" s="392">
        <f>AVERAGE(E53:E56)</f>
        <v>16.25</v>
      </c>
      <c r="G53" s="395"/>
      <c r="H53" s="395"/>
      <c r="I53" s="239"/>
      <c r="J53" s="392"/>
      <c r="K53" s="392"/>
      <c r="L53" s="392">
        <f>J53-K53</f>
        <v>0</v>
      </c>
      <c r="M53" s="392">
        <f>L53*L53</f>
        <v>0</v>
      </c>
    </row>
    <row r="54" spans="1:13" ht="15.75" customHeight="1">
      <c r="A54" s="239" t="s">
        <v>1494</v>
      </c>
      <c r="B54" s="393"/>
      <c r="C54" s="250" t="s">
        <v>1495</v>
      </c>
      <c r="D54" s="244" t="s">
        <v>1496</v>
      </c>
      <c r="E54" s="243">
        <v>6</v>
      </c>
      <c r="F54" s="393"/>
      <c r="G54" s="393"/>
      <c r="H54" s="393"/>
      <c r="I54" s="239"/>
      <c r="J54" s="393"/>
      <c r="K54" s="393"/>
      <c r="L54" s="393"/>
      <c r="M54" s="393"/>
    </row>
    <row r="55" spans="1:13" ht="15.75" customHeight="1">
      <c r="A55" s="239" t="s">
        <v>1497</v>
      </c>
      <c r="B55" s="393"/>
      <c r="C55" s="250" t="s">
        <v>1495</v>
      </c>
      <c r="D55" s="257" t="s">
        <v>1498</v>
      </c>
      <c r="E55" s="243">
        <v>22</v>
      </c>
      <c r="F55" s="393"/>
      <c r="G55" s="393"/>
      <c r="H55" s="393"/>
      <c r="I55" s="239"/>
      <c r="J55" s="393"/>
      <c r="K55" s="393"/>
      <c r="L55" s="393"/>
      <c r="M55" s="393"/>
    </row>
    <row r="56" spans="1:13" ht="15.75" customHeight="1">
      <c r="A56" s="239" t="s">
        <v>1499</v>
      </c>
      <c r="B56" s="394"/>
      <c r="C56" s="263" t="s">
        <v>1492</v>
      </c>
      <c r="D56" s="275" t="s">
        <v>1500</v>
      </c>
      <c r="E56" s="243">
        <v>31</v>
      </c>
      <c r="F56" s="394"/>
      <c r="G56" s="394"/>
      <c r="H56" s="394"/>
      <c r="I56" s="239"/>
      <c r="J56" s="394"/>
      <c r="K56" s="394"/>
      <c r="L56" s="394"/>
      <c r="M56" s="394"/>
    </row>
    <row r="57" spans="1:13" ht="15.75" customHeight="1">
      <c r="A57" s="239" t="s">
        <v>1501</v>
      </c>
      <c r="B57" s="392">
        <v>2800</v>
      </c>
      <c r="C57" s="258" t="s">
        <v>1398</v>
      </c>
      <c r="D57" s="244" t="s">
        <v>1502</v>
      </c>
      <c r="E57" s="243">
        <v>24</v>
      </c>
      <c r="F57" s="392">
        <f>AVERAGE(E57:E60)</f>
        <v>23.5</v>
      </c>
      <c r="G57" s="395"/>
      <c r="H57" s="395"/>
      <c r="I57" s="239"/>
      <c r="J57" s="392"/>
      <c r="K57" s="392"/>
      <c r="L57" s="392">
        <f>J57-K57</f>
        <v>0</v>
      </c>
      <c r="M57" s="392">
        <f>L57*L57</f>
        <v>0</v>
      </c>
    </row>
    <row r="58" spans="1:13" ht="15.75" customHeight="1">
      <c r="A58" s="239" t="s">
        <v>1503</v>
      </c>
      <c r="B58" s="393"/>
      <c r="C58" s="262" t="s">
        <v>1504</v>
      </c>
      <c r="D58" s="276" t="s">
        <v>1505</v>
      </c>
      <c r="E58" s="243">
        <v>15</v>
      </c>
      <c r="F58" s="393"/>
      <c r="G58" s="393"/>
      <c r="H58" s="393"/>
      <c r="I58" s="239"/>
      <c r="J58" s="393"/>
      <c r="K58" s="393"/>
      <c r="L58" s="393"/>
      <c r="M58" s="393"/>
    </row>
    <row r="59" spans="1:13" ht="15.75" customHeight="1">
      <c r="A59" s="239" t="s">
        <v>1506</v>
      </c>
      <c r="B59" s="393"/>
      <c r="C59" s="274" t="s">
        <v>1398</v>
      </c>
      <c r="D59" s="276" t="s">
        <v>1507</v>
      </c>
      <c r="E59" s="243">
        <v>9</v>
      </c>
      <c r="F59" s="393"/>
      <c r="G59" s="393"/>
      <c r="H59" s="393"/>
      <c r="I59" s="239"/>
      <c r="J59" s="393"/>
      <c r="K59" s="393"/>
      <c r="L59" s="393"/>
      <c r="M59" s="393"/>
    </row>
    <row r="60" spans="1:13" ht="15.75" customHeight="1">
      <c r="A60" s="239" t="s">
        <v>1508</v>
      </c>
      <c r="B60" s="394"/>
      <c r="C60" s="277" t="s">
        <v>1492</v>
      </c>
      <c r="D60" s="244" t="s">
        <v>1509</v>
      </c>
      <c r="E60" s="243">
        <v>46</v>
      </c>
      <c r="F60" s="394"/>
      <c r="G60" s="394"/>
      <c r="H60" s="394"/>
      <c r="I60" s="239"/>
      <c r="J60" s="394"/>
      <c r="K60" s="394"/>
      <c r="L60" s="394"/>
      <c r="M60" s="394"/>
    </row>
    <row r="61" spans="1:13" ht="15.75" customHeight="1">
      <c r="A61" s="239" t="s">
        <v>1510</v>
      </c>
      <c r="B61" s="392">
        <v>3000</v>
      </c>
      <c r="C61" s="250" t="s">
        <v>1511</v>
      </c>
      <c r="D61" s="244" t="s">
        <v>1512</v>
      </c>
      <c r="E61" s="243">
        <v>35</v>
      </c>
      <c r="F61" s="392">
        <f>AVERAGE(E61:E64)</f>
        <v>29.75</v>
      </c>
      <c r="G61" s="395"/>
      <c r="H61" s="395"/>
      <c r="I61" s="239"/>
      <c r="J61" s="392"/>
      <c r="K61" s="392"/>
      <c r="L61" s="392">
        <f>J61-K61</f>
        <v>0</v>
      </c>
      <c r="M61" s="392">
        <f>L61*L61</f>
        <v>0</v>
      </c>
    </row>
    <row r="62" spans="1:13" ht="15.75" customHeight="1">
      <c r="A62" s="239" t="s">
        <v>1513</v>
      </c>
      <c r="B62" s="393"/>
      <c r="C62" s="250" t="s">
        <v>1340</v>
      </c>
      <c r="D62" s="272" t="s">
        <v>1514</v>
      </c>
      <c r="E62" s="243">
        <v>13</v>
      </c>
      <c r="F62" s="393"/>
      <c r="G62" s="393"/>
      <c r="H62" s="393"/>
      <c r="I62" s="239"/>
      <c r="J62" s="393"/>
      <c r="K62" s="393"/>
      <c r="L62" s="393"/>
      <c r="M62" s="393"/>
    </row>
    <row r="63" spans="1:13" ht="15.75" customHeight="1">
      <c r="A63" s="239" t="s">
        <v>1515</v>
      </c>
      <c r="B63" s="393"/>
      <c r="C63" s="263" t="s">
        <v>1398</v>
      </c>
      <c r="D63" s="244" t="s">
        <v>1516</v>
      </c>
      <c r="E63" s="243">
        <v>29</v>
      </c>
      <c r="F63" s="393"/>
      <c r="G63" s="393"/>
      <c r="H63" s="393"/>
      <c r="I63" s="239"/>
      <c r="J63" s="393"/>
      <c r="K63" s="393"/>
      <c r="L63" s="393"/>
      <c r="M63" s="393"/>
    </row>
    <row r="64" spans="1:13" ht="15.75" customHeight="1">
      <c r="A64" s="278" t="s">
        <v>1517</v>
      </c>
      <c r="B64" s="394"/>
      <c r="C64" s="279" t="s">
        <v>1518</v>
      </c>
      <c r="D64" s="280" t="s">
        <v>1519</v>
      </c>
      <c r="E64" s="281">
        <v>42</v>
      </c>
      <c r="F64" s="394"/>
      <c r="G64" s="394"/>
      <c r="H64" s="394"/>
      <c r="I64" s="239"/>
      <c r="J64" s="394"/>
      <c r="K64" s="394"/>
      <c r="L64" s="394"/>
      <c r="M64" s="394"/>
    </row>
    <row r="65" spans="1:15" ht="15.75" customHeight="1">
      <c r="A65" s="244" t="s">
        <v>1520</v>
      </c>
      <c r="B65" s="392">
        <v>3200</v>
      </c>
      <c r="C65" s="282" t="s">
        <v>109</v>
      </c>
      <c r="D65" s="242" t="s">
        <v>1398</v>
      </c>
      <c r="E65" s="247" t="s">
        <v>1275</v>
      </c>
      <c r="F65" s="240">
        <f t="shared" ref="F65:H65" si="3">AVERAGE(F5:F64)</f>
        <v>22.127777777777776</v>
      </c>
      <c r="G65" s="240" t="e">
        <f t="shared" si="3"/>
        <v>#DIV/0!</v>
      </c>
      <c r="H65" s="283" t="e">
        <f t="shared" si="3"/>
        <v>#DIV/0!</v>
      </c>
      <c r="I65" s="239"/>
      <c r="J65" s="392"/>
      <c r="K65" s="240" t="s">
        <v>1521</v>
      </c>
      <c r="L65" s="284" t="s">
        <v>1522</v>
      </c>
      <c r="M65" s="285">
        <f>SUM(M5:M64)</f>
        <v>0</v>
      </c>
    </row>
    <row r="66" spans="1:15" ht="15.75" customHeight="1">
      <c r="A66" s="244" t="s">
        <v>1523</v>
      </c>
      <c r="B66" s="393"/>
      <c r="C66" s="241" t="s">
        <v>1524</v>
      </c>
      <c r="D66" s="244" t="s">
        <v>1525</v>
      </c>
      <c r="E66" s="243">
        <v>24</v>
      </c>
      <c r="F66" s="286"/>
      <c r="G66" s="286"/>
      <c r="H66" s="287"/>
      <c r="I66" s="239"/>
      <c r="J66" s="393"/>
      <c r="K66" s="286"/>
      <c r="L66" s="288"/>
      <c r="M66" s="289"/>
    </row>
    <row r="67" spans="1:15" ht="15.75" customHeight="1">
      <c r="A67" s="244" t="s">
        <v>1526</v>
      </c>
      <c r="B67" s="393"/>
      <c r="C67" s="241" t="s">
        <v>1354</v>
      </c>
      <c r="D67" s="244" t="s">
        <v>1527</v>
      </c>
      <c r="E67" s="243">
        <v>22</v>
      </c>
      <c r="F67" s="286"/>
      <c r="G67" s="286"/>
      <c r="H67" s="287"/>
      <c r="I67" s="290"/>
      <c r="J67" s="393"/>
      <c r="K67" s="286"/>
      <c r="L67" s="288"/>
      <c r="M67" s="289"/>
    </row>
    <row r="68" spans="1:15" ht="15.75" customHeight="1">
      <c r="A68" s="244" t="s">
        <v>1528</v>
      </c>
      <c r="B68" s="394"/>
      <c r="C68" s="245" t="s">
        <v>1357</v>
      </c>
      <c r="D68" s="242" t="s">
        <v>1398</v>
      </c>
      <c r="E68" s="247"/>
      <c r="F68" s="291"/>
      <c r="G68" s="291"/>
      <c r="H68" s="292"/>
      <c r="I68" s="290"/>
      <c r="J68" s="393"/>
      <c r="K68" s="286"/>
      <c r="L68" s="293"/>
      <c r="M68" s="294"/>
    </row>
    <row r="69" spans="1:15" ht="15.75" customHeight="1">
      <c r="A69" s="244" t="s">
        <v>1529</v>
      </c>
      <c r="B69" s="392">
        <v>3400</v>
      </c>
      <c r="C69" s="245" t="s">
        <v>1357</v>
      </c>
      <c r="D69" s="244" t="s">
        <v>1530</v>
      </c>
      <c r="E69" s="243">
        <v>20</v>
      </c>
      <c r="F69" s="295"/>
      <c r="G69" s="296"/>
      <c r="H69" s="297"/>
      <c r="I69" s="298"/>
      <c r="J69" s="296"/>
      <c r="K69" s="296"/>
      <c r="L69" s="299"/>
      <c r="M69" s="299"/>
    </row>
    <row r="70" spans="1:15" ht="15.75" customHeight="1">
      <c r="A70" s="244" t="s">
        <v>1531</v>
      </c>
      <c r="B70" s="393"/>
      <c r="C70" s="248" t="s">
        <v>1532</v>
      </c>
      <c r="D70" s="244" t="s">
        <v>1533</v>
      </c>
      <c r="E70" s="243">
        <v>23</v>
      </c>
      <c r="F70" s="300"/>
      <c r="G70" s="299"/>
      <c r="H70" s="301"/>
      <c r="I70" s="298"/>
      <c r="J70" s="299"/>
      <c r="K70" s="299"/>
      <c r="L70" s="299"/>
      <c r="M70" s="299"/>
    </row>
    <row r="71" spans="1:15" ht="15.75" customHeight="1">
      <c r="A71" s="244" t="s">
        <v>1534</v>
      </c>
      <c r="B71" s="393"/>
      <c r="C71" s="241" t="s">
        <v>1535</v>
      </c>
      <c r="D71" s="242" t="s">
        <v>1536</v>
      </c>
      <c r="E71" s="302"/>
      <c r="F71" s="300"/>
      <c r="G71" s="299"/>
      <c r="H71" s="301"/>
      <c r="I71" s="298"/>
      <c r="J71" s="299"/>
      <c r="K71" s="299"/>
      <c r="L71" s="299"/>
      <c r="M71" s="299"/>
    </row>
    <row r="72" spans="1:15" ht="15.75" customHeight="1">
      <c r="A72" s="244" t="s">
        <v>1537</v>
      </c>
      <c r="B72" s="394"/>
      <c r="C72" s="241" t="s">
        <v>1368</v>
      </c>
      <c r="D72" s="242" t="s">
        <v>1536</v>
      </c>
      <c r="E72" s="302"/>
      <c r="F72" s="303"/>
      <c r="G72" s="304"/>
      <c r="H72" s="305"/>
      <c r="I72" s="298"/>
      <c r="J72" s="304"/>
      <c r="K72" s="304"/>
      <c r="L72" s="304"/>
      <c r="M72" s="304"/>
    </row>
    <row r="73" spans="1:15" ht="15.75" customHeight="1">
      <c r="B73" s="220"/>
      <c r="D73" s="220"/>
      <c r="E73" s="226"/>
      <c r="F73" s="224"/>
      <c r="G73" s="226"/>
      <c r="H73" s="226"/>
      <c r="I73" s="225"/>
      <c r="L73" s="17"/>
    </row>
    <row r="74" spans="1:15" ht="15.75" customHeight="1">
      <c r="D74" s="220"/>
      <c r="E74" s="226"/>
      <c r="F74" s="224"/>
      <c r="G74" s="226"/>
      <c r="H74" s="226"/>
      <c r="I74" s="225"/>
    </row>
    <row r="75" spans="1:15" ht="15.75" customHeight="1">
      <c r="B75" s="224"/>
      <c r="D75" s="220"/>
      <c r="E75" s="226"/>
      <c r="F75" s="224"/>
      <c r="G75" s="226"/>
      <c r="H75" s="226"/>
      <c r="I75" s="225"/>
    </row>
    <row r="76" spans="1:15" ht="15.75" customHeight="1">
      <c r="A76" s="306"/>
      <c r="B76" s="306"/>
      <c r="D76" s="306"/>
      <c r="E76" s="306"/>
      <c r="F76" s="306"/>
      <c r="G76" s="306"/>
      <c r="H76" s="306"/>
      <c r="I76" s="225"/>
      <c r="N76" s="17"/>
      <c r="O76" s="17"/>
    </row>
    <row r="77" spans="1:15" ht="15.75" customHeight="1">
      <c r="A77" s="306"/>
      <c r="B77" s="306"/>
      <c r="D77" s="306"/>
      <c r="E77" s="306"/>
      <c r="F77" s="306"/>
      <c r="G77" s="306"/>
      <c r="H77" s="306"/>
      <c r="I77" s="225"/>
    </row>
    <row r="78" spans="1:15" ht="15.75" customHeight="1">
      <c r="A78" s="306"/>
      <c r="B78" s="306"/>
      <c r="D78" s="306"/>
      <c r="E78" s="306"/>
      <c r="F78" s="306"/>
      <c r="G78" s="306"/>
      <c r="H78" s="306"/>
      <c r="I78" s="225"/>
    </row>
    <row r="79" spans="1:15" ht="15.75" customHeight="1">
      <c r="A79" s="306"/>
      <c r="B79" s="306"/>
      <c r="D79" s="306"/>
      <c r="E79" s="306"/>
      <c r="F79" s="306"/>
      <c r="G79" s="306"/>
      <c r="H79" s="306"/>
      <c r="I79" s="225"/>
    </row>
    <row r="80" spans="1:15" ht="15.75" customHeight="1">
      <c r="A80" s="306"/>
      <c r="B80" s="306"/>
      <c r="D80" s="306"/>
      <c r="E80" s="306"/>
      <c r="F80" s="306"/>
      <c r="G80" s="306"/>
      <c r="H80" s="306"/>
      <c r="I80" s="225"/>
    </row>
    <row r="81" spans="1:9" ht="15.75" customHeight="1">
      <c r="A81" s="306"/>
      <c r="B81" s="306"/>
      <c r="D81" s="306"/>
      <c r="E81" s="306"/>
      <c r="F81" s="306"/>
      <c r="G81" s="306"/>
      <c r="H81" s="306"/>
      <c r="I81" s="225"/>
    </row>
    <row r="82" spans="1:9" ht="15.75" customHeight="1">
      <c r="A82" s="306"/>
      <c r="B82" s="306"/>
      <c r="D82" s="306"/>
      <c r="E82" s="306"/>
      <c r="F82" s="306"/>
      <c r="G82" s="306"/>
      <c r="H82" s="306"/>
      <c r="I82" s="225"/>
    </row>
    <row r="83" spans="1:9" ht="15.75" customHeight="1">
      <c r="A83" s="306"/>
      <c r="B83" s="306"/>
      <c r="D83" s="306"/>
      <c r="E83" s="306"/>
      <c r="F83" s="306"/>
      <c r="G83" s="306"/>
      <c r="H83" s="306"/>
      <c r="I83" s="225"/>
    </row>
    <row r="84" spans="1:9" ht="15.75" customHeight="1">
      <c r="A84" s="306"/>
      <c r="B84" s="306"/>
      <c r="D84" s="306"/>
      <c r="E84" s="306"/>
      <c r="F84" s="306"/>
      <c r="G84" s="306"/>
      <c r="H84" s="306"/>
      <c r="I84" s="225"/>
    </row>
    <row r="85" spans="1:9" ht="15.75" customHeight="1">
      <c r="A85" s="306"/>
      <c r="B85" s="306"/>
      <c r="D85" s="306"/>
      <c r="E85" s="306"/>
      <c r="F85" s="306"/>
      <c r="G85" s="306"/>
      <c r="H85" s="306"/>
      <c r="I85" s="225"/>
    </row>
    <row r="86" spans="1:9" ht="15.75" customHeight="1">
      <c r="A86" s="306"/>
      <c r="B86" s="306"/>
      <c r="D86" s="306"/>
      <c r="E86" s="306"/>
      <c r="F86" s="306"/>
      <c r="G86" s="306"/>
      <c r="H86" s="306"/>
      <c r="I86" s="225"/>
    </row>
    <row r="87" spans="1:9" ht="15.75" customHeight="1">
      <c r="A87" s="306"/>
      <c r="B87" s="306"/>
      <c r="D87" s="306"/>
      <c r="E87" s="306"/>
      <c r="F87" s="306"/>
      <c r="G87" s="306"/>
      <c r="H87" s="306"/>
      <c r="I87" s="225"/>
    </row>
    <row r="88" spans="1:9" ht="15.75" customHeight="1">
      <c r="A88" s="306"/>
      <c r="B88" s="306"/>
      <c r="D88" s="306"/>
      <c r="E88" s="306"/>
      <c r="F88" s="306"/>
      <c r="G88" s="306"/>
      <c r="H88" s="306"/>
      <c r="I88" s="225"/>
    </row>
    <row r="89" spans="1:9" ht="15.75" customHeight="1">
      <c r="A89" s="306"/>
      <c r="B89" s="306"/>
      <c r="D89" s="306"/>
      <c r="E89" s="306"/>
      <c r="F89" s="306"/>
      <c r="G89" s="306"/>
      <c r="H89" s="306"/>
      <c r="I89" s="225"/>
    </row>
    <row r="90" spans="1:9" ht="15.75" customHeight="1">
      <c r="A90" s="306"/>
      <c r="B90" s="306"/>
      <c r="D90" s="306"/>
      <c r="E90" s="306"/>
      <c r="F90" s="306"/>
      <c r="G90" s="306"/>
      <c r="H90" s="306"/>
      <c r="I90" s="225"/>
    </row>
    <row r="91" spans="1:9" ht="15.75" customHeight="1">
      <c r="A91" s="306"/>
      <c r="B91" s="306"/>
      <c r="D91" s="306"/>
      <c r="E91" s="306"/>
      <c r="F91" s="306"/>
      <c r="G91" s="306"/>
      <c r="H91" s="306"/>
      <c r="I91" s="225"/>
    </row>
    <row r="92" spans="1:9" ht="15.75" customHeight="1">
      <c r="A92" s="306"/>
      <c r="B92" s="306"/>
      <c r="D92" s="306"/>
      <c r="E92" s="306"/>
      <c r="F92" s="306"/>
      <c r="G92" s="306"/>
      <c r="H92" s="306"/>
      <c r="I92" s="225"/>
    </row>
    <row r="93" spans="1:9" ht="15.75" customHeight="1">
      <c r="A93" s="306"/>
      <c r="B93" s="306"/>
      <c r="D93" s="306"/>
      <c r="E93" s="306"/>
      <c r="F93" s="306"/>
      <c r="G93" s="306"/>
      <c r="H93" s="306"/>
      <c r="I93" s="225"/>
    </row>
    <row r="94" spans="1:9" ht="15.75" customHeight="1">
      <c r="A94" s="306"/>
      <c r="B94" s="306"/>
      <c r="D94" s="306"/>
      <c r="E94" s="306"/>
      <c r="F94" s="306"/>
      <c r="G94" s="306"/>
      <c r="H94" s="306"/>
      <c r="I94" s="225"/>
    </row>
    <row r="95" spans="1:9" ht="15.75" customHeight="1">
      <c r="A95" s="306"/>
      <c r="B95" s="306"/>
      <c r="D95" s="306"/>
      <c r="E95" s="306"/>
      <c r="F95" s="306"/>
      <c r="G95" s="306"/>
      <c r="H95" s="306"/>
      <c r="I95" s="225"/>
    </row>
    <row r="96" spans="1:9" ht="15.75" customHeight="1">
      <c r="A96" s="306"/>
      <c r="B96" s="306"/>
      <c r="D96" s="306"/>
      <c r="E96" s="306"/>
      <c r="F96" s="306"/>
      <c r="G96" s="306"/>
      <c r="H96" s="306"/>
      <c r="I96" s="225"/>
    </row>
    <row r="97" spans="1:9" ht="15.75" customHeight="1">
      <c r="A97" s="306"/>
      <c r="B97" s="306"/>
      <c r="D97" s="306"/>
      <c r="E97" s="306"/>
      <c r="F97" s="306"/>
      <c r="G97" s="306"/>
      <c r="H97" s="306"/>
      <c r="I97" s="225"/>
    </row>
    <row r="98" spans="1:9" ht="15.75" customHeight="1">
      <c r="A98" s="306"/>
      <c r="B98" s="306"/>
      <c r="D98" s="306"/>
      <c r="E98" s="306"/>
      <c r="F98" s="306"/>
      <c r="G98" s="306"/>
      <c r="H98" s="306"/>
      <c r="I98" s="225"/>
    </row>
    <row r="99" spans="1:9" ht="15.75" customHeight="1">
      <c r="A99" s="306"/>
      <c r="B99" s="306"/>
      <c r="D99" s="306"/>
      <c r="E99" s="306"/>
      <c r="F99" s="306"/>
      <c r="G99" s="306"/>
      <c r="H99" s="306"/>
      <c r="I99" s="225"/>
    </row>
    <row r="100" spans="1:9" ht="15.75" customHeight="1">
      <c r="A100" s="306"/>
      <c r="B100" s="306"/>
      <c r="D100" s="306"/>
      <c r="E100" s="306"/>
      <c r="F100" s="306"/>
      <c r="G100" s="306"/>
      <c r="H100" s="306"/>
      <c r="I100" s="225"/>
    </row>
    <row r="101" spans="1:9" ht="15.75" customHeight="1">
      <c r="A101" s="306"/>
      <c r="B101" s="306"/>
      <c r="D101" s="306"/>
      <c r="E101" s="306"/>
      <c r="F101" s="306"/>
      <c r="G101" s="306"/>
      <c r="H101" s="306"/>
      <c r="I101" s="225"/>
    </row>
    <row r="102" spans="1:9" ht="15.75" customHeight="1">
      <c r="A102" s="306"/>
      <c r="B102" s="306"/>
      <c r="D102" s="306"/>
      <c r="E102" s="306"/>
      <c r="F102" s="306"/>
      <c r="G102" s="306"/>
      <c r="H102" s="306"/>
      <c r="I102" s="225"/>
    </row>
    <row r="103" spans="1:9" ht="15.75" customHeight="1">
      <c r="A103" s="306"/>
      <c r="B103" s="306"/>
      <c r="D103" s="306"/>
      <c r="E103" s="306"/>
      <c r="F103" s="306"/>
      <c r="G103" s="306"/>
      <c r="H103" s="306"/>
      <c r="I103" s="225"/>
    </row>
    <row r="104" spans="1:9" ht="15.75" customHeight="1">
      <c r="A104" s="306"/>
      <c r="B104" s="306"/>
      <c r="D104" s="306"/>
      <c r="E104" s="306"/>
      <c r="F104" s="306"/>
      <c r="G104" s="306"/>
      <c r="H104" s="306"/>
      <c r="I104" s="225"/>
    </row>
    <row r="105" spans="1:9" ht="15.75" customHeight="1">
      <c r="A105" s="306"/>
      <c r="B105" s="306"/>
      <c r="D105" s="306"/>
      <c r="E105" s="306"/>
      <c r="F105" s="306"/>
      <c r="G105" s="306"/>
      <c r="H105" s="306"/>
      <c r="I105" s="225"/>
    </row>
    <row r="106" spans="1:9" ht="15.75" customHeight="1">
      <c r="A106" s="306"/>
      <c r="B106" s="306"/>
      <c r="D106" s="306"/>
      <c r="E106" s="306"/>
      <c r="F106" s="306"/>
      <c r="G106" s="306"/>
      <c r="H106" s="306"/>
      <c r="I106" s="225"/>
    </row>
    <row r="107" spans="1:9" ht="15.75" customHeight="1">
      <c r="A107" s="306"/>
      <c r="B107" s="306"/>
      <c r="D107" s="306"/>
      <c r="E107" s="306"/>
      <c r="F107" s="306"/>
      <c r="G107" s="306"/>
      <c r="H107" s="306"/>
      <c r="I107" s="225"/>
    </row>
    <row r="108" spans="1:9" ht="15.75" customHeight="1">
      <c r="A108" s="306"/>
      <c r="B108" s="306"/>
      <c r="D108" s="306"/>
      <c r="E108" s="306"/>
      <c r="F108" s="306"/>
      <c r="G108" s="306"/>
      <c r="H108" s="306"/>
      <c r="I108" s="225"/>
    </row>
    <row r="109" spans="1:9" ht="15.75" customHeight="1">
      <c r="A109" s="306"/>
      <c r="B109" s="306"/>
      <c r="D109" s="306"/>
      <c r="E109" s="306"/>
      <c r="F109" s="306"/>
      <c r="G109" s="306"/>
      <c r="H109" s="306"/>
      <c r="I109" s="225"/>
    </row>
    <row r="110" spans="1:9" ht="15.75" customHeight="1">
      <c r="A110" s="306"/>
      <c r="B110" s="306"/>
      <c r="D110" s="306"/>
      <c r="E110" s="306"/>
      <c r="F110" s="306"/>
      <c r="G110" s="306"/>
      <c r="H110" s="306"/>
      <c r="I110" s="225"/>
    </row>
    <row r="111" spans="1:9" ht="15.75" customHeight="1">
      <c r="A111" s="306"/>
      <c r="B111" s="306"/>
      <c r="D111" s="306"/>
      <c r="E111" s="306"/>
      <c r="F111" s="306"/>
      <c r="G111" s="306"/>
      <c r="H111" s="306"/>
      <c r="I111" s="225"/>
    </row>
    <row r="112" spans="1:9" ht="15.75" customHeight="1">
      <c r="A112" s="306"/>
      <c r="B112" s="306"/>
      <c r="D112" s="306"/>
      <c r="E112" s="306"/>
      <c r="F112" s="306"/>
      <c r="G112" s="306"/>
      <c r="H112" s="306"/>
      <c r="I112" s="225"/>
    </row>
    <row r="113" spans="1:9" ht="15.75" customHeight="1">
      <c r="A113" s="306"/>
      <c r="B113" s="306"/>
      <c r="D113" s="306"/>
      <c r="E113" s="306"/>
      <c r="F113" s="306"/>
      <c r="G113" s="306"/>
      <c r="H113" s="306"/>
      <c r="I113" s="225"/>
    </row>
    <row r="114" spans="1:9" ht="15.75" customHeight="1">
      <c r="A114" s="306"/>
      <c r="B114" s="306"/>
      <c r="D114" s="306"/>
      <c r="E114" s="306"/>
      <c r="F114" s="306"/>
      <c r="G114" s="306"/>
      <c r="H114" s="306"/>
      <c r="I114" s="225"/>
    </row>
    <row r="115" spans="1:9" ht="15.75" customHeight="1">
      <c r="A115" s="306"/>
      <c r="B115" s="306"/>
      <c r="D115" s="306"/>
      <c r="E115" s="306"/>
      <c r="F115" s="306"/>
      <c r="G115" s="306"/>
      <c r="H115" s="306"/>
      <c r="I115" s="225"/>
    </row>
    <row r="116" spans="1:9" ht="15.75" customHeight="1">
      <c r="A116" s="306"/>
      <c r="B116" s="306"/>
      <c r="D116" s="306"/>
      <c r="E116" s="306"/>
      <c r="F116" s="306"/>
      <c r="G116" s="306"/>
      <c r="H116" s="306"/>
      <c r="I116" s="225"/>
    </row>
    <row r="117" spans="1:9" ht="15.75" customHeight="1">
      <c r="A117" s="306"/>
      <c r="B117" s="306"/>
      <c r="D117" s="306"/>
      <c r="E117" s="306"/>
      <c r="F117" s="306"/>
      <c r="G117" s="306"/>
      <c r="H117" s="306"/>
      <c r="I117" s="225"/>
    </row>
    <row r="118" spans="1:9" ht="15.75" customHeight="1">
      <c r="A118" s="306"/>
      <c r="B118" s="306"/>
      <c r="D118" s="306"/>
      <c r="E118" s="306"/>
      <c r="F118" s="306"/>
      <c r="G118" s="306"/>
      <c r="H118" s="306"/>
      <c r="I118" s="225"/>
    </row>
    <row r="119" spans="1:9" ht="15.75" customHeight="1">
      <c r="A119" s="306"/>
      <c r="B119" s="306"/>
      <c r="D119" s="306"/>
      <c r="E119" s="306"/>
      <c r="F119" s="306"/>
      <c r="G119" s="306"/>
      <c r="H119" s="306"/>
      <c r="I119" s="225"/>
    </row>
    <row r="120" spans="1:9" ht="15.75" customHeight="1">
      <c r="A120" s="306"/>
      <c r="B120" s="306"/>
      <c r="D120" s="306"/>
      <c r="E120" s="306"/>
      <c r="F120" s="306"/>
      <c r="G120" s="306"/>
      <c r="H120" s="306"/>
      <c r="I120" s="225"/>
    </row>
    <row r="121" spans="1:9" ht="15.75" customHeight="1">
      <c r="A121" s="306"/>
      <c r="B121" s="306"/>
      <c r="D121" s="306"/>
      <c r="E121" s="306"/>
      <c r="F121" s="306"/>
      <c r="G121" s="306"/>
      <c r="H121" s="306"/>
      <c r="I121" s="225"/>
    </row>
    <row r="122" spans="1:9" ht="15.75" customHeight="1">
      <c r="A122" s="306"/>
      <c r="B122" s="306"/>
      <c r="D122" s="306"/>
      <c r="E122" s="306"/>
      <c r="F122" s="306"/>
      <c r="G122" s="306"/>
      <c r="H122" s="306"/>
      <c r="I122" s="225"/>
    </row>
    <row r="123" spans="1:9" ht="15.75" customHeight="1">
      <c r="A123" s="306"/>
      <c r="B123" s="306"/>
      <c r="D123" s="306"/>
      <c r="E123" s="306"/>
      <c r="F123" s="306"/>
      <c r="G123" s="306"/>
      <c r="H123" s="306"/>
      <c r="I123" s="225"/>
    </row>
    <row r="124" spans="1:9" ht="15.75" customHeight="1">
      <c r="A124" s="306"/>
      <c r="B124" s="306"/>
      <c r="D124" s="306"/>
      <c r="E124" s="306"/>
      <c r="F124" s="306"/>
      <c r="G124" s="306"/>
      <c r="H124" s="306"/>
      <c r="I124" s="225"/>
    </row>
    <row r="125" spans="1:9" ht="15.75" customHeight="1">
      <c r="A125" s="306"/>
      <c r="B125" s="306"/>
      <c r="D125" s="306"/>
      <c r="E125" s="306"/>
      <c r="F125" s="306"/>
      <c r="G125" s="306"/>
      <c r="H125" s="306"/>
      <c r="I125" s="225"/>
    </row>
    <row r="126" spans="1:9" ht="15.75" customHeight="1">
      <c r="A126" s="306"/>
      <c r="B126" s="306"/>
      <c r="D126" s="306"/>
      <c r="E126" s="306"/>
      <c r="F126" s="306"/>
      <c r="G126" s="306"/>
      <c r="H126" s="306"/>
      <c r="I126" s="225"/>
    </row>
    <row r="127" spans="1:9" ht="15.75" customHeight="1">
      <c r="A127" s="306"/>
      <c r="B127" s="306"/>
      <c r="D127" s="306"/>
      <c r="E127" s="306"/>
      <c r="F127" s="306"/>
      <c r="G127" s="306"/>
      <c r="H127" s="306"/>
      <c r="I127" s="225"/>
    </row>
    <row r="128" spans="1:9" ht="15.75" customHeight="1">
      <c r="A128" s="306"/>
      <c r="B128" s="306"/>
      <c r="D128" s="306"/>
      <c r="E128" s="306"/>
      <c r="F128" s="306"/>
      <c r="G128" s="306"/>
      <c r="H128" s="306"/>
      <c r="I128" s="225"/>
    </row>
    <row r="129" spans="1:17" ht="15.75" customHeight="1">
      <c r="A129" s="306"/>
      <c r="B129" s="306"/>
      <c r="D129" s="306"/>
      <c r="E129" s="306"/>
      <c r="F129" s="306"/>
      <c r="G129" s="306"/>
      <c r="H129" s="306"/>
      <c r="I129" s="225"/>
      <c r="Q129" s="396"/>
    </row>
    <row r="130" spans="1:17" ht="15.75" customHeight="1">
      <c r="A130" s="306"/>
      <c r="B130" s="306"/>
      <c r="D130" s="306"/>
      <c r="E130" s="306"/>
      <c r="F130" s="306"/>
      <c r="G130" s="306"/>
      <c r="H130" s="306"/>
      <c r="I130" s="225"/>
      <c r="Q130" s="382"/>
    </row>
    <row r="131" spans="1:17" ht="15.75" customHeight="1">
      <c r="A131" s="306"/>
      <c r="B131" s="306"/>
      <c r="D131" s="306"/>
      <c r="E131" s="306"/>
      <c r="F131" s="306"/>
      <c r="G131" s="306"/>
      <c r="H131" s="306"/>
      <c r="I131" s="225"/>
      <c r="Q131" s="382"/>
    </row>
    <row r="132" spans="1:17" ht="15.75" customHeight="1">
      <c r="A132" s="306"/>
      <c r="B132" s="306"/>
      <c r="D132" s="306"/>
      <c r="E132" s="306"/>
      <c r="F132" s="306"/>
      <c r="G132" s="306"/>
      <c r="H132" s="306"/>
      <c r="I132" s="225"/>
      <c r="Q132" s="383"/>
    </row>
    <row r="133" spans="1:17" ht="15.75" customHeight="1">
      <c r="A133" s="306"/>
      <c r="B133" s="306"/>
      <c r="D133" s="306"/>
      <c r="E133" s="306"/>
      <c r="F133" s="306"/>
      <c r="G133" s="306"/>
      <c r="H133" s="306"/>
      <c r="I133" s="225"/>
      <c r="Q133" s="397"/>
    </row>
    <row r="134" spans="1:17" ht="15.75" customHeight="1">
      <c r="A134" s="306"/>
      <c r="B134" s="306"/>
      <c r="D134" s="306"/>
      <c r="E134" s="306"/>
      <c r="F134" s="306"/>
      <c r="G134" s="306"/>
      <c r="H134" s="306"/>
      <c r="I134" s="225"/>
      <c r="Q134" s="382"/>
    </row>
    <row r="135" spans="1:17" ht="15.75" customHeight="1">
      <c r="A135" s="306"/>
      <c r="B135" s="306"/>
      <c r="D135" s="306"/>
      <c r="E135" s="306"/>
      <c r="F135" s="306"/>
      <c r="G135" s="306"/>
      <c r="H135" s="306"/>
      <c r="I135" s="225"/>
      <c r="Q135" s="382"/>
    </row>
    <row r="136" spans="1:17" ht="15.75" customHeight="1">
      <c r="A136" s="306"/>
      <c r="B136" s="306"/>
      <c r="C136" s="307"/>
      <c r="D136" s="306"/>
      <c r="E136" s="306"/>
      <c r="F136" s="306"/>
      <c r="G136" s="306"/>
      <c r="H136" s="306"/>
      <c r="I136" s="225"/>
      <c r="Q136" s="383"/>
    </row>
    <row r="137" spans="1:17" ht="15.75" customHeight="1">
      <c r="A137" s="306"/>
      <c r="B137" s="306"/>
      <c r="C137" s="35"/>
      <c r="D137" s="306"/>
      <c r="E137" s="306"/>
      <c r="F137" s="306"/>
      <c r="G137" s="306"/>
      <c r="H137" s="306"/>
      <c r="I137" s="225"/>
      <c r="Q137" s="396"/>
    </row>
    <row r="138" spans="1:17" ht="15.75" customHeight="1">
      <c r="A138" s="306"/>
      <c r="B138" s="306"/>
      <c r="C138" s="35"/>
      <c r="D138" s="306"/>
      <c r="E138" s="306"/>
      <c r="F138" s="306"/>
      <c r="G138" s="306"/>
      <c r="H138" s="306"/>
      <c r="I138" s="225"/>
      <c r="Q138" s="382"/>
    </row>
    <row r="139" spans="1:17" ht="15.75" customHeight="1">
      <c r="A139" s="306"/>
      <c r="B139" s="306"/>
      <c r="C139" s="307"/>
      <c r="D139" s="306"/>
      <c r="E139" s="306"/>
      <c r="F139" s="306"/>
      <c r="G139" s="306"/>
      <c r="H139" s="306"/>
      <c r="I139" s="225"/>
      <c r="Q139" s="382"/>
    </row>
    <row r="140" spans="1:17" ht="15.75" customHeight="1">
      <c r="A140" s="306"/>
      <c r="B140" s="306"/>
      <c r="C140" s="225"/>
      <c r="D140" s="306"/>
      <c r="E140" s="306"/>
      <c r="F140" s="306"/>
      <c r="G140" s="306"/>
      <c r="H140" s="306"/>
      <c r="I140" s="225"/>
      <c r="Q140" s="383"/>
    </row>
    <row r="141" spans="1:17" ht="15.75" customHeight="1">
      <c r="A141" s="306"/>
      <c r="B141" s="306"/>
      <c r="C141" s="307"/>
      <c r="D141" s="306"/>
      <c r="E141" s="306"/>
      <c r="F141" s="306"/>
      <c r="G141" s="306"/>
      <c r="H141" s="306"/>
      <c r="I141" s="225"/>
      <c r="Q141" s="396"/>
    </row>
    <row r="142" spans="1:17" ht="15.75" customHeight="1">
      <c r="A142" s="306"/>
      <c r="B142" s="306"/>
      <c r="C142" s="35"/>
      <c r="D142" s="306"/>
      <c r="E142" s="306"/>
      <c r="F142" s="306"/>
      <c r="G142" s="306"/>
      <c r="H142" s="306"/>
      <c r="I142" s="225"/>
      <c r="Q142" s="382"/>
    </row>
    <row r="143" spans="1:17" ht="15.75" customHeight="1">
      <c r="A143" s="306"/>
      <c r="B143" s="306"/>
      <c r="C143" s="225"/>
      <c r="D143" s="306"/>
      <c r="E143" s="306"/>
      <c r="F143" s="306"/>
      <c r="G143" s="306"/>
      <c r="H143" s="306"/>
      <c r="I143" s="225"/>
      <c r="Q143" s="382"/>
    </row>
    <row r="144" spans="1:17" ht="15.75" customHeight="1">
      <c r="A144" s="306"/>
      <c r="B144" s="306"/>
      <c r="C144" s="308"/>
      <c r="D144" s="306"/>
      <c r="E144" s="306"/>
      <c r="F144" s="306"/>
      <c r="G144" s="306"/>
      <c r="H144" s="306"/>
      <c r="I144" s="225"/>
      <c r="Q144" s="383"/>
    </row>
    <row r="145" spans="1:17" ht="15.75" customHeight="1">
      <c r="A145" s="306"/>
      <c r="B145" s="306"/>
      <c r="C145" s="308"/>
      <c r="D145" s="306"/>
      <c r="E145" s="306"/>
      <c r="F145" s="306"/>
      <c r="G145" s="306"/>
      <c r="H145" s="306"/>
      <c r="I145" s="225"/>
      <c r="Q145" s="396"/>
    </row>
    <row r="146" spans="1:17" ht="15.75" customHeight="1">
      <c r="A146" s="306"/>
      <c r="B146" s="306"/>
      <c r="C146" s="225"/>
      <c r="D146" s="306"/>
      <c r="E146" s="306"/>
      <c r="F146" s="306"/>
      <c r="G146" s="306"/>
      <c r="H146" s="306"/>
      <c r="I146" s="225"/>
      <c r="Q146" s="382"/>
    </row>
    <row r="147" spans="1:17" ht="15.75" customHeight="1">
      <c r="A147" s="306"/>
      <c r="B147" s="306"/>
      <c r="C147" s="309"/>
      <c r="D147" s="306"/>
      <c r="E147" s="306"/>
      <c r="F147" s="306"/>
      <c r="G147" s="306"/>
      <c r="H147" s="306"/>
      <c r="I147" s="225"/>
      <c r="Q147" s="382"/>
    </row>
    <row r="148" spans="1:17" ht="15.75" customHeight="1">
      <c r="A148" s="306"/>
      <c r="B148" s="306"/>
      <c r="C148" s="308"/>
      <c r="D148" s="306"/>
      <c r="E148" s="306"/>
      <c r="F148" s="306"/>
      <c r="G148" s="306"/>
      <c r="H148" s="306"/>
      <c r="I148" s="225"/>
      <c r="Q148" s="383"/>
    </row>
    <row r="149" spans="1:17" ht="15.75" customHeight="1">
      <c r="A149" s="306"/>
      <c r="B149" s="306"/>
      <c r="C149" s="310"/>
      <c r="D149" s="306"/>
      <c r="E149" s="306"/>
      <c r="F149" s="306"/>
      <c r="G149" s="306"/>
      <c r="H149" s="306"/>
      <c r="I149" s="225"/>
      <c r="Q149" s="396"/>
    </row>
    <row r="150" spans="1:17" ht="15.75" customHeight="1">
      <c r="A150" s="306"/>
      <c r="B150" s="306"/>
      <c r="C150" s="311"/>
      <c r="D150" s="306"/>
      <c r="E150" s="306"/>
      <c r="F150" s="306"/>
      <c r="G150" s="306"/>
      <c r="H150" s="306"/>
      <c r="I150" s="225"/>
      <c r="Q150" s="382"/>
    </row>
    <row r="151" spans="1:17" ht="15.75" customHeight="1">
      <c r="A151" s="306"/>
      <c r="B151" s="306"/>
      <c r="C151" s="225"/>
      <c r="D151" s="306"/>
      <c r="E151" s="306"/>
      <c r="F151" s="306"/>
      <c r="G151" s="306"/>
      <c r="H151" s="306"/>
      <c r="I151" s="225"/>
      <c r="Q151" s="382"/>
    </row>
    <row r="152" spans="1:17" ht="15.75" customHeight="1">
      <c r="A152" s="306"/>
      <c r="B152" s="306"/>
      <c r="C152" s="308"/>
      <c r="D152" s="306"/>
      <c r="E152" s="306"/>
      <c r="F152" s="306"/>
      <c r="G152" s="306"/>
      <c r="H152" s="306"/>
      <c r="I152" s="225"/>
      <c r="Q152" s="383"/>
    </row>
    <row r="153" spans="1:17" ht="15.75" customHeight="1">
      <c r="A153" s="306"/>
      <c r="B153" s="306"/>
      <c r="C153" s="35"/>
      <c r="D153" s="306"/>
      <c r="E153" s="306"/>
      <c r="F153" s="306"/>
      <c r="G153" s="306"/>
      <c r="H153" s="306"/>
      <c r="I153" s="225"/>
      <c r="Q153" s="397"/>
    </row>
    <row r="154" spans="1:17" ht="15.75" customHeight="1">
      <c r="A154" s="306"/>
      <c r="B154" s="306"/>
      <c r="C154" s="308"/>
      <c r="D154" s="306"/>
      <c r="E154" s="306"/>
      <c r="F154" s="306"/>
      <c r="G154" s="306"/>
      <c r="H154" s="306"/>
      <c r="I154" s="225"/>
      <c r="Q154" s="382"/>
    </row>
    <row r="155" spans="1:17" ht="15.75" customHeight="1">
      <c r="A155" s="306"/>
      <c r="B155" s="306"/>
      <c r="C155" s="308"/>
      <c r="D155" s="306"/>
      <c r="E155" s="306"/>
      <c r="F155" s="306"/>
      <c r="G155" s="306"/>
      <c r="H155" s="306"/>
      <c r="I155" s="225"/>
      <c r="Q155" s="382"/>
    </row>
    <row r="156" spans="1:17" ht="15.75" customHeight="1">
      <c r="A156" s="306"/>
      <c r="B156" s="306"/>
      <c r="C156" s="35"/>
      <c r="D156" s="306"/>
      <c r="E156" s="306"/>
      <c r="F156" s="306"/>
      <c r="G156" s="306"/>
      <c r="H156" s="306"/>
      <c r="I156" s="225"/>
      <c r="Q156" s="383"/>
    </row>
    <row r="157" spans="1:17" ht="15.75" customHeight="1">
      <c r="A157" s="306"/>
      <c r="B157" s="306"/>
      <c r="C157" s="308"/>
      <c r="D157" s="306"/>
      <c r="E157" s="306"/>
      <c r="F157" s="306"/>
      <c r="G157" s="306"/>
      <c r="H157" s="306"/>
      <c r="I157" s="225"/>
      <c r="Q157" s="396"/>
    </row>
    <row r="158" spans="1:17" ht="15.75" customHeight="1">
      <c r="A158" s="306"/>
      <c r="B158" s="306"/>
      <c r="C158" s="308"/>
      <c r="D158" s="306"/>
      <c r="E158" s="306"/>
      <c r="F158" s="306"/>
      <c r="G158" s="306"/>
      <c r="H158" s="306"/>
      <c r="I158" s="225"/>
      <c r="Q158" s="382"/>
    </row>
    <row r="159" spans="1:17" ht="15.75" customHeight="1">
      <c r="A159" s="306"/>
      <c r="B159" s="306"/>
      <c r="C159" s="225"/>
      <c r="D159" s="306"/>
      <c r="E159" s="306"/>
      <c r="F159" s="306"/>
      <c r="G159" s="306"/>
      <c r="H159" s="306"/>
      <c r="I159" s="225"/>
      <c r="Q159" s="382"/>
    </row>
    <row r="160" spans="1:17" ht="15.75" customHeight="1">
      <c r="A160" s="306"/>
      <c r="B160" s="306"/>
      <c r="C160" s="312"/>
      <c r="D160" s="306"/>
      <c r="E160" s="306"/>
      <c r="F160" s="306"/>
      <c r="G160" s="306"/>
      <c r="H160" s="306"/>
      <c r="I160" s="225"/>
      <c r="Q160" s="383"/>
    </row>
    <row r="161" spans="1:17" ht="15.75" customHeight="1">
      <c r="A161" s="306"/>
      <c r="B161" s="306"/>
      <c r="C161" s="313"/>
      <c r="D161" s="306"/>
      <c r="E161" s="306"/>
      <c r="F161" s="306"/>
      <c r="G161" s="306"/>
      <c r="H161" s="306"/>
      <c r="I161" s="225"/>
      <c r="Q161" s="396"/>
    </row>
    <row r="162" spans="1:17" ht="15.75" customHeight="1">
      <c r="A162" s="306"/>
      <c r="B162" s="306"/>
      <c r="C162" s="225"/>
      <c r="D162" s="306"/>
      <c r="E162" s="306"/>
      <c r="F162" s="306"/>
      <c r="G162" s="306"/>
      <c r="H162" s="306"/>
      <c r="I162" s="225"/>
      <c r="Q162" s="382"/>
    </row>
    <row r="163" spans="1:17" ht="15.75" customHeight="1">
      <c r="A163" s="306"/>
      <c r="B163" s="306"/>
      <c r="C163" s="314"/>
      <c r="D163" s="306"/>
      <c r="E163" s="306"/>
      <c r="F163" s="306"/>
      <c r="G163" s="306"/>
      <c r="H163" s="306"/>
      <c r="I163" s="225"/>
      <c r="Q163" s="382"/>
    </row>
    <row r="164" spans="1:17" ht="15.75" customHeight="1">
      <c r="A164" s="306"/>
      <c r="B164" s="306"/>
      <c r="C164" s="225"/>
      <c r="D164" s="306"/>
      <c r="E164" s="306"/>
      <c r="F164" s="306"/>
      <c r="G164" s="306"/>
      <c r="H164" s="306"/>
      <c r="I164" s="225"/>
      <c r="Q164" s="383"/>
    </row>
    <row r="165" spans="1:17" ht="15.75" customHeight="1">
      <c r="A165" s="306"/>
      <c r="B165" s="306"/>
      <c r="C165" s="226"/>
      <c r="D165" s="306"/>
      <c r="E165" s="306"/>
      <c r="F165" s="306"/>
      <c r="G165" s="306"/>
      <c r="H165" s="306"/>
      <c r="Q165" s="396"/>
    </row>
    <row r="166" spans="1:17" ht="15.75" customHeight="1">
      <c r="C166" s="225"/>
      <c r="Q166" s="382"/>
    </row>
    <row r="167" spans="1:17" ht="15.75" customHeight="1">
      <c r="C167" s="225"/>
      <c r="Q167" s="382"/>
    </row>
    <row r="168" spans="1:17" ht="15.75" customHeight="1">
      <c r="C168" s="225"/>
      <c r="Q168" s="383"/>
    </row>
    <row r="169" spans="1:17" ht="15.75" customHeight="1">
      <c r="C169" s="225"/>
      <c r="Q169" s="396"/>
    </row>
    <row r="170" spans="1:17" ht="15.75" customHeight="1">
      <c r="C170" s="225"/>
      <c r="Q170" s="382"/>
    </row>
    <row r="171" spans="1:17" ht="15.75" customHeight="1">
      <c r="C171" s="225"/>
      <c r="Q171" s="382"/>
    </row>
    <row r="172" spans="1:17" ht="15.75" customHeight="1">
      <c r="C172" s="315"/>
      <c r="Q172" s="383"/>
    </row>
    <row r="173" spans="1:17" ht="15.75" customHeight="1">
      <c r="C173" s="225"/>
      <c r="Q173" s="396"/>
    </row>
    <row r="174" spans="1:17" ht="15.75" customHeight="1">
      <c r="C174" s="225"/>
      <c r="Q174" s="382"/>
    </row>
    <row r="175" spans="1:17" ht="15.75" customHeight="1">
      <c r="C175" s="310"/>
      <c r="Q175" s="382"/>
    </row>
    <row r="176" spans="1:17" ht="15.75" customHeight="1">
      <c r="C176" s="225"/>
      <c r="Q176" s="383"/>
    </row>
    <row r="177" spans="3:17" ht="15.75" customHeight="1">
      <c r="C177" s="225"/>
      <c r="Q177" s="396"/>
    </row>
    <row r="178" spans="3:17" ht="15.75" customHeight="1">
      <c r="C178" s="311"/>
      <c r="Q178" s="382"/>
    </row>
    <row r="179" spans="3:17" ht="15.75" customHeight="1">
      <c r="C179" s="225"/>
      <c r="Q179" s="382"/>
    </row>
    <row r="180" spans="3:17" ht="15.75" customHeight="1">
      <c r="C180" s="310"/>
      <c r="Q180" s="383"/>
    </row>
    <row r="181" spans="3:17" ht="15.75" customHeight="1">
      <c r="C181" s="310"/>
      <c r="Q181" s="396"/>
    </row>
    <row r="182" spans="3:17" ht="15.75" customHeight="1">
      <c r="C182" s="316"/>
      <c r="Q182" s="382"/>
    </row>
    <row r="183" spans="3:17" ht="15.75" customHeight="1">
      <c r="C183" s="225"/>
      <c r="Q183" s="382"/>
    </row>
    <row r="184" spans="3:17" ht="15.75" customHeight="1">
      <c r="C184" s="225"/>
      <c r="Q184" s="383"/>
    </row>
    <row r="185" spans="3:17" ht="15.75" customHeight="1">
      <c r="C185" s="317"/>
      <c r="Q185" s="396"/>
    </row>
    <row r="186" spans="3:17" ht="15.75" customHeight="1">
      <c r="C186" s="225"/>
      <c r="Q186" s="382"/>
    </row>
    <row r="187" spans="3:17" ht="15.75" customHeight="1">
      <c r="C187" s="224"/>
      <c r="Q187" s="382"/>
    </row>
    <row r="188" spans="3:17" ht="15.75" customHeight="1">
      <c r="C188" s="35"/>
      <c r="Q188" s="383"/>
    </row>
    <row r="189" spans="3:17" ht="15.75" customHeight="1">
      <c r="C189" s="35"/>
      <c r="Q189" s="397"/>
    </row>
    <row r="190" spans="3:17" ht="15.75" customHeight="1">
      <c r="C190" s="35"/>
      <c r="Q190" s="382"/>
    </row>
    <row r="191" spans="3:17" ht="15.75" customHeight="1">
      <c r="C191" s="35"/>
      <c r="Q191" s="382"/>
    </row>
    <row r="192" spans="3:17" ht="15.75" customHeight="1">
      <c r="C192" s="318"/>
      <c r="Q192" s="383"/>
    </row>
    <row r="193" spans="3:17" ht="15.75" customHeight="1">
      <c r="C193" s="35"/>
      <c r="Q193" s="397"/>
    </row>
    <row r="194" spans="3:17" ht="15.75" customHeight="1">
      <c r="C194" s="35"/>
      <c r="Q194" s="382"/>
    </row>
    <row r="195" spans="3:17" ht="15.75" customHeight="1">
      <c r="C195" s="225"/>
      <c r="Q195" s="382"/>
    </row>
    <row r="196" spans="3:17" ht="15.75" customHeight="1">
      <c r="C196" s="35"/>
      <c r="Q196" s="383"/>
    </row>
    <row r="197" spans="3:17" ht="15.75" customHeight="1">
      <c r="C197" s="307"/>
      <c r="Q197" s="396"/>
    </row>
    <row r="198" spans="3:17" ht="15.75" customHeight="1">
      <c r="C198" s="35"/>
      <c r="Q198" s="382"/>
    </row>
    <row r="199" spans="3:17" ht="15.75" customHeight="1">
      <c r="C199" s="35"/>
      <c r="Q199" s="382"/>
    </row>
    <row r="200" spans="3:17" ht="15.75" customHeight="1">
      <c r="C200" s="307"/>
      <c r="Q200" s="383"/>
    </row>
    <row r="201" spans="3:17" ht="15.75" customHeight="1">
      <c r="C201" s="225"/>
      <c r="Q201" s="397"/>
    </row>
    <row r="202" spans="3:17" ht="15.75" customHeight="1">
      <c r="C202" s="307"/>
      <c r="Q202" s="382"/>
    </row>
    <row r="203" spans="3:17" ht="15.75" customHeight="1">
      <c r="C203" s="35"/>
      <c r="Q203" s="382"/>
    </row>
    <row r="204" spans="3:17" ht="15.75" customHeight="1">
      <c r="C204" s="225"/>
      <c r="Q204" s="383"/>
    </row>
    <row r="205" spans="3:17" ht="15.75" customHeight="1">
      <c r="C205" s="308"/>
      <c r="Q205" s="397"/>
    </row>
    <row r="206" spans="3:17" ht="15.75" customHeight="1">
      <c r="C206" s="308"/>
      <c r="Q206" s="382"/>
    </row>
    <row r="207" spans="3:17" ht="15.75" customHeight="1">
      <c r="C207" s="225"/>
      <c r="Q207" s="382"/>
    </row>
    <row r="208" spans="3:17" ht="15.75" customHeight="1">
      <c r="C208" s="309"/>
      <c r="Q208" s="383"/>
    </row>
    <row r="209" spans="3:17" ht="15.75" customHeight="1">
      <c r="C209" s="308"/>
      <c r="Q209" s="396"/>
    </row>
    <row r="210" spans="3:17" ht="15.75" customHeight="1">
      <c r="C210" s="310"/>
      <c r="Q210" s="382"/>
    </row>
    <row r="211" spans="3:17" ht="15.75" customHeight="1">
      <c r="C211" s="311"/>
      <c r="Q211" s="382"/>
    </row>
    <row r="212" spans="3:17" ht="15.75" customHeight="1">
      <c r="C212" s="225"/>
      <c r="Q212" s="383"/>
    </row>
    <row r="213" spans="3:17" ht="15.75" customHeight="1">
      <c r="C213" s="308"/>
      <c r="Q213" s="396"/>
    </row>
    <row r="214" spans="3:17" ht="15.75" customHeight="1">
      <c r="C214" s="35"/>
      <c r="Q214" s="382"/>
    </row>
    <row r="215" spans="3:17" ht="15.75" customHeight="1">
      <c r="C215" s="308"/>
      <c r="Q215" s="382"/>
    </row>
    <row r="216" spans="3:17" ht="15.75" customHeight="1">
      <c r="C216" s="308"/>
      <c r="Q216" s="383"/>
    </row>
    <row r="217" spans="3:17" ht="15.75" customHeight="1">
      <c r="C217" s="35"/>
      <c r="Q217" s="396"/>
    </row>
    <row r="218" spans="3:17" ht="15.75" customHeight="1">
      <c r="C218" s="308"/>
      <c r="Q218" s="382"/>
    </row>
    <row r="219" spans="3:17" ht="15.75" customHeight="1">
      <c r="C219" s="308"/>
      <c r="Q219" s="382"/>
    </row>
    <row r="220" spans="3:17" ht="15.75" customHeight="1">
      <c r="C220" s="225"/>
      <c r="Q220" s="383"/>
    </row>
    <row r="221" spans="3:17" ht="15.75" customHeight="1">
      <c r="C221" s="312"/>
      <c r="Q221" s="396"/>
    </row>
    <row r="222" spans="3:17" ht="15.75" customHeight="1">
      <c r="C222" s="313"/>
      <c r="Q222" s="382"/>
    </row>
    <row r="223" spans="3:17" ht="15.75" customHeight="1">
      <c r="C223" s="225"/>
      <c r="Q223" s="382"/>
    </row>
    <row r="224" spans="3:17" ht="15.75" customHeight="1">
      <c r="C224" s="314"/>
      <c r="Q224" s="383"/>
    </row>
    <row r="225" spans="3:17" ht="15.75" customHeight="1">
      <c r="C225" s="225"/>
      <c r="Q225" s="397"/>
    </row>
    <row r="226" spans="3:17" ht="15.75" customHeight="1">
      <c r="C226" s="226"/>
      <c r="Q226" s="382"/>
    </row>
    <row r="227" spans="3:17" ht="15.75" customHeight="1">
      <c r="C227" s="225"/>
      <c r="Q227" s="382"/>
    </row>
    <row r="228" spans="3:17" ht="15.75" customHeight="1">
      <c r="C228" s="225"/>
      <c r="Q228" s="383"/>
    </row>
    <row r="229" spans="3:17" ht="15.75" customHeight="1">
      <c r="C229" s="225"/>
      <c r="Q229" s="396"/>
    </row>
    <row r="230" spans="3:17" ht="15.75" customHeight="1">
      <c r="C230" s="225"/>
      <c r="Q230" s="382"/>
    </row>
    <row r="231" spans="3:17" ht="15.75" customHeight="1">
      <c r="C231" s="225"/>
      <c r="Q231" s="382"/>
    </row>
    <row r="232" spans="3:17" ht="15.75" customHeight="1">
      <c r="C232" s="225"/>
      <c r="Q232" s="383"/>
    </row>
    <row r="233" spans="3:17" ht="15.75" customHeight="1">
      <c r="C233" s="315"/>
      <c r="Q233" s="396"/>
    </row>
    <row r="234" spans="3:17" ht="15.75" customHeight="1">
      <c r="C234" s="225"/>
      <c r="Q234" s="382"/>
    </row>
    <row r="235" spans="3:17" ht="15.75" customHeight="1">
      <c r="C235" s="225"/>
      <c r="Q235" s="382"/>
    </row>
    <row r="236" spans="3:17" ht="15.75" customHeight="1">
      <c r="C236" s="310"/>
      <c r="Q236" s="383"/>
    </row>
    <row r="237" spans="3:17" ht="15.75" customHeight="1">
      <c r="C237" s="225"/>
      <c r="Q237" s="396"/>
    </row>
    <row r="238" spans="3:17" ht="15.75" customHeight="1">
      <c r="C238" s="225"/>
      <c r="Q238" s="382"/>
    </row>
    <row r="239" spans="3:17" ht="15.75" customHeight="1">
      <c r="C239" s="311"/>
      <c r="Q239" s="382"/>
    </row>
    <row r="240" spans="3:17" ht="15.75" customHeight="1">
      <c r="C240" s="225"/>
      <c r="Q240" s="383"/>
    </row>
    <row r="241" spans="3:17" ht="15.75" customHeight="1">
      <c r="C241" s="310"/>
      <c r="Q241" s="396"/>
    </row>
    <row r="242" spans="3:17" ht="15.75" customHeight="1">
      <c r="C242" s="310"/>
      <c r="Q242" s="382"/>
    </row>
    <row r="243" spans="3:17" ht="15.75" customHeight="1">
      <c r="C243" s="316"/>
      <c r="Q243" s="382"/>
    </row>
    <row r="244" spans="3:17" ht="15.75" customHeight="1">
      <c r="C244" s="225"/>
      <c r="Q244" s="383"/>
    </row>
    <row r="245" spans="3:17" ht="15.75" customHeight="1">
      <c r="C245" s="225"/>
      <c r="Q245" s="396"/>
    </row>
    <row r="246" spans="3:17" ht="15.75" customHeight="1">
      <c r="C246" s="317"/>
      <c r="Q246" s="382"/>
    </row>
    <row r="247" spans="3:17" ht="15.75" customHeight="1">
      <c r="C247" s="225"/>
      <c r="Q247" s="382"/>
    </row>
    <row r="248" spans="3:17" ht="15.75" customHeight="1">
      <c r="C248" s="224"/>
      <c r="Q248" s="383"/>
    </row>
    <row r="249" spans="3:17" ht="15.75" customHeight="1">
      <c r="C249" s="35"/>
      <c r="Q249" s="396"/>
    </row>
    <row r="250" spans="3:17" ht="15.75" customHeight="1">
      <c r="C250" s="35"/>
      <c r="Q250" s="382"/>
    </row>
    <row r="251" spans="3:17" ht="15.75" customHeight="1">
      <c r="C251" s="35"/>
      <c r="Q251" s="382"/>
    </row>
    <row r="252" spans="3:17" ht="15.75" customHeight="1">
      <c r="C252" s="35"/>
      <c r="Q252" s="383"/>
    </row>
    <row r="253" spans="3:17" ht="15.75" customHeight="1">
      <c r="C253" s="318"/>
      <c r="Q253" s="396"/>
    </row>
    <row r="254" spans="3:17" ht="15.75" customHeight="1">
      <c r="C254" s="35"/>
      <c r="Q254" s="382"/>
    </row>
    <row r="255" spans="3:17" ht="15.75" customHeight="1">
      <c r="C255" s="35"/>
      <c r="Q255" s="382"/>
    </row>
    <row r="256" spans="3:17" ht="15.75" customHeight="1">
      <c r="C256" s="225"/>
      <c r="Q256" s="383"/>
    </row>
    <row r="257" spans="3:17" ht="15.75" customHeight="1">
      <c r="C257" s="35"/>
      <c r="Q257" s="396"/>
    </row>
    <row r="258" spans="3:17" ht="15.75" customHeight="1">
      <c r="C258" s="307"/>
      <c r="Q258" s="382"/>
    </row>
    <row r="259" spans="3:17" ht="15.75" customHeight="1">
      <c r="C259" s="35"/>
      <c r="Q259" s="382"/>
    </row>
    <row r="260" spans="3:17" ht="15.75" customHeight="1">
      <c r="C260" s="35"/>
      <c r="Q260" s="383"/>
    </row>
    <row r="261" spans="3:17" ht="15.75" customHeight="1">
      <c r="C261" s="307"/>
      <c r="Q261" s="396"/>
    </row>
    <row r="262" spans="3:17" ht="15.75" customHeight="1">
      <c r="C262" s="225"/>
      <c r="Q262" s="382"/>
    </row>
    <row r="263" spans="3:17" ht="15.75" customHeight="1">
      <c r="C263" s="307"/>
      <c r="Q263" s="382"/>
    </row>
    <row r="264" spans="3:17" ht="15.75" customHeight="1">
      <c r="C264" s="35"/>
      <c r="Q264" s="383"/>
    </row>
    <row r="265" spans="3:17" ht="15.75" customHeight="1">
      <c r="C265" s="225"/>
      <c r="Q265" s="398"/>
    </row>
    <row r="266" spans="3:17" ht="15.75" customHeight="1">
      <c r="C266" s="308"/>
      <c r="Q266" s="393"/>
    </row>
    <row r="267" spans="3:17" ht="15.75" customHeight="1">
      <c r="C267" s="308"/>
    </row>
    <row r="268" spans="3:17" ht="15.75" customHeight="1">
      <c r="C268" s="225"/>
    </row>
    <row r="269" spans="3:17" ht="15.75" customHeight="1">
      <c r="C269" s="309"/>
    </row>
    <row r="270" spans="3:17" ht="15.75" customHeight="1">
      <c r="C270" s="308"/>
    </row>
    <row r="271" spans="3:17" ht="15.75" customHeight="1">
      <c r="C271" s="310"/>
    </row>
    <row r="272" spans="3:17" ht="15.75" customHeight="1">
      <c r="C272" s="311"/>
    </row>
    <row r="273" spans="3:3" ht="15.75" customHeight="1">
      <c r="C273" s="225"/>
    </row>
    <row r="274" spans="3:3" ht="15.75" customHeight="1">
      <c r="C274" s="308"/>
    </row>
    <row r="275" spans="3:3" ht="15.75" customHeight="1">
      <c r="C275" s="35"/>
    </row>
    <row r="276" spans="3:3" ht="15.75" customHeight="1">
      <c r="C276" s="308"/>
    </row>
    <row r="277" spans="3:3" ht="15.75" customHeight="1">
      <c r="C277" s="308"/>
    </row>
    <row r="278" spans="3:3" ht="15.75" customHeight="1">
      <c r="C278" s="35"/>
    </row>
    <row r="279" spans="3:3" ht="15.75" customHeight="1">
      <c r="C279" s="308"/>
    </row>
    <row r="280" spans="3:3" ht="15.75" customHeight="1">
      <c r="C280" s="308"/>
    </row>
    <row r="281" spans="3:3" ht="15.75" customHeight="1">
      <c r="C281" s="225"/>
    </row>
    <row r="282" spans="3:3" ht="15.75" customHeight="1">
      <c r="C282" s="312"/>
    </row>
    <row r="283" spans="3:3" ht="15.75" customHeight="1">
      <c r="C283" s="313"/>
    </row>
    <row r="284" spans="3:3" ht="15.75" customHeight="1">
      <c r="C284" s="225"/>
    </row>
    <row r="285" spans="3:3" ht="15.75" customHeight="1">
      <c r="C285" s="314"/>
    </row>
    <row r="286" spans="3:3" ht="15.75" customHeight="1">
      <c r="C286" s="225"/>
    </row>
    <row r="287" spans="3:3" ht="15.75" customHeight="1">
      <c r="C287" s="226"/>
    </row>
    <row r="288" spans="3:3" ht="15.75" customHeight="1">
      <c r="C288" s="225"/>
    </row>
    <row r="289" spans="3:3" ht="15.75" customHeight="1">
      <c r="C289" s="225"/>
    </row>
    <row r="290" spans="3:3" ht="15.75" customHeight="1">
      <c r="C290" s="225"/>
    </row>
    <row r="291" spans="3:3" ht="15.75" customHeight="1">
      <c r="C291" s="225"/>
    </row>
    <row r="292" spans="3:3" ht="15.75" customHeight="1">
      <c r="C292" s="225"/>
    </row>
    <row r="293" spans="3:3" ht="15.75" customHeight="1">
      <c r="C293" s="225"/>
    </row>
    <row r="294" spans="3:3" ht="15.75" customHeight="1">
      <c r="C294" s="315"/>
    </row>
    <row r="295" spans="3:3" ht="15.75" customHeight="1">
      <c r="C295" s="225"/>
    </row>
    <row r="296" spans="3:3" ht="15.75" customHeight="1">
      <c r="C296" s="225"/>
    </row>
    <row r="297" spans="3:3" ht="15.75" customHeight="1">
      <c r="C297" s="310"/>
    </row>
    <row r="298" spans="3:3" ht="15.75" customHeight="1">
      <c r="C298" s="225"/>
    </row>
    <row r="299" spans="3:3" ht="15.75" customHeight="1">
      <c r="C299" s="225"/>
    </row>
    <row r="300" spans="3:3" ht="15.75" customHeight="1">
      <c r="C300" s="311"/>
    </row>
    <row r="301" spans="3:3" ht="15.75" customHeight="1">
      <c r="C301" s="225"/>
    </row>
    <row r="302" spans="3:3" ht="15.75" customHeight="1">
      <c r="C302" s="310"/>
    </row>
    <row r="303" spans="3:3" ht="15.75" customHeight="1">
      <c r="C303" s="310"/>
    </row>
    <row r="304" spans="3:3" ht="15.75" customHeight="1">
      <c r="C304" s="316"/>
    </row>
    <row r="305" spans="3:3" ht="15.75" customHeight="1">
      <c r="C305" s="225"/>
    </row>
    <row r="306" spans="3:3" ht="15.75" customHeight="1">
      <c r="C306" s="225"/>
    </row>
    <row r="307" spans="3:3" ht="15.75" customHeight="1">
      <c r="C307" s="317"/>
    </row>
    <row r="308" spans="3:3" ht="15.75" customHeight="1">
      <c r="C308" s="225"/>
    </row>
    <row r="309" spans="3:3" ht="15.75" customHeight="1">
      <c r="C309" s="224"/>
    </row>
    <row r="310" spans="3:3" ht="15.75" customHeight="1">
      <c r="C310" s="35"/>
    </row>
    <row r="311" spans="3:3" ht="15.75" customHeight="1">
      <c r="C311" s="35"/>
    </row>
    <row r="312" spans="3:3" ht="15.75" customHeight="1">
      <c r="C312" s="35"/>
    </row>
    <row r="313" spans="3:3" ht="15.75" customHeight="1">
      <c r="C313" s="35"/>
    </row>
    <row r="314" spans="3:3" ht="15.75" customHeight="1">
      <c r="C314" s="318"/>
    </row>
    <row r="315" spans="3:3" ht="15.75" customHeight="1">
      <c r="C315" s="35"/>
    </row>
    <row r="316" spans="3:3" ht="15.75" customHeight="1">
      <c r="C316" s="35"/>
    </row>
    <row r="317" spans="3:3" ht="15.75" customHeight="1">
      <c r="C317" s="225"/>
    </row>
    <row r="318" spans="3:3" ht="15.75" customHeight="1">
      <c r="C318" s="35"/>
    </row>
    <row r="319" spans="3:3" ht="15.75" customHeight="1">
      <c r="C319" s="307"/>
    </row>
    <row r="320" spans="3:3" ht="15.75" customHeight="1">
      <c r="C320" s="35"/>
    </row>
    <row r="321" spans="3:3" ht="15.75" customHeight="1">
      <c r="C321" s="35"/>
    </row>
    <row r="322" spans="3:3" ht="15.75" customHeight="1">
      <c r="C322" s="307"/>
    </row>
    <row r="323" spans="3:3" ht="15.75" customHeight="1">
      <c r="C323" s="225"/>
    </row>
    <row r="324" spans="3:3" ht="15.75" customHeight="1">
      <c r="C324" s="307"/>
    </row>
    <row r="325" spans="3:3" ht="15.75" customHeight="1">
      <c r="C325" s="35"/>
    </row>
    <row r="326" spans="3:3" ht="15.75" customHeight="1">
      <c r="C326" s="225"/>
    </row>
    <row r="327" spans="3:3" ht="15.75" customHeight="1">
      <c r="C327" s="308"/>
    </row>
    <row r="328" spans="3:3" ht="15.75" customHeight="1">
      <c r="C328" s="308"/>
    </row>
    <row r="329" spans="3:3" ht="15.75" customHeight="1">
      <c r="C329" s="225"/>
    </row>
    <row r="330" spans="3:3" ht="15.75" customHeight="1">
      <c r="C330" s="309"/>
    </row>
    <row r="331" spans="3:3" ht="15.75" customHeight="1">
      <c r="C331" s="308"/>
    </row>
    <row r="332" spans="3:3" ht="15.75" customHeight="1">
      <c r="C332" s="310"/>
    </row>
    <row r="333" spans="3:3" ht="15.75" customHeight="1">
      <c r="C333" s="311"/>
    </row>
    <row r="334" spans="3:3" ht="15.75" customHeight="1">
      <c r="C334" s="225"/>
    </row>
    <row r="335" spans="3:3" ht="15.75" customHeight="1">
      <c r="C335" s="308"/>
    </row>
    <row r="336" spans="3:3" ht="15.75" customHeight="1">
      <c r="C336" s="35"/>
    </row>
    <row r="337" spans="3:3" ht="15.75" customHeight="1">
      <c r="C337" s="308"/>
    </row>
    <row r="338" spans="3:3" ht="15.75" customHeight="1">
      <c r="C338" s="308"/>
    </row>
    <row r="339" spans="3:3" ht="15.75" customHeight="1">
      <c r="C339" s="35"/>
    </row>
    <row r="340" spans="3:3" ht="15.75" customHeight="1">
      <c r="C340" s="308"/>
    </row>
    <row r="341" spans="3:3" ht="15.75" customHeight="1">
      <c r="C341" s="308"/>
    </row>
    <row r="342" spans="3:3" ht="15.75" customHeight="1">
      <c r="C342" s="225"/>
    </row>
    <row r="343" spans="3:3" ht="15.75" customHeight="1">
      <c r="C343" s="312"/>
    </row>
    <row r="344" spans="3:3" ht="15.75" customHeight="1">
      <c r="C344" s="313"/>
    </row>
    <row r="345" spans="3:3" ht="15.75" customHeight="1">
      <c r="C345" s="225"/>
    </row>
    <row r="346" spans="3:3" ht="15.75" customHeight="1">
      <c r="C346" s="314"/>
    </row>
    <row r="347" spans="3:3" ht="15.75" customHeight="1">
      <c r="C347" s="225"/>
    </row>
    <row r="348" spans="3:3" ht="15.75" customHeight="1">
      <c r="C348" s="226"/>
    </row>
    <row r="349" spans="3:3" ht="15.75" customHeight="1">
      <c r="C349" s="225"/>
    </row>
    <row r="350" spans="3:3" ht="15.75" customHeight="1">
      <c r="C350" s="225"/>
    </row>
    <row r="351" spans="3:3" ht="15.75" customHeight="1">
      <c r="C351" s="225"/>
    </row>
    <row r="352" spans="3:3" ht="15.75" customHeight="1">
      <c r="C352" s="225"/>
    </row>
    <row r="353" spans="3:3" ht="15.75" customHeight="1">
      <c r="C353" s="225"/>
    </row>
    <row r="354" spans="3:3" ht="15.75" customHeight="1">
      <c r="C354" s="225"/>
    </row>
    <row r="355" spans="3:3" ht="15.75" customHeight="1">
      <c r="C355" s="315"/>
    </row>
    <row r="356" spans="3:3" ht="15.75" customHeight="1">
      <c r="C356" s="225"/>
    </row>
    <row r="357" spans="3:3" ht="15.75" customHeight="1">
      <c r="C357" s="225"/>
    </row>
    <row r="358" spans="3:3" ht="15.75" customHeight="1">
      <c r="C358" s="310"/>
    </row>
    <row r="359" spans="3:3" ht="15.75" customHeight="1">
      <c r="C359" s="225"/>
    </row>
    <row r="360" spans="3:3" ht="15.75" customHeight="1">
      <c r="C360" s="225"/>
    </row>
    <row r="361" spans="3:3" ht="15.75" customHeight="1">
      <c r="C361" s="311"/>
    </row>
    <row r="362" spans="3:3" ht="15.75" customHeight="1">
      <c r="C362" s="225"/>
    </row>
    <row r="363" spans="3:3" ht="15.75" customHeight="1">
      <c r="C363" s="310"/>
    </row>
    <row r="364" spans="3:3" ht="15.75" customHeight="1">
      <c r="C364" s="310"/>
    </row>
    <row r="365" spans="3:3" ht="15.75" customHeight="1">
      <c r="C365" s="316"/>
    </row>
    <row r="366" spans="3:3" ht="15.75" customHeight="1">
      <c r="C366" s="225"/>
    </row>
    <row r="367" spans="3:3" ht="15.75" customHeight="1">
      <c r="C367" s="225"/>
    </row>
    <row r="368" spans="3:3" ht="15.75" customHeight="1">
      <c r="C368" s="317"/>
    </row>
    <row r="369" spans="3:3" ht="15.75" customHeight="1">
      <c r="C369" s="225"/>
    </row>
    <row r="370" spans="3:3" ht="15.75" customHeight="1">
      <c r="C370" s="224"/>
    </row>
    <row r="371" spans="3:3" ht="15.75" customHeight="1">
      <c r="C371" s="35"/>
    </row>
    <row r="372" spans="3:3" ht="15.75" customHeight="1">
      <c r="C372" s="35"/>
    </row>
    <row r="373" spans="3:3" ht="15.75" customHeight="1">
      <c r="C373" s="35"/>
    </row>
    <row r="374" spans="3:3" ht="15.75" customHeight="1">
      <c r="C374" s="35"/>
    </row>
    <row r="375" spans="3:3" ht="15.75" customHeight="1">
      <c r="C375" s="318"/>
    </row>
    <row r="376" spans="3:3" ht="15.75" customHeight="1">
      <c r="C376" s="35"/>
    </row>
    <row r="377" spans="3:3" ht="15.75" customHeight="1">
      <c r="C377" s="35"/>
    </row>
    <row r="378" spans="3:3" ht="15.75" customHeight="1">
      <c r="C378" s="225"/>
    </row>
    <row r="379" spans="3:3" ht="15.75" customHeight="1">
      <c r="C379" s="35"/>
    </row>
    <row r="380" spans="3:3" ht="15.75" customHeight="1">
      <c r="C380" s="307"/>
    </row>
    <row r="381" spans="3:3" ht="15.75" customHeight="1">
      <c r="C381" s="35"/>
    </row>
    <row r="382" spans="3:3" ht="15.75" customHeight="1">
      <c r="C382" s="35"/>
    </row>
    <row r="383" spans="3:3" ht="15.75" customHeight="1">
      <c r="C383" s="307"/>
    </row>
    <row r="384" spans="3:3" ht="15.75" customHeight="1">
      <c r="C384" s="225"/>
    </row>
    <row r="385" spans="3:3" ht="15.75" customHeight="1">
      <c r="C385" s="307"/>
    </row>
    <row r="386" spans="3:3" ht="15.75" customHeight="1">
      <c r="C386" s="35"/>
    </row>
    <row r="387" spans="3:3" ht="15.75" customHeight="1">
      <c r="C387" s="225"/>
    </row>
    <row r="388" spans="3:3" ht="15.75" customHeight="1">
      <c r="C388" s="308"/>
    </row>
    <row r="389" spans="3:3" ht="15.75" customHeight="1">
      <c r="C389" s="308"/>
    </row>
    <row r="390" spans="3:3" ht="15.75" customHeight="1">
      <c r="C390" s="225"/>
    </row>
    <row r="391" spans="3:3" ht="15.75" customHeight="1">
      <c r="C391" s="309"/>
    </row>
    <row r="392" spans="3:3" ht="15.75" customHeight="1">
      <c r="C392" s="308"/>
    </row>
    <row r="393" spans="3:3" ht="15.75" customHeight="1">
      <c r="C393" s="310"/>
    </row>
    <row r="394" spans="3:3" ht="15.75" customHeight="1">
      <c r="C394" s="311"/>
    </row>
    <row r="395" spans="3:3" ht="15.75" customHeight="1">
      <c r="C395" s="225"/>
    </row>
    <row r="396" spans="3:3" ht="15.75" customHeight="1">
      <c r="C396" s="308"/>
    </row>
    <row r="397" spans="3:3" ht="15.75" customHeight="1">
      <c r="C397" s="35"/>
    </row>
    <row r="398" spans="3:3" ht="15.75" customHeight="1">
      <c r="C398" s="308"/>
    </row>
    <row r="399" spans="3:3" ht="15.75" customHeight="1">
      <c r="C399" s="308"/>
    </row>
    <row r="400" spans="3:3" ht="15.75" customHeight="1">
      <c r="C400" s="35"/>
    </row>
    <row r="401" spans="3:3" ht="15.75" customHeight="1">
      <c r="C401" s="308"/>
    </row>
    <row r="402" spans="3:3" ht="15.75" customHeight="1">
      <c r="C402" s="308"/>
    </row>
    <row r="403" spans="3:3" ht="15.75" customHeight="1">
      <c r="C403" s="225"/>
    </row>
    <row r="404" spans="3:3" ht="15.75" customHeight="1">
      <c r="C404" s="312"/>
    </row>
    <row r="405" spans="3:3" ht="15.75" customHeight="1">
      <c r="C405" s="313"/>
    </row>
    <row r="406" spans="3:3" ht="15.75" customHeight="1">
      <c r="C406" s="225"/>
    </row>
    <row r="407" spans="3:3" ht="15.75" customHeight="1">
      <c r="C407" s="314"/>
    </row>
    <row r="408" spans="3:3" ht="15.75" customHeight="1">
      <c r="C408" s="225"/>
    </row>
    <row r="409" spans="3:3" ht="15.75" customHeight="1">
      <c r="C409" s="226"/>
    </row>
    <row r="410" spans="3:3" ht="15.75" customHeight="1">
      <c r="C410" s="225"/>
    </row>
    <row r="411" spans="3:3" ht="15.75" customHeight="1">
      <c r="C411" s="225"/>
    </row>
    <row r="412" spans="3:3" ht="15.75" customHeight="1">
      <c r="C412" s="225"/>
    </row>
    <row r="413" spans="3:3" ht="15.75" customHeight="1">
      <c r="C413" s="225"/>
    </row>
    <row r="414" spans="3:3" ht="15.75" customHeight="1">
      <c r="C414" s="225"/>
    </row>
    <row r="415" spans="3:3" ht="15.75" customHeight="1">
      <c r="C415" s="225"/>
    </row>
    <row r="416" spans="3:3" ht="15.75" customHeight="1">
      <c r="C416" s="315"/>
    </row>
    <row r="417" spans="3:3" ht="15.75" customHeight="1">
      <c r="C417" s="225"/>
    </row>
    <row r="418" spans="3:3" ht="15.75" customHeight="1">
      <c r="C418" s="225"/>
    </row>
    <row r="419" spans="3:3" ht="15.75" customHeight="1">
      <c r="C419" s="310"/>
    </row>
    <row r="420" spans="3:3" ht="15.75" customHeight="1">
      <c r="C420" s="225"/>
    </row>
    <row r="421" spans="3:3" ht="15.75" customHeight="1">
      <c r="C421" s="225"/>
    </row>
    <row r="422" spans="3:3" ht="15.75" customHeight="1">
      <c r="C422" s="311"/>
    </row>
    <row r="423" spans="3:3" ht="15.75" customHeight="1">
      <c r="C423" s="225"/>
    </row>
    <row r="424" spans="3:3" ht="15.75" customHeight="1">
      <c r="C424" s="310"/>
    </row>
    <row r="425" spans="3:3" ht="15.75" customHeight="1">
      <c r="C425" s="310"/>
    </row>
    <row r="426" spans="3:3" ht="15.75" customHeight="1">
      <c r="C426" s="316"/>
    </row>
    <row r="427" spans="3:3" ht="15.75" customHeight="1">
      <c r="C427" s="225"/>
    </row>
    <row r="428" spans="3:3" ht="15.75" customHeight="1">
      <c r="C428" s="225"/>
    </row>
    <row r="429" spans="3:3" ht="15.75" customHeight="1">
      <c r="C429" s="317"/>
    </row>
    <row r="430" spans="3:3" ht="15.75" customHeight="1">
      <c r="C430" s="225"/>
    </row>
    <row r="431" spans="3:3" ht="15.75" customHeight="1">
      <c r="C431" s="224"/>
    </row>
    <row r="432" spans="3:3" ht="15.75" customHeight="1">
      <c r="C432" s="35"/>
    </row>
    <row r="433" spans="3:3" ht="15.75" customHeight="1">
      <c r="C433" s="35"/>
    </row>
    <row r="434" spans="3:3" ht="15.75" customHeight="1">
      <c r="C434" s="35"/>
    </row>
    <row r="435" spans="3:3" ht="15.75" customHeight="1">
      <c r="C435" s="35"/>
    </row>
    <row r="436" spans="3:3" ht="15.75" customHeight="1">
      <c r="C436" s="318"/>
    </row>
    <row r="437" spans="3:3" ht="15.75" customHeight="1">
      <c r="C437" s="35"/>
    </row>
    <row r="438" spans="3:3" ht="15.75" customHeight="1">
      <c r="C438" s="35"/>
    </row>
    <row r="439" spans="3:3" ht="15.75" customHeight="1">
      <c r="C439" s="225"/>
    </row>
    <row r="440" spans="3:3" ht="15.75" customHeight="1">
      <c r="C440" s="35"/>
    </row>
    <row r="441" spans="3:3" ht="15.75" customHeight="1">
      <c r="C441" s="307"/>
    </row>
    <row r="442" spans="3:3" ht="15.75" customHeight="1">
      <c r="C442" s="35"/>
    </row>
    <row r="443" spans="3:3" ht="15.75" customHeight="1">
      <c r="C443" s="35"/>
    </row>
    <row r="444" spans="3:3" ht="15.75" customHeight="1">
      <c r="C444" s="307"/>
    </row>
    <row r="445" spans="3:3" ht="15.75" customHeight="1">
      <c r="C445" s="225"/>
    </row>
    <row r="446" spans="3:3" ht="15.75" customHeight="1">
      <c r="C446" s="307"/>
    </row>
    <row r="447" spans="3:3" ht="15.75" customHeight="1">
      <c r="C447" s="35"/>
    </row>
    <row r="448" spans="3:3" ht="15.75" customHeight="1">
      <c r="C448" s="225"/>
    </row>
    <row r="449" spans="3:3" ht="15.75" customHeight="1">
      <c r="C449" s="308"/>
    </row>
    <row r="450" spans="3:3" ht="15.75" customHeight="1">
      <c r="C450" s="308"/>
    </row>
    <row r="451" spans="3:3" ht="15.75" customHeight="1">
      <c r="C451" s="225"/>
    </row>
    <row r="452" spans="3:3" ht="15.75" customHeight="1">
      <c r="C452" s="309"/>
    </row>
    <row r="453" spans="3:3" ht="15.75" customHeight="1">
      <c r="C453" s="308"/>
    </row>
    <row r="454" spans="3:3" ht="15.75" customHeight="1">
      <c r="C454" s="310"/>
    </row>
    <row r="455" spans="3:3" ht="15.75" customHeight="1">
      <c r="C455" s="311"/>
    </row>
    <row r="456" spans="3:3" ht="15.75" customHeight="1">
      <c r="C456" s="225"/>
    </row>
    <row r="457" spans="3:3" ht="15.75" customHeight="1">
      <c r="C457" s="308"/>
    </row>
    <row r="458" spans="3:3" ht="15.75" customHeight="1">
      <c r="C458" s="35"/>
    </row>
    <row r="459" spans="3:3" ht="15.75" customHeight="1">
      <c r="C459" s="308"/>
    </row>
    <row r="460" spans="3:3" ht="15.75" customHeight="1">
      <c r="C460" s="308"/>
    </row>
    <row r="461" spans="3:3" ht="15.75" customHeight="1">
      <c r="C461" s="35"/>
    </row>
    <row r="462" spans="3:3" ht="15.75" customHeight="1">
      <c r="C462" s="308"/>
    </row>
    <row r="463" spans="3:3" ht="15.75" customHeight="1">
      <c r="C463" s="308"/>
    </row>
    <row r="464" spans="3:3" ht="15.75" customHeight="1">
      <c r="C464" s="225"/>
    </row>
    <row r="465" spans="3:3" ht="15.75" customHeight="1">
      <c r="C465" s="312"/>
    </row>
    <row r="466" spans="3:3" ht="15.75" customHeight="1">
      <c r="C466" s="313"/>
    </row>
    <row r="467" spans="3:3" ht="15.75" customHeight="1">
      <c r="C467" s="225"/>
    </row>
    <row r="468" spans="3:3" ht="15.75" customHeight="1">
      <c r="C468" s="314"/>
    </row>
    <row r="469" spans="3:3" ht="15.75" customHeight="1">
      <c r="C469" s="225"/>
    </row>
    <row r="470" spans="3:3" ht="15.75" customHeight="1">
      <c r="C470" s="226"/>
    </row>
    <row r="471" spans="3:3" ht="15.75" customHeight="1">
      <c r="C471" s="225"/>
    </row>
    <row r="472" spans="3:3" ht="15.75" customHeight="1">
      <c r="C472" s="225"/>
    </row>
    <row r="473" spans="3:3" ht="15.75" customHeight="1">
      <c r="C473" s="225"/>
    </row>
    <row r="474" spans="3:3" ht="15.75" customHeight="1">
      <c r="C474" s="225"/>
    </row>
    <row r="475" spans="3:3" ht="15.75" customHeight="1">
      <c r="C475" s="225"/>
    </row>
    <row r="476" spans="3:3" ht="15.75" customHeight="1">
      <c r="C476" s="225"/>
    </row>
    <row r="477" spans="3:3" ht="15.75" customHeight="1">
      <c r="C477" s="315"/>
    </row>
    <row r="478" spans="3:3" ht="15.75" customHeight="1">
      <c r="C478" s="225"/>
    </row>
    <row r="479" spans="3:3" ht="15.75" customHeight="1">
      <c r="C479" s="225"/>
    </row>
    <row r="480" spans="3:3" ht="15.75" customHeight="1">
      <c r="C480" s="310"/>
    </row>
    <row r="481" spans="3:3" ht="15.75" customHeight="1">
      <c r="C481" s="225"/>
    </row>
    <row r="482" spans="3:3" ht="15.75" customHeight="1">
      <c r="C482" s="225"/>
    </row>
    <row r="483" spans="3:3" ht="15.75" customHeight="1">
      <c r="C483" s="311"/>
    </row>
    <row r="484" spans="3:3" ht="15.75" customHeight="1">
      <c r="C484" s="225"/>
    </row>
    <row r="485" spans="3:3" ht="15.75" customHeight="1">
      <c r="C485" s="310"/>
    </row>
    <row r="486" spans="3:3" ht="15.75" customHeight="1">
      <c r="C486" s="310"/>
    </row>
    <row r="487" spans="3:3" ht="15.75" customHeight="1">
      <c r="C487" s="316"/>
    </row>
    <row r="488" spans="3:3" ht="15.75" customHeight="1">
      <c r="C488" s="225"/>
    </row>
    <row r="489" spans="3:3" ht="15.75" customHeight="1">
      <c r="C489" s="225"/>
    </row>
    <row r="490" spans="3:3" ht="15.75" customHeight="1">
      <c r="C490" s="317"/>
    </row>
    <row r="491" spans="3:3" ht="15.75" customHeight="1">
      <c r="C491" s="225"/>
    </row>
    <row r="492" spans="3:3" ht="15.75" customHeight="1">
      <c r="C492" s="224"/>
    </row>
    <row r="493" spans="3:3" ht="15.75" customHeight="1">
      <c r="C493" s="35"/>
    </row>
    <row r="494" spans="3:3" ht="15.75" customHeight="1">
      <c r="C494" s="35"/>
    </row>
    <row r="495" spans="3:3" ht="15.75" customHeight="1">
      <c r="C495" s="35"/>
    </row>
    <row r="496" spans="3:3" ht="15.75" customHeight="1">
      <c r="C496" s="35"/>
    </row>
    <row r="497" spans="3:3" ht="15.75" customHeight="1">
      <c r="C497" s="318"/>
    </row>
    <row r="498" spans="3:3" ht="15.75" customHeight="1">
      <c r="C498" s="35"/>
    </row>
    <row r="499" spans="3:3" ht="15.75" customHeight="1">
      <c r="C499" s="35"/>
    </row>
    <row r="500" spans="3:3" ht="15.75" customHeight="1">
      <c r="C500" s="225"/>
    </row>
    <row r="501" spans="3:3" ht="15.75" customHeight="1">
      <c r="C501" s="35"/>
    </row>
    <row r="502" spans="3:3" ht="15.75" customHeight="1">
      <c r="C502" s="307"/>
    </row>
    <row r="503" spans="3:3" ht="15.75" customHeight="1">
      <c r="C503" s="35"/>
    </row>
    <row r="504" spans="3:3" ht="15.75" customHeight="1">
      <c r="C504" s="35"/>
    </row>
    <row r="505" spans="3:3" ht="15.75" customHeight="1">
      <c r="C505" s="307"/>
    </row>
    <row r="506" spans="3:3" ht="15.75" customHeight="1">
      <c r="C506" s="225"/>
    </row>
    <row r="507" spans="3:3" ht="15.75" customHeight="1">
      <c r="C507" s="307"/>
    </row>
    <row r="508" spans="3:3" ht="15.75" customHeight="1">
      <c r="C508" s="35"/>
    </row>
    <row r="509" spans="3:3" ht="15.75" customHeight="1">
      <c r="C509" s="225"/>
    </row>
    <row r="510" spans="3:3" ht="15.75" customHeight="1">
      <c r="C510" s="308"/>
    </row>
    <row r="511" spans="3:3" ht="15.75" customHeight="1">
      <c r="C511" s="308"/>
    </row>
    <row r="512" spans="3:3" ht="15.75" customHeight="1">
      <c r="C512" s="225"/>
    </row>
    <row r="513" spans="3:3" ht="15.75" customHeight="1">
      <c r="C513" s="309"/>
    </row>
    <row r="514" spans="3:3" ht="15.75" customHeight="1">
      <c r="C514" s="308"/>
    </row>
    <row r="515" spans="3:3" ht="15.75" customHeight="1">
      <c r="C515" s="310"/>
    </row>
    <row r="516" spans="3:3" ht="15.75" customHeight="1">
      <c r="C516" s="311"/>
    </row>
    <row r="517" spans="3:3" ht="15.75" customHeight="1">
      <c r="C517" s="225"/>
    </row>
    <row r="518" spans="3:3" ht="15.75" customHeight="1">
      <c r="C518" s="308"/>
    </row>
    <row r="519" spans="3:3" ht="15.75" customHeight="1">
      <c r="C519" s="35"/>
    </row>
    <row r="520" spans="3:3" ht="15.75" customHeight="1">
      <c r="C520" s="308"/>
    </row>
    <row r="521" spans="3:3" ht="15.75" customHeight="1">
      <c r="C521" s="308"/>
    </row>
    <row r="522" spans="3:3" ht="15.75" customHeight="1">
      <c r="C522" s="35"/>
    </row>
    <row r="523" spans="3:3" ht="15.75" customHeight="1">
      <c r="C523" s="308"/>
    </row>
    <row r="524" spans="3:3" ht="15.75" customHeight="1">
      <c r="C524" s="308"/>
    </row>
    <row r="525" spans="3:3" ht="15.75" customHeight="1">
      <c r="C525" s="225"/>
    </row>
    <row r="526" spans="3:3" ht="15.75" customHeight="1">
      <c r="C526" s="312"/>
    </row>
    <row r="527" spans="3:3" ht="15.75" customHeight="1">
      <c r="C527" s="313"/>
    </row>
    <row r="528" spans="3:3" ht="15.75" customHeight="1">
      <c r="C528" s="225"/>
    </row>
    <row r="529" spans="3:3" ht="15.75" customHeight="1">
      <c r="C529" s="314"/>
    </row>
    <row r="530" spans="3:3" ht="15.75" customHeight="1">
      <c r="C530" s="225"/>
    </row>
    <row r="531" spans="3:3" ht="15.75" customHeight="1">
      <c r="C531" s="226"/>
    </row>
    <row r="532" spans="3:3" ht="15.75" customHeight="1">
      <c r="C532" s="225"/>
    </row>
    <row r="533" spans="3:3" ht="15.75" customHeight="1">
      <c r="C533" s="225"/>
    </row>
    <row r="534" spans="3:3" ht="15.75" customHeight="1">
      <c r="C534" s="225"/>
    </row>
    <row r="535" spans="3:3" ht="15.75" customHeight="1">
      <c r="C535" s="225"/>
    </row>
    <row r="536" spans="3:3" ht="15.75" customHeight="1">
      <c r="C536" s="225"/>
    </row>
    <row r="537" spans="3:3" ht="15.75" customHeight="1">
      <c r="C537" s="225"/>
    </row>
    <row r="538" spans="3:3" ht="15.75" customHeight="1">
      <c r="C538" s="315"/>
    </row>
    <row r="539" spans="3:3" ht="15.75" customHeight="1">
      <c r="C539" s="225"/>
    </row>
    <row r="540" spans="3:3" ht="15.75" customHeight="1">
      <c r="C540" s="225"/>
    </row>
    <row r="541" spans="3:3" ht="15.75" customHeight="1">
      <c r="C541" s="310"/>
    </row>
    <row r="542" spans="3:3" ht="15.75" customHeight="1">
      <c r="C542" s="225"/>
    </row>
    <row r="543" spans="3:3" ht="15.75" customHeight="1">
      <c r="C543" s="225"/>
    </row>
    <row r="544" spans="3:3" ht="15.75" customHeight="1">
      <c r="C544" s="311"/>
    </row>
    <row r="545" spans="3:3" ht="15.75" customHeight="1">
      <c r="C545" s="225"/>
    </row>
    <row r="546" spans="3:3" ht="15.75" customHeight="1">
      <c r="C546" s="310"/>
    </row>
    <row r="547" spans="3:3" ht="15.75" customHeight="1">
      <c r="C547" s="310"/>
    </row>
    <row r="548" spans="3:3" ht="15.75" customHeight="1">
      <c r="C548" s="316"/>
    </row>
    <row r="549" spans="3:3" ht="15.75" customHeight="1">
      <c r="C549" s="225"/>
    </row>
    <row r="550" spans="3:3" ht="15.75" customHeight="1">
      <c r="C550" s="225"/>
    </row>
    <row r="551" spans="3:3" ht="15.75" customHeight="1">
      <c r="C551" s="317"/>
    </row>
    <row r="552" spans="3:3" ht="15.75" customHeight="1">
      <c r="C552" s="225"/>
    </row>
    <row r="553" spans="3:3" ht="15.75" customHeight="1">
      <c r="C553" s="224"/>
    </row>
    <row r="554" spans="3:3" ht="15.75" customHeight="1">
      <c r="C554" s="35"/>
    </row>
    <row r="555" spans="3:3" ht="15.75" customHeight="1">
      <c r="C555" s="35"/>
    </row>
    <row r="556" spans="3:3" ht="15.75" customHeight="1">
      <c r="C556" s="35"/>
    </row>
    <row r="557" spans="3:3" ht="15.75" customHeight="1">
      <c r="C557" s="35"/>
    </row>
    <row r="558" spans="3:3" ht="15.75" customHeight="1">
      <c r="C558" s="318"/>
    </row>
    <row r="559" spans="3:3" ht="15.75" customHeight="1">
      <c r="C559" s="35"/>
    </row>
    <row r="560" spans="3:3" ht="15.75" customHeight="1">
      <c r="C560" s="35"/>
    </row>
    <row r="561" spans="3:3" ht="15.75" customHeight="1">
      <c r="C561" s="225"/>
    </row>
    <row r="562" spans="3:3" ht="15.75" customHeight="1">
      <c r="C562" s="35"/>
    </row>
    <row r="563" spans="3:3" ht="15.75" customHeight="1">
      <c r="C563" s="307"/>
    </row>
    <row r="564" spans="3:3" ht="15.75" customHeight="1">
      <c r="C564" s="35"/>
    </row>
    <row r="565" spans="3:3" ht="15.75" customHeight="1">
      <c r="C565" s="35"/>
    </row>
    <row r="566" spans="3:3" ht="15.75" customHeight="1">
      <c r="C566" s="307"/>
    </row>
    <row r="567" spans="3:3" ht="15.75" customHeight="1">
      <c r="C567" s="225"/>
    </row>
    <row r="568" spans="3:3" ht="15.75" customHeight="1">
      <c r="C568" s="307"/>
    </row>
    <row r="569" spans="3:3" ht="15.75" customHeight="1">
      <c r="C569" s="35"/>
    </row>
    <row r="570" spans="3:3" ht="15.75" customHeight="1">
      <c r="C570" s="225"/>
    </row>
    <row r="571" spans="3:3" ht="15.75" customHeight="1">
      <c r="C571" s="308"/>
    </row>
    <row r="572" spans="3:3" ht="15.75" customHeight="1">
      <c r="C572" s="308"/>
    </row>
    <row r="573" spans="3:3" ht="15.75" customHeight="1">
      <c r="C573" s="225"/>
    </row>
    <row r="574" spans="3:3" ht="15.75" customHeight="1">
      <c r="C574" s="309"/>
    </row>
    <row r="575" spans="3:3" ht="15.75" customHeight="1">
      <c r="C575" s="308"/>
    </row>
    <row r="576" spans="3:3" ht="15.75" customHeight="1">
      <c r="C576" s="310"/>
    </row>
    <row r="577" spans="3:3" ht="15.75" customHeight="1">
      <c r="C577" s="311"/>
    </row>
    <row r="578" spans="3:3" ht="15.75" customHeight="1">
      <c r="C578" s="225"/>
    </row>
    <row r="579" spans="3:3" ht="15.75" customHeight="1">
      <c r="C579" s="308"/>
    </row>
    <row r="580" spans="3:3" ht="15.75" customHeight="1">
      <c r="C580" s="35"/>
    </row>
    <row r="581" spans="3:3" ht="15.75" customHeight="1">
      <c r="C581" s="308"/>
    </row>
    <row r="582" spans="3:3" ht="15.75" customHeight="1">
      <c r="C582" s="308"/>
    </row>
    <row r="583" spans="3:3" ht="15.75" customHeight="1">
      <c r="C583" s="35"/>
    </row>
    <row r="584" spans="3:3" ht="15.75" customHeight="1">
      <c r="C584" s="308"/>
    </row>
    <row r="585" spans="3:3" ht="15.75" customHeight="1">
      <c r="C585" s="308"/>
    </row>
    <row r="586" spans="3:3" ht="15.75" customHeight="1">
      <c r="C586" s="225"/>
    </row>
    <row r="587" spans="3:3" ht="15.75" customHeight="1">
      <c r="C587" s="312"/>
    </row>
    <row r="588" spans="3:3" ht="15.75" customHeight="1">
      <c r="C588" s="313"/>
    </row>
    <row r="589" spans="3:3" ht="15.75" customHeight="1">
      <c r="C589" s="225"/>
    </row>
    <row r="590" spans="3:3" ht="15.75" customHeight="1">
      <c r="C590" s="314"/>
    </row>
    <row r="591" spans="3:3" ht="15.75" customHeight="1">
      <c r="C591" s="225"/>
    </row>
    <row r="592" spans="3:3" ht="15.75" customHeight="1">
      <c r="C592" s="226"/>
    </row>
    <row r="593" spans="3:3" ht="15.75" customHeight="1">
      <c r="C593" s="225"/>
    </row>
    <row r="594" spans="3:3" ht="15.75" customHeight="1">
      <c r="C594" s="225"/>
    </row>
    <row r="595" spans="3:3" ht="15.75" customHeight="1">
      <c r="C595" s="225"/>
    </row>
    <row r="596" spans="3:3" ht="15.75" customHeight="1">
      <c r="C596" s="225"/>
    </row>
    <row r="597" spans="3:3" ht="15.75" customHeight="1">
      <c r="C597" s="225"/>
    </row>
    <row r="598" spans="3:3" ht="15.75" customHeight="1">
      <c r="C598" s="225"/>
    </row>
    <row r="599" spans="3:3" ht="15.75" customHeight="1">
      <c r="C599" s="315"/>
    </row>
    <row r="600" spans="3:3" ht="15.75" customHeight="1">
      <c r="C600" s="225"/>
    </row>
    <row r="601" spans="3:3" ht="15.75" customHeight="1">
      <c r="C601" s="225"/>
    </row>
    <row r="602" spans="3:3" ht="15.75" customHeight="1">
      <c r="C602" s="310"/>
    </row>
    <row r="603" spans="3:3" ht="15.75" customHeight="1">
      <c r="C603" s="225"/>
    </row>
    <row r="604" spans="3:3" ht="15.75" customHeight="1">
      <c r="C604" s="225"/>
    </row>
    <row r="605" spans="3:3" ht="15.75" customHeight="1">
      <c r="C605" s="311"/>
    </row>
    <row r="606" spans="3:3" ht="15.75" customHeight="1">
      <c r="C606" s="225"/>
    </row>
    <row r="607" spans="3:3" ht="15.75" customHeight="1">
      <c r="C607" s="310"/>
    </row>
    <row r="608" spans="3:3" ht="15.75" customHeight="1">
      <c r="C608" s="310"/>
    </row>
    <row r="609" spans="3:3" ht="15.75" customHeight="1">
      <c r="C609" s="316"/>
    </row>
    <row r="610" spans="3:3" ht="15.75" customHeight="1">
      <c r="C610" s="225"/>
    </row>
    <row r="611" spans="3:3" ht="15.75" customHeight="1">
      <c r="C611" s="225"/>
    </row>
    <row r="612" spans="3:3" ht="15.75" customHeight="1">
      <c r="C612" s="317"/>
    </row>
    <row r="613" spans="3:3" ht="15.75" customHeight="1">
      <c r="C613" s="225"/>
    </row>
    <row r="614" spans="3:3" ht="15.75" customHeight="1">
      <c r="C614" s="224"/>
    </row>
    <row r="615" spans="3:3" ht="15.75" customHeight="1">
      <c r="C615" s="35"/>
    </row>
    <row r="616" spans="3:3" ht="15.75" customHeight="1">
      <c r="C616" s="35"/>
    </row>
    <row r="617" spans="3:3" ht="15.75" customHeight="1">
      <c r="C617" s="35"/>
    </row>
    <row r="618" spans="3:3" ht="15.75" customHeight="1">
      <c r="C618" s="35"/>
    </row>
    <row r="619" spans="3:3" ht="15.75" customHeight="1">
      <c r="C619" s="318"/>
    </row>
    <row r="620" spans="3:3" ht="15.75" customHeight="1">
      <c r="C620" s="35"/>
    </row>
    <row r="621" spans="3:3" ht="15.75" customHeight="1">
      <c r="C621" s="35"/>
    </row>
    <row r="622" spans="3:3" ht="15.75" customHeight="1">
      <c r="C622" s="225"/>
    </row>
    <row r="623" spans="3:3" ht="15.75" customHeight="1">
      <c r="C623" s="35"/>
    </row>
    <row r="624" spans="3:3" ht="15.75" customHeight="1">
      <c r="C624" s="307"/>
    </row>
    <row r="625" spans="3:3" ht="15.75" customHeight="1">
      <c r="C625" s="35"/>
    </row>
    <row r="626" spans="3:3" ht="15.75" customHeight="1">
      <c r="C626" s="35"/>
    </row>
    <row r="627" spans="3:3" ht="15.75" customHeight="1">
      <c r="C627" s="307"/>
    </row>
    <row r="628" spans="3:3" ht="15.75" customHeight="1">
      <c r="C628" s="225"/>
    </row>
    <row r="629" spans="3:3" ht="15.75" customHeight="1">
      <c r="C629" s="307"/>
    </row>
    <row r="630" spans="3:3" ht="15.75" customHeight="1">
      <c r="C630" s="35"/>
    </row>
    <row r="631" spans="3:3" ht="15.75" customHeight="1">
      <c r="C631" s="225"/>
    </row>
    <row r="632" spans="3:3" ht="15.75" customHeight="1">
      <c r="C632" s="308"/>
    </row>
    <row r="633" spans="3:3" ht="15.75" customHeight="1">
      <c r="C633" s="308"/>
    </row>
    <row r="634" spans="3:3" ht="15.75" customHeight="1">
      <c r="C634" s="225"/>
    </row>
    <row r="635" spans="3:3" ht="15.75" customHeight="1">
      <c r="C635" s="309"/>
    </row>
    <row r="636" spans="3:3" ht="15.75" customHeight="1">
      <c r="C636" s="308"/>
    </row>
    <row r="637" spans="3:3" ht="15.75" customHeight="1">
      <c r="C637" s="310"/>
    </row>
    <row r="638" spans="3:3" ht="15.75" customHeight="1">
      <c r="C638" s="311"/>
    </row>
    <row r="639" spans="3:3" ht="15.75" customHeight="1">
      <c r="C639" s="225"/>
    </row>
    <row r="640" spans="3:3" ht="15.75" customHeight="1">
      <c r="C640" s="308"/>
    </row>
    <row r="641" spans="3:3" ht="15.75" customHeight="1">
      <c r="C641" s="35"/>
    </row>
    <row r="642" spans="3:3" ht="15.75" customHeight="1">
      <c r="C642" s="308"/>
    </row>
    <row r="643" spans="3:3" ht="15.75" customHeight="1">
      <c r="C643" s="308"/>
    </row>
    <row r="644" spans="3:3" ht="15.75" customHeight="1">
      <c r="C644" s="35"/>
    </row>
    <row r="645" spans="3:3" ht="15.75" customHeight="1">
      <c r="C645" s="308"/>
    </row>
    <row r="646" spans="3:3" ht="15.75" customHeight="1">
      <c r="C646" s="308"/>
    </row>
    <row r="647" spans="3:3" ht="15.75" customHeight="1">
      <c r="C647" s="225"/>
    </row>
    <row r="648" spans="3:3" ht="15.75" customHeight="1">
      <c r="C648" s="312"/>
    </row>
    <row r="649" spans="3:3" ht="15.75" customHeight="1">
      <c r="C649" s="313"/>
    </row>
    <row r="650" spans="3:3" ht="15.75" customHeight="1">
      <c r="C650" s="225"/>
    </row>
    <row r="651" spans="3:3" ht="15.75" customHeight="1">
      <c r="C651" s="314"/>
    </row>
    <row r="652" spans="3:3" ht="15.75" customHeight="1">
      <c r="C652" s="225"/>
    </row>
    <row r="653" spans="3:3" ht="15.75" customHeight="1">
      <c r="C653" s="226"/>
    </row>
    <row r="654" spans="3:3" ht="15.75" customHeight="1">
      <c r="C654" s="225"/>
    </row>
    <row r="655" spans="3:3" ht="15.75" customHeight="1">
      <c r="C655" s="225"/>
    </row>
    <row r="656" spans="3:3" ht="15.75" customHeight="1">
      <c r="C656" s="225"/>
    </row>
    <row r="657" spans="3:3" ht="15.75" customHeight="1">
      <c r="C657" s="225"/>
    </row>
    <row r="658" spans="3:3" ht="15.75" customHeight="1">
      <c r="C658" s="225"/>
    </row>
    <row r="659" spans="3:3" ht="15.75" customHeight="1">
      <c r="C659" s="225"/>
    </row>
    <row r="660" spans="3:3" ht="15.75" customHeight="1">
      <c r="C660" s="315"/>
    </row>
    <row r="661" spans="3:3" ht="15.75" customHeight="1">
      <c r="C661" s="225"/>
    </row>
    <row r="662" spans="3:3" ht="15.75" customHeight="1">
      <c r="C662" s="225"/>
    </row>
    <row r="663" spans="3:3" ht="15.75" customHeight="1">
      <c r="C663" s="310"/>
    </row>
    <row r="664" spans="3:3" ht="15.75" customHeight="1">
      <c r="C664" s="225"/>
    </row>
    <row r="665" spans="3:3" ht="15.75" customHeight="1">
      <c r="C665" s="225"/>
    </row>
    <row r="666" spans="3:3" ht="15.75" customHeight="1">
      <c r="C666" s="311"/>
    </row>
    <row r="667" spans="3:3" ht="15.75" customHeight="1">
      <c r="C667" s="225"/>
    </row>
    <row r="668" spans="3:3" ht="15.75" customHeight="1">
      <c r="C668" s="310"/>
    </row>
    <row r="669" spans="3:3" ht="15.75" customHeight="1">
      <c r="C669" s="310"/>
    </row>
    <row r="670" spans="3:3" ht="15.75" customHeight="1">
      <c r="C670" s="316"/>
    </row>
    <row r="671" spans="3:3" ht="15.75" customHeight="1">
      <c r="C671" s="225"/>
    </row>
    <row r="672" spans="3:3" ht="15.75" customHeight="1">
      <c r="C672" s="225"/>
    </row>
    <row r="673" spans="3:3" ht="15.75" customHeight="1">
      <c r="C673" s="317"/>
    </row>
    <row r="674" spans="3:3" ht="15.75" customHeight="1">
      <c r="C674" s="225"/>
    </row>
    <row r="675" spans="3:3" ht="15.75" customHeight="1">
      <c r="C675" s="224"/>
    </row>
    <row r="676" spans="3:3" ht="15.75" customHeight="1">
      <c r="C676" s="35"/>
    </row>
    <row r="677" spans="3:3" ht="15.75" customHeight="1">
      <c r="C677" s="35"/>
    </row>
    <row r="678" spans="3:3" ht="15.75" customHeight="1">
      <c r="C678" s="35"/>
    </row>
    <row r="679" spans="3:3" ht="15.75" customHeight="1">
      <c r="C679" s="35"/>
    </row>
    <row r="680" spans="3:3" ht="15.75" customHeight="1">
      <c r="C680" s="318"/>
    </row>
    <row r="681" spans="3:3" ht="15.75" customHeight="1">
      <c r="C681" s="35"/>
    </row>
    <row r="682" spans="3:3" ht="15.75" customHeight="1">
      <c r="C682" s="35"/>
    </row>
    <row r="683" spans="3:3" ht="15.75" customHeight="1">
      <c r="C683" s="225"/>
    </row>
    <row r="684" spans="3:3" ht="15.75" customHeight="1">
      <c r="C684" s="35"/>
    </row>
    <row r="685" spans="3:3" ht="15.75" customHeight="1">
      <c r="C685" s="307"/>
    </row>
    <row r="686" spans="3:3" ht="15.75" customHeight="1">
      <c r="C686" s="35"/>
    </row>
    <row r="687" spans="3:3" ht="15.75" customHeight="1">
      <c r="C687" s="35"/>
    </row>
    <row r="688" spans="3:3" ht="15.75" customHeight="1">
      <c r="C688" s="307"/>
    </row>
    <row r="689" spans="3:3" ht="15.75" customHeight="1">
      <c r="C689" s="225"/>
    </row>
    <row r="690" spans="3:3" ht="15.75" customHeight="1">
      <c r="C690" s="307"/>
    </row>
    <row r="691" spans="3:3" ht="15.75" customHeight="1">
      <c r="C691" s="35"/>
    </row>
    <row r="692" spans="3:3" ht="15.75" customHeight="1">
      <c r="C692" s="225"/>
    </row>
    <row r="693" spans="3:3" ht="15.75" customHeight="1">
      <c r="C693" s="308"/>
    </row>
    <row r="694" spans="3:3" ht="15.75" customHeight="1">
      <c r="C694" s="308"/>
    </row>
    <row r="695" spans="3:3" ht="15.75" customHeight="1">
      <c r="C695" s="225"/>
    </row>
    <row r="696" spans="3:3" ht="15.75" customHeight="1">
      <c r="C696" s="309"/>
    </row>
    <row r="697" spans="3:3" ht="15.75" customHeight="1">
      <c r="C697" s="308"/>
    </row>
    <row r="698" spans="3:3" ht="15.75" customHeight="1">
      <c r="C698" s="310"/>
    </row>
    <row r="699" spans="3:3" ht="15.75" customHeight="1">
      <c r="C699" s="311"/>
    </row>
    <row r="700" spans="3:3" ht="15.75" customHeight="1">
      <c r="C700" s="225"/>
    </row>
    <row r="701" spans="3:3" ht="15.75" customHeight="1">
      <c r="C701" s="308"/>
    </row>
    <row r="702" spans="3:3" ht="15.75" customHeight="1">
      <c r="C702" s="35"/>
    </row>
    <row r="703" spans="3:3" ht="15.75" customHeight="1">
      <c r="C703" s="308"/>
    </row>
    <row r="704" spans="3:3" ht="15.75" customHeight="1">
      <c r="C704" s="308"/>
    </row>
    <row r="705" spans="3:3" ht="15.75" customHeight="1">
      <c r="C705" s="35"/>
    </row>
    <row r="706" spans="3:3" ht="15.75" customHeight="1">
      <c r="C706" s="308"/>
    </row>
    <row r="707" spans="3:3" ht="15.75" customHeight="1">
      <c r="C707" s="308"/>
    </row>
    <row r="708" spans="3:3" ht="15.75" customHeight="1">
      <c r="C708" s="225"/>
    </row>
    <row r="709" spans="3:3" ht="15.75" customHeight="1">
      <c r="C709" s="312"/>
    </row>
    <row r="710" spans="3:3" ht="15.75" customHeight="1">
      <c r="C710" s="313"/>
    </row>
    <row r="711" spans="3:3" ht="15.75" customHeight="1">
      <c r="C711" s="225"/>
    </row>
    <row r="712" spans="3:3" ht="15.75" customHeight="1">
      <c r="C712" s="314"/>
    </row>
    <row r="713" spans="3:3" ht="15.75" customHeight="1">
      <c r="C713" s="225"/>
    </row>
    <row r="714" spans="3:3" ht="15.75" customHeight="1">
      <c r="C714" s="226"/>
    </row>
    <row r="715" spans="3:3" ht="15.75" customHeight="1">
      <c r="C715" s="225"/>
    </row>
    <row r="716" spans="3:3" ht="15.75" customHeight="1">
      <c r="C716" s="225"/>
    </row>
    <row r="717" spans="3:3" ht="15.75" customHeight="1">
      <c r="C717" s="225"/>
    </row>
    <row r="718" spans="3:3" ht="15.75" customHeight="1">
      <c r="C718" s="225"/>
    </row>
    <row r="719" spans="3:3" ht="15.75" customHeight="1">
      <c r="C719" s="225"/>
    </row>
    <row r="720" spans="3:3" ht="15.75" customHeight="1">
      <c r="C720" s="225"/>
    </row>
    <row r="721" spans="3:3" ht="15.75" customHeight="1">
      <c r="C721" s="315"/>
    </row>
    <row r="722" spans="3:3" ht="15.75" customHeight="1">
      <c r="C722" s="225"/>
    </row>
    <row r="723" spans="3:3" ht="15.75" customHeight="1">
      <c r="C723" s="225"/>
    </row>
    <row r="724" spans="3:3" ht="15.75" customHeight="1">
      <c r="C724" s="310"/>
    </row>
    <row r="725" spans="3:3" ht="15.75" customHeight="1">
      <c r="C725" s="225"/>
    </row>
    <row r="726" spans="3:3" ht="15.75" customHeight="1">
      <c r="C726" s="225"/>
    </row>
    <row r="727" spans="3:3" ht="15.75" customHeight="1">
      <c r="C727" s="311"/>
    </row>
    <row r="728" spans="3:3" ht="15.75" customHeight="1">
      <c r="C728" s="225"/>
    </row>
    <row r="729" spans="3:3" ht="15.75" customHeight="1">
      <c r="C729" s="310"/>
    </row>
    <row r="730" spans="3:3" ht="15.75" customHeight="1">
      <c r="C730" s="310"/>
    </row>
    <row r="731" spans="3:3" ht="15.75" customHeight="1">
      <c r="C731" s="316"/>
    </row>
    <row r="732" spans="3:3" ht="15.75" customHeight="1">
      <c r="C732" s="225"/>
    </row>
    <row r="733" spans="3:3" ht="15.75" customHeight="1">
      <c r="C733" s="225"/>
    </row>
    <row r="734" spans="3:3" ht="15.75" customHeight="1">
      <c r="C734" s="317"/>
    </row>
    <row r="735" spans="3:3" ht="15.75" customHeight="1">
      <c r="C735" s="225"/>
    </row>
    <row r="736" spans="3:3" ht="15.75" customHeight="1">
      <c r="C736" s="224"/>
    </row>
    <row r="737" spans="3:4" ht="15.75" customHeight="1">
      <c r="C737" s="35"/>
    </row>
    <row r="738" spans="3:4" ht="15.75" customHeight="1">
      <c r="C738" s="35"/>
    </row>
    <row r="739" spans="3:4" ht="15.75" customHeight="1">
      <c r="C739" s="35"/>
    </row>
    <row r="740" spans="3:4" ht="15.75" customHeight="1">
      <c r="C740" s="35"/>
    </row>
    <row r="741" spans="3:4" ht="15.75" customHeight="1">
      <c r="C741" s="318"/>
    </row>
    <row r="742" spans="3:4" ht="15.75" customHeight="1">
      <c r="C742" s="35"/>
      <c r="D742" s="319"/>
    </row>
    <row r="743" spans="3:4" ht="15.75" customHeight="1">
      <c r="C743" s="307"/>
      <c r="D743" s="319"/>
    </row>
    <row r="744" spans="3:4" ht="15.75" customHeight="1">
      <c r="C744" s="35"/>
      <c r="D744" s="319"/>
    </row>
    <row r="745" spans="3:4" ht="15.75" customHeight="1">
      <c r="C745" s="35"/>
      <c r="D745" s="319"/>
    </row>
    <row r="746" spans="3:4" ht="15.75" customHeight="1">
      <c r="C746" s="307"/>
      <c r="D746" s="319"/>
    </row>
    <row r="747" spans="3:4" ht="15.75" customHeight="1">
      <c r="C747" s="225"/>
      <c r="D747" s="319"/>
    </row>
    <row r="748" spans="3:4" ht="15.75" customHeight="1">
      <c r="C748" s="307"/>
      <c r="D748" s="319"/>
    </row>
    <row r="749" spans="3:4" ht="15.75" customHeight="1">
      <c r="C749" s="35"/>
      <c r="D749" s="319"/>
    </row>
    <row r="750" spans="3:4" ht="15.75" customHeight="1">
      <c r="C750" s="225"/>
      <c r="D750" s="319"/>
    </row>
    <row r="751" spans="3:4" ht="15.75" customHeight="1">
      <c r="C751" s="308"/>
      <c r="D751" s="319"/>
    </row>
    <row r="752" spans="3:4" ht="15.75" customHeight="1">
      <c r="C752" s="308"/>
      <c r="D752" s="319"/>
    </row>
    <row r="753" spans="3:4" ht="15.75" customHeight="1">
      <c r="C753" s="225"/>
      <c r="D753" s="319"/>
    </row>
    <row r="754" spans="3:4" ht="15.75" customHeight="1">
      <c r="C754" s="309"/>
      <c r="D754" s="319"/>
    </row>
    <row r="755" spans="3:4" ht="15.75" customHeight="1">
      <c r="C755" s="308"/>
      <c r="D755" s="319"/>
    </row>
    <row r="756" spans="3:4" ht="15.75" customHeight="1">
      <c r="C756" s="310"/>
      <c r="D756" s="319"/>
    </row>
    <row r="757" spans="3:4" ht="15.75" customHeight="1">
      <c r="C757" s="311"/>
      <c r="D757" s="319"/>
    </row>
    <row r="758" spans="3:4" ht="15.75" customHeight="1">
      <c r="C758" s="225"/>
      <c r="D758" s="319"/>
    </row>
    <row r="759" spans="3:4" ht="15.75" customHeight="1">
      <c r="C759" s="308"/>
      <c r="D759" s="319"/>
    </row>
    <row r="760" spans="3:4" ht="15.75" customHeight="1">
      <c r="C760" s="35"/>
      <c r="D760" s="319"/>
    </row>
    <row r="761" spans="3:4" ht="15.75" customHeight="1">
      <c r="C761" s="308"/>
      <c r="D761" s="319"/>
    </row>
    <row r="762" spans="3:4" ht="15.75" customHeight="1">
      <c r="C762" s="308"/>
      <c r="D762" s="319"/>
    </row>
    <row r="763" spans="3:4" ht="15.75" customHeight="1">
      <c r="C763" s="35"/>
      <c r="D763" s="319"/>
    </row>
    <row r="764" spans="3:4" ht="15.75" customHeight="1">
      <c r="C764" s="308"/>
      <c r="D764" s="319"/>
    </row>
    <row r="765" spans="3:4" ht="15.75" customHeight="1">
      <c r="C765" s="308"/>
      <c r="D765" s="319"/>
    </row>
    <row r="766" spans="3:4" ht="15.75" customHeight="1">
      <c r="C766" s="225"/>
      <c r="D766" s="319"/>
    </row>
    <row r="767" spans="3:4" ht="15.75" customHeight="1">
      <c r="C767" s="312"/>
      <c r="D767" s="319"/>
    </row>
    <row r="768" spans="3:4" ht="15.75" customHeight="1">
      <c r="C768" s="313"/>
      <c r="D768" s="319"/>
    </row>
    <row r="769" spans="3:4" ht="15.75" customHeight="1">
      <c r="C769" s="225"/>
      <c r="D769" s="319"/>
    </row>
    <row r="770" spans="3:4" ht="15.75" customHeight="1">
      <c r="C770" s="314"/>
      <c r="D770" s="319"/>
    </row>
    <row r="771" spans="3:4" ht="15.75" customHeight="1">
      <c r="C771" s="225"/>
      <c r="D771" s="319"/>
    </row>
    <row r="772" spans="3:4" ht="15.75" customHeight="1">
      <c r="C772" s="226"/>
      <c r="D772" s="319"/>
    </row>
    <row r="773" spans="3:4" ht="15.75" customHeight="1">
      <c r="C773" s="225"/>
      <c r="D773" s="319"/>
    </row>
    <row r="774" spans="3:4" ht="15.75" customHeight="1">
      <c r="C774" s="225"/>
      <c r="D774" s="319"/>
    </row>
    <row r="775" spans="3:4" ht="15.75" customHeight="1">
      <c r="C775" s="225"/>
      <c r="D775" s="319"/>
    </row>
    <row r="776" spans="3:4" ht="15.75" customHeight="1">
      <c r="C776" s="225"/>
      <c r="D776" s="319"/>
    </row>
    <row r="777" spans="3:4" ht="15.75" customHeight="1">
      <c r="C777" s="225"/>
      <c r="D777" s="319"/>
    </row>
    <row r="778" spans="3:4" ht="15.75" customHeight="1">
      <c r="C778" s="225"/>
      <c r="D778" s="319"/>
    </row>
    <row r="779" spans="3:4" ht="15.75" customHeight="1">
      <c r="C779" s="315"/>
      <c r="D779" s="319"/>
    </row>
    <row r="780" spans="3:4" ht="15.75" customHeight="1">
      <c r="C780" s="225"/>
      <c r="D780" s="319"/>
    </row>
    <row r="781" spans="3:4" ht="15.75" customHeight="1">
      <c r="C781" s="225"/>
      <c r="D781" s="319"/>
    </row>
    <row r="782" spans="3:4" ht="15.75" customHeight="1">
      <c r="C782" s="310"/>
      <c r="D782" s="319"/>
    </row>
    <row r="783" spans="3:4" ht="15.75" customHeight="1">
      <c r="C783" s="225"/>
      <c r="D783" s="319"/>
    </row>
    <row r="784" spans="3:4" ht="15.75" customHeight="1">
      <c r="C784" s="225"/>
      <c r="D784" s="319"/>
    </row>
    <row r="785" spans="3:4" ht="15.75" customHeight="1">
      <c r="C785" s="311"/>
      <c r="D785" s="319"/>
    </row>
    <row r="786" spans="3:4" ht="15.75" customHeight="1">
      <c r="C786" s="225"/>
      <c r="D786" s="319"/>
    </row>
    <row r="787" spans="3:4" ht="15.75" customHeight="1">
      <c r="C787" s="310"/>
      <c r="D787" s="319"/>
    </row>
    <row r="788" spans="3:4" ht="15.75" customHeight="1">
      <c r="C788" s="310"/>
      <c r="D788" s="319"/>
    </row>
    <row r="789" spans="3:4" ht="15.75" customHeight="1">
      <c r="C789" s="316"/>
      <c r="D789" s="319"/>
    </row>
    <row r="790" spans="3:4" ht="15.75" customHeight="1">
      <c r="C790" s="225"/>
      <c r="D790" s="319"/>
    </row>
    <row r="791" spans="3:4" ht="15.75" customHeight="1">
      <c r="C791" s="225"/>
      <c r="D791" s="319"/>
    </row>
    <row r="792" spans="3:4" ht="15.75" customHeight="1">
      <c r="C792" s="317"/>
      <c r="D792" s="319"/>
    </row>
    <row r="793" spans="3:4" ht="15.75" customHeight="1">
      <c r="C793" s="225"/>
      <c r="D793" s="319"/>
    </row>
    <row r="794" spans="3:4" ht="15.75" customHeight="1">
      <c r="C794" s="224"/>
      <c r="D794" s="319"/>
    </row>
    <row r="795" spans="3:4" ht="15.75" customHeight="1">
      <c r="C795" s="35"/>
      <c r="D795" s="319"/>
    </row>
    <row r="796" spans="3:4" ht="15.75" customHeight="1">
      <c r="C796" s="35"/>
      <c r="D796" s="319"/>
    </row>
    <row r="797" spans="3:4" ht="15.75" customHeight="1">
      <c r="C797" s="35"/>
      <c r="D797" s="319"/>
    </row>
    <row r="798" spans="3:4" ht="15.75" customHeight="1">
      <c r="C798" s="35"/>
      <c r="D798" s="319"/>
    </row>
    <row r="799" spans="3:4" ht="15.75" customHeight="1">
      <c r="C799" s="318"/>
      <c r="D799" s="319"/>
    </row>
    <row r="800" spans="3:4" ht="15.75" customHeight="1">
      <c r="C800" s="35"/>
      <c r="D800" s="319"/>
    </row>
    <row r="801" spans="3:4" ht="15.75" customHeight="1">
      <c r="C801" s="35"/>
      <c r="D801" s="319"/>
    </row>
    <row r="802" spans="3:4" ht="15.75" customHeight="1">
      <c r="C802" s="225"/>
      <c r="D802" s="319"/>
    </row>
    <row r="803" spans="3:4" ht="15.75" customHeight="1">
      <c r="C803" s="35"/>
      <c r="D803" s="319"/>
    </row>
    <row r="804" spans="3:4" ht="15.75" customHeight="1">
      <c r="C804" s="307"/>
      <c r="D804" s="319"/>
    </row>
    <row r="805" spans="3:4" ht="15.75" customHeight="1">
      <c r="C805" s="35"/>
      <c r="D805" s="319"/>
    </row>
    <row r="806" spans="3:4" ht="15.75" customHeight="1">
      <c r="C806" s="35"/>
      <c r="D806" s="319"/>
    </row>
    <row r="807" spans="3:4" ht="15.75" customHeight="1">
      <c r="C807" s="307"/>
      <c r="D807" s="319"/>
    </row>
    <row r="808" spans="3:4" ht="15.75" customHeight="1">
      <c r="C808" s="225"/>
      <c r="D808" s="319"/>
    </row>
    <row r="809" spans="3:4" ht="15.75" customHeight="1">
      <c r="C809" s="307"/>
      <c r="D809" s="319"/>
    </row>
    <row r="810" spans="3:4" ht="15.75" customHeight="1">
      <c r="C810" s="35"/>
      <c r="D810" s="319"/>
    </row>
    <row r="811" spans="3:4" ht="15.75" customHeight="1">
      <c r="C811" s="225"/>
      <c r="D811" s="319"/>
    </row>
    <row r="812" spans="3:4" ht="15.75" customHeight="1">
      <c r="C812" s="308"/>
      <c r="D812" s="319"/>
    </row>
    <row r="813" spans="3:4" ht="15.75" customHeight="1">
      <c r="C813" s="308"/>
      <c r="D813" s="319"/>
    </row>
    <row r="814" spans="3:4" ht="15.75" customHeight="1">
      <c r="C814" s="225"/>
      <c r="D814" s="319"/>
    </row>
    <row r="815" spans="3:4" ht="15.75" customHeight="1">
      <c r="C815" s="309"/>
      <c r="D815" s="319"/>
    </row>
    <row r="816" spans="3:4" ht="15.75" customHeight="1">
      <c r="C816" s="308"/>
      <c r="D816" s="319"/>
    </row>
    <row r="817" spans="3:4" ht="15.75" customHeight="1">
      <c r="C817" s="310"/>
      <c r="D817" s="319"/>
    </row>
    <row r="818" spans="3:4" ht="15.75" customHeight="1">
      <c r="C818" s="311"/>
      <c r="D818" s="319"/>
    </row>
    <row r="819" spans="3:4" ht="15.75" customHeight="1">
      <c r="C819" s="225"/>
      <c r="D819" s="319"/>
    </row>
    <row r="820" spans="3:4" ht="15.75" customHeight="1">
      <c r="C820" s="308"/>
      <c r="D820" s="319"/>
    </row>
    <row r="821" spans="3:4" ht="15.75" customHeight="1">
      <c r="C821" s="35"/>
      <c r="D821" s="319"/>
    </row>
    <row r="822" spans="3:4" ht="15.75" customHeight="1">
      <c r="C822" s="308"/>
      <c r="D822" s="319"/>
    </row>
    <row r="823" spans="3:4" ht="15.75" customHeight="1">
      <c r="C823" s="308"/>
      <c r="D823" s="319"/>
    </row>
    <row r="824" spans="3:4" ht="15.75" customHeight="1">
      <c r="C824" s="35"/>
      <c r="D824" s="319"/>
    </row>
    <row r="825" spans="3:4" ht="15.75" customHeight="1">
      <c r="C825" s="308"/>
      <c r="D825" s="319"/>
    </row>
    <row r="826" spans="3:4" ht="15.75" customHeight="1">
      <c r="C826" s="308"/>
      <c r="D826" s="319"/>
    </row>
    <row r="827" spans="3:4" ht="15.75" customHeight="1">
      <c r="C827" s="225"/>
      <c r="D827" s="319"/>
    </row>
    <row r="828" spans="3:4" ht="15.75" customHeight="1">
      <c r="C828" s="312"/>
      <c r="D828" s="319"/>
    </row>
    <row r="829" spans="3:4" ht="15.75" customHeight="1">
      <c r="C829" s="313"/>
      <c r="D829" s="319"/>
    </row>
    <row r="830" spans="3:4" ht="15.75" customHeight="1">
      <c r="C830" s="225"/>
      <c r="D830" s="319"/>
    </row>
    <row r="831" spans="3:4" ht="15.75" customHeight="1">
      <c r="C831" s="314"/>
      <c r="D831" s="319"/>
    </row>
    <row r="832" spans="3:4" ht="15.75" customHeight="1">
      <c r="C832" s="225"/>
      <c r="D832" s="319"/>
    </row>
    <row r="833" spans="3:4" ht="15.75" customHeight="1">
      <c r="C833" s="226"/>
      <c r="D833" s="319"/>
    </row>
    <row r="834" spans="3:4" ht="15.75" customHeight="1">
      <c r="C834" s="225"/>
      <c r="D834" s="319"/>
    </row>
    <row r="835" spans="3:4" ht="15.75" customHeight="1">
      <c r="C835" s="225"/>
      <c r="D835" s="319"/>
    </row>
    <row r="836" spans="3:4" ht="15.75" customHeight="1">
      <c r="C836" s="225"/>
      <c r="D836" s="319"/>
    </row>
    <row r="837" spans="3:4" ht="15.75" customHeight="1">
      <c r="C837" s="225"/>
      <c r="D837" s="319"/>
    </row>
    <row r="838" spans="3:4" ht="15.75" customHeight="1">
      <c r="C838" s="225"/>
      <c r="D838" s="319"/>
    </row>
    <row r="839" spans="3:4" ht="15.75" customHeight="1">
      <c r="C839" s="225"/>
      <c r="D839" s="319"/>
    </row>
    <row r="840" spans="3:4" ht="15.75" customHeight="1">
      <c r="C840" s="315"/>
      <c r="D840" s="319"/>
    </row>
    <row r="841" spans="3:4" ht="15.75" customHeight="1">
      <c r="C841" s="225"/>
      <c r="D841" s="319"/>
    </row>
    <row r="842" spans="3:4" ht="15.75" customHeight="1">
      <c r="C842" s="225"/>
      <c r="D842" s="319"/>
    </row>
    <row r="843" spans="3:4" ht="15.75" customHeight="1">
      <c r="C843" s="310"/>
      <c r="D843" s="319"/>
    </row>
    <row r="844" spans="3:4" ht="15.75" customHeight="1">
      <c r="C844" s="225"/>
      <c r="D844" s="319"/>
    </row>
    <row r="845" spans="3:4" ht="15.75" customHeight="1">
      <c r="C845" s="225"/>
      <c r="D845" s="319"/>
    </row>
    <row r="846" spans="3:4" ht="15.75" customHeight="1">
      <c r="C846" s="311"/>
      <c r="D846" s="319"/>
    </row>
    <row r="847" spans="3:4" ht="15.75" customHeight="1">
      <c r="C847" s="225"/>
      <c r="D847" s="319"/>
    </row>
    <row r="848" spans="3:4" ht="15.75" customHeight="1">
      <c r="C848" s="310"/>
      <c r="D848" s="319"/>
    </row>
    <row r="849" spans="3:4" ht="15.75" customHeight="1">
      <c r="C849" s="310"/>
      <c r="D849" s="319"/>
    </row>
    <row r="850" spans="3:4" ht="15.75" customHeight="1">
      <c r="C850" s="316"/>
      <c r="D850" s="319"/>
    </row>
    <row r="851" spans="3:4" ht="15.75" customHeight="1">
      <c r="C851" s="225"/>
      <c r="D851" s="319"/>
    </row>
    <row r="852" spans="3:4" ht="15.75" customHeight="1">
      <c r="C852" s="225"/>
      <c r="D852" s="319"/>
    </row>
    <row r="853" spans="3:4" ht="15.75" customHeight="1">
      <c r="C853" s="317"/>
      <c r="D853" s="319"/>
    </row>
    <row r="854" spans="3:4" ht="15.75" customHeight="1">
      <c r="C854" s="225"/>
      <c r="D854" s="319"/>
    </row>
    <row r="855" spans="3:4" ht="15.75" customHeight="1">
      <c r="C855" s="224"/>
      <c r="D855" s="319"/>
    </row>
    <row r="856" spans="3:4" ht="15.75" customHeight="1">
      <c r="C856" s="35"/>
      <c r="D856" s="319"/>
    </row>
    <row r="857" spans="3:4" ht="15.75" customHeight="1">
      <c r="C857" s="35"/>
      <c r="D857" s="319"/>
    </row>
    <row r="858" spans="3:4" ht="15.75" customHeight="1">
      <c r="C858" s="35"/>
      <c r="D858" s="319"/>
    </row>
    <row r="859" spans="3:4" ht="15.75" customHeight="1">
      <c r="C859" s="35"/>
      <c r="D859" s="319"/>
    </row>
    <row r="860" spans="3:4" ht="15.75" customHeight="1">
      <c r="C860" s="318"/>
      <c r="D860" s="319"/>
    </row>
    <row r="861" spans="3:4" ht="15.75" customHeight="1">
      <c r="C861" s="35"/>
      <c r="D861" s="319"/>
    </row>
    <row r="862" spans="3:4" ht="15.75" customHeight="1">
      <c r="C862" s="35"/>
      <c r="D862" s="319"/>
    </row>
    <row r="863" spans="3:4" ht="15.75" customHeight="1">
      <c r="C863" s="225"/>
      <c r="D863" s="319"/>
    </row>
    <row r="864" spans="3:4" ht="15.75" customHeight="1">
      <c r="C864" s="35"/>
      <c r="D864" s="319"/>
    </row>
    <row r="865" spans="3:4" ht="15.75" customHeight="1">
      <c r="C865" s="307"/>
      <c r="D865" s="319"/>
    </row>
    <row r="866" spans="3:4" ht="15.75" customHeight="1">
      <c r="C866" s="35"/>
      <c r="D866" s="319"/>
    </row>
    <row r="867" spans="3:4" ht="15.75" customHeight="1">
      <c r="C867" s="35"/>
      <c r="D867" s="319"/>
    </row>
    <row r="868" spans="3:4" ht="15.75" customHeight="1">
      <c r="C868" s="307"/>
      <c r="D868" s="319"/>
    </row>
    <row r="869" spans="3:4" ht="15.75" customHeight="1">
      <c r="C869" s="225"/>
      <c r="D869" s="319"/>
    </row>
    <row r="870" spans="3:4" ht="15.75" customHeight="1">
      <c r="C870" s="307"/>
      <c r="D870" s="319"/>
    </row>
    <row r="871" spans="3:4" ht="15.75" customHeight="1">
      <c r="C871" s="35"/>
      <c r="D871" s="319"/>
    </row>
    <row r="872" spans="3:4" ht="15.75" customHeight="1">
      <c r="C872" s="225"/>
      <c r="D872" s="319"/>
    </row>
    <row r="873" spans="3:4" ht="15.75" customHeight="1">
      <c r="C873" s="308"/>
      <c r="D873" s="319"/>
    </row>
    <row r="874" spans="3:4" ht="15.75" customHeight="1">
      <c r="C874" s="308"/>
      <c r="D874" s="319"/>
    </row>
    <row r="875" spans="3:4" ht="15.75" customHeight="1">
      <c r="C875" s="225"/>
      <c r="D875" s="319"/>
    </row>
    <row r="876" spans="3:4" ht="15.75" customHeight="1">
      <c r="C876" s="309"/>
      <c r="D876" s="319"/>
    </row>
    <row r="877" spans="3:4" ht="15.75" customHeight="1">
      <c r="C877" s="308"/>
      <c r="D877" s="319"/>
    </row>
    <row r="878" spans="3:4" ht="15.75" customHeight="1">
      <c r="C878" s="310"/>
      <c r="D878" s="319"/>
    </row>
    <row r="879" spans="3:4" ht="15.75" customHeight="1">
      <c r="C879" s="311"/>
      <c r="D879" s="319"/>
    </row>
    <row r="880" spans="3:4" ht="15.75" customHeight="1">
      <c r="C880" s="225"/>
      <c r="D880" s="319"/>
    </row>
    <row r="881" spans="3:4" ht="15.75" customHeight="1">
      <c r="C881" s="308"/>
      <c r="D881" s="319"/>
    </row>
    <row r="882" spans="3:4" ht="15.75" customHeight="1">
      <c r="C882" s="35"/>
      <c r="D882" s="319"/>
    </row>
    <row r="883" spans="3:4" ht="15.75" customHeight="1">
      <c r="C883" s="308"/>
      <c r="D883" s="319"/>
    </row>
    <row r="884" spans="3:4" ht="15.75" customHeight="1">
      <c r="C884" s="308"/>
      <c r="D884" s="319"/>
    </row>
    <row r="885" spans="3:4" ht="15.75" customHeight="1">
      <c r="C885" s="35"/>
      <c r="D885" s="319"/>
    </row>
    <row r="886" spans="3:4" ht="15.75" customHeight="1">
      <c r="C886" s="308"/>
      <c r="D886" s="319"/>
    </row>
    <row r="887" spans="3:4" ht="15.75" customHeight="1">
      <c r="C887" s="308"/>
      <c r="D887" s="319"/>
    </row>
    <row r="888" spans="3:4" ht="15.75" customHeight="1">
      <c r="C888" s="225"/>
      <c r="D888" s="319"/>
    </row>
    <row r="889" spans="3:4" ht="15.75" customHeight="1">
      <c r="C889" s="312"/>
      <c r="D889" s="319"/>
    </row>
    <row r="890" spans="3:4" ht="15.75" customHeight="1">
      <c r="C890" s="313"/>
      <c r="D890" s="319"/>
    </row>
    <row r="891" spans="3:4" ht="15.75" customHeight="1">
      <c r="C891" s="225"/>
      <c r="D891" s="319"/>
    </row>
    <row r="892" spans="3:4" ht="15.75" customHeight="1">
      <c r="C892" s="314"/>
      <c r="D892" s="319"/>
    </row>
    <row r="893" spans="3:4" ht="15.75" customHeight="1">
      <c r="C893" s="225"/>
      <c r="D893" s="319"/>
    </row>
    <row r="894" spans="3:4" ht="15.75" customHeight="1">
      <c r="C894" s="226"/>
      <c r="D894" s="319"/>
    </row>
    <row r="895" spans="3:4" ht="15.75" customHeight="1">
      <c r="C895" s="225"/>
      <c r="D895" s="319"/>
    </row>
    <row r="896" spans="3:4" ht="15.75" customHeight="1">
      <c r="C896" s="225"/>
      <c r="D896" s="319"/>
    </row>
    <row r="897" spans="3:4" ht="15.75" customHeight="1">
      <c r="C897" s="225"/>
      <c r="D897" s="319"/>
    </row>
    <row r="898" spans="3:4" ht="15.75" customHeight="1">
      <c r="C898" s="225"/>
      <c r="D898" s="319"/>
    </row>
    <row r="899" spans="3:4" ht="15.75" customHeight="1">
      <c r="C899" s="225"/>
      <c r="D899" s="319"/>
    </row>
    <row r="900" spans="3:4" ht="15.75" customHeight="1">
      <c r="C900" s="225"/>
      <c r="D900" s="319"/>
    </row>
    <row r="901" spans="3:4" ht="15.75" customHeight="1">
      <c r="C901" s="315"/>
      <c r="D901" s="319"/>
    </row>
    <row r="902" spans="3:4" ht="15.75" customHeight="1">
      <c r="C902" s="225"/>
      <c r="D902" s="319"/>
    </row>
    <row r="903" spans="3:4" ht="15.75" customHeight="1">
      <c r="C903" s="225"/>
      <c r="D903" s="319"/>
    </row>
    <row r="904" spans="3:4" ht="15.75" customHeight="1">
      <c r="C904" s="310"/>
      <c r="D904" s="319"/>
    </row>
    <row r="905" spans="3:4" ht="15.75" customHeight="1">
      <c r="C905" s="225"/>
      <c r="D905" s="319"/>
    </row>
    <row r="906" spans="3:4" ht="15.75" customHeight="1">
      <c r="C906" s="225"/>
      <c r="D906" s="319"/>
    </row>
    <row r="907" spans="3:4" ht="15.75" customHeight="1">
      <c r="C907" s="311"/>
      <c r="D907" s="319"/>
    </row>
    <row r="908" spans="3:4" ht="15.75" customHeight="1">
      <c r="C908" s="225"/>
      <c r="D908" s="319"/>
    </row>
    <row r="909" spans="3:4" ht="15.75" customHeight="1">
      <c r="C909" s="310"/>
      <c r="D909" s="319"/>
    </row>
    <row r="910" spans="3:4" ht="15.75" customHeight="1">
      <c r="C910" s="310"/>
      <c r="D910" s="319"/>
    </row>
    <row r="911" spans="3:4" ht="15.75" customHeight="1">
      <c r="C911" s="316"/>
      <c r="D911" s="319"/>
    </row>
    <row r="912" spans="3:4" ht="15.75" customHeight="1">
      <c r="C912" s="225"/>
      <c r="D912" s="319"/>
    </row>
    <row r="913" spans="3:4" ht="15.75" customHeight="1">
      <c r="C913" s="225"/>
      <c r="D913" s="319"/>
    </row>
    <row r="914" spans="3:4" ht="15.75" customHeight="1">
      <c r="C914" s="317"/>
      <c r="D914" s="319"/>
    </row>
    <row r="915" spans="3:4" ht="15.75" customHeight="1">
      <c r="C915" s="225"/>
      <c r="D915" s="319"/>
    </row>
    <row r="916" spans="3:4" ht="15.75" customHeight="1">
      <c r="C916" s="224"/>
      <c r="D916" s="319"/>
    </row>
    <row r="917" spans="3:4" ht="15.75" customHeight="1">
      <c r="C917" s="35"/>
      <c r="D917" s="319"/>
    </row>
    <row r="918" spans="3:4" ht="15.75" customHeight="1">
      <c r="C918" s="35"/>
      <c r="D918" s="319"/>
    </row>
    <row r="919" spans="3:4" ht="15.75" customHeight="1">
      <c r="C919" s="35"/>
      <c r="D919" s="319"/>
    </row>
    <row r="920" spans="3:4" ht="15.75" customHeight="1">
      <c r="C920" s="35"/>
      <c r="D920" s="319"/>
    </row>
    <row r="921" spans="3:4" ht="15.75" customHeight="1">
      <c r="C921" s="318"/>
      <c r="D921" s="319"/>
    </row>
    <row r="922" spans="3:4" ht="15.75" customHeight="1">
      <c r="C922" s="35"/>
      <c r="D922" s="319"/>
    </row>
    <row r="923" spans="3:4" ht="15.75" customHeight="1">
      <c r="C923" s="35"/>
      <c r="D923" s="319"/>
    </row>
    <row r="924" spans="3:4" ht="15.75" customHeight="1">
      <c r="C924" s="225"/>
      <c r="D924" s="319"/>
    </row>
    <row r="925" spans="3:4" ht="15.75" customHeight="1">
      <c r="C925" s="35"/>
      <c r="D925" s="319"/>
    </row>
    <row r="926" spans="3:4" ht="15.75" customHeight="1">
      <c r="C926" s="307"/>
      <c r="D926" s="319"/>
    </row>
    <row r="927" spans="3:4" ht="15.75" customHeight="1">
      <c r="C927" s="35"/>
      <c r="D927" s="319"/>
    </row>
    <row r="928" spans="3:4" ht="15.75" customHeight="1">
      <c r="C928" s="35"/>
      <c r="D928" s="319"/>
    </row>
    <row r="929" spans="3:4" ht="15.75" customHeight="1">
      <c r="C929" s="307"/>
      <c r="D929" s="319"/>
    </row>
    <row r="930" spans="3:4" ht="15.75" customHeight="1">
      <c r="C930" s="225"/>
      <c r="D930" s="319"/>
    </row>
    <row r="931" spans="3:4" ht="15.75" customHeight="1">
      <c r="C931" s="307"/>
      <c r="D931" s="319"/>
    </row>
    <row r="932" spans="3:4" ht="15.75" customHeight="1">
      <c r="C932" s="35"/>
      <c r="D932" s="319"/>
    </row>
    <row r="933" spans="3:4" ht="15.75" customHeight="1">
      <c r="C933" s="225"/>
      <c r="D933" s="319"/>
    </row>
    <row r="934" spans="3:4" ht="15.75" customHeight="1">
      <c r="C934" s="308"/>
      <c r="D934" s="319"/>
    </row>
    <row r="935" spans="3:4" ht="15.75" customHeight="1">
      <c r="C935" s="308"/>
      <c r="D935" s="319"/>
    </row>
    <row r="936" spans="3:4" ht="15.75" customHeight="1">
      <c r="C936" s="225"/>
      <c r="D936" s="319"/>
    </row>
    <row r="937" spans="3:4" ht="15.75" customHeight="1">
      <c r="C937" s="309"/>
      <c r="D937" s="319"/>
    </row>
    <row r="938" spans="3:4" ht="15.75" customHeight="1">
      <c r="C938" s="308"/>
      <c r="D938" s="319"/>
    </row>
    <row r="939" spans="3:4" ht="15.75" customHeight="1">
      <c r="C939" s="310"/>
      <c r="D939" s="319"/>
    </row>
    <row r="940" spans="3:4" ht="15.75" customHeight="1">
      <c r="C940" s="311"/>
      <c r="D940" s="319"/>
    </row>
    <row r="941" spans="3:4" ht="15.75" customHeight="1">
      <c r="C941" s="225"/>
      <c r="D941" s="319"/>
    </row>
    <row r="942" spans="3:4" ht="15.75" customHeight="1">
      <c r="C942" s="308"/>
      <c r="D942" s="319"/>
    </row>
    <row r="943" spans="3:4" ht="15.75" customHeight="1">
      <c r="C943" s="35"/>
      <c r="D943" s="319"/>
    </row>
    <row r="944" spans="3:4" ht="15.75" customHeight="1">
      <c r="C944" s="308"/>
      <c r="D944" s="319"/>
    </row>
    <row r="945" spans="3:4" ht="15.75" customHeight="1">
      <c r="C945" s="308"/>
      <c r="D945" s="319"/>
    </row>
    <row r="946" spans="3:4" ht="15.75" customHeight="1">
      <c r="C946" s="35"/>
      <c r="D946" s="319"/>
    </row>
    <row r="947" spans="3:4" ht="15.75" customHeight="1">
      <c r="C947" s="308"/>
      <c r="D947" s="319"/>
    </row>
    <row r="948" spans="3:4" ht="15.75" customHeight="1">
      <c r="C948" s="308"/>
      <c r="D948" s="319"/>
    </row>
    <row r="949" spans="3:4" ht="15.75" customHeight="1">
      <c r="C949" s="225"/>
      <c r="D949" s="319"/>
    </row>
    <row r="950" spans="3:4" ht="15.75" customHeight="1">
      <c r="C950" s="312"/>
      <c r="D950" s="319"/>
    </row>
    <row r="951" spans="3:4" ht="15.75" customHeight="1">
      <c r="C951" s="313"/>
      <c r="D951" s="319"/>
    </row>
    <row r="952" spans="3:4" ht="15.75" customHeight="1">
      <c r="C952" s="225"/>
      <c r="D952" s="319"/>
    </row>
    <row r="953" spans="3:4" ht="15.75" customHeight="1">
      <c r="C953" s="314"/>
      <c r="D953" s="319"/>
    </row>
    <row r="954" spans="3:4" ht="15.75" customHeight="1">
      <c r="C954" s="225"/>
      <c r="D954" s="319"/>
    </row>
    <row r="955" spans="3:4" ht="15.75" customHeight="1">
      <c r="C955" s="226"/>
      <c r="D955" s="319"/>
    </row>
    <row r="956" spans="3:4" ht="15.75" customHeight="1">
      <c r="C956" s="225"/>
      <c r="D956" s="319"/>
    </row>
    <row r="957" spans="3:4" ht="15.75" customHeight="1">
      <c r="C957" s="225"/>
      <c r="D957" s="319"/>
    </row>
    <row r="958" spans="3:4" ht="15.75" customHeight="1">
      <c r="C958" s="225"/>
      <c r="D958" s="319"/>
    </row>
    <row r="959" spans="3:4" ht="15.75" customHeight="1">
      <c r="C959" s="225"/>
      <c r="D959" s="319"/>
    </row>
    <row r="960" spans="3:4" ht="15.75" customHeight="1">
      <c r="C960" s="225"/>
      <c r="D960" s="319"/>
    </row>
    <row r="961" spans="3:4" ht="15.75" customHeight="1">
      <c r="C961" s="225"/>
      <c r="D961" s="319"/>
    </row>
    <row r="962" spans="3:4" ht="15.75" customHeight="1">
      <c r="C962" s="315"/>
      <c r="D962" s="319"/>
    </row>
    <row r="963" spans="3:4" ht="15.75" customHeight="1">
      <c r="C963" s="225"/>
      <c r="D963" s="319"/>
    </row>
    <row r="964" spans="3:4" ht="15.75" customHeight="1">
      <c r="C964" s="225"/>
      <c r="D964" s="319"/>
    </row>
    <row r="965" spans="3:4" ht="15.75" customHeight="1">
      <c r="C965" s="310"/>
      <c r="D965" s="319"/>
    </row>
    <row r="966" spans="3:4" ht="15.75" customHeight="1">
      <c r="C966" s="225"/>
      <c r="D966" s="319"/>
    </row>
    <row r="967" spans="3:4" ht="15.75" customHeight="1">
      <c r="C967" s="225"/>
      <c r="D967" s="319"/>
    </row>
    <row r="968" spans="3:4" ht="15.75" customHeight="1">
      <c r="C968" s="311"/>
      <c r="D968" s="319"/>
    </row>
    <row r="969" spans="3:4" ht="15.75" customHeight="1">
      <c r="C969" s="225"/>
      <c r="D969" s="319"/>
    </row>
    <row r="970" spans="3:4" ht="15.75" customHeight="1">
      <c r="C970" s="310"/>
      <c r="D970" s="319"/>
    </row>
    <row r="971" spans="3:4" ht="15.75" customHeight="1">
      <c r="C971" s="310"/>
      <c r="D971" s="319"/>
    </row>
    <row r="972" spans="3:4" ht="15.75" customHeight="1">
      <c r="C972" s="316"/>
      <c r="D972" s="319"/>
    </row>
    <row r="973" spans="3:4" ht="15.75" customHeight="1">
      <c r="C973" s="225"/>
      <c r="D973" s="319"/>
    </row>
    <row r="974" spans="3:4" ht="15.75" customHeight="1">
      <c r="C974" s="225"/>
      <c r="D974" s="319"/>
    </row>
    <row r="975" spans="3:4" ht="15.75" customHeight="1">
      <c r="C975" s="317"/>
      <c r="D975" s="319"/>
    </row>
    <row r="976" spans="3:4" ht="15.75" customHeight="1">
      <c r="C976" s="225"/>
      <c r="D976" s="319"/>
    </row>
    <row r="977" spans="3:4" ht="15.75" customHeight="1">
      <c r="C977" s="224"/>
      <c r="D977" s="319"/>
    </row>
    <row r="978" spans="3:4" ht="15.75" customHeight="1">
      <c r="C978" s="35"/>
      <c r="D978" s="319"/>
    </row>
    <row r="979" spans="3:4" ht="15.75" customHeight="1">
      <c r="C979" s="35"/>
      <c r="D979" s="319"/>
    </row>
    <row r="980" spans="3:4" ht="15.75" customHeight="1">
      <c r="C980" s="35"/>
      <c r="D980" s="319"/>
    </row>
    <row r="981" spans="3:4" ht="15.75" customHeight="1">
      <c r="C981" s="35"/>
      <c r="D981" s="319"/>
    </row>
    <row r="982" spans="3:4" ht="15.75" customHeight="1">
      <c r="C982" s="318"/>
      <c r="D982" s="319"/>
    </row>
    <row r="983" spans="3:4" ht="15.75" customHeight="1">
      <c r="C983" s="35"/>
      <c r="D983" s="319"/>
    </row>
    <row r="984" spans="3:4" ht="15.75" customHeight="1">
      <c r="C984" s="35"/>
      <c r="D984" s="319"/>
    </row>
    <row r="985" spans="3:4" ht="15.75" customHeight="1">
      <c r="C985" s="225"/>
      <c r="D985" s="319"/>
    </row>
    <row r="986" spans="3:4" ht="15.75" customHeight="1">
      <c r="C986" s="35"/>
      <c r="D986" s="319"/>
    </row>
    <row r="987" spans="3:4" ht="15.75" customHeight="1">
      <c r="C987" s="307"/>
      <c r="D987" s="319"/>
    </row>
    <row r="988" spans="3:4" ht="15.75" customHeight="1">
      <c r="C988" s="35"/>
      <c r="D988" s="319"/>
    </row>
    <row r="989" spans="3:4" ht="15.75" customHeight="1">
      <c r="C989" s="35"/>
      <c r="D989" s="319"/>
    </row>
    <row r="990" spans="3:4" ht="15.75" customHeight="1">
      <c r="C990" s="307"/>
      <c r="D990" s="319"/>
    </row>
    <row r="991" spans="3:4" ht="15.75" customHeight="1">
      <c r="C991" s="225"/>
      <c r="D991" s="319"/>
    </row>
    <row r="992" spans="3:4" ht="15.75" customHeight="1">
      <c r="C992" s="307"/>
      <c r="D992" s="319"/>
    </row>
    <row r="993" spans="3:4" ht="15.75" customHeight="1">
      <c r="C993" s="35"/>
      <c r="D993" s="319"/>
    </row>
    <row r="994" spans="3:4" ht="15.75" customHeight="1">
      <c r="C994" s="225"/>
      <c r="D994" s="319"/>
    </row>
    <row r="995" spans="3:4" ht="15.75" customHeight="1">
      <c r="C995" s="308"/>
      <c r="D995" s="319"/>
    </row>
    <row r="996" spans="3:4" ht="15.75" customHeight="1">
      <c r="C996" s="308"/>
      <c r="D996" s="319"/>
    </row>
    <row r="997" spans="3:4" ht="15.75" customHeight="1">
      <c r="C997" s="225"/>
      <c r="D997" s="319"/>
    </row>
    <row r="998" spans="3:4" ht="15.75" customHeight="1">
      <c r="C998" s="309"/>
      <c r="D998" s="319"/>
    </row>
    <row r="999" spans="3:4" ht="15.75" customHeight="1">
      <c r="C999" s="308"/>
      <c r="D999" s="319"/>
    </row>
    <row r="1000" spans="3:4" ht="15.75" customHeight="1">
      <c r="C1000" s="310"/>
      <c r="D1000" s="319"/>
    </row>
    <row r="1001" spans="3:4" ht="15.75" customHeight="1">
      <c r="C1001" s="311"/>
    </row>
  </sheetData>
  <mergeCells count="158">
    <mergeCell ref="F21:F24"/>
    <mergeCell ref="G21:G24"/>
    <mergeCell ref="H21:H24"/>
    <mergeCell ref="J21:J24"/>
    <mergeCell ref="K21:K24"/>
    <mergeCell ref="L21:L24"/>
    <mergeCell ref="M21:M24"/>
    <mergeCell ref="L41:L44"/>
    <mergeCell ref="M41:M44"/>
    <mergeCell ref="F13:F16"/>
    <mergeCell ref="G13:G16"/>
    <mergeCell ref="H13:H16"/>
    <mergeCell ref="J13:J16"/>
    <mergeCell ref="K13:K16"/>
    <mergeCell ref="L13:L16"/>
    <mergeCell ref="M13:M16"/>
    <mergeCell ref="F17:F20"/>
    <mergeCell ref="G17:G20"/>
    <mergeCell ref="H17:H20"/>
    <mergeCell ref="J17:J20"/>
    <mergeCell ref="K17:K20"/>
    <mergeCell ref="L17:L20"/>
    <mergeCell ref="M17:M20"/>
    <mergeCell ref="F5:F8"/>
    <mergeCell ref="G5:G8"/>
    <mergeCell ref="H5:H8"/>
    <mergeCell ref="J5:J8"/>
    <mergeCell ref="K5:K8"/>
    <mergeCell ref="L5:L8"/>
    <mergeCell ref="M5:M8"/>
    <mergeCell ref="F9:F12"/>
    <mergeCell ref="G9:G12"/>
    <mergeCell ref="H9:H12"/>
    <mergeCell ref="J9:J12"/>
    <mergeCell ref="K9:K12"/>
    <mergeCell ref="L9:L12"/>
    <mergeCell ref="M9:M12"/>
    <mergeCell ref="Q209:Q212"/>
    <mergeCell ref="Q241:Q244"/>
    <mergeCell ref="Q245:Q248"/>
    <mergeCell ref="Q249:Q252"/>
    <mergeCell ref="Q253:Q256"/>
    <mergeCell ref="Q257:Q260"/>
    <mergeCell ref="Q261:Q264"/>
    <mergeCell ref="Q265:Q266"/>
    <mergeCell ref="Q213:Q216"/>
    <mergeCell ref="Q217:Q220"/>
    <mergeCell ref="Q221:Q224"/>
    <mergeCell ref="Q225:Q228"/>
    <mergeCell ref="Q229:Q232"/>
    <mergeCell ref="Q233:Q236"/>
    <mergeCell ref="Q237:Q240"/>
    <mergeCell ref="Q173:Q176"/>
    <mergeCell ref="Q177:Q180"/>
    <mergeCell ref="Q181:Q184"/>
    <mergeCell ref="Q185:Q188"/>
    <mergeCell ref="Q189:Q192"/>
    <mergeCell ref="Q193:Q196"/>
    <mergeCell ref="Q197:Q200"/>
    <mergeCell ref="Q201:Q204"/>
    <mergeCell ref="Q205:Q208"/>
    <mergeCell ref="Q137:Q140"/>
    <mergeCell ref="Q141:Q144"/>
    <mergeCell ref="Q145:Q148"/>
    <mergeCell ref="Q149:Q152"/>
    <mergeCell ref="Q153:Q156"/>
    <mergeCell ref="Q157:Q160"/>
    <mergeCell ref="Q161:Q164"/>
    <mergeCell ref="Q165:Q168"/>
    <mergeCell ref="Q169:Q172"/>
    <mergeCell ref="F53:F56"/>
    <mergeCell ref="G53:G56"/>
    <mergeCell ref="H53:H56"/>
    <mergeCell ref="J53:J56"/>
    <mergeCell ref="K53:K56"/>
    <mergeCell ref="L53:L56"/>
    <mergeCell ref="M53:M56"/>
    <mergeCell ref="Q129:Q132"/>
    <mergeCell ref="Q133:Q136"/>
    <mergeCell ref="F61:F64"/>
    <mergeCell ref="G61:G64"/>
    <mergeCell ref="H61:H64"/>
    <mergeCell ref="J61:J64"/>
    <mergeCell ref="K61:K64"/>
    <mergeCell ref="L61:L64"/>
    <mergeCell ref="M61:M64"/>
    <mergeCell ref="J65:J68"/>
    <mergeCell ref="F57:F60"/>
    <mergeCell ref="G57:G60"/>
    <mergeCell ref="H57:H60"/>
    <mergeCell ref="J57:J60"/>
    <mergeCell ref="K57:K60"/>
    <mergeCell ref="L57:L60"/>
    <mergeCell ref="M57:M60"/>
    <mergeCell ref="L45:L48"/>
    <mergeCell ref="M45:M48"/>
    <mergeCell ref="F49:F52"/>
    <mergeCell ref="G49:G52"/>
    <mergeCell ref="H49:H52"/>
    <mergeCell ref="J49:J52"/>
    <mergeCell ref="K49:K52"/>
    <mergeCell ref="L49:L52"/>
    <mergeCell ref="M49:M52"/>
    <mergeCell ref="F41:F44"/>
    <mergeCell ref="G41:G44"/>
    <mergeCell ref="H41:H44"/>
    <mergeCell ref="J41:J44"/>
    <mergeCell ref="K41:K44"/>
    <mergeCell ref="F45:F48"/>
    <mergeCell ref="G45:G48"/>
    <mergeCell ref="H45:H48"/>
    <mergeCell ref="J45:J48"/>
    <mergeCell ref="K45:K48"/>
    <mergeCell ref="B41:B44"/>
    <mergeCell ref="B45:B48"/>
    <mergeCell ref="B49:B52"/>
    <mergeCell ref="B53:B56"/>
    <mergeCell ref="B57:B60"/>
    <mergeCell ref="B61:B64"/>
    <mergeCell ref="B65:B68"/>
    <mergeCell ref="B69:B72"/>
    <mergeCell ref="B5:B8"/>
    <mergeCell ref="B9:B12"/>
    <mergeCell ref="B13:B16"/>
    <mergeCell ref="B17:B20"/>
    <mergeCell ref="B21:B24"/>
    <mergeCell ref="B25:B28"/>
    <mergeCell ref="B29:B32"/>
    <mergeCell ref="F33:F36"/>
    <mergeCell ref="G33:G36"/>
    <mergeCell ref="H33:H36"/>
    <mergeCell ref="J33:J36"/>
    <mergeCell ref="K33:K36"/>
    <mergeCell ref="L33:L36"/>
    <mergeCell ref="M33:M36"/>
    <mergeCell ref="B33:B36"/>
    <mergeCell ref="B37:B40"/>
    <mergeCell ref="F37:F40"/>
    <mergeCell ref="G37:G40"/>
    <mergeCell ref="H37:H40"/>
    <mergeCell ref="J37:J40"/>
    <mergeCell ref="K37:K40"/>
    <mergeCell ref="L37:L40"/>
    <mergeCell ref="M37:M40"/>
    <mergeCell ref="F25:F28"/>
    <mergeCell ref="G25:G28"/>
    <mergeCell ref="H25:H28"/>
    <mergeCell ref="J25:J28"/>
    <mergeCell ref="K25:K28"/>
    <mergeCell ref="L25:L28"/>
    <mergeCell ref="M25:M28"/>
    <mergeCell ref="F29:F32"/>
    <mergeCell ref="G29:G32"/>
    <mergeCell ref="H29:H32"/>
    <mergeCell ref="J29:J32"/>
    <mergeCell ref="K29:K32"/>
    <mergeCell ref="L29:L32"/>
    <mergeCell ref="M29:M32"/>
  </mergeCells>
  <conditionalFormatting sqref="Q129:Q1001">
    <cfRule type="cellIs" dxfId="17" priority="1" operator="lessThan">
      <formula>15</formula>
    </cfRule>
  </conditionalFormatting>
  <conditionalFormatting sqref="Q129:Q1001">
    <cfRule type="cellIs" dxfId="16" priority="2" operator="between">
      <formula>15</formula>
      <formula>19.99</formula>
    </cfRule>
  </conditionalFormatting>
  <conditionalFormatting sqref="Q129:Q1001">
    <cfRule type="cellIs" dxfId="15" priority="3" operator="between">
      <formula>20</formula>
      <formula>24.99</formula>
    </cfRule>
  </conditionalFormatting>
  <conditionalFormatting sqref="Q129:Q1001">
    <cfRule type="cellIs" dxfId="14" priority="4" operator="between">
      <formula>25</formula>
      <formula>29.99</formula>
    </cfRule>
  </conditionalFormatting>
  <hyperlinks>
    <hyperlink ref="H1" r:id="rId1" xr:uid="{00000000-0004-0000-0B00-000000000000}"/>
  </hyperlink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9DAF8"/>
    <outlinePr summaryBelow="0" summaryRight="0"/>
    <pageSetUpPr fitToPage="1"/>
  </sheetPr>
  <dimension ref="A1:AD1006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7.26953125" customWidth="1"/>
    <col min="2" max="3" width="5.453125" customWidth="1"/>
    <col min="4" max="4" width="7.08984375" customWidth="1"/>
    <col min="5" max="5" width="22.7265625" hidden="1" customWidth="1"/>
    <col min="6" max="6" width="13.453125" hidden="1" customWidth="1"/>
    <col min="7" max="7" width="56.54296875" customWidth="1"/>
    <col min="8" max="8" width="25.81640625" hidden="1" customWidth="1"/>
    <col min="9" max="10" width="12.7265625" hidden="1" customWidth="1"/>
    <col min="11" max="11" width="7.453125" hidden="1" customWidth="1"/>
    <col min="12" max="12" width="13.7265625" hidden="1" customWidth="1"/>
    <col min="13" max="13" width="7.453125" hidden="1" customWidth="1"/>
    <col min="14" max="14" width="12.7265625" hidden="1" customWidth="1"/>
    <col min="15" max="15" width="9.54296875" hidden="1" customWidth="1"/>
    <col min="16" max="16" width="27" hidden="1" customWidth="1"/>
    <col min="17" max="17" width="11.54296875" customWidth="1"/>
    <col min="18" max="18" width="8.453125" customWidth="1"/>
    <col min="19" max="19" width="7.453125" hidden="1" customWidth="1"/>
    <col min="20" max="20" width="10.54296875" hidden="1" customWidth="1"/>
    <col min="21" max="21" width="10.54296875" customWidth="1"/>
    <col min="22" max="23" width="10.54296875" hidden="1" customWidth="1"/>
    <col min="24" max="24" width="11.54296875" hidden="1" customWidth="1"/>
    <col min="25" max="25" width="13.54296875" hidden="1" customWidth="1"/>
    <col min="26" max="26" width="31.54296875" customWidth="1"/>
    <col min="27" max="27" width="35.453125" hidden="1" customWidth="1"/>
    <col min="28" max="28" width="48.54296875" hidden="1" customWidth="1"/>
    <col min="29" max="30" width="14.453125" hidden="1"/>
  </cols>
  <sheetData>
    <row r="1" spans="1:30" ht="15.75" customHeight="1">
      <c r="A1" s="37" t="s">
        <v>1538</v>
      </c>
      <c r="B1" s="38"/>
      <c r="C1" s="39"/>
      <c r="D1" s="40"/>
      <c r="E1" s="40"/>
      <c r="F1" s="40"/>
      <c r="G1" s="41"/>
      <c r="H1" s="40"/>
      <c r="I1" s="40"/>
      <c r="J1" s="40"/>
      <c r="K1" s="40"/>
      <c r="L1" s="40"/>
      <c r="M1" s="40"/>
      <c r="N1" s="40"/>
      <c r="O1" s="40"/>
      <c r="P1" s="42"/>
      <c r="Q1" s="43"/>
      <c r="R1" s="43"/>
      <c r="S1" s="43"/>
      <c r="T1" s="43"/>
      <c r="U1" s="44"/>
      <c r="V1" s="40"/>
      <c r="W1" s="40"/>
      <c r="X1" s="40"/>
      <c r="Y1" s="40"/>
      <c r="Z1" s="40"/>
      <c r="AA1" s="320"/>
      <c r="AB1" s="320"/>
      <c r="AC1" s="321"/>
      <c r="AD1" s="321"/>
    </row>
    <row r="2" spans="1:30" ht="26">
      <c r="A2" s="46" t="s">
        <v>36</v>
      </c>
      <c r="B2" s="47" t="s">
        <v>95</v>
      </c>
      <c r="C2" s="47" t="s">
        <v>38</v>
      </c>
      <c r="D2" s="48" t="s">
        <v>40</v>
      </c>
      <c r="E2" s="49" t="s">
        <v>43</v>
      </c>
      <c r="F2" s="50" t="s">
        <v>45</v>
      </c>
      <c r="G2" s="47" t="s">
        <v>96</v>
      </c>
      <c r="H2" s="50" t="s">
        <v>97</v>
      </c>
      <c r="I2" s="50" t="s">
        <v>98</v>
      </c>
      <c r="J2" s="50" t="s">
        <v>99</v>
      </c>
      <c r="K2" s="48" t="s">
        <v>100</v>
      </c>
      <c r="L2" s="50" t="s">
        <v>101</v>
      </c>
      <c r="M2" s="48" t="s">
        <v>102</v>
      </c>
      <c r="N2" s="50" t="s">
        <v>103</v>
      </c>
      <c r="O2" s="48" t="s">
        <v>104</v>
      </c>
      <c r="P2" s="51" t="s">
        <v>1156</v>
      </c>
      <c r="Q2" s="52" t="s">
        <v>63</v>
      </c>
      <c r="R2" s="52" t="s">
        <v>65</v>
      </c>
      <c r="S2" s="52" t="s">
        <v>67</v>
      </c>
      <c r="T2" s="52" t="s">
        <v>69</v>
      </c>
      <c r="U2" s="53" t="s">
        <v>71</v>
      </c>
      <c r="V2" s="54" t="s">
        <v>106</v>
      </c>
      <c r="W2" s="54" t="s">
        <v>107</v>
      </c>
      <c r="X2" s="54" t="s">
        <v>108</v>
      </c>
      <c r="Y2" s="54" t="s">
        <v>73</v>
      </c>
      <c r="Z2" s="55" t="s">
        <v>109</v>
      </c>
      <c r="AA2" s="322" t="s">
        <v>1539</v>
      </c>
      <c r="AB2" s="322" t="s">
        <v>1540</v>
      </c>
      <c r="AC2" s="323" t="s">
        <v>1541</v>
      </c>
      <c r="AD2" s="323" t="s">
        <v>1542</v>
      </c>
    </row>
    <row r="3" spans="1:30" ht="15.75" customHeight="1">
      <c r="A3" s="56" t="str">
        <f t="shared" ref="A3:A70" si="0">CONCATENATE("W",B3,C3)</f>
        <v>W0NE</v>
      </c>
      <c r="B3" s="57">
        <v>0</v>
      </c>
      <c r="C3" s="58" t="s">
        <v>110</v>
      </c>
      <c r="D3" s="59">
        <f t="shared" ref="D3:D70" si="1">B3*200+200</f>
        <v>200</v>
      </c>
      <c r="E3" s="60" t="s">
        <v>545</v>
      </c>
      <c r="F3" s="60">
        <v>1103124028</v>
      </c>
      <c r="G3" s="58" t="s">
        <v>546</v>
      </c>
      <c r="H3" s="60" t="s">
        <v>547</v>
      </c>
      <c r="I3" s="60">
        <v>114.15954379999999</v>
      </c>
      <c r="J3" s="60">
        <v>22.283562939999999</v>
      </c>
      <c r="K3" s="61">
        <v>3.9</v>
      </c>
      <c r="L3" s="60" t="s">
        <v>115</v>
      </c>
      <c r="M3" s="61">
        <v>30.1</v>
      </c>
      <c r="N3" s="60" t="s">
        <v>115</v>
      </c>
      <c r="O3" s="61">
        <v>26.2</v>
      </c>
      <c r="P3" s="62"/>
      <c r="Q3" s="43" t="b">
        <v>0</v>
      </c>
      <c r="R3" s="43" t="b">
        <v>1</v>
      </c>
      <c r="S3" s="43" t="b">
        <v>0</v>
      </c>
      <c r="T3" s="63" t="b">
        <f ca="1">AND(U3&lt;&gt;"",OR(U3&gt;(VLOOKUP(B3,W_analysis!$A$2:$K$18,5,FALSE)+2*VLOOKUP(B3,W_analysis!$A$2:$K$18,6,FALSE)),U3&lt;(VLOOKUP(B3,W_analysis!$A$2:$K$18,5,FALSE)-2*VLOOKUP(B3,W_analysis!$A$2:$K$18,6,FALSE))))</f>
        <v>1</v>
      </c>
      <c r="U3" s="64">
        <v>3</v>
      </c>
      <c r="V3" s="60"/>
      <c r="W3" s="59"/>
      <c r="X3" s="60"/>
      <c r="Y3" s="65" t="s">
        <v>227</v>
      </c>
      <c r="Z3" s="66" t="s">
        <v>1765</v>
      </c>
      <c r="AA3" s="324" t="str">
        <f>W_original!D5</f>
        <v xml:space="preserve">General Post Office </v>
      </c>
      <c r="AB3" s="325" t="s">
        <v>1543</v>
      </c>
      <c r="AC3" s="326" t="str">
        <f>W_original!E5</f>
        <v xml:space="preserve">govt </v>
      </c>
      <c r="AD3" s="326">
        <v>2.9111111109999999</v>
      </c>
    </row>
    <row r="4" spans="1:30" ht="15.75" customHeight="1">
      <c r="A4" s="56" t="str">
        <f t="shared" si="0"/>
        <v>W0SE</v>
      </c>
      <c r="B4" s="57">
        <v>0</v>
      </c>
      <c r="C4" s="58" t="s">
        <v>116</v>
      </c>
      <c r="D4" s="59">
        <f t="shared" si="1"/>
        <v>200</v>
      </c>
      <c r="E4" s="60" t="s">
        <v>549</v>
      </c>
      <c r="F4" s="60">
        <v>1103124531</v>
      </c>
      <c r="G4" s="58" t="s">
        <v>550</v>
      </c>
      <c r="H4" s="60" t="s">
        <v>551</v>
      </c>
      <c r="I4" s="60">
        <v>114.15915529999999</v>
      </c>
      <c r="J4" s="60">
        <v>22.28300407</v>
      </c>
      <c r="K4" s="61">
        <v>3.7</v>
      </c>
      <c r="L4" s="60" t="s">
        <v>115</v>
      </c>
      <c r="M4" s="61">
        <v>182</v>
      </c>
      <c r="N4" s="60" t="s">
        <v>115</v>
      </c>
      <c r="O4" s="61">
        <v>178.3</v>
      </c>
      <c r="P4" s="67"/>
      <c r="Q4" s="43" t="b">
        <v>0</v>
      </c>
      <c r="R4" s="43" t="b">
        <v>0</v>
      </c>
      <c r="S4" s="43" t="b">
        <v>0</v>
      </c>
      <c r="T4" s="63" t="b">
        <f ca="1">AND(U4&lt;&gt;"",OR(U4&gt;(VLOOKUP(B4,W_analysis!$A$2:$K$18,5,FALSE)+2*VLOOKUP(B4,W_analysis!$A$2:$K$18,6,FALSE)),U4&lt;(VLOOKUP(B4,W_analysis!$A$2:$K$18,5,FALSE)-2*VLOOKUP(B4,W_analysis!$A$2:$K$18,6,FALSE))))</f>
        <v>0</v>
      </c>
      <c r="U4" s="68">
        <f t="shared" ref="U4:U5" si="2">AC4</f>
        <v>48</v>
      </c>
      <c r="V4" s="60"/>
      <c r="W4" s="59"/>
      <c r="X4" s="60"/>
      <c r="Y4" s="60" t="s">
        <v>1544</v>
      </c>
      <c r="Z4" s="66" t="s">
        <v>1767</v>
      </c>
      <c r="AA4" s="324" t="str">
        <f>W_original!D6</f>
        <v xml:space="preserve">Jardine House </v>
      </c>
      <c r="AB4" s="327"/>
      <c r="AC4" s="326">
        <f>W_original!E6</f>
        <v>48</v>
      </c>
      <c r="AD4" s="326">
        <v>1.2381944439999999</v>
      </c>
    </row>
    <row r="5" spans="1:30" ht="15.75" customHeight="1">
      <c r="A5" s="56" t="str">
        <f t="shared" si="0"/>
        <v>W0SW</v>
      </c>
      <c r="B5" s="57">
        <v>0</v>
      </c>
      <c r="C5" s="58" t="s">
        <v>121</v>
      </c>
      <c r="D5" s="59">
        <f t="shared" si="1"/>
        <v>200</v>
      </c>
      <c r="E5" s="60" t="s">
        <v>1556</v>
      </c>
      <c r="F5" s="60">
        <v>1103123897</v>
      </c>
      <c r="G5" s="58" t="s">
        <v>1557</v>
      </c>
      <c r="H5" s="60" t="s">
        <v>1558</v>
      </c>
      <c r="I5" s="60">
        <v>114.15824000000001</v>
      </c>
      <c r="J5" s="60">
        <v>22.28389293</v>
      </c>
      <c r="K5" s="61">
        <v>3.6</v>
      </c>
      <c r="L5" s="60" t="s">
        <v>126</v>
      </c>
      <c r="M5" s="61">
        <v>185.9</v>
      </c>
      <c r="N5" s="60" t="s">
        <v>115</v>
      </c>
      <c r="O5" s="61">
        <v>182.3</v>
      </c>
      <c r="P5" s="67"/>
      <c r="Q5" s="43" t="b">
        <v>0</v>
      </c>
      <c r="R5" s="43" t="b">
        <v>0</v>
      </c>
      <c r="S5" s="43" t="b">
        <v>0</v>
      </c>
      <c r="T5" s="63" t="b">
        <f ca="1">AND(U5&lt;&gt;"",OR(U5&gt;(VLOOKUP(B5,W_analysis!$A$2:$K$18,5,FALSE)+2*VLOOKUP(B5,W_analysis!$A$2:$K$18,6,FALSE)),U5&lt;(VLOOKUP(B5,W_analysis!$A$2:$K$18,5,FALSE)-2*VLOOKUP(B5,W_analysis!$A$2:$K$18,6,FALSE))))</f>
        <v>0</v>
      </c>
      <c r="U5" s="68">
        <f t="shared" si="2"/>
        <v>50</v>
      </c>
      <c r="V5" s="65"/>
      <c r="W5" s="66"/>
      <c r="X5" s="65"/>
      <c r="Y5" s="60" t="s">
        <v>1544</v>
      </c>
      <c r="Z5" s="66" t="s">
        <v>1761</v>
      </c>
      <c r="AA5" s="324" t="str">
        <f>W_original!D7</f>
        <v xml:space="preserve">Two Exchange Square </v>
      </c>
      <c r="AB5" s="328"/>
      <c r="AC5" s="326">
        <f>W_original!E7</f>
        <v>50</v>
      </c>
      <c r="AD5" s="326">
        <v>1.215333333</v>
      </c>
    </row>
    <row r="6" spans="1:30" ht="15.75" customHeight="1">
      <c r="A6" s="56" t="str">
        <f t="shared" si="0"/>
        <v>W0NW</v>
      </c>
      <c r="B6" s="57">
        <v>0</v>
      </c>
      <c r="C6" s="58" t="s">
        <v>127</v>
      </c>
      <c r="D6" s="59">
        <f t="shared" si="1"/>
        <v>200</v>
      </c>
      <c r="E6" s="60" t="s">
        <v>541</v>
      </c>
      <c r="F6" s="60">
        <v>1103123008</v>
      </c>
      <c r="G6" s="58" t="s">
        <v>542</v>
      </c>
      <c r="H6" s="60" t="s">
        <v>543</v>
      </c>
      <c r="I6" s="60">
        <v>114.15816770000001</v>
      </c>
      <c r="J6" s="60">
        <v>22.284623549999999</v>
      </c>
      <c r="K6" s="61">
        <v>3.8</v>
      </c>
      <c r="L6" s="60" t="s">
        <v>115</v>
      </c>
      <c r="M6" s="61">
        <v>34.4</v>
      </c>
      <c r="N6" s="60" t="s">
        <v>115</v>
      </c>
      <c r="O6" s="61">
        <v>30.6</v>
      </c>
      <c r="P6" s="62"/>
      <c r="Q6" s="43" t="b">
        <v>0</v>
      </c>
      <c r="R6" s="43" t="b">
        <v>1</v>
      </c>
      <c r="S6" s="43" t="b">
        <v>0</v>
      </c>
      <c r="T6" s="63" t="b">
        <f ca="1">AND(U6&lt;&gt;"",OR(U6&gt;(VLOOKUP(B6,W_analysis!$A$2:$K$18,5,FALSE)+2*VLOOKUP(B6,W_analysis!$A$2:$K$18,6,FALSE)),U6&lt;(VLOOKUP(B6,W_analysis!$A$2:$K$18,5,FALSE)-2*VLOOKUP(B6,W_analysis!$A$2:$K$18,6,FALSE))))</f>
        <v>1</v>
      </c>
      <c r="U6" s="64">
        <v>4</v>
      </c>
      <c r="V6" s="60"/>
      <c r="W6" s="59"/>
      <c r="X6" s="60"/>
      <c r="Y6" s="65" t="s">
        <v>227</v>
      </c>
      <c r="Z6" s="66" t="s">
        <v>1763</v>
      </c>
      <c r="AA6" s="324" t="str">
        <f>W_original!D8</f>
        <v>Chow Sang Sang (IFC)</v>
      </c>
      <c r="AB6" s="328"/>
      <c r="AC6" s="326">
        <f>W_original!E8</f>
        <v>0</v>
      </c>
      <c r="AD6" s="326">
        <v>2.5499999999999998</v>
      </c>
    </row>
    <row r="7" spans="1:30" ht="15.75" customHeight="1">
      <c r="A7" s="56" t="str">
        <f t="shared" si="0"/>
        <v>W1NE</v>
      </c>
      <c r="B7" s="57">
        <v>1</v>
      </c>
      <c r="C7" s="58" t="s">
        <v>110</v>
      </c>
      <c r="D7" s="59">
        <f t="shared" si="1"/>
        <v>400</v>
      </c>
      <c r="E7" s="60" t="s">
        <v>556</v>
      </c>
      <c r="F7" s="60" t="s">
        <v>556</v>
      </c>
      <c r="G7" s="58" t="s">
        <v>556</v>
      </c>
      <c r="H7" s="60" t="s">
        <v>556</v>
      </c>
      <c r="I7" s="60" t="s">
        <v>556</v>
      </c>
      <c r="J7" s="60" t="s">
        <v>556</v>
      </c>
      <c r="K7" s="61" t="s">
        <v>556</v>
      </c>
      <c r="L7" s="60" t="s">
        <v>556</v>
      </c>
      <c r="M7" s="61" t="s">
        <v>556</v>
      </c>
      <c r="N7" s="60" t="s">
        <v>556</v>
      </c>
      <c r="O7" s="61" t="s">
        <v>556</v>
      </c>
      <c r="P7" s="62"/>
      <c r="Q7" s="43" t="b">
        <v>1</v>
      </c>
      <c r="R7" s="43" t="b">
        <v>0</v>
      </c>
      <c r="S7" s="43" t="b">
        <v>0</v>
      </c>
      <c r="T7" s="63" t="b">
        <f ca="1">AND(U7&lt;&gt;"",OR(U7&gt;(VLOOKUP(B7,W_analysis!$A$2:$K$18,5,FALSE)+2*VLOOKUP(B7,W_analysis!$A$2:$K$18,6,FALSE)),U7&lt;(VLOOKUP(B7,W_analysis!$A$2:$K$18,5,FALSE)-2*VLOOKUP(B7,W_analysis!$A$2:$K$18,6,FALSE))))</f>
        <v>1</v>
      </c>
      <c r="U7" s="64">
        <v>0</v>
      </c>
      <c r="V7" s="60"/>
      <c r="W7" s="59"/>
      <c r="X7" s="60"/>
      <c r="Y7" s="60"/>
      <c r="Z7" s="66" t="s">
        <v>556</v>
      </c>
      <c r="AA7" s="324">
        <f>W_original!D9</f>
        <v>0</v>
      </c>
      <c r="AB7" s="328"/>
      <c r="AC7" s="326" t="str">
        <f>W_original!E9</f>
        <v xml:space="preserve">road </v>
      </c>
      <c r="AD7" s="326" t="s">
        <v>556</v>
      </c>
    </row>
    <row r="8" spans="1:30" ht="15.75" customHeight="1">
      <c r="A8" s="56" t="str">
        <f t="shared" si="0"/>
        <v>W1SE</v>
      </c>
      <c r="B8" s="57">
        <v>1</v>
      </c>
      <c r="C8" s="58" t="s">
        <v>116</v>
      </c>
      <c r="D8" s="59">
        <f t="shared" si="1"/>
        <v>400</v>
      </c>
      <c r="E8" s="60" t="s">
        <v>558</v>
      </c>
      <c r="F8" s="60">
        <v>1103125246</v>
      </c>
      <c r="G8" s="58" t="s">
        <v>559</v>
      </c>
      <c r="H8" s="60" t="s">
        <v>560</v>
      </c>
      <c r="I8" s="60">
        <v>114.1584381</v>
      </c>
      <c r="J8" s="60">
        <v>22.282230460000001</v>
      </c>
      <c r="K8" s="61">
        <v>3.7</v>
      </c>
      <c r="L8" s="60" t="s">
        <v>115</v>
      </c>
      <c r="M8" s="61">
        <v>127.5</v>
      </c>
      <c r="N8" s="60" t="s">
        <v>115</v>
      </c>
      <c r="O8" s="61">
        <v>123.8</v>
      </c>
      <c r="P8" s="69"/>
      <c r="Q8" s="43" t="b">
        <v>0</v>
      </c>
      <c r="R8" s="43" t="b">
        <v>0</v>
      </c>
      <c r="S8" s="43" t="b">
        <v>0</v>
      </c>
      <c r="T8" s="63" t="b">
        <f ca="1">AND(U8&lt;&gt;"",OR(U8&gt;(VLOOKUP(B8,W_analysis!$A$2:$K$18,5,FALSE)+2*VLOOKUP(B8,W_analysis!$A$2:$K$18,6,FALSE)),U8&lt;(VLOOKUP(B8,W_analysis!$A$2:$K$18,5,FALSE)-2*VLOOKUP(B8,W_analysis!$A$2:$K$18,6,FALSE))))</f>
        <v>0</v>
      </c>
      <c r="U8" s="68">
        <f>AC8</f>
        <v>30</v>
      </c>
      <c r="V8" s="65"/>
      <c r="W8" s="66"/>
      <c r="X8" s="65"/>
      <c r="Y8" s="60" t="s">
        <v>1544</v>
      </c>
      <c r="Z8" s="66" t="s">
        <v>1773</v>
      </c>
      <c r="AA8" s="324" t="str">
        <f>W_original!D10</f>
        <v xml:space="preserve">Chater House </v>
      </c>
      <c r="AB8" s="328"/>
      <c r="AC8" s="326">
        <f>W_original!E10</f>
        <v>30</v>
      </c>
      <c r="AD8" s="326">
        <v>1.3755555559999999</v>
      </c>
    </row>
    <row r="9" spans="1:30" ht="15.75" customHeight="1">
      <c r="A9" s="56" t="str">
        <f t="shared" si="0"/>
        <v>W1SW</v>
      </c>
      <c r="B9" s="57">
        <v>1</v>
      </c>
      <c r="C9" s="58" t="s">
        <v>121</v>
      </c>
      <c r="D9" s="59">
        <f t="shared" si="1"/>
        <v>400</v>
      </c>
      <c r="E9" s="60" t="s">
        <v>556</v>
      </c>
      <c r="F9" s="60" t="s">
        <v>556</v>
      </c>
      <c r="G9" s="58" t="s">
        <v>556</v>
      </c>
      <c r="H9" s="60" t="s">
        <v>556</v>
      </c>
      <c r="I9" s="60" t="s">
        <v>556</v>
      </c>
      <c r="J9" s="60" t="s">
        <v>556</v>
      </c>
      <c r="K9" s="61" t="s">
        <v>556</v>
      </c>
      <c r="L9" s="60" t="s">
        <v>556</v>
      </c>
      <c r="M9" s="61" t="s">
        <v>556</v>
      </c>
      <c r="N9" s="60" t="s">
        <v>556</v>
      </c>
      <c r="O9" s="61" t="s">
        <v>556</v>
      </c>
      <c r="P9" s="69"/>
      <c r="Q9" s="43" t="b">
        <v>1</v>
      </c>
      <c r="R9" s="43" t="b">
        <v>0</v>
      </c>
      <c r="S9" s="43" t="b">
        <v>0</v>
      </c>
      <c r="T9" s="63" t="b">
        <f ca="1">AND(U9&lt;&gt;"",OR(U9&gt;(VLOOKUP(B9,W_analysis!$A$2:$K$18,5,FALSE)+2*VLOOKUP(B9,W_analysis!$A$2:$K$18,6,FALSE)),U9&lt;(VLOOKUP(B9,W_analysis!$A$2:$K$18,5,FALSE)-2*VLOOKUP(B9,W_analysis!$A$2:$K$18,6,FALSE))))</f>
        <v>1</v>
      </c>
      <c r="U9" s="64">
        <v>0</v>
      </c>
      <c r="V9" s="65"/>
      <c r="W9" s="66"/>
      <c r="X9" s="65"/>
      <c r="Y9" s="60"/>
      <c r="Z9" s="66" t="s">
        <v>556</v>
      </c>
      <c r="AA9" s="324">
        <f>W_original!D11</f>
        <v>0</v>
      </c>
      <c r="AB9" s="328"/>
      <c r="AC9" s="326" t="str">
        <f>W_original!E11</f>
        <v xml:space="preserve">road </v>
      </c>
      <c r="AD9" s="326" t="s">
        <v>556</v>
      </c>
    </row>
    <row r="10" spans="1:30" ht="15.75" customHeight="1">
      <c r="A10" s="56" t="str">
        <f t="shared" si="0"/>
        <v>W1NW</v>
      </c>
      <c r="B10" s="57">
        <v>1</v>
      </c>
      <c r="C10" s="58" t="s">
        <v>127</v>
      </c>
      <c r="D10" s="59">
        <f t="shared" si="1"/>
        <v>400</v>
      </c>
      <c r="E10" s="60" t="s">
        <v>552</v>
      </c>
      <c r="F10" s="60">
        <v>1103124903</v>
      </c>
      <c r="G10" s="58" t="s">
        <v>553</v>
      </c>
      <c r="H10" s="60" t="s">
        <v>554</v>
      </c>
      <c r="I10" s="60">
        <v>114.1577892</v>
      </c>
      <c r="J10" s="60">
        <v>22.282554059999999</v>
      </c>
      <c r="K10" s="61">
        <v>3.7</v>
      </c>
      <c r="L10" s="60" t="s">
        <v>115</v>
      </c>
      <c r="M10" s="61">
        <v>109</v>
      </c>
      <c r="N10" s="60">
        <v>3</v>
      </c>
      <c r="O10" s="61">
        <v>105.3</v>
      </c>
      <c r="P10" s="62"/>
      <c r="Q10" s="43" t="b">
        <v>0</v>
      </c>
      <c r="R10" s="43" t="b">
        <v>0</v>
      </c>
      <c r="S10" s="43" t="b">
        <v>0</v>
      </c>
      <c r="T10" s="63" t="b">
        <f ca="1">AND(U10&lt;&gt;"",OR(U10&gt;(VLOOKUP(B10,W_analysis!$A$2:$K$18,5,FALSE)+2*VLOOKUP(B10,W_analysis!$A$2:$K$18,6,FALSE)),U10&lt;(VLOOKUP(B10,W_analysis!$A$2:$K$18,5,FALSE)-2*VLOOKUP(B10,W_analysis!$A$2:$K$18,6,FALSE))))</f>
        <v>0</v>
      </c>
      <c r="U10" s="68">
        <f t="shared" ref="U10:U11" si="3">AC10</f>
        <v>30</v>
      </c>
      <c r="V10" s="60"/>
      <c r="W10" s="59"/>
      <c r="X10" s="60"/>
      <c r="Y10" s="60" t="s">
        <v>1544</v>
      </c>
      <c r="Z10" s="66" t="s">
        <v>1769</v>
      </c>
      <c r="AA10" s="324" t="str">
        <f>W_original!D12</f>
        <v xml:space="preserve">World Wide House </v>
      </c>
      <c r="AB10" s="328"/>
      <c r="AC10" s="326">
        <f>W_original!E12</f>
        <v>30</v>
      </c>
      <c r="AD10" s="326">
        <v>1.17</v>
      </c>
    </row>
    <row r="11" spans="1:30" ht="15.75" customHeight="1">
      <c r="A11" s="56" t="str">
        <f t="shared" si="0"/>
        <v>W2NE</v>
      </c>
      <c r="B11" s="57">
        <v>2</v>
      </c>
      <c r="C11" s="58" t="s">
        <v>110</v>
      </c>
      <c r="D11" s="59">
        <f t="shared" si="1"/>
        <v>600</v>
      </c>
      <c r="E11" s="60" t="s">
        <v>1563</v>
      </c>
      <c r="F11" s="60">
        <v>1103124097</v>
      </c>
      <c r="G11" s="58" t="s">
        <v>1564</v>
      </c>
      <c r="H11" s="60" t="s">
        <v>1565</v>
      </c>
      <c r="I11" s="60">
        <v>114.1567764</v>
      </c>
      <c r="J11" s="60">
        <v>22.28367579</v>
      </c>
      <c r="K11" s="61">
        <v>3.6</v>
      </c>
      <c r="L11" s="60" t="s">
        <v>115</v>
      </c>
      <c r="M11" s="61">
        <v>75</v>
      </c>
      <c r="N11" s="60" t="s">
        <v>115</v>
      </c>
      <c r="O11" s="61">
        <v>71.400000000000006</v>
      </c>
      <c r="P11" s="69" t="s">
        <v>1545</v>
      </c>
      <c r="Q11" s="43" t="b">
        <v>0</v>
      </c>
      <c r="R11" s="43" t="b">
        <v>0</v>
      </c>
      <c r="S11" s="43" t="b">
        <v>0</v>
      </c>
      <c r="T11" s="63" t="b">
        <f ca="1">AND(U11&lt;&gt;"",OR(U11&gt;(VLOOKUP(B11,W_analysis!$A$2:$K$18,5,FALSE)+2*VLOOKUP(B11,W_analysis!$A$2:$K$18,6,FALSE)),U11&lt;(VLOOKUP(B11,W_analysis!$A$2:$K$18,5,FALSE)-2*VLOOKUP(B11,W_analysis!$A$2:$K$18,6,FALSE))))</f>
        <v>0</v>
      </c>
      <c r="U11" s="68">
        <f t="shared" si="3"/>
        <v>29</v>
      </c>
      <c r="V11" s="65"/>
      <c r="W11" s="66"/>
      <c r="X11" s="65"/>
      <c r="Y11" s="60" t="s">
        <v>1544</v>
      </c>
      <c r="Z11" s="66" t="s">
        <v>1787</v>
      </c>
      <c r="AA11" s="324" t="str">
        <f>W_original!D13</f>
        <v xml:space="preserve">Chinachem Tower </v>
      </c>
      <c r="AB11" s="328"/>
      <c r="AC11" s="326">
        <f>W_original!E13</f>
        <v>29</v>
      </c>
      <c r="AD11" s="326">
        <v>0.82068965520000003</v>
      </c>
    </row>
    <row r="12" spans="1:30" ht="15.75" customHeight="1">
      <c r="A12" s="56" t="str">
        <f t="shared" si="0"/>
        <v>W2SE</v>
      </c>
      <c r="B12" s="57">
        <v>2</v>
      </c>
      <c r="C12" s="58" t="s">
        <v>116</v>
      </c>
      <c r="D12" s="59">
        <f t="shared" si="1"/>
        <v>600</v>
      </c>
      <c r="E12" s="60" t="s">
        <v>1567</v>
      </c>
      <c r="F12" s="60">
        <v>1103124289</v>
      </c>
      <c r="G12" s="58" t="s">
        <v>1568</v>
      </c>
      <c r="H12" s="60" t="s">
        <v>1569</v>
      </c>
      <c r="I12" s="60">
        <v>114.15687749999999</v>
      </c>
      <c r="J12" s="60">
        <v>22.28345818</v>
      </c>
      <c r="K12" s="61">
        <v>3.6</v>
      </c>
      <c r="L12" s="60" t="s">
        <v>115</v>
      </c>
      <c r="M12" s="61">
        <v>123.6</v>
      </c>
      <c r="N12" s="60">
        <v>3</v>
      </c>
      <c r="O12" s="61">
        <v>120</v>
      </c>
      <c r="P12" s="62"/>
      <c r="Q12" s="43" t="b">
        <v>0</v>
      </c>
      <c r="R12" s="43" t="b">
        <v>0</v>
      </c>
      <c r="S12" s="43" t="b">
        <v>0</v>
      </c>
      <c r="T12" s="63" t="b">
        <f ca="1">AND(U12&lt;&gt;"",OR(U12&gt;(VLOOKUP(B12,W_analysis!$A$2:$K$18,5,FALSE)+2*VLOOKUP(B12,W_analysis!$A$2:$K$18,6,FALSE)),U12&lt;(VLOOKUP(B12,W_analysis!$A$2:$K$18,5,FALSE)-2*VLOOKUP(B12,W_analysis!$A$2:$K$18,6,FALSE))))</f>
        <v>0</v>
      </c>
      <c r="U12" s="64">
        <v>22</v>
      </c>
      <c r="V12" s="60"/>
      <c r="W12" s="59"/>
      <c r="X12" s="65">
        <v>1995</v>
      </c>
      <c r="Y12" s="65" t="s">
        <v>1546</v>
      </c>
      <c r="Z12" s="66" t="s">
        <v>1788</v>
      </c>
      <c r="AA12" s="324" t="str">
        <f>W_original!D14</f>
        <v xml:space="preserve">Hip Shing Hong Centre </v>
      </c>
      <c r="AB12" s="328"/>
      <c r="AC12" s="326">
        <f>W_original!E14</f>
        <v>26</v>
      </c>
      <c r="AD12" s="326">
        <v>1.818181818</v>
      </c>
    </row>
    <row r="13" spans="1:30" ht="15.75" customHeight="1">
      <c r="A13" s="56" t="str">
        <f t="shared" si="0"/>
        <v>W2SW</v>
      </c>
      <c r="B13" s="57">
        <v>2</v>
      </c>
      <c r="C13" s="58" t="s">
        <v>121</v>
      </c>
      <c r="D13" s="59">
        <f t="shared" si="1"/>
        <v>600</v>
      </c>
      <c r="E13" s="60" t="s">
        <v>1571</v>
      </c>
      <c r="F13" s="60">
        <v>1103124542</v>
      </c>
      <c r="G13" s="58" t="s">
        <v>1572</v>
      </c>
      <c r="H13" s="60" t="s">
        <v>1573</v>
      </c>
      <c r="I13" s="60">
        <v>114.1566421</v>
      </c>
      <c r="J13" s="60">
        <v>22.283168570000001</v>
      </c>
      <c r="K13" s="61">
        <v>3.4</v>
      </c>
      <c r="L13" s="60" t="s">
        <v>126</v>
      </c>
      <c r="M13" s="61">
        <v>48.9</v>
      </c>
      <c r="N13" s="60" t="s">
        <v>115</v>
      </c>
      <c r="O13" s="61">
        <v>45.5</v>
      </c>
      <c r="P13" s="62"/>
      <c r="Q13" s="43" t="b">
        <v>0</v>
      </c>
      <c r="R13" s="43" t="b">
        <v>0</v>
      </c>
      <c r="S13" s="43" t="b">
        <v>0</v>
      </c>
      <c r="T13" s="63" t="b">
        <f ca="1">AND(U13&lt;&gt;"",OR(U13&gt;(VLOOKUP(B13,W_analysis!$A$2:$K$18,5,FALSE)+2*VLOOKUP(B13,W_analysis!$A$2:$K$18,6,FALSE)),U13&lt;(VLOOKUP(B13,W_analysis!$A$2:$K$18,5,FALSE)-2*VLOOKUP(B13,W_analysis!$A$2:$K$18,6,FALSE))))</f>
        <v>0</v>
      </c>
      <c r="U13" s="68">
        <f t="shared" ref="U13:U14" si="4">AC13</f>
        <v>15</v>
      </c>
      <c r="V13" s="65"/>
      <c r="W13" s="66"/>
      <c r="X13" s="65"/>
      <c r="Y13" s="60" t="s">
        <v>1544</v>
      </c>
      <c r="Z13" s="66" t="s">
        <v>1789</v>
      </c>
      <c r="AA13" s="324" t="str">
        <f>W_original!D15</f>
        <v xml:space="preserve">Tung Ming Building </v>
      </c>
      <c r="AB13" s="328"/>
      <c r="AC13" s="326">
        <f>W_original!E15</f>
        <v>15</v>
      </c>
      <c r="AD13" s="326">
        <v>1.011111111</v>
      </c>
    </row>
    <row r="14" spans="1:30" ht="15.75" customHeight="1">
      <c r="A14" s="56" t="str">
        <f t="shared" si="0"/>
        <v>W2NW</v>
      </c>
      <c r="B14" s="57">
        <v>2</v>
      </c>
      <c r="C14" s="58" t="s">
        <v>127</v>
      </c>
      <c r="D14" s="59">
        <f t="shared" si="1"/>
        <v>600</v>
      </c>
      <c r="E14" s="60" t="s">
        <v>1575</v>
      </c>
      <c r="F14" s="60">
        <v>1103124370</v>
      </c>
      <c r="G14" s="58" t="s">
        <v>1576</v>
      </c>
      <c r="H14" s="60" t="s">
        <v>1577</v>
      </c>
      <c r="I14" s="60">
        <v>114.1564544</v>
      </c>
      <c r="J14" s="60">
        <v>22.283357479999999</v>
      </c>
      <c r="K14" s="61">
        <v>3.5</v>
      </c>
      <c r="L14" s="60" t="s">
        <v>126</v>
      </c>
      <c r="M14" s="61">
        <v>58.400002000000001</v>
      </c>
      <c r="N14" s="60" t="s">
        <v>115</v>
      </c>
      <c r="O14" s="61">
        <v>53.8</v>
      </c>
      <c r="P14" s="69"/>
      <c r="Q14" s="43" t="b">
        <v>0</v>
      </c>
      <c r="R14" s="43" t="b">
        <v>0</v>
      </c>
      <c r="S14" s="43" t="b">
        <v>0</v>
      </c>
      <c r="T14" s="63" t="b">
        <f ca="1">AND(U14&lt;&gt;"",OR(U14&gt;(VLOOKUP(B14,W_analysis!$A$2:$K$18,5,FALSE)+2*VLOOKUP(B14,W_analysis!$A$2:$K$18,6,FALSE)),U14&lt;(VLOOKUP(B14,W_analysis!$A$2:$K$18,5,FALSE)-2*VLOOKUP(B14,W_analysis!$A$2:$K$18,6,FALSE))))</f>
        <v>0</v>
      </c>
      <c r="U14" s="68">
        <f t="shared" si="4"/>
        <v>17</v>
      </c>
      <c r="V14" s="65"/>
      <c r="W14" s="66"/>
      <c r="X14" s="65"/>
      <c r="Y14" s="60" t="s">
        <v>1544</v>
      </c>
      <c r="Z14" s="66" t="s">
        <v>1790</v>
      </c>
      <c r="AA14" s="324" t="str">
        <f>W_original!D16</f>
        <v xml:space="preserve">Lap Fai Building </v>
      </c>
      <c r="AB14" s="328"/>
      <c r="AC14" s="326">
        <f>W_original!E16</f>
        <v>17</v>
      </c>
      <c r="AD14" s="326">
        <v>1.0549019610000001</v>
      </c>
    </row>
    <row r="15" spans="1:30" ht="15.75" customHeight="1">
      <c r="A15" s="56" t="str">
        <f t="shared" si="0"/>
        <v>W3NE</v>
      </c>
      <c r="B15" s="57">
        <v>3</v>
      </c>
      <c r="C15" s="58" t="s">
        <v>110</v>
      </c>
      <c r="D15" s="59">
        <f t="shared" si="1"/>
        <v>800</v>
      </c>
      <c r="E15" s="60" t="s">
        <v>1579</v>
      </c>
      <c r="F15" s="60">
        <v>1103123339</v>
      </c>
      <c r="G15" s="58" t="s">
        <v>1580</v>
      </c>
      <c r="H15" s="60" t="s">
        <v>1581</v>
      </c>
      <c r="I15" s="60">
        <v>114.15579169999999</v>
      </c>
      <c r="J15" s="60">
        <v>22.284803700000001</v>
      </c>
      <c r="K15" s="61">
        <v>3.7</v>
      </c>
      <c r="L15" s="60" t="s">
        <v>114</v>
      </c>
      <c r="M15" s="61">
        <v>64.800003000000004</v>
      </c>
      <c r="N15" s="60">
        <v>3</v>
      </c>
      <c r="O15" s="61">
        <v>75</v>
      </c>
      <c r="P15" s="69" t="s">
        <v>1545</v>
      </c>
      <c r="Q15" s="43" t="b">
        <v>0</v>
      </c>
      <c r="R15" s="43" t="b">
        <v>0</v>
      </c>
      <c r="S15" s="43" t="b">
        <v>0</v>
      </c>
      <c r="T15" s="63" t="b">
        <f ca="1">AND(U15&lt;&gt;"",OR(U15&gt;(VLOOKUP(B15,W_analysis!$A$2:$K$18,5,FALSE)+2*VLOOKUP(B15,W_analysis!$A$2:$K$18,6,FALSE)),U15&lt;(VLOOKUP(B15,W_analysis!$A$2:$K$18,5,FALSE)-2*VLOOKUP(B15,W_analysis!$A$2:$K$18,6,FALSE))))</f>
        <v>0</v>
      </c>
      <c r="U15" s="64">
        <v>22</v>
      </c>
      <c r="V15" s="65"/>
      <c r="W15" s="66"/>
      <c r="X15" s="65">
        <v>2014</v>
      </c>
      <c r="Y15" s="65" t="s">
        <v>173</v>
      </c>
      <c r="Z15" s="66" t="s">
        <v>1801</v>
      </c>
      <c r="AA15" s="324" t="str">
        <f>W_original!D17</f>
        <v xml:space="preserve">Southland Building </v>
      </c>
      <c r="AB15" s="328"/>
      <c r="AC15" s="326" t="str">
        <f>W_original!E17</f>
        <v>Passed</v>
      </c>
      <c r="AD15" s="326">
        <v>1.136363636</v>
      </c>
    </row>
    <row r="16" spans="1:30" ht="15.75" customHeight="1">
      <c r="A16" s="56" t="str">
        <f t="shared" si="0"/>
        <v>W3SE</v>
      </c>
      <c r="B16" s="57">
        <v>3</v>
      </c>
      <c r="C16" s="58" t="s">
        <v>116</v>
      </c>
      <c r="D16" s="59">
        <f t="shared" si="1"/>
        <v>800</v>
      </c>
      <c r="E16" s="60" t="s">
        <v>1583</v>
      </c>
      <c r="F16" s="60">
        <v>1103123422</v>
      </c>
      <c r="G16" s="58" t="s">
        <v>1584</v>
      </c>
      <c r="H16" s="60" t="s">
        <v>1585</v>
      </c>
      <c r="I16" s="60">
        <v>114.1562378</v>
      </c>
      <c r="J16" s="60">
        <v>22.284611470000002</v>
      </c>
      <c r="K16" s="61">
        <v>3.6</v>
      </c>
      <c r="L16" s="60" t="s">
        <v>126</v>
      </c>
      <c r="M16" s="61">
        <v>134.69999999999999</v>
      </c>
      <c r="N16" s="60">
        <v>3</v>
      </c>
      <c r="O16" s="61">
        <v>131.1</v>
      </c>
      <c r="P16" s="69"/>
      <c r="Q16" s="43" t="b">
        <v>0</v>
      </c>
      <c r="R16" s="43" t="b">
        <v>0</v>
      </c>
      <c r="S16" s="43" t="b">
        <v>0</v>
      </c>
      <c r="T16" s="63" t="b">
        <f ca="1">AND(U16&lt;&gt;"",OR(U16&gt;(VLOOKUP(B16,W_analysis!$A$2:$K$18,5,FALSE)+2*VLOOKUP(B16,W_analysis!$A$2:$K$18,6,FALSE)),U16&lt;(VLOOKUP(B16,W_analysis!$A$2:$K$18,5,FALSE)-2*VLOOKUP(B16,W_analysis!$A$2:$K$18,6,FALSE))))</f>
        <v>0</v>
      </c>
      <c r="U16" s="64">
        <v>27</v>
      </c>
      <c r="V16" s="65"/>
      <c r="W16" s="66"/>
      <c r="X16" s="65"/>
      <c r="Y16" s="70" t="s">
        <v>1547</v>
      </c>
      <c r="Z16" s="66" t="s">
        <v>1802</v>
      </c>
      <c r="AA16" s="324" t="str">
        <f>W_original!D18</f>
        <v xml:space="preserve">Hang Seng Bank Headquarters </v>
      </c>
      <c r="AB16" s="328"/>
      <c r="AC16" s="326" t="str">
        <f>W_original!E18</f>
        <v>Didn't open</v>
      </c>
      <c r="AD16" s="326">
        <v>1.618518519</v>
      </c>
    </row>
    <row r="17" spans="1:30" ht="15.75" customHeight="1">
      <c r="A17" s="56" t="str">
        <f t="shared" si="0"/>
        <v>W3SW</v>
      </c>
      <c r="B17" s="57">
        <v>3</v>
      </c>
      <c r="C17" s="58" t="s">
        <v>121</v>
      </c>
      <c r="D17" s="59">
        <f t="shared" si="1"/>
        <v>800</v>
      </c>
      <c r="E17" s="60" t="s">
        <v>1587</v>
      </c>
      <c r="F17" s="60">
        <v>1103123440</v>
      </c>
      <c r="G17" s="58" t="s">
        <v>1588</v>
      </c>
      <c r="H17" s="60" t="s">
        <v>1589</v>
      </c>
      <c r="I17" s="60">
        <v>114.15541760000001</v>
      </c>
      <c r="J17" s="60">
        <v>22.284680770000001</v>
      </c>
      <c r="K17" s="61">
        <v>3.3</v>
      </c>
      <c r="L17" s="60" t="s">
        <v>115</v>
      </c>
      <c r="M17" s="61">
        <v>78.5</v>
      </c>
      <c r="N17" s="60" t="s">
        <v>115</v>
      </c>
      <c r="O17" s="61">
        <v>75.2</v>
      </c>
      <c r="P17" s="62"/>
      <c r="Q17" s="43" t="b">
        <v>0</v>
      </c>
      <c r="R17" s="43" t="b">
        <v>0</v>
      </c>
      <c r="S17" s="43" t="b">
        <v>0</v>
      </c>
      <c r="T17" s="63" t="b">
        <f ca="1">AND(U17&lt;&gt;"",OR(U17&gt;(VLOOKUP(B17,W_analysis!$A$2:$K$18,5,FALSE)+2*VLOOKUP(B17,W_analysis!$A$2:$K$18,6,FALSE)),U17&lt;(VLOOKUP(B17,W_analysis!$A$2:$K$18,5,FALSE)-2*VLOOKUP(B17,W_analysis!$A$2:$K$18,6,FALSE))))</f>
        <v>0</v>
      </c>
      <c r="U17" s="68">
        <f t="shared" ref="U17:U19" si="5">AC17</f>
        <v>26</v>
      </c>
      <c r="V17" s="60"/>
      <c r="W17" s="59"/>
      <c r="X17" s="60"/>
      <c r="Y17" s="60" t="s">
        <v>1544</v>
      </c>
      <c r="Z17" s="66" t="s">
        <v>1803</v>
      </c>
      <c r="AA17" s="324" t="str">
        <f>W_original!D19</f>
        <v xml:space="preserve">Central 88 </v>
      </c>
      <c r="AB17" s="328"/>
      <c r="AC17" s="326">
        <f>W_original!E19</f>
        <v>26</v>
      </c>
      <c r="AD17" s="326">
        <v>0.96410256409999995</v>
      </c>
    </row>
    <row r="18" spans="1:30" ht="15.75" customHeight="1">
      <c r="A18" s="56" t="str">
        <f t="shared" si="0"/>
        <v>W3NW</v>
      </c>
      <c r="B18" s="57">
        <v>3</v>
      </c>
      <c r="C18" s="58" t="s">
        <v>127</v>
      </c>
      <c r="D18" s="59">
        <f t="shared" si="1"/>
        <v>800</v>
      </c>
      <c r="E18" s="60" t="s">
        <v>1591</v>
      </c>
      <c r="F18" s="60">
        <v>1103123315</v>
      </c>
      <c r="G18" s="58" t="s">
        <v>1592</v>
      </c>
      <c r="H18" s="60" t="s">
        <v>1593</v>
      </c>
      <c r="I18" s="60">
        <v>114.1552131</v>
      </c>
      <c r="J18" s="60">
        <v>22.284888309999999</v>
      </c>
      <c r="K18" s="61">
        <v>18.3</v>
      </c>
      <c r="L18" s="60" t="s">
        <v>115</v>
      </c>
      <c r="M18" s="61">
        <v>58.3</v>
      </c>
      <c r="N18" s="60">
        <v>3</v>
      </c>
      <c r="O18" s="61">
        <v>40</v>
      </c>
      <c r="P18" s="62"/>
      <c r="Q18" s="43" t="b">
        <v>0</v>
      </c>
      <c r="R18" s="43" t="b">
        <v>0</v>
      </c>
      <c r="S18" s="43" t="b">
        <v>0</v>
      </c>
      <c r="T18" s="63" t="b">
        <f ca="1">AND(U18&lt;&gt;"",OR(U18&gt;(VLOOKUP(B18,W_analysis!$A$2:$K$18,5,FALSE)+2*VLOOKUP(B18,W_analysis!$A$2:$K$18,6,FALSE)),U18&lt;(VLOOKUP(B18,W_analysis!$A$2:$K$18,5,FALSE)-2*VLOOKUP(B18,W_analysis!$A$2:$K$18,6,FALSE))))</f>
        <v>0</v>
      </c>
      <c r="U18" s="68">
        <f t="shared" si="5"/>
        <v>16</v>
      </c>
      <c r="V18" s="60"/>
      <c r="W18" s="59"/>
      <c r="X18" s="60"/>
      <c r="Y18" s="60" t="s">
        <v>1544</v>
      </c>
      <c r="Z18" s="66" t="s">
        <v>1804</v>
      </c>
      <c r="AA18" s="324" t="str">
        <f>W_original!D20</f>
        <v xml:space="preserve">Hung Tak Building </v>
      </c>
      <c r="AB18" s="328"/>
      <c r="AC18" s="326">
        <f>W_original!E20</f>
        <v>16</v>
      </c>
      <c r="AD18" s="326">
        <v>0.83333333330000003</v>
      </c>
    </row>
    <row r="19" spans="1:30" ht="15.75" customHeight="1">
      <c r="A19" s="56" t="str">
        <f t="shared" si="0"/>
        <v>W4NE</v>
      </c>
      <c r="B19" s="57">
        <v>4</v>
      </c>
      <c r="C19" s="58" t="s">
        <v>110</v>
      </c>
      <c r="D19" s="59">
        <f t="shared" si="1"/>
        <v>1000</v>
      </c>
      <c r="E19" s="60" t="s">
        <v>1595</v>
      </c>
      <c r="F19" s="60">
        <v>1103122247</v>
      </c>
      <c r="G19" s="58" t="s">
        <v>1399</v>
      </c>
      <c r="H19" s="60" t="s">
        <v>1596</v>
      </c>
      <c r="I19" s="60">
        <v>114.15439689999999</v>
      </c>
      <c r="J19" s="60">
        <v>22.285977679999998</v>
      </c>
      <c r="K19" s="61">
        <v>3.8</v>
      </c>
      <c r="L19" s="60" t="s">
        <v>762</v>
      </c>
      <c r="M19" s="61">
        <v>96.7</v>
      </c>
      <c r="N19" s="60" t="s">
        <v>115</v>
      </c>
      <c r="O19" s="61">
        <v>92.9</v>
      </c>
      <c r="P19" s="69"/>
      <c r="Q19" s="43" t="b">
        <v>0</v>
      </c>
      <c r="R19" s="43" t="b">
        <v>0</v>
      </c>
      <c r="S19" s="43" t="b">
        <v>0</v>
      </c>
      <c r="T19" s="63" t="b">
        <f ca="1">AND(U19&lt;&gt;"",OR(U19&gt;(VLOOKUP(B19,W_analysis!$A$2:$K$18,5,FALSE)+2*VLOOKUP(B19,W_analysis!$A$2:$K$18,6,FALSE)),U19&lt;(VLOOKUP(B19,W_analysis!$A$2:$K$18,5,FALSE)-2*VLOOKUP(B19,W_analysis!$A$2:$K$18,6,FALSE))))</f>
        <v>0</v>
      </c>
      <c r="U19" s="68">
        <f t="shared" si="5"/>
        <v>29</v>
      </c>
      <c r="V19" s="65"/>
      <c r="W19" s="66"/>
      <c r="X19" s="65"/>
      <c r="Y19" s="60" t="s">
        <v>1544</v>
      </c>
      <c r="Z19" s="66" t="s">
        <v>1811</v>
      </c>
      <c r="AA19" s="324" t="str">
        <f>W_original!D21</f>
        <v>Nan Fung Tower</v>
      </c>
      <c r="AB19" s="328"/>
      <c r="AC19" s="326">
        <f>W_original!E21</f>
        <v>29</v>
      </c>
      <c r="AD19" s="326">
        <v>1.0678160919999999</v>
      </c>
    </row>
    <row r="20" spans="1:30" ht="15.75" customHeight="1">
      <c r="A20" s="56" t="str">
        <f t="shared" si="0"/>
        <v>W4SE</v>
      </c>
      <c r="B20" s="57">
        <v>4</v>
      </c>
      <c r="C20" s="58" t="s">
        <v>116</v>
      </c>
      <c r="D20" s="59">
        <f t="shared" si="1"/>
        <v>1000</v>
      </c>
      <c r="E20" s="60" t="s">
        <v>556</v>
      </c>
      <c r="F20" s="60" t="s">
        <v>556</v>
      </c>
      <c r="G20" s="58" t="s">
        <v>556</v>
      </c>
      <c r="H20" s="60" t="s">
        <v>556</v>
      </c>
      <c r="I20" s="60" t="s">
        <v>556</v>
      </c>
      <c r="J20" s="60" t="s">
        <v>556</v>
      </c>
      <c r="K20" s="61" t="s">
        <v>556</v>
      </c>
      <c r="L20" s="60" t="s">
        <v>556</v>
      </c>
      <c r="M20" s="61" t="s">
        <v>556</v>
      </c>
      <c r="N20" s="60" t="s">
        <v>556</v>
      </c>
      <c r="O20" s="61" t="s">
        <v>556</v>
      </c>
      <c r="P20" s="62"/>
      <c r="Q20" s="43" t="b">
        <v>1</v>
      </c>
      <c r="R20" s="43" t="b">
        <v>0</v>
      </c>
      <c r="S20" s="43" t="b">
        <v>0</v>
      </c>
      <c r="T20" s="63" t="b">
        <f ca="1">AND(U20&lt;&gt;"",OR(U20&gt;(VLOOKUP(B20,W_analysis!$A$2:$K$18,5,FALSE)+2*VLOOKUP(B20,W_analysis!$A$2:$K$18,6,FALSE)),U20&lt;(VLOOKUP(B20,W_analysis!$A$2:$K$18,5,FALSE)-2*VLOOKUP(B20,W_analysis!$A$2:$K$18,6,FALSE))))</f>
        <v>1</v>
      </c>
      <c r="U20" s="64">
        <v>0</v>
      </c>
      <c r="V20" s="60"/>
      <c r="W20" s="59"/>
      <c r="X20" s="60"/>
      <c r="Y20" s="60"/>
      <c r="Z20" s="66" t="s">
        <v>556</v>
      </c>
      <c r="AA20" s="324">
        <f>W_original!D22</f>
        <v>0</v>
      </c>
      <c r="AB20" s="328"/>
      <c r="AC20" s="326" t="str">
        <f>W_original!E22</f>
        <v>no building</v>
      </c>
      <c r="AD20" s="326" t="s">
        <v>556</v>
      </c>
    </row>
    <row r="21" spans="1:30" ht="15.75" customHeight="1">
      <c r="A21" s="56" t="str">
        <f t="shared" si="0"/>
        <v>W4SW</v>
      </c>
      <c r="B21" s="57">
        <v>4</v>
      </c>
      <c r="C21" s="58" t="s">
        <v>121</v>
      </c>
      <c r="D21" s="59">
        <f t="shared" si="1"/>
        <v>1000</v>
      </c>
      <c r="E21" s="60" t="s">
        <v>1598</v>
      </c>
      <c r="F21" s="60">
        <v>1103122673</v>
      </c>
      <c r="G21" s="58" t="s">
        <v>1599</v>
      </c>
      <c r="H21" s="60" t="s">
        <v>1600</v>
      </c>
      <c r="I21" s="60">
        <v>114.15356439999999</v>
      </c>
      <c r="J21" s="60">
        <v>22.285412390000001</v>
      </c>
      <c r="K21" s="61">
        <v>3.7</v>
      </c>
      <c r="L21" s="60" t="s">
        <v>762</v>
      </c>
      <c r="M21" s="61">
        <v>49.6</v>
      </c>
      <c r="N21" s="60" t="s">
        <v>115</v>
      </c>
      <c r="O21" s="61">
        <v>45.9</v>
      </c>
      <c r="P21" s="69"/>
      <c r="Q21" s="43" t="b">
        <v>0</v>
      </c>
      <c r="R21" s="43" t="b">
        <v>0</v>
      </c>
      <c r="S21" s="43" t="b">
        <v>0</v>
      </c>
      <c r="T21" s="63" t="b">
        <f ca="1">AND(U21&lt;&gt;"",OR(U21&gt;(VLOOKUP(B21,W_analysis!$A$2:$K$18,5,FALSE)+2*VLOOKUP(B21,W_analysis!$A$2:$K$18,6,FALSE)),U21&lt;(VLOOKUP(B21,W_analysis!$A$2:$K$18,5,FALSE)-2*VLOOKUP(B21,W_analysis!$A$2:$K$18,6,FALSE))))</f>
        <v>0</v>
      </c>
      <c r="U21" s="68">
        <f t="shared" ref="U21:U27" si="6">AC21</f>
        <v>14</v>
      </c>
      <c r="V21" s="65"/>
      <c r="W21" s="66"/>
      <c r="X21" s="65"/>
      <c r="Y21" s="60" t="s">
        <v>1544</v>
      </c>
      <c r="Z21" s="66" t="s">
        <v>1813</v>
      </c>
      <c r="AA21" s="324" t="str">
        <f>W_original!D23</f>
        <v>Cheungs Building</v>
      </c>
      <c r="AB21" s="328"/>
      <c r="AC21" s="326">
        <f>W_original!E23</f>
        <v>14</v>
      </c>
      <c r="AD21" s="326">
        <v>1.092857143</v>
      </c>
    </row>
    <row r="22" spans="1:30" ht="15.75" customHeight="1">
      <c r="A22" s="56" t="str">
        <f t="shared" si="0"/>
        <v>W4NW</v>
      </c>
      <c r="B22" s="57">
        <v>4</v>
      </c>
      <c r="C22" s="58" t="s">
        <v>127</v>
      </c>
      <c r="D22" s="59">
        <f t="shared" si="1"/>
        <v>1000</v>
      </c>
      <c r="E22" s="60" t="s">
        <v>1602</v>
      </c>
      <c r="F22" s="60">
        <v>1103122090</v>
      </c>
      <c r="G22" s="58" t="s">
        <v>1603</v>
      </c>
      <c r="H22" s="60" t="s">
        <v>1604</v>
      </c>
      <c r="I22" s="60">
        <v>114.153998</v>
      </c>
      <c r="J22" s="60">
        <v>22.286285939999999</v>
      </c>
      <c r="K22" s="61">
        <v>3.7</v>
      </c>
      <c r="L22" s="60" t="s">
        <v>762</v>
      </c>
      <c r="M22" s="61">
        <v>130.4</v>
      </c>
      <c r="N22" s="60" t="s">
        <v>115</v>
      </c>
      <c r="O22" s="61">
        <v>126.7</v>
      </c>
      <c r="P22" s="69"/>
      <c r="Q22" s="43" t="b">
        <v>0</v>
      </c>
      <c r="R22" s="43" t="b">
        <v>0</v>
      </c>
      <c r="S22" s="43" t="b">
        <v>0</v>
      </c>
      <c r="T22" s="63" t="b">
        <f ca="1">AND(U22&lt;&gt;"",OR(U22&gt;(VLOOKUP(B22,W_analysis!$A$2:$K$18,5,FALSE)+2*VLOOKUP(B22,W_analysis!$A$2:$K$18,6,FALSE)),U22&lt;(VLOOKUP(B22,W_analysis!$A$2:$K$18,5,FALSE)-2*VLOOKUP(B22,W_analysis!$A$2:$K$18,6,FALSE))))</f>
        <v>0</v>
      </c>
      <c r="U22" s="68">
        <f t="shared" si="6"/>
        <v>28</v>
      </c>
      <c r="V22" s="65"/>
      <c r="W22" s="66"/>
      <c r="X22" s="65"/>
      <c r="Y22" s="60" t="s">
        <v>1544</v>
      </c>
      <c r="Z22" s="66" t="s">
        <v>1814</v>
      </c>
      <c r="AA22" s="324" t="str">
        <f>W_original!D24</f>
        <v>Li Po Chun Chambers they told us to leave</v>
      </c>
      <c r="AB22" s="328"/>
      <c r="AC22" s="326">
        <f>W_original!E24</f>
        <v>28</v>
      </c>
      <c r="AD22" s="326">
        <v>1.5083333329999999</v>
      </c>
    </row>
    <row r="23" spans="1:30" ht="15.75" customHeight="1">
      <c r="A23" s="56" t="str">
        <f t="shared" si="0"/>
        <v>W5NE</v>
      </c>
      <c r="B23" s="57">
        <v>5</v>
      </c>
      <c r="C23" s="58" t="s">
        <v>110</v>
      </c>
      <c r="D23" s="59">
        <f t="shared" si="1"/>
        <v>1200</v>
      </c>
      <c r="E23" s="60" t="s">
        <v>1606</v>
      </c>
      <c r="F23" s="60">
        <v>1103121854</v>
      </c>
      <c r="G23" s="58" t="s">
        <v>1607</v>
      </c>
      <c r="H23" s="60" t="s">
        <v>1608</v>
      </c>
      <c r="I23" s="60">
        <v>114.15234030000001</v>
      </c>
      <c r="J23" s="60">
        <v>22.28668622</v>
      </c>
      <c r="K23" s="61">
        <v>3.7</v>
      </c>
      <c r="L23" s="60" t="s">
        <v>762</v>
      </c>
      <c r="M23" s="61">
        <v>58.9</v>
      </c>
      <c r="N23" s="60" t="s">
        <v>115</v>
      </c>
      <c r="O23" s="61">
        <v>55.2</v>
      </c>
      <c r="P23" s="67"/>
      <c r="Q23" s="43" t="b">
        <v>0</v>
      </c>
      <c r="R23" s="43" t="b">
        <v>0</v>
      </c>
      <c r="S23" s="43" t="b">
        <v>0</v>
      </c>
      <c r="T23" s="63" t="b">
        <f ca="1">AND(U23&lt;&gt;"",OR(U23&gt;(VLOOKUP(B23,W_analysis!$A$2:$K$18,5,FALSE)+2*VLOOKUP(B23,W_analysis!$A$2:$K$18,6,FALSE)),U23&lt;(VLOOKUP(B23,W_analysis!$A$2:$K$18,5,FALSE)-2*VLOOKUP(B23,W_analysis!$A$2:$K$18,6,FALSE))))</f>
        <v>0</v>
      </c>
      <c r="U23" s="68">
        <f t="shared" si="6"/>
        <v>15</v>
      </c>
      <c r="V23" s="65"/>
      <c r="W23" s="66"/>
      <c r="X23" s="65"/>
      <c r="Y23" s="60" t="s">
        <v>1544</v>
      </c>
      <c r="Z23" s="66" t="s">
        <v>1825</v>
      </c>
      <c r="AA23" s="324" t="str">
        <f>W_original!D25</f>
        <v xml:space="preserve">Blissful Building </v>
      </c>
      <c r="AB23" s="328"/>
      <c r="AC23" s="326">
        <f>W_original!E25</f>
        <v>15</v>
      </c>
      <c r="AD23" s="326">
        <v>1.2266666669999999</v>
      </c>
    </row>
    <row r="24" spans="1:30" ht="15.75" customHeight="1">
      <c r="A24" s="56" t="str">
        <f t="shared" si="0"/>
        <v>W5SE</v>
      </c>
      <c r="B24" s="57">
        <v>5</v>
      </c>
      <c r="C24" s="58" t="s">
        <v>116</v>
      </c>
      <c r="D24" s="59">
        <f t="shared" si="1"/>
        <v>1200</v>
      </c>
      <c r="E24" s="60" t="s">
        <v>1610</v>
      </c>
      <c r="F24" s="60">
        <v>1810151856</v>
      </c>
      <c r="G24" s="58" t="s">
        <v>1611</v>
      </c>
      <c r="H24" s="60" t="s">
        <v>556</v>
      </c>
      <c r="I24" s="60">
        <v>114.15235850000001</v>
      </c>
      <c r="J24" s="60">
        <v>22.286286820000001</v>
      </c>
      <c r="K24" s="61">
        <v>19</v>
      </c>
      <c r="L24" s="60" t="s">
        <v>194</v>
      </c>
      <c r="M24" s="61">
        <v>104.800003</v>
      </c>
      <c r="N24" s="60" t="s">
        <v>194</v>
      </c>
      <c r="O24" s="61">
        <v>85.800003000000004</v>
      </c>
      <c r="P24" s="69" t="s">
        <v>1545</v>
      </c>
      <c r="Q24" s="43" t="b">
        <v>0</v>
      </c>
      <c r="R24" s="43" t="b">
        <v>0</v>
      </c>
      <c r="S24" s="43" t="b">
        <v>0</v>
      </c>
      <c r="T24" s="63" t="b">
        <f ca="1">AND(U24&lt;&gt;"",OR(U24&gt;(VLOOKUP(B24,W_analysis!$A$2:$K$18,5,FALSE)+2*VLOOKUP(B24,W_analysis!$A$2:$K$18,6,FALSE)),U24&lt;(VLOOKUP(B24,W_analysis!$A$2:$K$18,5,FALSE)-2*VLOOKUP(B24,W_analysis!$A$2:$K$18,6,FALSE))))</f>
        <v>0</v>
      </c>
      <c r="U24" s="68">
        <f t="shared" si="6"/>
        <v>21</v>
      </c>
      <c r="V24" s="65"/>
      <c r="W24" s="66"/>
      <c r="X24" s="65"/>
      <c r="Y24" s="60" t="s">
        <v>1544</v>
      </c>
      <c r="Z24" s="66" t="s">
        <v>1826</v>
      </c>
      <c r="AA24" s="324" t="str">
        <f>W_original!D26</f>
        <v xml:space="preserve">88 Commercial Building </v>
      </c>
      <c r="AB24" s="328"/>
      <c r="AC24" s="326">
        <f>W_original!E26</f>
        <v>21</v>
      </c>
      <c r="AD24" s="326">
        <v>1.36190481</v>
      </c>
    </row>
    <row r="25" spans="1:30" ht="15.75" customHeight="1">
      <c r="A25" s="56" t="str">
        <f t="shared" si="0"/>
        <v>W5SW</v>
      </c>
      <c r="B25" s="57">
        <v>5</v>
      </c>
      <c r="C25" s="58" t="s">
        <v>121</v>
      </c>
      <c r="D25" s="59">
        <f t="shared" si="1"/>
        <v>1200</v>
      </c>
      <c r="E25" s="60" t="s">
        <v>1613</v>
      </c>
      <c r="F25" s="60">
        <v>1103122129</v>
      </c>
      <c r="G25" s="58" t="s">
        <v>1416</v>
      </c>
      <c r="H25" s="60" t="s">
        <v>1614</v>
      </c>
      <c r="I25" s="60">
        <v>114.15217869999999</v>
      </c>
      <c r="J25" s="60">
        <v>22.28629862</v>
      </c>
      <c r="K25" s="61">
        <v>3.7</v>
      </c>
      <c r="L25" s="60" t="s">
        <v>762</v>
      </c>
      <c r="M25" s="61">
        <v>64.8</v>
      </c>
      <c r="N25" s="60">
        <v>3</v>
      </c>
      <c r="O25" s="61">
        <v>61.1</v>
      </c>
      <c r="P25" s="62"/>
      <c r="Q25" s="43" t="b">
        <v>0</v>
      </c>
      <c r="R25" s="43" t="b">
        <v>0</v>
      </c>
      <c r="S25" s="43" t="b">
        <v>0</v>
      </c>
      <c r="T25" s="63" t="b">
        <f ca="1">AND(U25&lt;&gt;"",OR(U25&gt;(VLOOKUP(B25,W_analysis!$A$2:$K$18,5,FALSE)+2*VLOOKUP(B25,W_analysis!$A$2:$K$18,6,FALSE)),U25&lt;(VLOOKUP(B25,W_analysis!$A$2:$K$18,5,FALSE)-2*VLOOKUP(B25,W_analysis!$A$2:$K$18,6,FALSE))))</f>
        <v>0</v>
      </c>
      <c r="U25" s="68">
        <f t="shared" si="6"/>
        <v>26</v>
      </c>
      <c r="V25" s="60"/>
      <c r="W25" s="59"/>
      <c r="X25" s="60"/>
      <c r="Y25" s="60" t="s">
        <v>1544</v>
      </c>
      <c r="Z25" s="66" t="s">
        <v>1827</v>
      </c>
      <c r="AA25" s="324" t="str">
        <f>W_original!D27</f>
        <v>Tung Hip Commercial Building</v>
      </c>
      <c r="AB25" s="328"/>
      <c r="AC25" s="326">
        <f>W_original!E27</f>
        <v>26</v>
      </c>
      <c r="AD25" s="326">
        <v>0.78333333329999999</v>
      </c>
    </row>
    <row r="26" spans="1:30" ht="15.75" customHeight="1">
      <c r="A26" s="56" t="str">
        <f t="shared" si="0"/>
        <v>W5NW</v>
      </c>
      <c r="B26" s="57">
        <v>5</v>
      </c>
      <c r="C26" s="58" t="s">
        <v>127</v>
      </c>
      <c r="D26" s="59">
        <f t="shared" si="1"/>
        <v>1200</v>
      </c>
      <c r="E26" s="60" t="s">
        <v>1616</v>
      </c>
      <c r="F26" s="60">
        <v>1103121716</v>
      </c>
      <c r="G26" s="58" t="s">
        <v>1617</v>
      </c>
      <c r="H26" s="60" t="s">
        <v>1618</v>
      </c>
      <c r="I26" s="60">
        <v>114.1522554</v>
      </c>
      <c r="J26" s="60">
        <v>22.286837999999999</v>
      </c>
      <c r="K26" s="61">
        <v>3.6</v>
      </c>
      <c r="L26" s="60" t="s">
        <v>762</v>
      </c>
      <c r="M26" s="61">
        <v>71</v>
      </c>
      <c r="N26" s="60" t="s">
        <v>115</v>
      </c>
      <c r="O26" s="61">
        <v>67.400000000000006</v>
      </c>
      <c r="P26" s="62"/>
      <c r="Q26" s="43" t="b">
        <v>0</v>
      </c>
      <c r="R26" s="43" t="b">
        <v>0</v>
      </c>
      <c r="S26" s="43" t="b">
        <v>0</v>
      </c>
      <c r="T26" s="63" t="b">
        <f ca="1">AND(U26&lt;&gt;"",OR(U26&gt;(VLOOKUP(B26,W_analysis!$A$2:$K$18,5,FALSE)+2*VLOOKUP(B26,W_analysis!$A$2:$K$18,6,FALSE)),U26&lt;(VLOOKUP(B26,W_analysis!$A$2:$K$18,5,FALSE)-2*VLOOKUP(B26,W_analysis!$A$2:$K$18,6,FALSE))))</f>
        <v>0</v>
      </c>
      <c r="U26" s="68">
        <f t="shared" si="6"/>
        <v>20</v>
      </c>
      <c r="V26" s="60"/>
      <c r="W26" s="59"/>
      <c r="X26" s="60"/>
      <c r="Y26" s="60" t="s">
        <v>1544</v>
      </c>
      <c r="Z26" s="66" t="s">
        <v>1828</v>
      </c>
      <c r="AA26" s="324" t="str">
        <f>W_original!D28</f>
        <v xml:space="preserve">Tung Ning Building </v>
      </c>
      <c r="AB26" s="328"/>
      <c r="AC26" s="326">
        <f>W_original!E28</f>
        <v>20</v>
      </c>
      <c r="AD26" s="326">
        <v>1.1233333329999999</v>
      </c>
    </row>
    <row r="27" spans="1:30" ht="15.75" customHeight="1">
      <c r="A27" s="56" t="str">
        <f t="shared" si="0"/>
        <v>W6NE</v>
      </c>
      <c r="B27" s="57">
        <v>6</v>
      </c>
      <c r="C27" s="58" t="s">
        <v>110</v>
      </c>
      <c r="D27" s="59">
        <f t="shared" si="1"/>
        <v>1400</v>
      </c>
      <c r="E27" s="60" t="s">
        <v>1620</v>
      </c>
      <c r="F27" s="60">
        <v>1103121420</v>
      </c>
      <c r="G27" s="58" t="s">
        <v>1621</v>
      </c>
      <c r="H27" s="60" t="s">
        <v>1622</v>
      </c>
      <c r="I27" s="60">
        <v>114.15066779999999</v>
      </c>
      <c r="J27" s="60">
        <v>22.287236679999999</v>
      </c>
      <c r="K27" s="61">
        <v>3.7</v>
      </c>
      <c r="L27" s="60" t="s">
        <v>762</v>
      </c>
      <c r="M27" s="61">
        <v>74.099999999999994</v>
      </c>
      <c r="N27" s="60" t="s">
        <v>115</v>
      </c>
      <c r="O27" s="61">
        <v>70.400000000000006</v>
      </c>
      <c r="P27" s="62"/>
      <c r="Q27" s="43" t="b">
        <v>0</v>
      </c>
      <c r="R27" s="43" t="b">
        <v>0</v>
      </c>
      <c r="S27" s="43" t="b">
        <v>0</v>
      </c>
      <c r="T27" s="63" t="b">
        <f ca="1">AND(U27&lt;&gt;"",OR(U27&gt;(VLOOKUP(B27,W_analysis!$A$2:$K$18,5,FALSE)+2*VLOOKUP(B27,W_analysis!$A$2:$K$18,6,FALSE)),U27&lt;(VLOOKUP(B27,W_analysis!$A$2:$K$18,5,FALSE)-2*VLOOKUP(B27,W_analysis!$A$2:$K$18,6,FALSE))))</f>
        <v>0</v>
      </c>
      <c r="U27" s="68">
        <f t="shared" si="6"/>
        <v>21</v>
      </c>
      <c r="V27" s="60"/>
      <c r="W27" s="59"/>
      <c r="X27" s="60"/>
      <c r="Y27" s="60" t="s">
        <v>1544</v>
      </c>
      <c r="Z27" s="66" t="s">
        <v>1835</v>
      </c>
      <c r="AA27" s="324" t="str">
        <f>W_original!D29</f>
        <v xml:space="preserve">Kai Tak Commercial Building </v>
      </c>
      <c r="AB27" s="328"/>
      <c r="AC27" s="326">
        <f>W_original!E29</f>
        <v>21</v>
      </c>
      <c r="AD27" s="326">
        <v>1.1174603169999999</v>
      </c>
    </row>
    <row r="28" spans="1:30" ht="15.75" customHeight="1">
      <c r="A28" s="56" t="str">
        <f t="shared" si="0"/>
        <v>W6SE</v>
      </c>
      <c r="B28" s="57">
        <v>6</v>
      </c>
      <c r="C28" s="58" t="s">
        <v>116</v>
      </c>
      <c r="D28" s="59">
        <f t="shared" si="1"/>
        <v>1400</v>
      </c>
      <c r="E28" s="60" t="s">
        <v>1624</v>
      </c>
      <c r="F28" s="60">
        <v>1103121840</v>
      </c>
      <c r="G28" s="58" t="s">
        <v>1625</v>
      </c>
      <c r="H28" s="60" t="s">
        <v>1626</v>
      </c>
      <c r="I28" s="60">
        <v>114.15064409999999</v>
      </c>
      <c r="J28" s="60">
        <v>22.286652849999999</v>
      </c>
      <c r="K28" s="61">
        <v>19.100000000000001</v>
      </c>
      <c r="L28" s="60" t="s">
        <v>762</v>
      </c>
      <c r="M28" s="61">
        <v>111</v>
      </c>
      <c r="N28" s="60" t="s">
        <v>115</v>
      </c>
      <c r="O28" s="61">
        <v>91.9</v>
      </c>
      <c r="P28" s="69"/>
      <c r="Q28" s="43" t="b">
        <v>0</v>
      </c>
      <c r="R28" s="43" t="b">
        <v>0</v>
      </c>
      <c r="S28" s="43" t="b">
        <v>0</v>
      </c>
      <c r="T28" s="63" t="b">
        <f ca="1">AND(U28&lt;&gt;"",OR(U28&gt;(VLOOKUP(B28,W_analysis!$A$2:$K$18,5,FALSE)+2*VLOOKUP(B28,W_analysis!$A$2:$K$18,6,FALSE)),U28&lt;(VLOOKUP(B28,W_analysis!$A$2:$K$18,5,FALSE)-2*VLOOKUP(B28,W_analysis!$A$2:$K$18,6,FALSE))))</f>
        <v>0</v>
      </c>
      <c r="U28" s="64">
        <v>29</v>
      </c>
      <c r="V28" s="65">
        <v>0</v>
      </c>
      <c r="W28" s="66">
        <v>203</v>
      </c>
      <c r="X28" s="65">
        <v>1994</v>
      </c>
      <c r="Y28" s="65" t="s">
        <v>173</v>
      </c>
      <c r="Z28" s="66" t="s">
        <v>1836</v>
      </c>
      <c r="AA28" s="324" t="str">
        <f>W_original!D30</f>
        <v xml:space="preserve">FWD Financial Centre </v>
      </c>
      <c r="AB28" s="328"/>
      <c r="AC28" s="326" t="str">
        <f>W_original!E30</f>
        <v>did not open</v>
      </c>
      <c r="AD28" s="326">
        <v>1.056321839</v>
      </c>
    </row>
    <row r="29" spans="1:30" ht="15.75" customHeight="1">
      <c r="A29" s="56" t="str">
        <f t="shared" si="0"/>
        <v>W6SW</v>
      </c>
      <c r="B29" s="57">
        <v>6</v>
      </c>
      <c r="C29" s="58" t="s">
        <v>121</v>
      </c>
      <c r="D29" s="59">
        <f t="shared" si="1"/>
        <v>1400</v>
      </c>
      <c r="E29" s="60" t="s">
        <v>1628</v>
      </c>
      <c r="F29" s="60">
        <v>1103121802</v>
      </c>
      <c r="G29" s="58" t="s">
        <v>1629</v>
      </c>
      <c r="H29" s="60" t="s">
        <v>556</v>
      </c>
      <c r="I29" s="60">
        <v>114.1501961</v>
      </c>
      <c r="J29" s="60">
        <v>22.286718520000001</v>
      </c>
      <c r="K29" s="61">
        <v>3.7</v>
      </c>
      <c r="L29" s="60" t="s">
        <v>762</v>
      </c>
      <c r="M29" s="61">
        <v>109</v>
      </c>
      <c r="N29" s="60">
        <v>3</v>
      </c>
      <c r="O29" s="61">
        <v>105.3</v>
      </c>
      <c r="P29" s="62"/>
      <c r="Q29" s="43" t="b">
        <v>0</v>
      </c>
      <c r="R29" s="43" t="b">
        <v>1</v>
      </c>
      <c r="S29" s="43" t="b">
        <v>0</v>
      </c>
      <c r="T29" s="63" t="b">
        <f ca="1">AND(U29&lt;&gt;"",OR(U29&gt;(VLOOKUP(B29,W_analysis!$A$2:$K$18,5,FALSE)+2*VLOOKUP(B29,W_analysis!$A$2:$K$18,6,FALSE)),U29&lt;(VLOOKUP(B29,W_analysis!$A$2:$K$18,5,FALSE)-2*VLOOKUP(B29,W_analysis!$A$2:$K$18,6,FALSE))))</f>
        <v>0</v>
      </c>
      <c r="U29" s="64">
        <v>28</v>
      </c>
      <c r="V29" s="60"/>
      <c r="W29" s="59"/>
      <c r="X29" s="60"/>
      <c r="Y29" s="329" t="s">
        <v>1548</v>
      </c>
      <c r="Z29" s="66" t="s">
        <v>1837</v>
      </c>
      <c r="AA29" s="324" t="str">
        <f>W_original!D31</f>
        <v xml:space="preserve">Western District Telephone Exchange </v>
      </c>
      <c r="AB29" s="328"/>
      <c r="AC29" s="326" t="str">
        <f>W_original!E31</f>
        <v xml:space="preserve">govt </v>
      </c>
      <c r="AD29" s="326">
        <v>1.253571429</v>
      </c>
    </row>
    <row r="30" spans="1:30" ht="15.75" customHeight="1">
      <c r="A30" s="56" t="str">
        <f t="shared" si="0"/>
        <v>W6NW</v>
      </c>
      <c r="B30" s="57">
        <v>6</v>
      </c>
      <c r="C30" s="58" t="s">
        <v>127</v>
      </c>
      <c r="D30" s="59">
        <f t="shared" si="1"/>
        <v>1400</v>
      </c>
      <c r="E30" s="60" t="s">
        <v>1631</v>
      </c>
      <c r="F30" s="60">
        <v>1103121354</v>
      </c>
      <c r="G30" s="58" t="s">
        <v>1632</v>
      </c>
      <c r="H30" s="60" t="s">
        <v>1633</v>
      </c>
      <c r="I30" s="60">
        <v>114.15036600000001</v>
      </c>
      <c r="J30" s="60">
        <v>22.287309860000001</v>
      </c>
      <c r="K30" s="61">
        <v>3.4</v>
      </c>
      <c r="L30" s="60" t="s">
        <v>762</v>
      </c>
      <c r="M30" s="61">
        <v>20.8</v>
      </c>
      <c r="N30" s="60" t="s">
        <v>115</v>
      </c>
      <c r="O30" s="61">
        <v>17.399999999999999</v>
      </c>
      <c r="P30" s="69" t="s">
        <v>1166</v>
      </c>
      <c r="Q30" s="43" t="b">
        <v>0</v>
      </c>
      <c r="R30" s="43" t="b">
        <v>1</v>
      </c>
      <c r="S30" s="43" t="b">
        <v>0</v>
      </c>
      <c r="T30" s="63" t="b">
        <f ca="1">AND(U30&lt;&gt;"",OR(U30&gt;(VLOOKUP(B30,W_analysis!$A$2:$K$18,5,FALSE)+2*VLOOKUP(B30,W_analysis!$A$2:$K$18,6,FALSE)),U30&lt;(VLOOKUP(B30,W_analysis!$A$2:$K$18,5,FALSE)-2*VLOOKUP(B30,W_analysis!$A$2:$K$18,6,FALSE))))</f>
        <v>1</v>
      </c>
      <c r="U30" s="64">
        <v>4</v>
      </c>
      <c r="V30" s="65"/>
      <c r="W30" s="66"/>
      <c r="X30" s="65"/>
      <c r="Y30" s="65" t="s">
        <v>1549</v>
      </c>
      <c r="Z30" s="66" t="s">
        <v>1838</v>
      </c>
      <c r="AA30" s="324" t="str">
        <f>W_original!D32</f>
        <v>Western Market (historical)</v>
      </c>
      <c r="AB30" s="328"/>
      <c r="AC30" s="326">
        <f>W_original!E32</f>
        <v>2</v>
      </c>
      <c r="AD30" s="326">
        <v>1.45</v>
      </c>
    </row>
    <row r="31" spans="1:30" ht="15.75" customHeight="1">
      <c r="A31" s="56" t="str">
        <f t="shared" si="0"/>
        <v>W7NE</v>
      </c>
      <c r="B31" s="57">
        <v>7</v>
      </c>
      <c r="C31" s="58" t="s">
        <v>110</v>
      </c>
      <c r="D31" s="59">
        <f t="shared" si="1"/>
        <v>1600</v>
      </c>
      <c r="E31" s="60" t="s">
        <v>556</v>
      </c>
      <c r="F31" s="60" t="s">
        <v>556</v>
      </c>
      <c r="G31" s="58" t="s">
        <v>556</v>
      </c>
      <c r="H31" s="60" t="s">
        <v>556</v>
      </c>
      <c r="I31" s="60" t="s">
        <v>556</v>
      </c>
      <c r="J31" s="60" t="s">
        <v>556</v>
      </c>
      <c r="K31" s="61" t="s">
        <v>556</v>
      </c>
      <c r="L31" s="60" t="s">
        <v>556</v>
      </c>
      <c r="M31" s="61" t="s">
        <v>556</v>
      </c>
      <c r="N31" s="60" t="s">
        <v>556</v>
      </c>
      <c r="O31" s="61" t="s">
        <v>556</v>
      </c>
      <c r="P31" s="69"/>
      <c r="Q31" s="43" t="b">
        <v>1</v>
      </c>
      <c r="R31" s="43" t="b">
        <v>0</v>
      </c>
      <c r="S31" s="43" t="b">
        <v>0</v>
      </c>
      <c r="T31" s="63" t="b">
        <f ca="1">AND(U31&lt;&gt;"",OR(U31&gt;(VLOOKUP(B31,W_analysis!$A$2:$K$18,5,FALSE)+2*VLOOKUP(B31,W_analysis!$A$2:$K$18,6,FALSE)),U31&lt;(VLOOKUP(B31,W_analysis!$A$2:$K$18,5,FALSE)-2*VLOOKUP(B31,W_analysis!$A$2:$K$18,6,FALSE))))</f>
        <v>1</v>
      </c>
      <c r="U31" s="64">
        <v>0</v>
      </c>
      <c r="V31" s="65"/>
      <c r="W31" s="66"/>
      <c r="X31" s="65"/>
      <c r="Y31" s="60"/>
      <c r="Z31" s="66" t="s">
        <v>556</v>
      </c>
      <c r="AA31" s="324">
        <f>W_original!D33</f>
        <v>0</v>
      </c>
      <c r="AB31" s="328"/>
      <c r="AC31" s="326" t="str">
        <f>W_original!E33</f>
        <v xml:space="preserve">bridge </v>
      </c>
      <c r="AD31" s="326" t="s">
        <v>556</v>
      </c>
    </row>
    <row r="32" spans="1:30" ht="15.75" customHeight="1">
      <c r="A32" s="56" t="str">
        <f t="shared" si="0"/>
        <v>W7SE</v>
      </c>
      <c r="B32" s="57">
        <v>7</v>
      </c>
      <c r="C32" s="58" t="s">
        <v>116</v>
      </c>
      <c r="D32" s="59">
        <f t="shared" si="1"/>
        <v>1600</v>
      </c>
      <c r="E32" s="60" t="s">
        <v>1635</v>
      </c>
      <c r="F32" s="60">
        <v>1103121141</v>
      </c>
      <c r="G32" s="58" t="s">
        <v>1636</v>
      </c>
      <c r="H32" s="60" t="s">
        <v>1637</v>
      </c>
      <c r="I32" s="60">
        <v>114.1491929</v>
      </c>
      <c r="J32" s="60">
        <v>22.287699929999999</v>
      </c>
      <c r="K32" s="61">
        <v>3.5</v>
      </c>
      <c r="L32" s="60" t="s">
        <v>762</v>
      </c>
      <c r="M32" s="61">
        <v>78.099999999999994</v>
      </c>
      <c r="N32" s="60" t="s">
        <v>115</v>
      </c>
      <c r="O32" s="61">
        <v>74.599999999999994</v>
      </c>
      <c r="P32" s="62"/>
      <c r="Q32" s="43" t="b">
        <v>0</v>
      </c>
      <c r="R32" s="43" t="b">
        <v>0</v>
      </c>
      <c r="S32" s="43" t="b">
        <v>0</v>
      </c>
      <c r="T32" s="63" t="b">
        <f ca="1">AND(U32&lt;&gt;"",OR(U32&gt;(VLOOKUP(B32,W_analysis!$A$2:$K$18,5,FALSE)+2*VLOOKUP(B32,W_analysis!$A$2:$K$18,6,FALSE)),U32&lt;(VLOOKUP(B32,W_analysis!$A$2:$K$18,5,FALSE)-2*VLOOKUP(B32,W_analysis!$A$2:$K$18,6,FALSE))))</f>
        <v>0</v>
      </c>
      <c r="U32" s="68">
        <f t="shared" ref="U32:U33" si="7">AC32</f>
        <v>23</v>
      </c>
      <c r="V32" s="65"/>
      <c r="W32" s="66"/>
      <c r="X32" s="65"/>
      <c r="Y32" s="60" t="s">
        <v>1544</v>
      </c>
      <c r="Z32" s="66" t="s">
        <v>1845</v>
      </c>
      <c r="AA32" s="324" t="str">
        <f>W_original!D34</f>
        <v xml:space="preserve">Seaview Commerical Building </v>
      </c>
      <c r="AB32" s="328"/>
      <c r="AC32" s="326">
        <f>W_original!E34</f>
        <v>23</v>
      </c>
      <c r="AD32" s="326">
        <v>1.0811594200000001</v>
      </c>
    </row>
    <row r="33" spans="1:30" ht="15.75" customHeight="1">
      <c r="A33" s="56" t="str">
        <f t="shared" si="0"/>
        <v>W7SW</v>
      </c>
      <c r="B33" s="57">
        <v>7</v>
      </c>
      <c r="C33" s="58" t="s">
        <v>121</v>
      </c>
      <c r="D33" s="59">
        <f t="shared" si="1"/>
        <v>1600</v>
      </c>
      <c r="E33" s="60" t="s">
        <v>1639</v>
      </c>
      <c r="F33" s="60">
        <v>1103121112</v>
      </c>
      <c r="G33" s="58" t="s">
        <v>1640</v>
      </c>
      <c r="H33" s="60" t="s">
        <v>1641</v>
      </c>
      <c r="I33" s="60">
        <v>114.14868559999999</v>
      </c>
      <c r="J33" s="60">
        <v>22.28781455</v>
      </c>
      <c r="K33" s="61">
        <v>3.4</v>
      </c>
      <c r="L33" s="60" t="s">
        <v>762</v>
      </c>
      <c r="M33" s="61">
        <v>78.400000000000006</v>
      </c>
      <c r="N33" s="60">
        <v>3</v>
      </c>
      <c r="O33" s="61">
        <v>75</v>
      </c>
      <c r="P33" s="69"/>
      <c r="Q33" s="43" t="b">
        <v>0</v>
      </c>
      <c r="R33" s="43" t="b">
        <v>0</v>
      </c>
      <c r="S33" s="43" t="b">
        <v>0</v>
      </c>
      <c r="T33" s="63" t="b">
        <f ca="1">AND(U33&lt;&gt;"",OR(U33&gt;(VLOOKUP(B33,W_analysis!$A$2:$K$18,5,FALSE)+2*VLOOKUP(B33,W_analysis!$A$2:$K$18,6,FALSE)),U33&lt;(VLOOKUP(B33,W_analysis!$A$2:$K$18,5,FALSE)-2*VLOOKUP(B33,W_analysis!$A$2:$K$18,6,FALSE))))</f>
        <v>0</v>
      </c>
      <c r="U33" s="68">
        <f t="shared" si="7"/>
        <v>22</v>
      </c>
      <c r="V33" s="65"/>
      <c r="W33" s="66"/>
      <c r="X33" s="65"/>
      <c r="Y33" s="60" t="s">
        <v>1544</v>
      </c>
      <c r="Z33" s="66" t="s">
        <v>1846</v>
      </c>
      <c r="AA33" s="324" t="str">
        <f>W_original!D35</f>
        <v>B2B Centre (Connaught Harbourfront House)</v>
      </c>
      <c r="AB33" s="328"/>
      <c r="AC33" s="326">
        <f>W_original!E35</f>
        <v>22</v>
      </c>
      <c r="AD33" s="326">
        <v>1.136363636</v>
      </c>
    </row>
    <row r="34" spans="1:30" ht="15.75" customHeight="1">
      <c r="A34" s="56" t="str">
        <f t="shared" si="0"/>
        <v>W7NW</v>
      </c>
      <c r="B34" s="57">
        <v>7</v>
      </c>
      <c r="C34" s="58" t="s">
        <v>127</v>
      </c>
      <c r="D34" s="59">
        <f t="shared" si="1"/>
        <v>1600</v>
      </c>
      <c r="E34" s="60" t="s">
        <v>556</v>
      </c>
      <c r="F34" s="60" t="s">
        <v>556</v>
      </c>
      <c r="G34" s="58" t="s">
        <v>556</v>
      </c>
      <c r="H34" s="60" t="s">
        <v>556</v>
      </c>
      <c r="I34" s="60" t="s">
        <v>556</v>
      </c>
      <c r="J34" s="60" t="s">
        <v>556</v>
      </c>
      <c r="K34" s="61" t="s">
        <v>556</v>
      </c>
      <c r="L34" s="60" t="s">
        <v>556</v>
      </c>
      <c r="M34" s="61" t="s">
        <v>556</v>
      </c>
      <c r="N34" s="60" t="s">
        <v>556</v>
      </c>
      <c r="O34" s="61" t="s">
        <v>556</v>
      </c>
      <c r="P34" s="67"/>
      <c r="Q34" s="43" t="b">
        <v>1</v>
      </c>
      <c r="R34" s="43" t="b">
        <v>0</v>
      </c>
      <c r="S34" s="43" t="b">
        <v>0</v>
      </c>
      <c r="T34" s="63" t="b">
        <f ca="1">AND(U34&lt;&gt;"",OR(U34&gt;(VLOOKUP(B34,W_analysis!$A$2:$K$18,5,FALSE)+2*VLOOKUP(B34,W_analysis!$A$2:$K$18,6,FALSE)),U34&lt;(VLOOKUP(B34,W_analysis!$A$2:$K$18,5,FALSE)-2*VLOOKUP(B34,W_analysis!$A$2:$K$18,6,FALSE))))</f>
        <v>1</v>
      </c>
      <c r="U34" s="64">
        <v>0</v>
      </c>
      <c r="V34" s="60"/>
      <c r="W34" s="59"/>
      <c r="X34" s="65"/>
      <c r="Y34" s="60"/>
      <c r="Z34" s="66" t="s">
        <v>556</v>
      </c>
      <c r="AA34" s="324">
        <f>W_original!D36</f>
        <v>0</v>
      </c>
      <c r="AB34" s="328"/>
      <c r="AC34" s="326" t="str">
        <f>W_original!E36</f>
        <v xml:space="preserve">bridge </v>
      </c>
      <c r="AD34" s="326" t="s">
        <v>556</v>
      </c>
    </row>
    <row r="35" spans="1:30" ht="15.75" customHeight="1">
      <c r="A35" s="56" t="str">
        <f t="shared" si="0"/>
        <v>W8NE</v>
      </c>
      <c r="B35" s="57">
        <v>8</v>
      </c>
      <c r="C35" s="58" t="s">
        <v>110</v>
      </c>
      <c r="D35" s="59">
        <f t="shared" si="1"/>
        <v>1800</v>
      </c>
      <c r="E35" s="60" t="s">
        <v>1643</v>
      </c>
      <c r="F35" s="60">
        <v>1103120950</v>
      </c>
      <c r="G35" s="58" t="s">
        <v>1644</v>
      </c>
      <c r="H35" s="60" t="s">
        <v>1645</v>
      </c>
      <c r="I35" s="60">
        <v>114.1474182</v>
      </c>
      <c r="J35" s="60">
        <v>22.288064760000001</v>
      </c>
      <c r="K35" s="61">
        <v>22.6</v>
      </c>
      <c r="L35" s="60" t="s">
        <v>762</v>
      </c>
      <c r="M35" s="61">
        <v>123.400002</v>
      </c>
      <c r="N35" s="60" t="s">
        <v>115</v>
      </c>
      <c r="O35" s="61">
        <v>100.80000200000001</v>
      </c>
      <c r="P35" s="69" t="s">
        <v>1545</v>
      </c>
      <c r="Q35" s="43" t="b">
        <v>0</v>
      </c>
      <c r="R35" s="43" t="b">
        <v>0</v>
      </c>
      <c r="S35" s="43" t="b">
        <v>0</v>
      </c>
      <c r="T35" s="63" t="b">
        <f ca="1">AND(U35&lt;&gt;"",OR(U35&gt;(VLOOKUP(B35,W_analysis!$A$2:$K$18,5,FALSE)+2*VLOOKUP(B35,W_analysis!$A$2:$K$18,6,FALSE)),U35&lt;(VLOOKUP(B35,W_analysis!$A$2:$K$18,5,FALSE)-2*VLOOKUP(B35,W_analysis!$A$2:$K$18,6,FALSE))))</f>
        <v>0</v>
      </c>
      <c r="U35" s="68">
        <f t="shared" ref="U35:U41" si="8">AC35</f>
        <v>25</v>
      </c>
      <c r="V35" s="60"/>
      <c r="W35" s="66"/>
      <c r="X35" s="65"/>
      <c r="Y35" s="60" t="s">
        <v>1544</v>
      </c>
      <c r="Z35" s="66" t="s">
        <v>1863</v>
      </c>
      <c r="AA35" s="324" t="str">
        <f>W_original!D37</f>
        <v xml:space="preserve">Wui Tat Centre </v>
      </c>
      <c r="AB35" s="328"/>
      <c r="AC35" s="326">
        <f>W_original!E37</f>
        <v>25</v>
      </c>
      <c r="AD35" s="326">
        <v>1.3440000270000001</v>
      </c>
    </row>
    <row r="36" spans="1:30" ht="15.75" customHeight="1">
      <c r="A36" s="56" t="str">
        <f t="shared" si="0"/>
        <v>W8SE</v>
      </c>
      <c r="B36" s="57">
        <v>8</v>
      </c>
      <c r="C36" s="58" t="s">
        <v>116</v>
      </c>
      <c r="D36" s="59">
        <f t="shared" si="1"/>
        <v>1800</v>
      </c>
      <c r="E36" s="60" t="s">
        <v>1647</v>
      </c>
      <c r="F36" s="60">
        <v>1103121358</v>
      </c>
      <c r="G36" s="58" t="s">
        <v>1648</v>
      </c>
      <c r="H36" s="60" t="s">
        <v>1649</v>
      </c>
      <c r="I36" s="60">
        <v>114.14729440000001</v>
      </c>
      <c r="J36" s="60">
        <v>22.287461329999999</v>
      </c>
      <c r="K36" s="61">
        <v>3.9</v>
      </c>
      <c r="L36" s="60" t="s">
        <v>762</v>
      </c>
      <c r="M36" s="61">
        <v>54.5</v>
      </c>
      <c r="N36" s="60" t="s">
        <v>115</v>
      </c>
      <c r="O36" s="61">
        <v>50.6</v>
      </c>
      <c r="P36" s="62"/>
      <c r="Q36" s="43" t="b">
        <v>0</v>
      </c>
      <c r="R36" s="43" t="b">
        <v>0</v>
      </c>
      <c r="S36" s="43" t="b">
        <v>0</v>
      </c>
      <c r="T36" s="63" t="b">
        <f ca="1">AND(U36&lt;&gt;"",OR(U36&gt;(VLOOKUP(B36,W_analysis!$A$2:$K$18,5,FALSE)+2*VLOOKUP(B36,W_analysis!$A$2:$K$18,6,FALSE)),U36&lt;(VLOOKUP(B36,W_analysis!$A$2:$K$18,5,FALSE)-2*VLOOKUP(B36,W_analysis!$A$2:$K$18,6,FALSE))))</f>
        <v>0</v>
      </c>
      <c r="U36" s="68">
        <f t="shared" si="8"/>
        <v>15</v>
      </c>
      <c r="V36" s="60"/>
      <c r="W36" s="59"/>
      <c r="X36" s="60"/>
      <c r="Y36" s="60" t="s">
        <v>1544</v>
      </c>
      <c r="Z36" s="66" t="s">
        <v>1864</v>
      </c>
      <c r="AA36" s="324" t="str">
        <f>W_original!D38</f>
        <v xml:space="preserve">Kingdom Power Commercial Building </v>
      </c>
      <c r="AB36" s="328"/>
      <c r="AC36" s="326">
        <f>W_original!E38</f>
        <v>15</v>
      </c>
      <c r="AD36" s="326">
        <v>1.1244444440000001</v>
      </c>
    </row>
    <row r="37" spans="1:30" ht="15.75" customHeight="1">
      <c r="A37" s="56" t="str">
        <f t="shared" si="0"/>
        <v>W8SW</v>
      </c>
      <c r="B37" s="57">
        <v>8</v>
      </c>
      <c r="C37" s="58" t="s">
        <v>121</v>
      </c>
      <c r="D37" s="59">
        <f t="shared" si="1"/>
        <v>1800</v>
      </c>
      <c r="E37" s="60" t="s">
        <v>1651</v>
      </c>
      <c r="F37" s="60">
        <v>1103121330</v>
      </c>
      <c r="G37" s="58" t="s">
        <v>1652</v>
      </c>
      <c r="H37" s="60" t="s">
        <v>1653</v>
      </c>
      <c r="I37" s="60">
        <v>114.1469373</v>
      </c>
      <c r="J37" s="60">
        <v>22.28747169</v>
      </c>
      <c r="K37" s="61">
        <v>3.7</v>
      </c>
      <c r="L37" s="60" t="s">
        <v>762</v>
      </c>
      <c r="M37" s="61">
        <v>67.5</v>
      </c>
      <c r="N37" s="60">
        <v>3</v>
      </c>
      <c r="O37" s="61">
        <v>63.8</v>
      </c>
      <c r="P37" s="62"/>
      <c r="Q37" s="43" t="b">
        <v>0</v>
      </c>
      <c r="R37" s="43" t="b">
        <v>0</v>
      </c>
      <c r="S37" s="43" t="b">
        <v>0</v>
      </c>
      <c r="T37" s="63" t="b">
        <f ca="1">AND(U37&lt;&gt;"",OR(U37&gt;(VLOOKUP(B37,W_analysis!$A$2:$K$18,5,FALSE)+2*VLOOKUP(B37,W_analysis!$A$2:$K$18,6,FALSE)),U37&lt;(VLOOKUP(B37,W_analysis!$A$2:$K$18,5,FALSE)-2*VLOOKUP(B37,W_analysis!$A$2:$K$18,6,FALSE))))</f>
        <v>0</v>
      </c>
      <c r="U37" s="68">
        <f t="shared" si="8"/>
        <v>21</v>
      </c>
      <c r="V37" s="60"/>
      <c r="W37" s="59"/>
      <c r="X37" s="60"/>
      <c r="Y37" s="60" t="s">
        <v>1544</v>
      </c>
      <c r="Z37" s="66" t="s">
        <v>1865</v>
      </c>
      <c r="AA37" s="324" t="str">
        <f>W_original!D39</f>
        <v xml:space="preserve">Western Centre </v>
      </c>
      <c r="AB37" s="328"/>
      <c r="AC37" s="326">
        <f>W_original!E39</f>
        <v>21</v>
      </c>
      <c r="AD37" s="326">
        <v>1.0126984130000001</v>
      </c>
    </row>
    <row r="38" spans="1:30" ht="15.75" customHeight="1">
      <c r="A38" s="56" t="str">
        <f t="shared" si="0"/>
        <v>W8NW</v>
      </c>
      <c r="B38" s="57">
        <v>8</v>
      </c>
      <c r="C38" s="58" t="s">
        <v>127</v>
      </c>
      <c r="D38" s="59">
        <f t="shared" si="1"/>
        <v>1800</v>
      </c>
      <c r="E38" s="60" t="s">
        <v>1655</v>
      </c>
      <c r="F38" s="60">
        <v>1103121080</v>
      </c>
      <c r="G38" s="58" t="s">
        <v>1656</v>
      </c>
      <c r="H38" s="60" t="s">
        <v>1657</v>
      </c>
      <c r="I38" s="60">
        <v>114.14697510000001</v>
      </c>
      <c r="J38" s="60">
        <v>22.28787677</v>
      </c>
      <c r="K38" s="61">
        <v>3.7</v>
      </c>
      <c r="L38" s="60" t="s">
        <v>762</v>
      </c>
      <c r="M38" s="61">
        <v>50.4</v>
      </c>
      <c r="N38" s="60" t="s">
        <v>115</v>
      </c>
      <c r="O38" s="61">
        <v>46.7</v>
      </c>
      <c r="P38" s="71"/>
      <c r="Q38" s="43" t="b">
        <v>0</v>
      </c>
      <c r="R38" s="43" t="b">
        <v>0</v>
      </c>
      <c r="S38" s="43" t="b">
        <v>0</v>
      </c>
      <c r="T38" s="63" t="b">
        <f ca="1">AND(U38&lt;&gt;"",OR(U38&gt;(VLOOKUP(B38,W_analysis!$A$2:$K$18,5,FALSE)+2*VLOOKUP(B38,W_analysis!$A$2:$K$18,6,FALSE)),U38&lt;(VLOOKUP(B38,W_analysis!$A$2:$K$18,5,FALSE)-2*VLOOKUP(B38,W_analysis!$A$2:$K$18,6,FALSE))))</f>
        <v>0</v>
      </c>
      <c r="U38" s="68">
        <f t="shared" si="8"/>
        <v>16</v>
      </c>
      <c r="V38" s="65"/>
      <c r="W38" s="66"/>
      <c r="X38" s="65"/>
      <c r="Y38" s="60" t="s">
        <v>1544</v>
      </c>
      <c r="Z38" s="66" t="s">
        <v>1866</v>
      </c>
      <c r="AA38" s="324" t="str">
        <f>W_original!D40</f>
        <v xml:space="preserve">Sing Kui Commercial Building </v>
      </c>
      <c r="AB38" s="328"/>
      <c r="AC38" s="326">
        <f>W_original!E40</f>
        <v>16</v>
      </c>
      <c r="AD38" s="326">
        <v>0.97291666669999999</v>
      </c>
    </row>
    <row r="39" spans="1:30" ht="15.75" customHeight="1">
      <c r="A39" s="56" t="str">
        <f t="shared" si="0"/>
        <v>W9NE</v>
      </c>
      <c r="B39" s="57">
        <v>9</v>
      </c>
      <c r="C39" s="58" t="s">
        <v>110</v>
      </c>
      <c r="D39" s="59">
        <f t="shared" si="1"/>
        <v>2000</v>
      </c>
      <c r="E39" s="60" t="s">
        <v>1659</v>
      </c>
      <c r="F39" s="60">
        <v>1103121016</v>
      </c>
      <c r="G39" s="58" t="s">
        <v>1660</v>
      </c>
      <c r="H39" s="60" t="s">
        <v>1661</v>
      </c>
      <c r="I39" s="60">
        <v>114.14554219999999</v>
      </c>
      <c r="J39" s="60">
        <v>22.287994009999998</v>
      </c>
      <c r="K39" s="61">
        <v>3.7</v>
      </c>
      <c r="L39" s="60" t="s">
        <v>762</v>
      </c>
      <c r="M39" s="61">
        <v>40.299999999999997</v>
      </c>
      <c r="N39" s="60" t="s">
        <v>115</v>
      </c>
      <c r="O39" s="61">
        <v>36.6</v>
      </c>
      <c r="P39" s="62"/>
      <c r="Q39" s="43" t="b">
        <v>0</v>
      </c>
      <c r="R39" s="43" t="b">
        <v>0</v>
      </c>
      <c r="S39" s="43" t="b">
        <v>0</v>
      </c>
      <c r="T39" s="63" t="b">
        <f ca="1">AND(U39&lt;&gt;"",OR(U39&gt;(VLOOKUP(B39,W_analysis!$A$2:$K$18,5,FALSE)+2*VLOOKUP(B39,W_analysis!$A$2:$K$18,6,FALSE)),U39&lt;(VLOOKUP(B39,W_analysis!$A$2:$K$18,5,FALSE)-2*VLOOKUP(B39,W_analysis!$A$2:$K$18,6,FALSE))))</f>
        <v>0</v>
      </c>
      <c r="U39" s="68">
        <f t="shared" si="8"/>
        <v>10</v>
      </c>
      <c r="V39" s="60"/>
      <c r="W39" s="59"/>
      <c r="X39" s="60"/>
      <c r="Y39" s="60" t="s">
        <v>1544</v>
      </c>
      <c r="Z39" s="66" t="s">
        <v>1882</v>
      </c>
      <c r="AA39" s="324" t="str">
        <f>W_original!D41</f>
        <v>Hong Kong Chiu Chow COC Members' Club Limited</v>
      </c>
      <c r="AB39" s="328"/>
      <c r="AC39" s="326">
        <f>W_original!E41</f>
        <v>10</v>
      </c>
      <c r="AD39" s="326">
        <v>1.22</v>
      </c>
    </row>
    <row r="40" spans="1:30" ht="15.75" customHeight="1">
      <c r="A40" s="56" t="str">
        <f t="shared" si="0"/>
        <v>W9SE</v>
      </c>
      <c r="B40" s="57">
        <v>9</v>
      </c>
      <c r="C40" s="58" t="s">
        <v>116</v>
      </c>
      <c r="D40" s="59">
        <f t="shared" si="1"/>
        <v>2000</v>
      </c>
      <c r="E40" s="60" t="s">
        <v>1663</v>
      </c>
      <c r="F40" s="60">
        <v>1103121249</v>
      </c>
      <c r="G40" s="58" t="s">
        <v>1664</v>
      </c>
      <c r="H40" s="60" t="s">
        <v>1665</v>
      </c>
      <c r="I40" s="60">
        <v>114.1454359</v>
      </c>
      <c r="J40" s="60">
        <v>22.287663389999999</v>
      </c>
      <c r="K40" s="61">
        <v>3.7</v>
      </c>
      <c r="L40" s="60" t="s">
        <v>762</v>
      </c>
      <c r="M40" s="61">
        <v>40</v>
      </c>
      <c r="N40" s="60" t="s">
        <v>115</v>
      </c>
      <c r="O40" s="61">
        <v>36.299999999999997</v>
      </c>
      <c r="P40" s="69" t="s">
        <v>1545</v>
      </c>
      <c r="Q40" s="43" t="b">
        <v>0</v>
      </c>
      <c r="R40" s="43" t="b">
        <v>0</v>
      </c>
      <c r="S40" s="43" t="b">
        <v>0</v>
      </c>
      <c r="T40" s="63" t="b">
        <f ca="1">AND(U40&lt;&gt;"",OR(U40&gt;(VLOOKUP(B40,W_analysis!$A$2:$K$18,5,FALSE)+2*VLOOKUP(B40,W_analysis!$A$2:$K$18,6,FALSE)),U40&lt;(VLOOKUP(B40,W_analysis!$A$2:$K$18,5,FALSE)-2*VLOOKUP(B40,W_analysis!$A$2:$K$18,6,FALSE))))</f>
        <v>0</v>
      </c>
      <c r="U40" s="68">
        <f t="shared" si="8"/>
        <v>9</v>
      </c>
      <c r="V40" s="60"/>
      <c r="W40" s="59"/>
      <c r="X40" s="60"/>
      <c r="Y40" s="60" t="s">
        <v>1544</v>
      </c>
      <c r="Z40" s="66" t="s">
        <v>1883</v>
      </c>
      <c r="AA40" s="324" t="str">
        <f>W_original!D42</f>
        <v>興泰公司貿易</v>
      </c>
      <c r="AB40" s="328"/>
      <c r="AC40" s="326">
        <f>W_original!E42</f>
        <v>9</v>
      </c>
      <c r="AD40" s="326">
        <v>1.3444444440000001</v>
      </c>
    </row>
    <row r="41" spans="1:30" ht="15.75" customHeight="1">
      <c r="A41" s="56" t="str">
        <f t="shared" si="0"/>
        <v>W9SW</v>
      </c>
      <c r="B41" s="58">
        <v>9</v>
      </c>
      <c r="C41" s="58" t="s">
        <v>121</v>
      </c>
      <c r="D41" s="59">
        <f t="shared" si="1"/>
        <v>2000</v>
      </c>
      <c r="E41" s="60" t="s">
        <v>1667</v>
      </c>
      <c r="F41" s="60">
        <v>1810156458</v>
      </c>
      <c r="G41" s="58" t="s">
        <v>1668</v>
      </c>
      <c r="H41" s="60" t="s">
        <v>556</v>
      </c>
      <c r="I41" s="60">
        <v>114.14499240000001</v>
      </c>
      <c r="J41" s="60">
        <v>22.28767006</v>
      </c>
      <c r="K41" s="61">
        <v>3.7</v>
      </c>
      <c r="L41" s="60" t="s">
        <v>194</v>
      </c>
      <c r="M41" s="61">
        <v>98.8</v>
      </c>
      <c r="N41" s="60" t="s">
        <v>293</v>
      </c>
      <c r="O41" s="61">
        <v>95.1</v>
      </c>
      <c r="P41" s="62"/>
      <c r="Q41" s="43" t="b">
        <v>0</v>
      </c>
      <c r="R41" s="43" t="b">
        <v>0</v>
      </c>
      <c r="S41" s="43" t="b">
        <v>0</v>
      </c>
      <c r="T41" s="63" t="b">
        <f ca="1">AND(U41&lt;&gt;"",OR(U41&gt;(VLOOKUP(B41,W_analysis!$A$2:$K$18,5,FALSE)+2*VLOOKUP(B41,W_analysis!$A$2:$K$18,6,FALSE)),U41&lt;(VLOOKUP(B41,W_analysis!$A$2:$K$18,5,FALSE)-2*VLOOKUP(B41,W_analysis!$A$2:$K$18,6,FALSE))))</f>
        <v>0</v>
      </c>
      <c r="U41" s="68">
        <f t="shared" si="8"/>
        <v>29</v>
      </c>
      <c r="V41" s="65"/>
      <c r="W41" s="66"/>
      <c r="X41" s="65"/>
      <c r="Y41" s="60" t="s">
        <v>1544</v>
      </c>
      <c r="Z41" s="66" t="s">
        <v>1884</v>
      </c>
      <c r="AA41" s="324" t="str">
        <f>W_original!D43</f>
        <v>ava128</v>
      </c>
      <c r="AB41" s="328"/>
      <c r="AC41" s="326">
        <f>W_original!E43</f>
        <v>29</v>
      </c>
      <c r="AD41" s="326">
        <v>1.0931034479999999</v>
      </c>
    </row>
    <row r="42" spans="1:30" ht="15.75" customHeight="1">
      <c r="A42" s="56" t="str">
        <f t="shared" si="0"/>
        <v>W9NW</v>
      </c>
      <c r="B42" s="58">
        <v>9</v>
      </c>
      <c r="C42" s="58" t="s">
        <v>127</v>
      </c>
      <c r="D42" s="59">
        <f t="shared" si="1"/>
        <v>2000</v>
      </c>
      <c r="E42" s="60" t="s">
        <v>1670</v>
      </c>
      <c r="F42" s="60">
        <v>1103121008</v>
      </c>
      <c r="G42" s="58" t="s">
        <v>1671</v>
      </c>
      <c r="H42" s="60" t="s">
        <v>1672</v>
      </c>
      <c r="I42" s="60">
        <v>114.1449989</v>
      </c>
      <c r="J42" s="60">
        <v>22.288023429999999</v>
      </c>
      <c r="K42" s="61">
        <v>3.5</v>
      </c>
      <c r="L42" s="60" t="s">
        <v>126</v>
      </c>
      <c r="M42" s="61">
        <v>79</v>
      </c>
      <c r="N42" s="60" t="s">
        <v>115</v>
      </c>
      <c r="O42" s="61">
        <v>75.5</v>
      </c>
      <c r="P42" s="62"/>
      <c r="Q42" s="43" t="b">
        <v>0</v>
      </c>
      <c r="R42" s="43" t="b">
        <v>0</v>
      </c>
      <c r="S42" s="43" t="b">
        <v>0</v>
      </c>
      <c r="T42" s="63" t="b">
        <f ca="1">AND(U42&lt;&gt;"",OR(U42&gt;(VLOOKUP(B42,W_analysis!$A$2:$K$18,5,FALSE)+2*VLOOKUP(B42,W_analysis!$A$2:$K$18,6,FALSE)),U42&lt;(VLOOKUP(B42,W_analysis!$A$2:$K$18,5,FALSE)-2*VLOOKUP(B42,W_analysis!$A$2:$K$18,6,FALSE))))</f>
        <v>0</v>
      </c>
      <c r="U42" s="64">
        <v>24</v>
      </c>
      <c r="V42" s="65">
        <v>0</v>
      </c>
      <c r="W42" s="66">
        <v>94</v>
      </c>
      <c r="X42" s="65">
        <v>1991</v>
      </c>
      <c r="Y42" s="65" t="s">
        <v>1546</v>
      </c>
      <c r="Z42" s="66" t="s">
        <v>1885</v>
      </c>
      <c r="AA42" s="324" t="str">
        <f>W_original!D44</f>
        <v>Lucky Commerical Centre</v>
      </c>
      <c r="AB42" s="328"/>
      <c r="AC42" s="326">
        <f>W_original!E44</f>
        <v>24</v>
      </c>
      <c r="AD42" s="326">
        <v>1.048611111</v>
      </c>
    </row>
    <row r="43" spans="1:30" ht="15.75" customHeight="1">
      <c r="A43" s="56" t="str">
        <f t="shared" si="0"/>
        <v>W10NE</v>
      </c>
      <c r="B43" s="58">
        <v>10</v>
      </c>
      <c r="C43" s="58" t="s">
        <v>110</v>
      </c>
      <c r="D43" s="59">
        <f t="shared" si="1"/>
        <v>2200</v>
      </c>
      <c r="E43" s="60" t="s">
        <v>1674</v>
      </c>
      <c r="F43" s="60">
        <v>1103120999</v>
      </c>
      <c r="G43" s="58" t="s">
        <v>1675</v>
      </c>
      <c r="H43" s="60" t="s">
        <v>1676</v>
      </c>
      <c r="I43" s="60">
        <v>114.1436344</v>
      </c>
      <c r="J43" s="60">
        <v>22.288048029999999</v>
      </c>
      <c r="K43" s="61">
        <v>3.4</v>
      </c>
      <c r="L43" s="60" t="s">
        <v>126</v>
      </c>
      <c r="M43" s="61">
        <v>48.3</v>
      </c>
      <c r="N43" s="60" t="s">
        <v>115</v>
      </c>
      <c r="O43" s="61">
        <v>44.9</v>
      </c>
      <c r="P43" s="62"/>
      <c r="Q43" s="43" t="b">
        <v>0</v>
      </c>
      <c r="R43" s="43" t="b">
        <v>0</v>
      </c>
      <c r="S43" s="43" t="b">
        <v>0</v>
      </c>
      <c r="T43" s="63" t="b">
        <f ca="1">AND(U43&lt;&gt;"",OR(U43&gt;(VLOOKUP(B43,W_analysis!$A$2:$K$18,5,FALSE)+2*VLOOKUP(B43,W_analysis!$A$2:$K$18,6,FALSE)),U43&lt;(VLOOKUP(B43,W_analysis!$A$2:$K$18,5,FALSE)-2*VLOOKUP(B43,W_analysis!$A$2:$K$18,6,FALSE))))</f>
        <v>0</v>
      </c>
      <c r="U43" s="68">
        <f t="shared" ref="U43:U62" si="9">AC43</f>
        <v>15</v>
      </c>
      <c r="V43" s="60"/>
      <c r="W43" s="59"/>
      <c r="X43" s="60"/>
      <c r="Y43" s="60" t="s">
        <v>1544</v>
      </c>
      <c r="Z43" s="66" t="s">
        <v>1902</v>
      </c>
      <c r="AA43" s="324" t="str">
        <f>W_original!D45</f>
        <v>Tak Tung Building</v>
      </c>
      <c r="AB43" s="328"/>
      <c r="AC43" s="326">
        <f>W_original!E45</f>
        <v>15</v>
      </c>
      <c r="AD43" s="326">
        <v>0.99777777779999999</v>
      </c>
    </row>
    <row r="44" spans="1:30" ht="15.75" customHeight="1">
      <c r="A44" s="56" t="str">
        <f t="shared" si="0"/>
        <v>W10SE</v>
      </c>
      <c r="B44" s="58">
        <v>10</v>
      </c>
      <c r="C44" s="58" t="s">
        <v>116</v>
      </c>
      <c r="D44" s="59">
        <f t="shared" si="1"/>
        <v>2200</v>
      </c>
      <c r="E44" s="60" t="s">
        <v>1678</v>
      </c>
      <c r="F44" s="60">
        <v>1103121193</v>
      </c>
      <c r="G44" s="58" t="s">
        <v>1473</v>
      </c>
      <c r="H44" s="60" t="s">
        <v>1679</v>
      </c>
      <c r="I44" s="60">
        <v>114.1434996</v>
      </c>
      <c r="J44" s="60">
        <v>22.287704720000001</v>
      </c>
      <c r="K44" s="61">
        <v>3.6</v>
      </c>
      <c r="L44" s="60" t="s">
        <v>126</v>
      </c>
      <c r="M44" s="61">
        <v>45.6</v>
      </c>
      <c r="N44" s="60" t="s">
        <v>115</v>
      </c>
      <c r="O44" s="61">
        <v>42</v>
      </c>
      <c r="P44" s="62"/>
      <c r="Q44" s="43" t="b">
        <v>0</v>
      </c>
      <c r="R44" s="43" t="b">
        <v>0</v>
      </c>
      <c r="S44" s="43" t="b">
        <v>0</v>
      </c>
      <c r="T44" s="63" t="b">
        <f ca="1">AND(U44&lt;&gt;"",OR(U44&gt;(VLOOKUP(B44,W_analysis!$A$2:$K$18,5,FALSE)+2*VLOOKUP(B44,W_analysis!$A$2:$K$18,6,FALSE)),U44&lt;(VLOOKUP(B44,W_analysis!$A$2:$K$18,5,FALSE)-2*VLOOKUP(B44,W_analysis!$A$2:$K$18,6,FALSE))))</f>
        <v>0</v>
      </c>
      <c r="U44" s="68">
        <f t="shared" si="9"/>
        <v>14</v>
      </c>
      <c r="V44" s="60"/>
      <c r="W44" s="59"/>
      <c r="X44" s="60"/>
      <c r="Y44" s="60" t="s">
        <v>1544</v>
      </c>
      <c r="Z44" s="66" t="s">
        <v>1903</v>
      </c>
      <c r="AA44" s="324" t="str">
        <f>W_original!D46</f>
        <v>Luen Tak Building</v>
      </c>
      <c r="AB44" s="328"/>
      <c r="AC44" s="326">
        <f>W_original!E46</f>
        <v>14</v>
      </c>
      <c r="AD44" s="326">
        <v>1</v>
      </c>
    </row>
    <row r="45" spans="1:30" ht="15.75" customHeight="1">
      <c r="A45" s="56" t="str">
        <f t="shared" si="0"/>
        <v>W10SW</v>
      </c>
      <c r="B45" s="58">
        <v>10</v>
      </c>
      <c r="C45" s="58" t="s">
        <v>121</v>
      </c>
      <c r="D45" s="59">
        <f t="shared" si="1"/>
        <v>2200</v>
      </c>
      <c r="E45" s="60" t="s">
        <v>1681</v>
      </c>
      <c r="F45" s="60">
        <v>1103121183</v>
      </c>
      <c r="G45" s="58" t="s">
        <v>1476</v>
      </c>
      <c r="H45" s="60" t="s">
        <v>1682</v>
      </c>
      <c r="I45" s="60">
        <v>114.14309900000001</v>
      </c>
      <c r="J45" s="60">
        <v>22.287719389999999</v>
      </c>
      <c r="K45" s="61">
        <v>3.7</v>
      </c>
      <c r="L45" s="60" t="s">
        <v>126</v>
      </c>
      <c r="M45" s="61">
        <v>55.4</v>
      </c>
      <c r="N45" s="60" t="s">
        <v>115</v>
      </c>
      <c r="O45" s="61">
        <v>51.7</v>
      </c>
      <c r="P45" s="62"/>
      <c r="Q45" s="43" t="b">
        <v>0</v>
      </c>
      <c r="R45" s="43" t="b">
        <v>0</v>
      </c>
      <c r="S45" s="43" t="b">
        <v>0</v>
      </c>
      <c r="T45" s="63" t="b">
        <f ca="1">AND(U45&lt;&gt;"",OR(U45&gt;(VLOOKUP(B45,W_analysis!$A$2:$K$18,5,FALSE)+2*VLOOKUP(B45,W_analysis!$A$2:$K$18,6,FALSE)),U45&lt;(VLOOKUP(B45,W_analysis!$A$2:$K$18,5,FALSE)-2*VLOOKUP(B45,W_analysis!$A$2:$K$18,6,FALSE))))</f>
        <v>0</v>
      </c>
      <c r="U45" s="68">
        <f t="shared" si="9"/>
        <v>14</v>
      </c>
      <c r="V45" s="60"/>
      <c r="W45" s="59"/>
      <c r="X45" s="60"/>
      <c r="Y45" s="60" t="s">
        <v>1544</v>
      </c>
      <c r="Z45" s="66" t="s">
        <v>1904</v>
      </c>
      <c r="AA45" s="324" t="str">
        <f>W_original!D47</f>
        <v>Wai Tak Building</v>
      </c>
      <c r="AB45" s="328"/>
      <c r="AC45" s="326">
        <f>W_original!E47</f>
        <v>14</v>
      </c>
      <c r="AD45" s="326">
        <v>1.230952381</v>
      </c>
    </row>
    <row r="46" spans="1:30" ht="15.75" customHeight="1">
      <c r="A46" s="56" t="str">
        <f t="shared" si="0"/>
        <v>W10NW</v>
      </c>
      <c r="B46" s="58">
        <v>10</v>
      </c>
      <c r="C46" s="58" t="s">
        <v>127</v>
      </c>
      <c r="D46" s="59">
        <f t="shared" si="1"/>
        <v>2200</v>
      </c>
      <c r="E46" s="60" t="s">
        <v>1684</v>
      </c>
      <c r="F46" s="60">
        <v>1103120982</v>
      </c>
      <c r="G46" s="58" t="s">
        <v>1478</v>
      </c>
      <c r="H46" s="60" t="s">
        <v>1685</v>
      </c>
      <c r="I46" s="60">
        <v>114.14314659999999</v>
      </c>
      <c r="J46" s="60">
        <v>22.28806827</v>
      </c>
      <c r="K46" s="61">
        <v>3.3</v>
      </c>
      <c r="L46" s="60" t="s">
        <v>126</v>
      </c>
      <c r="M46" s="61">
        <v>32.700000000000003</v>
      </c>
      <c r="N46" s="60" t="s">
        <v>115</v>
      </c>
      <c r="O46" s="61">
        <v>29.4</v>
      </c>
      <c r="P46" s="62"/>
      <c r="Q46" s="43" t="b">
        <v>0</v>
      </c>
      <c r="R46" s="43" t="b">
        <v>0</v>
      </c>
      <c r="S46" s="43" t="b">
        <v>0</v>
      </c>
      <c r="T46" s="63" t="b">
        <f ca="1">AND(U46&lt;&gt;"",OR(U46&gt;(VLOOKUP(B46,W_analysis!$A$2:$K$18,5,FALSE)+2*VLOOKUP(B46,W_analysis!$A$2:$K$18,6,FALSE)),U46&lt;(VLOOKUP(B46,W_analysis!$A$2:$K$18,5,FALSE)-2*VLOOKUP(B46,W_analysis!$A$2:$K$18,6,FALSE))))</f>
        <v>0</v>
      </c>
      <c r="U46" s="68">
        <f t="shared" si="9"/>
        <v>8</v>
      </c>
      <c r="V46" s="60"/>
      <c r="W46" s="59"/>
      <c r="X46" s="60"/>
      <c r="Y46" s="60" t="s">
        <v>1544</v>
      </c>
      <c r="Z46" s="66" t="s">
        <v>1905</v>
      </c>
      <c r="AA46" s="324" t="str">
        <f>W_original!D48</f>
        <v>Wing Fat Mansion</v>
      </c>
      <c r="AB46" s="328"/>
      <c r="AC46" s="326">
        <f>W_original!E48</f>
        <v>8</v>
      </c>
      <c r="AD46" s="326">
        <v>1.2250000000000001</v>
      </c>
    </row>
    <row r="47" spans="1:30" ht="15.75" customHeight="1">
      <c r="A47" s="56" t="str">
        <f t="shared" si="0"/>
        <v>W11NE</v>
      </c>
      <c r="B47" s="58">
        <v>11</v>
      </c>
      <c r="C47" s="58" t="s">
        <v>110</v>
      </c>
      <c r="D47" s="59">
        <f t="shared" si="1"/>
        <v>2400</v>
      </c>
      <c r="E47" s="60" t="s">
        <v>1687</v>
      </c>
      <c r="F47" s="60">
        <v>1103120926</v>
      </c>
      <c r="G47" s="58" t="s">
        <v>1481</v>
      </c>
      <c r="H47" s="60" t="s">
        <v>1688</v>
      </c>
      <c r="I47" s="60">
        <v>114.14154449999999</v>
      </c>
      <c r="J47" s="60">
        <v>22.28813413</v>
      </c>
      <c r="K47" s="61">
        <v>4.2</v>
      </c>
      <c r="L47" s="60" t="s">
        <v>126</v>
      </c>
      <c r="M47" s="61">
        <v>26</v>
      </c>
      <c r="N47" s="60">
        <v>3</v>
      </c>
      <c r="O47" s="61">
        <v>21.8</v>
      </c>
      <c r="P47" s="62"/>
      <c r="Q47" s="43" t="b">
        <v>0</v>
      </c>
      <c r="R47" s="43" t="b">
        <v>0</v>
      </c>
      <c r="S47" s="43" t="b">
        <v>0</v>
      </c>
      <c r="T47" s="63" t="b">
        <f ca="1">AND(U47&lt;&gt;"",OR(U47&gt;(VLOOKUP(B47,W_analysis!$A$2:$K$18,5,FALSE)+2*VLOOKUP(B47,W_analysis!$A$2:$K$18,6,FALSE)),U47&lt;(VLOOKUP(B47,W_analysis!$A$2:$K$18,5,FALSE)-2*VLOOKUP(B47,W_analysis!$A$2:$K$18,6,FALSE))))</f>
        <v>0</v>
      </c>
      <c r="U47" s="68">
        <f t="shared" si="9"/>
        <v>5</v>
      </c>
      <c r="V47" s="60"/>
      <c r="W47" s="59"/>
      <c r="X47" s="60"/>
      <c r="Y47" s="60" t="s">
        <v>1544</v>
      </c>
      <c r="Z47" s="66" t="s">
        <v>1921</v>
      </c>
      <c r="AA47" s="324" t="str">
        <f>W_original!D49</f>
        <v>Tak May House</v>
      </c>
      <c r="AB47" s="328"/>
      <c r="AC47" s="326">
        <f>W_original!E49</f>
        <v>5</v>
      </c>
      <c r="AD47" s="326">
        <v>1.453333333</v>
      </c>
    </row>
    <row r="48" spans="1:30" ht="15.75" customHeight="1">
      <c r="A48" s="56" t="str">
        <f t="shared" si="0"/>
        <v>W11SE</v>
      </c>
      <c r="B48" s="58">
        <v>11</v>
      </c>
      <c r="C48" s="58" t="s">
        <v>116</v>
      </c>
      <c r="D48" s="59">
        <f t="shared" si="1"/>
        <v>2400</v>
      </c>
      <c r="E48" s="60" t="s">
        <v>1690</v>
      </c>
      <c r="F48" s="60">
        <v>1103121148</v>
      </c>
      <c r="G48" s="58" t="s">
        <v>1484</v>
      </c>
      <c r="H48" s="60" t="s">
        <v>1691</v>
      </c>
      <c r="I48" s="60">
        <v>114.1416548</v>
      </c>
      <c r="J48" s="60">
        <v>22.287771429999999</v>
      </c>
      <c r="K48" s="61">
        <v>13.7</v>
      </c>
      <c r="L48" s="60" t="s">
        <v>115</v>
      </c>
      <c r="M48" s="61">
        <v>92.6</v>
      </c>
      <c r="N48" s="60">
        <v>3</v>
      </c>
      <c r="O48" s="61">
        <v>78.900000000000006</v>
      </c>
      <c r="P48" s="62"/>
      <c r="Q48" s="43" t="b">
        <v>0</v>
      </c>
      <c r="R48" s="43" t="b">
        <v>0</v>
      </c>
      <c r="S48" s="43" t="b">
        <v>0</v>
      </c>
      <c r="T48" s="63" t="b">
        <f ca="1">AND(U48&lt;&gt;"",OR(U48&gt;(VLOOKUP(B48,W_analysis!$A$2:$K$18,5,FALSE)+2*VLOOKUP(B48,W_analysis!$A$2:$K$18,6,FALSE)),U48&lt;(VLOOKUP(B48,W_analysis!$A$2:$K$18,5,FALSE)-2*VLOOKUP(B48,W_analysis!$A$2:$K$18,6,FALSE))))</f>
        <v>0</v>
      </c>
      <c r="U48" s="68">
        <f t="shared" si="9"/>
        <v>24</v>
      </c>
      <c r="V48" s="60"/>
      <c r="W48" s="59"/>
      <c r="X48" s="60"/>
      <c r="Y48" s="60" t="s">
        <v>1544</v>
      </c>
      <c r="Z48" s="66" t="s">
        <v>1922</v>
      </c>
      <c r="AA48" s="324" t="str">
        <f>W_original!D50</f>
        <v>Tung Che Commercial Centre</v>
      </c>
      <c r="AB48" s="328"/>
      <c r="AC48" s="326">
        <f>W_original!E50</f>
        <v>24</v>
      </c>
      <c r="AD48" s="326">
        <v>1.0958333330000001</v>
      </c>
    </row>
    <row r="49" spans="1:30" ht="15.75" customHeight="1">
      <c r="A49" s="56" t="str">
        <f t="shared" si="0"/>
        <v>W11SW</v>
      </c>
      <c r="B49" s="58">
        <v>11</v>
      </c>
      <c r="C49" s="58" t="s">
        <v>121</v>
      </c>
      <c r="D49" s="59">
        <f t="shared" si="1"/>
        <v>2400</v>
      </c>
      <c r="E49" s="60" t="s">
        <v>1693</v>
      </c>
      <c r="F49" s="60">
        <v>1103121139</v>
      </c>
      <c r="G49" s="58" t="s">
        <v>1487</v>
      </c>
      <c r="H49" s="60" t="s">
        <v>1694</v>
      </c>
      <c r="I49" s="60">
        <v>114.14134749999999</v>
      </c>
      <c r="J49" s="60">
        <v>22.287757500000001</v>
      </c>
      <c r="K49" s="61">
        <v>4.3</v>
      </c>
      <c r="L49" s="60" t="s">
        <v>418</v>
      </c>
      <c r="M49" s="61">
        <v>54.3</v>
      </c>
      <c r="N49" s="60" t="s">
        <v>115</v>
      </c>
      <c r="O49" s="61">
        <v>50</v>
      </c>
      <c r="P49" s="62"/>
      <c r="Q49" s="43" t="b">
        <v>0</v>
      </c>
      <c r="R49" s="43" t="b">
        <v>0</v>
      </c>
      <c r="S49" s="43" t="b">
        <v>0</v>
      </c>
      <c r="T49" s="63" t="b">
        <f ca="1">AND(U49&lt;&gt;"",OR(U49&gt;(VLOOKUP(B49,W_analysis!$A$2:$K$18,5,FALSE)+2*VLOOKUP(B49,W_analysis!$A$2:$K$18,6,FALSE)),U49&lt;(VLOOKUP(B49,W_analysis!$A$2:$K$18,5,FALSE)-2*VLOOKUP(B49,W_analysis!$A$2:$K$18,6,FALSE))))</f>
        <v>0</v>
      </c>
      <c r="U49" s="68">
        <f t="shared" si="9"/>
        <v>16</v>
      </c>
      <c r="V49" s="60"/>
      <c r="W49" s="59"/>
      <c r="X49" s="60"/>
      <c r="Y49" s="60" t="s">
        <v>1544</v>
      </c>
      <c r="Z49" s="66" t="s">
        <v>1923</v>
      </c>
      <c r="AA49" s="324" t="str">
        <f>W_original!D51</f>
        <v>Ching Tak Building</v>
      </c>
      <c r="AB49" s="328"/>
      <c r="AC49" s="326">
        <f>W_original!E51</f>
        <v>16</v>
      </c>
      <c r="AD49" s="326">
        <v>1.0416666670000001</v>
      </c>
    </row>
    <row r="50" spans="1:30" ht="15.75" customHeight="1">
      <c r="A50" s="56" t="str">
        <f t="shared" si="0"/>
        <v>W11NW</v>
      </c>
      <c r="B50" s="58">
        <v>11</v>
      </c>
      <c r="C50" s="58" t="s">
        <v>127</v>
      </c>
      <c r="D50" s="59">
        <f t="shared" si="1"/>
        <v>2400</v>
      </c>
      <c r="E50" s="60" t="s">
        <v>1696</v>
      </c>
      <c r="F50" s="60">
        <v>1103120932</v>
      </c>
      <c r="G50" s="58" t="s">
        <v>1697</v>
      </c>
      <c r="H50" s="60" t="s">
        <v>1698</v>
      </c>
      <c r="I50" s="60">
        <v>114.1412874</v>
      </c>
      <c r="J50" s="60">
        <v>22.28813422</v>
      </c>
      <c r="K50" s="61">
        <v>4.3</v>
      </c>
      <c r="L50" s="60" t="s">
        <v>126</v>
      </c>
      <c r="M50" s="61">
        <v>24.1</v>
      </c>
      <c r="N50" s="60">
        <v>3</v>
      </c>
      <c r="O50" s="61">
        <v>19.8</v>
      </c>
      <c r="P50" s="62"/>
      <c r="Q50" s="43" t="b">
        <v>0</v>
      </c>
      <c r="R50" s="43" t="b">
        <v>0</v>
      </c>
      <c r="S50" s="43" t="b">
        <v>0</v>
      </c>
      <c r="T50" s="63" t="b">
        <f ca="1">AND(U50&lt;&gt;"",OR(U50&gt;(VLOOKUP(B50,W_analysis!$A$2:$K$18,5,FALSE)+2*VLOOKUP(B50,W_analysis!$A$2:$K$18,6,FALSE)),U50&lt;(VLOOKUP(B50,W_analysis!$A$2:$K$18,5,FALSE)-2*VLOOKUP(B50,W_analysis!$A$2:$K$18,6,FALSE))))</f>
        <v>0</v>
      </c>
      <c r="U50" s="68">
        <f t="shared" si="9"/>
        <v>5</v>
      </c>
      <c r="V50" s="60"/>
      <c r="W50" s="59"/>
      <c r="X50" s="60"/>
      <c r="Y50" s="60" t="s">
        <v>1544</v>
      </c>
      <c r="Z50" s="66" t="s">
        <v>1924</v>
      </c>
      <c r="AA50" s="324" t="str">
        <f>W_original!D52</f>
        <v>Wah Lap Building</v>
      </c>
      <c r="AB50" s="328"/>
      <c r="AC50" s="326">
        <f>W_original!E52</f>
        <v>5</v>
      </c>
      <c r="AD50" s="326">
        <v>1.32</v>
      </c>
    </row>
    <row r="51" spans="1:30" ht="15.75" customHeight="1">
      <c r="A51" s="56" t="str">
        <f t="shared" si="0"/>
        <v>W12NE</v>
      </c>
      <c r="B51" s="58">
        <v>12</v>
      </c>
      <c r="C51" s="58" t="s">
        <v>110</v>
      </c>
      <c r="D51" s="59">
        <f t="shared" si="1"/>
        <v>2600</v>
      </c>
      <c r="E51" s="60" t="s">
        <v>1700</v>
      </c>
      <c r="F51" s="60">
        <v>1103121082</v>
      </c>
      <c r="G51" s="58" t="s">
        <v>1493</v>
      </c>
      <c r="H51" s="60" t="s">
        <v>1701</v>
      </c>
      <c r="I51" s="60">
        <v>114.1395267</v>
      </c>
      <c r="J51" s="60">
        <v>22.287847970000001</v>
      </c>
      <c r="K51" s="61">
        <v>3.7</v>
      </c>
      <c r="L51" s="60" t="s">
        <v>126</v>
      </c>
      <c r="M51" s="61">
        <v>45.9</v>
      </c>
      <c r="N51" s="60" t="s">
        <v>115</v>
      </c>
      <c r="O51" s="61">
        <v>42.2</v>
      </c>
      <c r="P51" s="62"/>
      <c r="Q51" s="43" t="b">
        <v>0</v>
      </c>
      <c r="R51" s="43" t="b">
        <v>0</v>
      </c>
      <c r="S51" s="43" t="b">
        <v>0</v>
      </c>
      <c r="T51" s="63" t="b">
        <f ca="1">AND(U51&lt;&gt;"",OR(U51&gt;(VLOOKUP(B51,W_analysis!$A$2:$K$18,5,FALSE)+2*VLOOKUP(B51,W_analysis!$A$2:$K$18,6,FALSE)),U51&lt;(VLOOKUP(B51,W_analysis!$A$2:$K$18,5,FALSE)-2*VLOOKUP(B51,W_analysis!$A$2:$K$18,6,FALSE))))</f>
        <v>0</v>
      </c>
      <c r="U51" s="68">
        <f t="shared" si="9"/>
        <v>6</v>
      </c>
      <c r="V51" s="60"/>
      <c r="W51" s="59"/>
      <c r="X51" s="60"/>
      <c r="Y51" s="60" t="s">
        <v>1544</v>
      </c>
      <c r="Z51" s="66" t="s">
        <v>1941</v>
      </c>
      <c r="AA51" s="324" t="str">
        <f>W_original!D53</f>
        <v>Tin Hing Building</v>
      </c>
      <c r="AB51" s="328"/>
      <c r="AC51" s="326">
        <f>W_original!E53</f>
        <v>6</v>
      </c>
      <c r="AD51" s="326">
        <v>2.3444444440000001</v>
      </c>
    </row>
    <row r="52" spans="1:30" ht="15.75" customHeight="1">
      <c r="A52" s="56" t="str">
        <f t="shared" si="0"/>
        <v>W12SE</v>
      </c>
      <c r="B52" s="58">
        <v>12</v>
      </c>
      <c r="C52" s="58" t="s">
        <v>116</v>
      </c>
      <c r="D52" s="59">
        <f t="shared" si="1"/>
        <v>2600</v>
      </c>
      <c r="E52" s="60" t="s">
        <v>1703</v>
      </c>
      <c r="F52" s="60">
        <v>1103121419</v>
      </c>
      <c r="G52" s="58" t="s">
        <v>1496</v>
      </c>
      <c r="H52" s="60" t="s">
        <v>1704</v>
      </c>
      <c r="I52" s="60">
        <v>114.1396977</v>
      </c>
      <c r="J52" s="60">
        <v>22.287392860000001</v>
      </c>
      <c r="K52" s="61">
        <v>10.8</v>
      </c>
      <c r="L52" s="60" t="s">
        <v>115</v>
      </c>
      <c r="M52" s="61">
        <v>73</v>
      </c>
      <c r="N52" s="60" t="s">
        <v>115</v>
      </c>
      <c r="O52" s="61">
        <v>62.2</v>
      </c>
      <c r="P52" s="69" t="s">
        <v>1545</v>
      </c>
      <c r="Q52" s="43" t="b">
        <v>0</v>
      </c>
      <c r="R52" s="43" t="b">
        <v>0</v>
      </c>
      <c r="S52" s="43" t="b">
        <v>0</v>
      </c>
      <c r="T52" s="63" t="b">
        <f ca="1">AND(U52&lt;&gt;"",OR(U52&gt;(VLOOKUP(B52,W_analysis!$A$2:$K$18,5,FALSE)+2*VLOOKUP(B52,W_analysis!$A$2:$K$18,6,FALSE)),U52&lt;(VLOOKUP(B52,W_analysis!$A$2:$K$18,5,FALSE)-2*VLOOKUP(B52,W_analysis!$A$2:$K$18,6,FALSE))))</f>
        <v>0</v>
      </c>
      <c r="U52" s="68">
        <f t="shared" si="9"/>
        <v>6</v>
      </c>
      <c r="V52" s="65"/>
      <c r="W52" s="66"/>
      <c r="X52" s="65"/>
      <c r="Y52" s="60" t="s">
        <v>1544</v>
      </c>
      <c r="Z52" s="66" t="s">
        <v>1942</v>
      </c>
      <c r="AA52" s="324" t="str">
        <f>W_original!D54</f>
        <v>Siu Cheung Building</v>
      </c>
      <c r="AB52" s="328"/>
      <c r="AC52" s="326">
        <f>W_original!E54</f>
        <v>6</v>
      </c>
      <c r="AD52" s="326">
        <v>3.4555555560000002</v>
      </c>
    </row>
    <row r="53" spans="1:30" ht="20.25" customHeight="1">
      <c r="A53" s="56" t="str">
        <f t="shared" si="0"/>
        <v>W12SW</v>
      </c>
      <c r="B53" s="58">
        <v>12</v>
      </c>
      <c r="C53" s="58" t="s">
        <v>121</v>
      </c>
      <c r="D53" s="59">
        <f t="shared" si="1"/>
        <v>2600</v>
      </c>
      <c r="E53" s="60" t="s">
        <v>1706</v>
      </c>
      <c r="F53" s="60">
        <v>1103121425</v>
      </c>
      <c r="G53" s="58" t="s">
        <v>1707</v>
      </c>
      <c r="H53" s="60" t="s">
        <v>1708</v>
      </c>
      <c r="I53" s="60">
        <v>114.1392865</v>
      </c>
      <c r="J53" s="60">
        <v>22.287364650000001</v>
      </c>
      <c r="K53" s="61">
        <v>12.4</v>
      </c>
      <c r="L53" s="60" t="s">
        <v>115</v>
      </c>
      <c r="M53" s="61">
        <v>86.3</v>
      </c>
      <c r="N53" s="60" t="s">
        <v>115</v>
      </c>
      <c r="O53" s="61">
        <v>73.900000000000006</v>
      </c>
      <c r="P53" s="62"/>
      <c r="Q53" s="43" t="b">
        <v>0</v>
      </c>
      <c r="R53" s="43" t="b">
        <v>0</v>
      </c>
      <c r="S53" s="43" t="b">
        <v>0</v>
      </c>
      <c r="T53" s="63" t="b">
        <f ca="1">AND(U53&lt;&gt;"",OR(U53&gt;(VLOOKUP(B53,W_analysis!$A$2:$K$18,5,FALSE)+2*VLOOKUP(B53,W_analysis!$A$2:$K$18,6,FALSE)),U53&lt;(VLOOKUP(B53,W_analysis!$A$2:$K$18,5,FALSE)-2*VLOOKUP(B53,W_analysis!$A$2:$K$18,6,FALSE))))</f>
        <v>0</v>
      </c>
      <c r="U53" s="68">
        <f t="shared" si="9"/>
        <v>22</v>
      </c>
      <c r="V53" s="60"/>
      <c r="W53" s="59"/>
      <c r="X53" s="60"/>
      <c r="Y53" s="60" t="s">
        <v>1544</v>
      </c>
      <c r="Z53" s="66" t="s">
        <v>1943</v>
      </c>
      <c r="AA53" s="324" t="str">
        <f>W_original!D55</f>
        <v>Merit Court</v>
      </c>
      <c r="AB53" s="328"/>
      <c r="AC53" s="326">
        <f>W_original!E55</f>
        <v>22</v>
      </c>
      <c r="AD53" s="326">
        <v>1.1196969699999999</v>
      </c>
    </row>
    <row r="54" spans="1:30" ht="15.75" customHeight="1">
      <c r="A54" s="56" t="str">
        <f t="shared" si="0"/>
        <v>W12NW</v>
      </c>
      <c r="B54" s="58">
        <v>12</v>
      </c>
      <c r="C54" s="58" t="s">
        <v>127</v>
      </c>
      <c r="D54" s="59">
        <f t="shared" si="1"/>
        <v>2600</v>
      </c>
      <c r="E54" s="60" t="s">
        <v>1710</v>
      </c>
      <c r="F54" s="60">
        <v>1810159283</v>
      </c>
      <c r="G54" s="58" t="s">
        <v>1711</v>
      </c>
      <c r="H54" s="60" t="s">
        <v>556</v>
      </c>
      <c r="I54" s="60">
        <v>114.1391234</v>
      </c>
      <c r="J54" s="60">
        <v>22.287721550000001</v>
      </c>
      <c r="K54" s="61">
        <v>17.3</v>
      </c>
      <c r="L54" s="60" t="s">
        <v>194</v>
      </c>
      <c r="M54" s="61">
        <v>100.5</v>
      </c>
      <c r="N54" s="60" t="s">
        <v>194</v>
      </c>
      <c r="O54" s="61">
        <v>83.2</v>
      </c>
      <c r="P54" s="62"/>
      <c r="Q54" s="43" t="b">
        <v>0</v>
      </c>
      <c r="R54" s="43" t="b">
        <v>0</v>
      </c>
      <c r="S54" s="43" t="b">
        <v>0</v>
      </c>
      <c r="T54" s="63" t="b">
        <f ca="1">AND(U54&lt;&gt;"",OR(U54&gt;(VLOOKUP(B54,W_analysis!$A$2:$K$18,5,FALSE)+2*VLOOKUP(B54,W_analysis!$A$2:$K$18,6,FALSE)),U54&lt;(VLOOKUP(B54,W_analysis!$A$2:$K$18,5,FALSE)-2*VLOOKUP(B54,W_analysis!$A$2:$K$18,6,FALSE))))</f>
        <v>0</v>
      </c>
      <c r="U54" s="68">
        <f t="shared" si="9"/>
        <v>31</v>
      </c>
      <c r="V54" s="60"/>
      <c r="W54" s="59"/>
      <c r="X54" s="60"/>
      <c r="Y54" s="60" t="s">
        <v>1544</v>
      </c>
      <c r="Z54" s="66" t="s">
        <v>1944</v>
      </c>
      <c r="AA54" s="324" t="str">
        <f>W_original!D56</f>
        <v>Bohemian House (321 D.V.R.)</v>
      </c>
      <c r="AB54" s="328"/>
      <c r="AC54" s="326">
        <f>W_original!E56</f>
        <v>31</v>
      </c>
      <c r="AD54" s="326">
        <v>0.89462365590000004</v>
      </c>
    </row>
    <row r="55" spans="1:30" ht="15.75" customHeight="1">
      <c r="A55" s="56" t="str">
        <f t="shared" si="0"/>
        <v>W13NE</v>
      </c>
      <c r="B55" s="58">
        <v>13</v>
      </c>
      <c r="C55" s="58" t="s">
        <v>110</v>
      </c>
      <c r="D55" s="59">
        <f t="shared" si="1"/>
        <v>2800</v>
      </c>
      <c r="E55" s="60" t="s">
        <v>1713</v>
      </c>
      <c r="F55" s="60">
        <v>1103121272</v>
      </c>
      <c r="G55" s="58" t="s">
        <v>1714</v>
      </c>
      <c r="H55" s="60" t="s">
        <v>1715</v>
      </c>
      <c r="I55" s="60">
        <v>114.1378749</v>
      </c>
      <c r="J55" s="60">
        <v>22.287537660000002</v>
      </c>
      <c r="K55" s="61">
        <v>9.8000000000000007</v>
      </c>
      <c r="L55" s="60" t="s">
        <v>115</v>
      </c>
      <c r="M55" s="61">
        <v>80.2</v>
      </c>
      <c r="N55" s="60" t="s">
        <v>315</v>
      </c>
      <c r="O55" s="61">
        <v>70.400000000000006</v>
      </c>
      <c r="P55" s="62"/>
      <c r="Q55" s="43" t="b">
        <v>0</v>
      </c>
      <c r="R55" s="43" t="b">
        <v>0</v>
      </c>
      <c r="S55" s="43" t="b">
        <v>0</v>
      </c>
      <c r="T55" s="63" t="b">
        <f ca="1">AND(U55&lt;&gt;"",OR(U55&gt;(VLOOKUP(B55,W_analysis!$A$2:$K$18,5,FALSE)+2*VLOOKUP(B55,W_analysis!$A$2:$K$18,6,FALSE)),U55&lt;(VLOOKUP(B55,W_analysis!$A$2:$K$18,5,FALSE)-2*VLOOKUP(B55,W_analysis!$A$2:$K$18,6,FALSE))))</f>
        <v>0</v>
      </c>
      <c r="U55" s="68">
        <f t="shared" si="9"/>
        <v>24</v>
      </c>
      <c r="V55" s="60"/>
      <c r="W55" s="59"/>
      <c r="X55" s="60"/>
      <c r="Y55" s="60" t="s">
        <v>1544</v>
      </c>
      <c r="Z55" s="66" t="s">
        <v>1961</v>
      </c>
      <c r="AA55" s="324" t="str">
        <f>W_original!D57</f>
        <v>Kwan Yick Building Phase 2 Shopping Arcade</v>
      </c>
      <c r="AB55" s="328"/>
      <c r="AC55" s="326">
        <f>W_original!E57</f>
        <v>24</v>
      </c>
      <c r="AD55" s="326">
        <v>0.97777777779999997</v>
      </c>
    </row>
    <row r="56" spans="1:30" ht="15.75" customHeight="1">
      <c r="A56" s="56" t="str">
        <f t="shared" si="0"/>
        <v>W13SE</v>
      </c>
      <c r="B56" s="58">
        <v>13</v>
      </c>
      <c r="C56" s="58" t="s">
        <v>116</v>
      </c>
      <c r="D56" s="59">
        <f t="shared" si="1"/>
        <v>2800</v>
      </c>
      <c r="E56" s="60" t="s">
        <v>1717</v>
      </c>
      <c r="F56" s="60">
        <v>1103121646</v>
      </c>
      <c r="G56" s="58" t="s">
        <v>1718</v>
      </c>
      <c r="H56" s="60" t="s">
        <v>1719</v>
      </c>
      <c r="I56" s="60">
        <v>114.137775</v>
      </c>
      <c r="J56" s="60">
        <v>22.286989819999999</v>
      </c>
      <c r="K56" s="61">
        <v>4</v>
      </c>
      <c r="L56" s="60" t="s">
        <v>126</v>
      </c>
      <c r="M56" s="61">
        <v>51.9</v>
      </c>
      <c r="N56" s="60" t="s">
        <v>115</v>
      </c>
      <c r="O56" s="61">
        <v>47.9</v>
      </c>
      <c r="P56" s="62"/>
      <c r="Q56" s="43" t="b">
        <v>0</v>
      </c>
      <c r="R56" s="43" t="b">
        <v>0</v>
      </c>
      <c r="S56" s="43" t="b">
        <v>0</v>
      </c>
      <c r="T56" s="63" t="b">
        <f ca="1">AND(U56&lt;&gt;"",OR(U56&gt;(VLOOKUP(B56,W_analysis!$A$2:$K$18,5,FALSE)+2*VLOOKUP(B56,W_analysis!$A$2:$K$18,6,FALSE)),U56&lt;(VLOOKUP(B56,W_analysis!$A$2:$K$18,5,FALSE)-2*VLOOKUP(B56,W_analysis!$A$2:$K$18,6,FALSE))))</f>
        <v>0</v>
      </c>
      <c r="U56" s="68">
        <f t="shared" si="9"/>
        <v>15</v>
      </c>
      <c r="V56" s="60"/>
      <c r="W56" s="59"/>
      <c r="X56" s="60"/>
      <c r="Y56" s="60" t="s">
        <v>1544</v>
      </c>
      <c r="Z56" s="66" t="s">
        <v>1962</v>
      </c>
      <c r="AA56" s="324" t="str">
        <f>W_original!D58</f>
        <v>Chung Ah Mansion</v>
      </c>
      <c r="AB56" s="328"/>
      <c r="AC56" s="326">
        <f>W_original!E58</f>
        <v>15</v>
      </c>
      <c r="AD56" s="326">
        <v>1.064444444</v>
      </c>
    </row>
    <row r="57" spans="1:30" ht="15.75" customHeight="1">
      <c r="A57" s="56" t="str">
        <f t="shared" si="0"/>
        <v>W13SW</v>
      </c>
      <c r="B57" s="58">
        <v>13</v>
      </c>
      <c r="C57" s="58" t="s">
        <v>121</v>
      </c>
      <c r="D57" s="59">
        <f t="shared" si="1"/>
        <v>2800</v>
      </c>
      <c r="E57" s="60" t="s">
        <v>1721</v>
      </c>
      <c r="F57" s="60">
        <v>1103121710</v>
      </c>
      <c r="G57" s="58" t="s">
        <v>1722</v>
      </c>
      <c r="H57" s="60" t="s">
        <v>1723</v>
      </c>
      <c r="I57" s="60">
        <v>114.1375293</v>
      </c>
      <c r="J57" s="60">
        <v>22.286887320000002</v>
      </c>
      <c r="K57" s="61">
        <v>4.0999999999999996</v>
      </c>
      <c r="L57" s="60" t="s">
        <v>126</v>
      </c>
      <c r="M57" s="61">
        <v>33.6</v>
      </c>
      <c r="N57" s="60" t="s">
        <v>115</v>
      </c>
      <c r="O57" s="61">
        <v>29.5</v>
      </c>
      <c r="P57" s="62"/>
      <c r="Q57" s="43" t="b">
        <v>0</v>
      </c>
      <c r="R57" s="43" t="b">
        <v>0</v>
      </c>
      <c r="S57" s="43" t="b">
        <v>0</v>
      </c>
      <c r="T57" s="63" t="b">
        <f ca="1">AND(U57&lt;&gt;"",OR(U57&gt;(VLOOKUP(B57,W_analysis!$A$2:$K$18,5,FALSE)+2*VLOOKUP(B57,W_analysis!$A$2:$K$18,6,FALSE)),U57&lt;(VLOOKUP(B57,W_analysis!$A$2:$K$18,5,FALSE)-2*VLOOKUP(B57,W_analysis!$A$2:$K$18,6,FALSE))))</f>
        <v>0</v>
      </c>
      <c r="U57" s="68">
        <f t="shared" si="9"/>
        <v>9</v>
      </c>
      <c r="V57" s="60"/>
      <c r="W57" s="59"/>
      <c r="X57" s="60"/>
      <c r="Y57" s="60" t="s">
        <v>1544</v>
      </c>
      <c r="Z57" s="66" t="s">
        <v>1963</v>
      </c>
      <c r="AA57" s="324" t="str">
        <f>W_original!D59</f>
        <v>Lucky Building (370-372 D.V.R.)</v>
      </c>
      <c r="AB57" s="328"/>
      <c r="AC57" s="326">
        <f>W_original!E59</f>
        <v>9</v>
      </c>
      <c r="AD57" s="326">
        <v>1.092592593</v>
      </c>
    </row>
    <row r="58" spans="1:30" ht="15.75" customHeight="1">
      <c r="A58" s="56" t="str">
        <f t="shared" si="0"/>
        <v>W13NW</v>
      </c>
      <c r="B58" s="58">
        <v>13</v>
      </c>
      <c r="C58" s="58" t="s">
        <v>127</v>
      </c>
      <c r="D58" s="59">
        <f t="shared" si="1"/>
        <v>2800</v>
      </c>
      <c r="E58" s="60" t="s">
        <v>1725</v>
      </c>
      <c r="F58" s="60">
        <v>1810143106</v>
      </c>
      <c r="G58" s="58" t="s">
        <v>1726</v>
      </c>
      <c r="H58" s="60" t="s">
        <v>1727</v>
      </c>
      <c r="I58" s="60">
        <v>114.1371694</v>
      </c>
      <c r="J58" s="60">
        <v>22.287472350000002</v>
      </c>
      <c r="K58" s="61">
        <v>16.8</v>
      </c>
      <c r="L58" s="60" t="s">
        <v>194</v>
      </c>
      <c r="M58" s="61">
        <v>157.5</v>
      </c>
      <c r="N58" s="60" t="s">
        <v>293</v>
      </c>
      <c r="O58" s="61">
        <v>140.69999999999999</v>
      </c>
      <c r="P58" s="62"/>
      <c r="Q58" s="43" t="b">
        <v>0</v>
      </c>
      <c r="R58" s="43" t="b">
        <v>0</v>
      </c>
      <c r="S58" s="43" t="b">
        <v>0</v>
      </c>
      <c r="T58" s="63" t="b">
        <f ca="1">AND(U58&lt;&gt;"",OR(U58&gt;(VLOOKUP(B58,W_analysis!$A$2:$K$18,5,FALSE)+2*VLOOKUP(B58,W_analysis!$A$2:$K$18,6,FALSE)),U58&lt;(VLOOKUP(B58,W_analysis!$A$2:$K$18,5,FALSE)-2*VLOOKUP(B58,W_analysis!$A$2:$K$18,6,FALSE))))</f>
        <v>0</v>
      </c>
      <c r="U58" s="68">
        <f t="shared" si="9"/>
        <v>46</v>
      </c>
      <c r="V58" s="60"/>
      <c r="W58" s="59"/>
      <c r="X58" s="60"/>
      <c r="Y58" s="60" t="s">
        <v>1544</v>
      </c>
      <c r="Z58" s="66" t="s">
        <v>1964</v>
      </c>
      <c r="AA58" s="324" t="str">
        <f>W_original!D60</f>
        <v>Upton (維港峰)</v>
      </c>
      <c r="AB58" s="328"/>
      <c r="AC58" s="326">
        <f>W_original!E60</f>
        <v>46</v>
      </c>
      <c r="AD58" s="326">
        <v>1.019565217</v>
      </c>
    </row>
    <row r="59" spans="1:30" ht="15.75" customHeight="1">
      <c r="A59" s="56" t="str">
        <f t="shared" si="0"/>
        <v>W14NE</v>
      </c>
      <c r="B59" s="58">
        <v>14</v>
      </c>
      <c r="C59" s="58" t="s">
        <v>110</v>
      </c>
      <c r="D59" s="59">
        <f t="shared" si="1"/>
        <v>3000</v>
      </c>
      <c r="E59" s="60" t="s">
        <v>1729</v>
      </c>
      <c r="F59" s="60">
        <v>1103121694</v>
      </c>
      <c r="G59" s="58" t="s">
        <v>1512</v>
      </c>
      <c r="H59" s="60" t="s">
        <v>1730</v>
      </c>
      <c r="I59" s="60">
        <v>114.13625879999999</v>
      </c>
      <c r="J59" s="60">
        <v>22.286942369999998</v>
      </c>
      <c r="K59" s="61">
        <v>18.8</v>
      </c>
      <c r="L59" s="60" t="s">
        <v>115</v>
      </c>
      <c r="M59" s="61">
        <v>111.1</v>
      </c>
      <c r="N59" s="60" t="s">
        <v>115</v>
      </c>
      <c r="O59" s="61">
        <v>92.3</v>
      </c>
      <c r="P59" s="62"/>
      <c r="Q59" s="43" t="b">
        <v>0</v>
      </c>
      <c r="R59" s="43" t="b">
        <v>0</v>
      </c>
      <c r="S59" s="43" t="b">
        <v>0</v>
      </c>
      <c r="T59" s="63" t="b">
        <f ca="1">AND(U59&lt;&gt;"",OR(U59&gt;(VLOOKUP(B59,W_analysis!$A$2:$K$18,5,FALSE)+2*VLOOKUP(B59,W_analysis!$A$2:$K$18,6,FALSE)),U59&lt;(VLOOKUP(B59,W_analysis!$A$2:$K$18,5,FALSE)-2*VLOOKUP(B59,W_analysis!$A$2:$K$18,6,FALSE))))</f>
        <v>0</v>
      </c>
      <c r="U59" s="68">
        <f t="shared" si="9"/>
        <v>35</v>
      </c>
      <c r="V59" s="60"/>
      <c r="W59" s="59"/>
      <c r="X59" s="60"/>
      <c r="Y59" s="60" t="s">
        <v>1544</v>
      </c>
      <c r="Z59" s="66" t="s">
        <v>1981</v>
      </c>
      <c r="AA59" s="324" t="str">
        <f>W_original!D61</f>
        <v>Lun Fung Court</v>
      </c>
      <c r="AB59" s="328"/>
      <c r="AC59" s="326">
        <f>W_original!E61</f>
        <v>35</v>
      </c>
      <c r="AD59" s="326">
        <v>0.87904761899999995</v>
      </c>
    </row>
    <row r="60" spans="1:30" ht="15.75" customHeight="1">
      <c r="A60" s="56" t="str">
        <f t="shared" si="0"/>
        <v>W14SE</v>
      </c>
      <c r="B60" s="58">
        <v>14</v>
      </c>
      <c r="C60" s="58" t="s">
        <v>116</v>
      </c>
      <c r="D60" s="59">
        <f t="shared" si="1"/>
        <v>3000</v>
      </c>
      <c r="E60" s="60" t="s">
        <v>1732</v>
      </c>
      <c r="F60" s="60">
        <v>1103121987</v>
      </c>
      <c r="G60" s="58" t="s">
        <v>556</v>
      </c>
      <c r="H60" s="60" t="s">
        <v>556</v>
      </c>
      <c r="I60" s="60">
        <v>114.1361696</v>
      </c>
      <c r="J60" s="60">
        <v>22.28651142</v>
      </c>
      <c r="K60" s="61">
        <v>3.8</v>
      </c>
      <c r="L60" s="60" t="s">
        <v>126</v>
      </c>
      <c r="M60" s="61">
        <v>45.8</v>
      </c>
      <c r="N60" s="60" t="s">
        <v>315</v>
      </c>
      <c r="O60" s="61">
        <v>42</v>
      </c>
      <c r="P60" s="67" t="s">
        <v>1550</v>
      </c>
      <c r="Q60" s="43" t="b">
        <v>0</v>
      </c>
      <c r="R60" s="43" t="b">
        <v>0</v>
      </c>
      <c r="S60" s="43" t="b">
        <v>1</v>
      </c>
      <c r="T60" s="63" t="b">
        <f ca="1">AND(U60&lt;&gt;"",OR(U60&gt;(VLOOKUP(B60,W_analysis!$A$2:$K$18,5,FALSE)+2*VLOOKUP(B60,W_analysis!$A$2:$K$18,6,FALSE)),U60&lt;(VLOOKUP(B60,W_analysis!$A$2:$K$18,5,FALSE)-2*VLOOKUP(B60,W_analysis!$A$2:$K$18,6,FALSE))))</f>
        <v>0</v>
      </c>
      <c r="U60" s="68">
        <f t="shared" si="9"/>
        <v>13</v>
      </c>
      <c r="V60" s="60"/>
      <c r="W60" s="59"/>
      <c r="X60" s="60"/>
      <c r="Y60" s="60" t="s">
        <v>1544</v>
      </c>
      <c r="Z60" s="66" t="s">
        <v>1982</v>
      </c>
      <c r="AA60" s="324" t="str">
        <f>W_original!D62</f>
        <v>408-408 Des Voeux Road West</v>
      </c>
      <c r="AB60" s="328"/>
      <c r="AC60" s="326">
        <f>W_original!E62</f>
        <v>13</v>
      </c>
      <c r="AD60" s="326">
        <v>1.076923077</v>
      </c>
    </row>
    <row r="61" spans="1:30" ht="15.75" customHeight="1">
      <c r="A61" s="56" t="str">
        <f t="shared" si="0"/>
        <v>W14SW</v>
      </c>
      <c r="B61" s="58">
        <v>14</v>
      </c>
      <c r="C61" s="58" t="s">
        <v>121</v>
      </c>
      <c r="D61" s="59">
        <f t="shared" si="1"/>
        <v>3000</v>
      </c>
      <c r="E61" s="60" t="s">
        <v>1734</v>
      </c>
      <c r="F61" s="60">
        <v>1103121900</v>
      </c>
      <c r="G61" s="58" t="s">
        <v>1516</v>
      </c>
      <c r="H61" s="60" t="s">
        <v>1735</v>
      </c>
      <c r="I61" s="60">
        <v>114.1356467</v>
      </c>
      <c r="J61" s="60">
        <v>22.286595129999998</v>
      </c>
      <c r="K61" s="61">
        <v>20.2</v>
      </c>
      <c r="L61" s="60" t="s">
        <v>115</v>
      </c>
      <c r="M61" s="61">
        <v>92.9</v>
      </c>
      <c r="N61" s="60" t="s">
        <v>115</v>
      </c>
      <c r="O61" s="61">
        <v>72.7</v>
      </c>
      <c r="P61" s="62"/>
      <c r="Q61" s="43" t="s">
        <v>1551</v>
      </c>
      <c r="R61" s="43" t="b">
        <v>0</v>
      </c>
      <c r="S61" s="43" t="b">
        <v>0</v>
      </c>
      <c r="T61" s="63" t="b">
        <f ca="1">AND(U61&lt;&gt;"",OR(U61&gt;(VLOOKUP(B61,W_analysis!$A$2:$K$18,5,FALSE)+2*VLOOKUP(B61,W_analysis!$A$2:$K$18,6,FALSE)),U61&lt;(VLOOKUP(B61,W_analysis!$A$2:$K$18,5,FALSE)-2*VLOOKUP(B61,W_analysis!$A$2:$K$18,6,FALSE))))</f>
        <v>0</v>
      </c>
      <c r="U61" s="68">
        <f t="shared" si="9"/>
        <v>29</v>
      </c>
      <c r="V61" s="60"/>
      <c r="W61" s="59"/>
      <c r="X61" s="60"/>
      <c r="Y61" s="60" t="s">
        <v>1544</v>
      </c>
      <c r="Z61" s="66" t="s">
        <v>1983</v>
      </c>
      <c r="AA61" s="324" t="str">
        <f>W_original!D63</f>
        <v>Pacific Plaza</v>
      </c>
      <c r="AB61" s="328"/>
      <c r="AC61" s="326">
        <f>W_original!E63</f>
        <v>29</v>
      </c>
      <c r="AD61" s="326">
        <v>0.83563218390000005</v>
      </c>
    </row>
    <row r="62" spans="1:30" ht="15.75" customHeight="1">
      <c r="A62" s="56" t="str">
        <f t="shared" si="0"/>
        <v>W14NW</v>
      </c>
      <c r="B62" s="58">
        <v>14</v>
      </c>
      <c r="C62" s="58" t="s">
        <v>127</v>
      </c>
      <c r="D62" s="59">
        <f t="shared" si="1"/>
        <v>3000</v>
      </c>
      <c r="E62" s="60" t="s">
        <v>1737</v>
      </c>
      <c r="F62" s="60">
        <v>1103121540</v>
      </c>
      <c r="G62" s="58" t="s">
        <v>1738</v>
      </c>
      <c r="H62" s="60" t="s">
        <v>1739</v>
      </c>
      <c r="I62" s="60">
        <v>114.13591889999999</v>
      </c>
      <c r="J62" s="60">
        <v>22.28710521</v>
      </c>
      <c r="K62" s="61">
        <v>18.600000000000001</v>
      </c>
      <c r="L62" s="60" t="s">
        <v>115</v>
      </c>
      <c r="M62" s="61">
        <v>152</v>
      </c>
      <c r="N62" s="60">
        <v>3</v>
      </c>
      <c r="O62" s="61">
        <v>133.4</v>
      </c>
      <c r="P62" s="62"/>
      <c r="Q62" s="43" t="b">
        <v>0</v>
      </c>
      <c r="R62" s="43" t="b">
        <v>0</v>
      </c>
      <c r="S62" s="43" t="b">
        <v>0</v>
      </c>
      <c r="T62" s="63" t="b">
        <f ca="1">AND(U62&lt;&gt;"",OR(U62&gt;(VLOOKUP(B62,W_analysis!$A$2:$K$18,5,FALSE)+2*VLOOKUP(B62,W_analysis!$A$2:$K$18,6,FALSE)),U62&lt;(VLOOKUP(B62,W_analysis!$A$2:$K$18,5,FALSE)-2*VLOOKUP(B62,W_analysis!$A$2:$K$18,6,FALSE))))</f>
        <v>0</v>
      </c>
      <c r="U62" s="68">
        <f t="shared" si="9"/>
        <v>42</v>
      </c>
      <c r="V62" s="60"/>
      <c r="W62" s="59"/>
      <c r="X62" s="60"/>
      <c r="Y62" s="60" t="s">
        <v>1544</v>
      </c>
      <c r="Z62" s="66" t="s">
        <v>1984</v>
      </c>
      <c r="AA62" s="324" t="str">
        <f>W_original!D64</f>
        <v>Hong Kong Plaza, 188 Connaught Road West</v>
      </c>
      <c r="AB62" s="328"/>
      <c r="AC62" s="326">
        <f>W_original!E64</f>
        <v>42</v>
      </c>
      <c r="AD62" s="326">
        <v>1.058730159</v>
      </c>
    </row>
    <row r="63" spans="1:30" ht="15.75" customHeight="1">
      <c r="A63" s="56" t="str">
        <f t="shared" si="0"/>
        <v>W15NE</v>
      </c>
      <c r="B63" s="58">
        <v>15</v>
      </c>
      <c r="C63" s="58" t="s">
        <v>110</v>
      </c>
      <c r="D63" s="59">
        <f t="shared" si="1"/>
        <v>3200</v>
      </c>
      <c r="E63" s="60" t="s">
        <v>556</v>
      </c>
      <c r="F63" s="60" t="s">
        <v>556</v>
      </c>
      <c r="G63" s="58" t="s">
        <v>556</v>
      </c>
      <c r="H63" s="60" t="s">
        <v>556</v>
      </c>
      <c r="I63" s="60" t="s">
        <v>556</v>
      </c>
      <c r="J63" s="60" t="s">
        <v>556</v>
      </c>
      <c r="K63" s="61" t="s">
        <v>556</v>
      </c>
      <c r="L63" s="60" t="s">
        <v>556</v>
      </c>
      <c r="M63" s="61" t="s">
        <v>556</v>
      </c>
      <c r="N63" s="60" t="s">
        <v>556</v>
      </c>
      <c r="O63" s="61" t="s">
        <v>556</v>
      </c>
      <c r="P63" s="62"/>
      <c r="Q63" s="43" t="b">
        <v>1</v>
      </c>
      <c r="R63" s="43" t="b">
        <v>0</v>
      </c>
      <c r="S63" s="43" t="b">
        <v>0</v>
      </c>
      <c r="T63" s="63" t="b">
        <f ca="1">AND(U63&lt;&gt;"",OR(U63&gt;(VLOOKUP(B63,W_analysis!$A$2:$K$18,5,FALSE)+2*VLOOKUP(B63,W_analysis!$A$2:$K$18,6,FALSE)),U63&lt;(VLOOKUP(B63,W_analysis!$A$2:$K$18,5,FALSE)-2*VLOOKUP(B63,W_analysis!$A$2:$K$18,6,FALSE))))</f>
        <v>1</v>
      </c>
      <c r="U63" s="64">
        <v>0</v>
      </c>
      <c r="V63" s="65"/>
      <c r="W63" s="66"/>
      <c r="X63" s="65"/>
      <c r="Y63" s="60"/>
      <c r="Z63" s="66" t="s">
        <v>556</v>
      </c>
      <c r="AA63" s="324" t="str">
        <f>W_original!D65</f>
        <v>Highway</v>
      </c>
      <c r="AB63" s="328"/>
      <c r="AC63" s="326" t="str">
        <f>W_original!E65</f>
        <v>Average</v>
      </c>
      <c r="AD63" s="326" t="s">
        <v>556</v>
      </c>
    </row>
    <row r="64" spans="1:30" ht="15.75" customHeight="1">
      <c r="A64" s="56" t="str">
        <f t="shared" si="0"/>
        <v>W15SE</v>
      </c>
      <c r="B64" s="58">
        <v>15</v>
      </c>
      <c r="C64" s="58" t="s">
        <v>116</v>
      </c>
      <c r="D64" s="59">
        <f t="shared" si="1"/>
        <v>3200</v>
      </c>
      <c r="E64" s="60" t="s">
        <v>1741</v>
      </c>
      <c r="F64" s="60">
        <v>1103121696</v>
      </c>
      <c r="G64" s="58" t="s">
        <v>1742</v>
      </c>
      <c r="H64" s="60" t="s">
        <v>1743</v>
      </c>
      <c r="I64" s="60">
        <v>114.1339054</v>
      </c>
      <c r="J64" s="60">
        <v>22.286883039999999</v>
      </c>
      <c r="K64" s="61">
        <v>12.6</v>
      </c>
      <c r="L64" s="60" t="s">
        <v>115</v>
      </c>
      <c r="M64" s="61">
        <v>75.400000000000006</v>
      </c>
      <c r="N64" s="60" t="s">
        <v>115</v>
      </c>
      <c r="O64" s="61">
        <v>62.8</v>
      </c>
      <c r="P64" s="62"/>
      <c r="Q64" s="43" t="b">
        <v>0</v>
      </c>
      <c r="R64" s="43" t="b">
        <v>0</v>
      </c>
      <c r="S64" s="43" t="b">
        <v>0</v>
      </c>
      <c r="T64" s="63" t="b">
        <f ca="1">AND(U64&lt;&gt;"",OR(U64&gt;(VLOOKUP(B64,W_analysis!$A$2:$K$18,5,FALSE)+2*VLOOKUP(B64,W_analysis!$A$2:$K$18,6,FALSE)),U64&lt;(VLOOKUP(B64,W_analysis!$A$2:$K$18,5,FALSE)-2*VLOOKUP(B64,W_analysis!$A$2:$K$18,6,FALSE))))</f>
        <v>0</v>
      </c>
      <c r="U64" s="68">
        <f t="shared" ref="U64:U65" si="10">AC64</f>
        <v>24</v>
      </c>
      <c r="V64" s="60"/>
      <c r="W64" s="59"/>
      <c r="X64" s="60"/>
      <c r="Y64" s="60" t="s">
        <v>1544</v>
      </c>
      <c r="Z64" s="66" t="s">
        <v>2002</v>
      </c>
      <c r="AA64" s="324" t="str">
        <f>W_original!D66</f>
        <v xml:space="preserve">China Construction Bank (Asia) - (Mei Sun Lau Shopping Arcade) </v>
      </c>
      <c r="AB64" s="328"/>
      <c r="AC64" s="326">
        <f>W_original!E66</f>
        <v>24</v>
      </c>
      <c r="AD64" s="326">
        <v>0.87222222220000001</v>
      </c>
    </row>
    <row r="65" spans="1:30" ht="15.75" customHeight="1">
      <c r="A65" s="56" t="str">
        <f t="shared" si="0"/>
        <v>W15SW</v>
      </c>
      <c r="B65" s="58">
        <v>15</v>
      </c>
      <c r="C65" s="58" t="s">
        <v>121</v>
      </c>
      <c r="D65" s="59">
        <f t="shared" si="1"/>
        <v>3200</v>
      </c>
      <c r="E65" s="60" t="s">
        <v>1745</v>
      </c>
      <c r="F65" s="60">
        <v>1103121624</v>
      </c>
      <c r="G65" s="58" t="s">
        <v>1527</v>
      </c>
      <c r="H65" s="60" t="s">
        <v>1746</v>
      </c>
      <c r="I65" s="60">
        <v>114.1334574</v>
      </c>
      <c r="J65" s="60">
        <v>22.286974149999999</v>
      </c>
      <c r="K65" s="61">
        <v>19.7</v>
      </c>
      <c r="L65" s="60" t="s">
        <v>115</v>
      </c>
      <c r="M65" s="61">
        <v>79.599999999999994</v>
      </c>
      <c r="N65" s="60">
        <v>3</v>
      </c>
      <c r="O65" s="61">
        <v>59.9</v>
      </c>
      <c r="P65" s="72"/>
      <c r="Q65" s="43" t="b">
        <v>0</v>
      </c>
      <c r="R65" s="43" t="b">
        <v>0</v>
      </c>
      <c r="S65" s="43" t="b">
        <v>0</v>
      </c>
      <c r="T65" s="63" t="b">
        <f ca="1">AND(U65&lt;&gt;"",OR(U65&gt;(VLOOKUP(B65,W_analysis!$A$2:$K$18,5,FALSE)+2*VLOOKUP(B65,W_analysis!$A$2:$K$18,6,FALSE)),U65&lt;(VLOOKUP(B65,W_analysis!$A$2:$K$18,5,FALSE)-2*VLOOKUP(B65,W_analysis!$A$2:$K$18,6,FALSE))))</f>
        <v>0</v>
      </c>
      <c r="U65" s="68">
        <f t="shared" si="10"/>
        <v>22</v>
      </c>
      <c r="V65" s="60"/>
      <c r="W65" s="59"/>
      <c r="X65" s="60"/>
      <c r="Y65" s="60" t="s">
        <v>1544</v>
      </c>
      <c r="Z65" s="66" t="s">
        <v>2003</v>
      </c>
      <c r="AA65" s="324" t="str">
        <f>W_original!D67</f>
        <v>Hong Kong Industrial Building</v>
      </c>
      <c r="AB65" s="328"/>
      <c r="AC65" s="326">
        <f>W_original!E67</f>
        <v>22</v>
      </c>
      <c r="AD65" s="326">
        <v>0.90757575759999998</v>
      </c>
    </row>
    <row r="66" spans="1:30" ht="15.75" customHeight="1">
      <c r="A66" s="56" t="str">
        <f t="shared" si="0"/>
        <v>W15NW</v>
      </c>
      <c r="B66" s="58">
        <v>15</v>
      </c>
      <c r="C66" s="58" t="s">
        <v>127</v>
      </c>
      <c r="D66" s="59">
        <f t="shared" si="1"/>
        <v>3200</v>
      </c>
      <c r="E66" s="60" t="s">
        <v>556</v>
      </c>
      <c r="F66" s="60" t="s">
        <v>556</v>
      </c>
      <c r="G66" s="58" t="s">
        <v>556</v>
      </c>
      <c r="H66" s="60" t="s">
        <v>556</v>
      </c>
      <c r="I66" s="60" t="s">
        <v>556</v>
      </c>
      <c r="J66" s="60" t="s">
        <v>556</v>
      </c>
      <c r="K66" s="61" t="s">
        <v>556</v>
      </c>
      <c r="L66" s="60" t="s">
        <v>556</v>
      </c>
      <c r="M66" s="61" t="s">
        <v>556</v>
      </c>
      <c r="N66" s="60" t="s">
        <v>556</v>
      </c>
      <c r="O66" s="61" t="s">
        <v>556</v>
      </c>
      <c r="P66" s="62"/>
      <c r="Q66" s="43" t="b">
        <v>1</v>
      </c>
      <c r="R66" s="43" t="b">
        <v>0</v>
      </c>
      <c r="S66" s="43" t="b">
        <v>0</v>
      </c>
      <c r="T66" s="63" t="b">
        <f ca="1">AND(U66&lt;&gt;"",OR(U66&gt;(VLOOKUP(B66,W_analysis!$A$2:$K$18,5,FALSE)+2*VLOOKUP(B66,W_analysis!$A$2:$K$18,6,FALSE)),U66&lt;(VLOOKUP(B66,W_analysis!$A$2:$K$18,5,FALSE)-2*VLOOKUP(B66,W_analysis!$A$2:$K$18,6,FALSE))))</f>
        <v>1</v>
      </c>
      <c r="U66" s="64">
        <v>0</v>
      </c>
      <c r="V66" s="60"/>
      <c r="W66" s="59"/>
      <c r="X66" s="60"/>
      <c r="Y66" s="60"/>
      <c r="Z66" s="66" t="s">
        <v>556</v>
      </c>
      <c r="AA66" s="324" t="str">
        <f>W_original!D68</f>
        <v>Highway</v>
      </c>
      <c r="AB66" s="328"/>
      <c r="AC66" s="326">
        <f>W_original!E68</f>
        <v>0</v>
      </c>
      <c r="AD66" s="326" t="s">
        <v>556</v>
      </c>
    </row>
    <row r="67" spans="1:30" ht="15.75" customHeight="1">
      <c r="A67" s="56" t="str">
        <f t="shared" si="0"/>
        <v>W16NE</v>
      </c>
      <c r="B67" s="58">
        <v>16</v>
      </c>
      <c r="C67" s="58" t="s">
        <v>110</v>
      </c>
      <c r="D67" s="59">
        <f t="shared" si="1"/>
        <v>3400</v>
      </c>
      <c r="E67" s="60" t="s">
        <v>1748</v>
      </c>
      <c r="F67" s="60">
        <v>1103121801</v>
      </c>
      <c r="G67" s="58" t="s">
        <v>1530</v>
      </c>
      <c r="H67" s="60" t="s">
        <v>1749</v>
      </c>
      <c r="I67" s="60">
        <v>114.1326744</v>
      </c>
      <c r="J67" s="60">
        <v>22.28679344</v>
      </c>
      <c r="K67" s="61">
        <v>10.6</v>
      </c>
      <c r="L67" s="60" t="s">
        <v>115</v>
      </c>
      <c r="M67" s="61">
        <v>66.2</v>
      </c>
      <c r="N67" s="60" t="s">
        <v>115</v>
      </c>
      <c r="O67" s="61">
        <v>55.6</v>
      </c>
      <c r="P67" s="62"/>
      <c r="Q67" s="43" t="b">
        <v>0</v>
      </c>
      <c r="R67" s="43" t="b">
        <v>0</v>
      </c>
      <c r="S67" s="43" t="b">
        <v>0</v>
      </c>
      <c r="T67" s="63" t="b">
        <f ca="1">AND(U67&lt;&gt;"",OR(U67&gt;(VLOOKUP(B67,W_analysis!$A$2:$K$18,5,FALSE)+2*VLOOKUP(B67,W_analysis!$A$2:$K$18,6,FALSE)),U67&lt;(VLOOKUP(B67,W_analysis!$A$2:$K$18,5,FALSE)-2*VLOOKUP(B67,W_analysis!$A$2:$K$18,6,FALSE))))</f>
        <v>0</v>
      </c>
      <c r="U67" s="68">
        <f t="shared" ref="U67:U68" si="11">AC67</f>
        <v>20</v>
      </c>
      <c r="V67" s="60"/>
      <c r="W67" s="59"/>
      <c r="X67" s="60"/>
      <c r="Y67" s="60" t="s">
        <v>1544</v>
      </c>
      <c r="Z67" s="66" t="s">
        <v>2021</v>
      </c>
      <c r="AA67" s="324" t="str">
        <f>W_original!D69</f>
        <v>Wo Fat Building</v>
      </c>
      <c r="AB67" s="328"/>
      <c r="AC67" s="326">
        <f>W_original!E69</f>
        <v>20</v>
      </c>
      <c r="AD67" s="326">
        <v>0.92666666669999997</v>
      </c>
    </row>
    <row r="68" spans="1:30" ht="15.75" customHeight="1">
      <c r="A68" s="56" t="str">
        <f t="shared" si="0"/>
        <v>W16SE</v>
      </c>
      <c r="B68" s="58">
        <v>16</v>
      </c>
      <c r="C68" s="58" t="s">
        <v>116</v>
      </c>
      <c r="D68" s="59">
        <f t="shared" si="1"/>
        <v>3400</v>
      </c>
      <c r="E68" s="60" t="s">
        <v>1751</v>
      </c>
      <c r="F68" s="60">
        <v>1103121970</v>
      </c>
      <c r="G68" s="58" t="s">
        <v>1533</v>
      </c>
      <c r="H68" s="60" t="s">
        <v>1752</v>
      </c>
      <c r="I68" s="60">
        <v>114.1325156</v>
      </c>
      <c r="J68" s="60">
        <v>22.28649699</v>
      </c>
      <c r="K68" s="61">
        <v>3.9</v>
      </c>
      <c r="L68" s="60" t="s">
        <v>126</v>
      </c>
      <c r="M68" s="61">
        <v>79.900000000000006</v>
      </c>
      <c r="N68" s="60">
        <v>3</v>
      </c>
      <c r="O68" s="61">
        <v>76</v>
      </c>
      <c r="P68" s="62"/>
      <c r="Q68" s="43" t="b">
        <v>0</v>
      </c>
      <c r="R68" s="43" t="b">
        <v>0</v>
      </c>
      <c r="S68" s="43" t="b">
        <v>0</v>
      </c>
      <c r="T68" s="63" t="b">
        <f ca="1">AND(U68&lt;&gt;"",OR(U68&gt;(VLOOKUP(B68,W_analysis!$A$2:$K$18,5,FALSE)+2*VLOOKUP(B68,W_analysis!$A$2:$K$18,6,FALSE)),U68&lt;(VLOOKUP(B68,W_analysis!$A$2:$K$18,5,FALSE)-2*VLOOKUP(B68,W_analysis!$A$2:$K$18,6,FALSE))))</f>
        <v>0</v>
      </c>
      <c r="U68" s="68">
        <f t="shared" si="11"/>
        <v>23</v>
      </c>
      <c r="V68" s="60"/>
      <c r="W68" s="59"/>
      <c r="X68" s="60"/>
      <c r="Y68" s="60" t="s">
        <v>1544</v>
      </c>
      <c r="Z68" s="66" t="s">
        <v>2022</v>
      </c>
      <c r="AA68" s="324" t="str">
        <f>W_original!D70</f>
        <v>Sum Way Mansion</v>
      </c>
      <c r="AB68" s="328"/>
      <c r="AC68" s="326">
        <f>W_original!E70</f>
        <v>23</v>
      </c>
      <c r="AD68" s="326">
        <v>1.101449275</v>
      </c>
    </row>
    <row r="69" spans="1:30" ht="15.75" customHeight="1">
      <c r="A69" s="56" t="str">
        <f t="shared" si="0"/>
        <v>W16SW</v>
      </c>
      <c r="B69" s="58">
        <v>16</v>
      </c>
      <c r="C69" s="58" t="s">
        <v>121</v>
      </c>
      <c r="D69" s="59">
        <f t="shared" si="1"/>
        <v>3400</v>
      </c>
      <c r="E69" s="60" t="s">
        <v>556</v>
      </c>
      <c r="F69" s="60" t="s">
        <v>556</v>
      </c>
      <c r="G69" s="58" t="s">
        <v>556</v>
      </c>
      <c r="H69" s="60" t="s">
        <v>556</v>
      </c>
      <c r="I69" s="60" t="s">
        <v>556</v>
      </c>
      <c r="J69" s="60" t="s">
        <v>556</v>
      </c>
      <c r="K69" s="61" t="s">
        <v>556</v>
      </c>
      <c r="L69" s="60" t="s">
        <v>556</v>
      </c>
      <c r="M69" s="61" t="s">
        <v>556</v>
      </c>
      <c r="N69" s="60" t="s">
        <v>556</v>
      </c>
      <c r="O69" s="61" t="s">
        <v>556</v>
      </c>
      <c r="P69" s="62"/>
      <c r="Q69" s="43" t="b">
        <v>1</v>
      </c>
      <c r="R69" s="43" t="b">
        <v>0</v>
      </c>
      <c r="S69" s="43" t="b">
        <v>0</v>
      </c>
      <c r="T69" s="63" t="b">
        <f ca="1">AND(U69&lt;&gt;"",OR(U69&gt;(VLOOKUP(B69,W_analysis!$A$2:$K$18,5,FALSE)+2*VLOOKUP(B69,W_analysis!$A$2:$K$18,6,FALSE)),U69&lt;(VLOOKUP(B69,W_analysis!$A$2:$K$18,5,FALSE)-2*VLOOKUP(B69,W_analysis!$A$2:$K$18,6,FALSE))))</f>
        <v>1</v>
      </c>
      <c r="U69" s="64">
        <v>0</v>
      </c>
      <c r="V69" s="60"/>
      <c r="W69" s="59"/>
      <c r="X69" s="60"/>
      <c r="Y69" s="60"/>
      <c r="Z69" s="66" t="s">
        <v>556</v>
      </c>
      <c r="AA69" s="324" t="str">
        <f>W_original!D71</f>
        <v>Error/open area</v>
      </c>
      <c r="AB69" s="328"/>
      <c r="AC69" s="326">
        <f>W_original!E71</f>
        <v>0</v>
      </c>
      <c r="AD69" s="326" t="s">
        <v>556</v>
      </c>
    </row>
    <row r="70" spans="1:30" ht="15.75" customHeight="1">
      <c r="A70" s="56" t="str">
        <f t="shared" si="0"/>
        <v>W16NW</v>
      </c>
      <c r="B70" s="58">
        <v>16</v>
      </c>
      <c r="C70" s="58" t="s">
        <v>127</v>
      </c>
      <c r="D70" s="59">
        <f t="shared" si="1"/>
        <v>3400</v>
      </c>
      <c r="E70" s="60" t="s">
        <v>556</v>
      </c>
      <c r="F70" s="60" t="s">
        <v>556</v>
      </c>
      <c r="G70" s="58" t="s">
        <v>556</v>
      </c>
      <c r="H70" s="60" t="s">
        <v>556</v>
      </c>
      <c r="I70" s="60" t="s">
        <v>556</v>
      </c>
      <c r="J70" s="60" t="s">
        <v>556</v>
      </c>
      <c r="K70" s="61" t="s">
        <v>556</v>
      </c>
      <c r="L70" s="60" t="s">
        <v>556</v>
      </c>
      <c r="M70" s="61" t="s">
        <v>556</v>
      </c>
      <c r="N70" s="60" t="s">
        <v>556</v>
      </c>
      <c r="O70" s="61" t="s">
        <v>556</v>
      </c>
      <c r="P70" s="62"/>
      <c r="Q70" s="43" t="b">
        <v>1</v>
      </c>
      <c r="R70" s="43" t="b">
        <v>0</v>
      </c>
      <c r="S70" s="43" t="b">
        <v>0</v>
      </c>
      <c r="T70" s="63" t="b">
        <f ca="1">AND(U70&lt;&gt;"",OR(U70&gt;(VLOOKUP(B70,W_analysis!$A$2:$K$18,5,FALSE)+2*VLOOKUP(B70,W_analysis!$A$2:$K$18,6,FALSE)),U70&lt;(VLOOKUP(B70,W_analysis!$A$2:$K$18,5,FALSE)-2*VLOOKUP(B70,W_analysis!$A$2:$K$18,6,FALSE))))</f>
        <v>1</v>
      </c>
      <c r="U70" s="64">
        <v>0</v>
      </c>
      <c r="V70" s="60"/>
      <c r="W70" s="59"/>
      <c r="X70" s="60"/>
      <c r="Y70" s="60"/>
      <c r="Z70" s="66" t="s">
        <v>556</v>
      </c>
      <c r="AA70" s="324" t="str">
        <f>W_original!D72</f>
        <v>Error/open area</v>
      </c>
      <c r="AB70" s="328"/>
      <c r="AC70" s="326">
        <f>W_original!E72</f>
        <v>0</v>
      </c>
      <c r="AD70" s="326" t="s">
        <v>556</v>
      </c>
    </row>
    <row r="71" spans="1:30" ht="15.75" customHeight="1">
      <c r="A71" s="39"/>
      <c r="B71" s="39"/>
      <c r="C71" s="39"/>
      <c r="D71" s="59"/>
      <c r="E71" s="73"/>
      <c r="F71" s="73"/>
      <c r="G71" s="39"/>
      <c r="H71" s="60"/>
      <c r="I71" s="60"/>
      <c r="J71" s="60"/>
      <c r="K71" s="61"/>
      <c r="L71" s="60"/>
      <c r="M71" s="61"/>
      <c r="N71" s="60"/>
      <c r="O71" s="61"/>
      <c r="P71" s="74"/>
      <c r="Q71" s="75"/>
      <c r="R71" s="75"/>
      <c r="S71" s="75"/>
      <c r="T71" s="75"/>
      <c r="U71" s="116"/>
      <c r="V71" s="73"/>
      <c r="W71" s="77"/>
      <c r="X71" s="73"/>
      <c r="Y71" s="73"/>
      <c r="Z71" s="73"/>
      <c r="AA71" s="320"/>
      <c r="AB71" s="328"/>
      <c r="AC71" s="321"/>
      <c r="AD71" s="321"/>
    </row>
    <row r="72" spans="1:30" ht="15.75" customHeight="1">
      <c r="A72" s="39"/>
      <c r="B72" s="39"/>
      <c r="C72" s="39"/>
      <c r="D72" s="59"/>
      <c r="E72" s="73"/>
      <c r="F72" s="73"/>
      <c r="G72" s="39"/>
      <c r="H72" s="60"/>
      <c r="I72" s="60"/>
      <c r="J72" s="60"/>
      <c r="K72" s="61"/>
      <c r="L72" s="60"/>
      <c r="M72" s="61"/>
      <c r="N72" s="60"/>
      <c r="O72" s="61"/>
      <c r="P72" s="74"/>
      <c r="Q72" s="75"/>
      <c r="R72" s="75"/>
      <c r="S72" s="75"/>
      <c r="T72" s="75"/>
      <c r="U72" s="76"/>
      <c r="V72" s="73"/>
      <c r="W72" s="77"/>
      <c r="X72" s="73"/>
      <c r="Y72" s="73"/>
      <c r="Z72" s="73"/>
      <c r="AA72" s="320"/>
      <c r="AB72" s="328"/>
      <c r="AC72" s="321"/>
      <c r="AD72" s="321"/>
    </row>
    <row r="73" spans="1:30" ht="15.75" customHeight="1">
      <c r="A73" s="39"/>
      <c r="B73" s="39"/>
      <c r="C73" s="39"/>
      <c r="D73" s="59"/>
      <c r="E73" s="73"/>
      <c r="F73" s="73"/>
      <c r="G73" s="39"/>
      <c r="H73" s="60"/>
      <c r="I73" s="60"/>
      <c r="J73" s="60"/>
      <c r="K73" s="61"/>
      <c r="L73" s="60"/>
      <c r="M73" s="61"/>
      <c r="N73" s="60"/>
      <c r="O73" s="61"/>
      <c r="P73" s="74"/>
      <c r="Q73" s="75"/>
      <c r="R73" s="75"/>
      <c r="S73" s="75"/>
      <c r="T73" s="75"/>
      <c r="U73" s="76"/>
      <c r="V73" s="73"/>
      <c r="W73" s="77"/>
      <c r="X73" s="73"/>
      <c r="Y73" s="73"/>
      <c r="Z73" s="73"/>
      <c r="AA73" s="320"/>
      <c r="AB73" s="328"/>
      <c r="AC73" s="321"/>
      <c r="AD73" s="321"/>
    </row>
    <row r="74" spans="1:30" ht="34.5" customHeight="1">
      <c r="A74" s="39"/>
      <c r="B74" s="39"/>
      <c r="C74" s="78"/>
      <c r="D74" s="59"/>
      <c r="E74" s="79"/>
      <c r="F74" s="79"/>
      <c r="G74" s="41"/>
      <c r="H74" s="60"/>
      <c r="I74" s="60"/>
      <c r="J74" s="60"/>
      <c r="K74" s="61"/>
      <c r="L74" s="60"/>
      <c r="M74" s="61"/>
      <c r="N74" s="60"/>
      <c r="O74" s="61"/>
      <c r="P74" s="42"/>
      <c r="Q74" s="75"/>
      <c r="R74" s="75"/>
      <c r="S74" s="75"/>
      <c r="T74" s="75"/>
      <c r="U74" s="80"/>
      <c r="V74" s="40"/>
      <c r="W74" s="81"/>
      <c r="X74" s="40"/>
      <c r="Y74" s="40"/>
      <c r="Z74" s="40"/>
      <c r="AA74" s="320"/>
      <c r="AB74" s="328"/>
      <c r="AC74" s="321"/>
      <c r="AD74" s="321"/>
    </row>
    <row r="75" spans="1:30" ht="15.75" customHeight="1">
      <c r="A75" s="39"/>
      <c r="B75" s="39"/>
      <c r="C75" s="78"/>
      <c r="D75" s="59"/>
      <c r="E75" s="79"/>
      <c r="F75" s="79"/>
      <c r="G75" s="41"/>
      <c r="H75" s="60"/>
      <c r="I75" s="60"/>
      <c r="J75" s="60"/>
      <c r="K75" s="61"/>
      <c r="L75" s="60"/>
      <c r="M75" s="61"/>
      <c r="N75" s="60"/>
      <c r="O75" s="61"/>
      <c r="P75" s="42"/>
      <c r="Q75" s="75"/>
      <c r="R75" s="75"/>
      <c r="S75" s="75"/>
      <c r="T75" s="75"/>
      <c r="U75" s="80"/>
      <c r="V75" s="40"/>
      <c r="W75" s="81"/>
      <c r="X75" s="40"/>
      <c r="Y75" s="40"/>
      <c r="Z75" s="40"/>
      <c r="AA75" s="320"/>
      <c r="AB75" s="328"/>
      <c r="AC75" s="321"/>
      <c r="AD75" s="321"/>
    </row>
    <row r="76" spans="1:30" ht="15.75" customHeight="1">
      <c r="A76" s="39"/>
      <c r="B76" s="39"/>
      <c r="C76" s="78"/>
      <c r="D76" s="59"/>
      <c r="E76" s="79"/>
      <c r="F76" s="79"/>
      <c r="G76" s="41"/>
      <c r="H76" s="60"/>
      <c r="I76" s="60"/>
      <c r="J76" s="60"/>
      <c r="K76" s="61"/>
      <c r="L76" s="60"/>
      <c r="M76" s="61"/>
      <c r="N76" s="60"/>
      <c r="O76" s="61"/>
      <c r="P76" s="42"/>
      <c r="Q76" s="75"/>
      <c r="R76" s="75"/>
      <c r="S76" s="75"/>
      <c r="T76" s="75"/>
      <c r="U76" s="80"/>
      <c r="V76" s="40"/>
      <c r="W76" s="81"/>
      <c r="X76" s="40"/>
      <c r="Y76" s="40"/>
      <c r="Z76" s="40"/>
      <c r="AA76" s="320"/>
      <c r="AB76" s="328"/>
      <c r="AC76" s="321"/>
      <c r="AD76" s="321"/>
    </row>
    <row r="77" spans="1:30" ht="15.75" customHeight="1">
      <c r="A77" s="39"/>
      <c r="B77" s="39"/>
      <c r="C77" s="78"/>
      <c r="D77" s="59"/>
      <c r="E77" s="79"/>
      <c r="F77" s="79"/>
      <c r="G77" s="41"/>
      <c r="H77" s="60"/>
      <c r="I77" s="60"/>
      <c r="J77" s="60"/>
      <c r="K77" s="61"/>
      <c r="L77" s="60"/>
      <c r="M77" s="61"/>
      <c r="N77" s="60"/>
      <c r="O77" s="61"/>
      <c r="P77" s="42"/>
      <c r="Q77" s="75"/>
      <c r="R77" s="75"/>
      <c r="S77" s="75"/>
      <c r="T77" s="75"/>
      <c r="U77" s="80"/>
      <c r="V77" s="40"/>
      <c r="W77" s="81"/>
      <c r="X77" s="40"/>
      <c r="Y77" s="40"/>
      <c r="Z77" s="40"/>
      <c r="AA77" s="320"/>
      <c r="AB77" s="328"/>
      <c r="AC77" s="321"/>
      <c r="AD77" s="321"/>
    </row>
    <row r="78" spans="1:30" ht="15.75" customHeight="1">
      <c r="A78" s="39"/>
      <c r="B78" s="39"/>
      <c r="C78" s="39"/>
      <c r="D78" s="59"/>
      <c r="E78" s="73"/>
      <c r="F78" s="73"/>
      <c r="G78" s="39"/>
      <c r="H78" s="60"/>
      <c r="I78" s="60"/>
      <c r="J78" s="60"/>
      <c r="K78" s="61"/>
      <c r="L78" s="60"/>
      <c r="M78" s="61"/>
      <c r="N78" s="60"/>
      <c r="O78" s="61"/>
      <c r="P78" s="74"/>
      <c r="Q78" s="75"/>
      <c r="R78" s="75"/>
      <c r="S78" s="75"/>
      <c r="T78" s="75"/>
      <c r="U78" s="76"/>
      <c r="V78" s="73"/>
      <c r="W78" s="77"/>
      <c r="X78" s="73"/>
      <c r="Y78" s="73"/>
      <c r="Z78" s="73"/>
      <c r="AA78" s="320"/>
      <c r="AB78" s="328"/>
      <c r="AC78" s="321"/>
      <c r="AD78" s="321"/>
    </row>
    <row r="79" spans="1:30" ht="15.75" customHeight="1">
      <c r="A79" s="39"/>
      <c r="B79" s="39"/>
      <c r="C79" s="39"/>
      <c r="D79" s="59"/>
      <c r="E79" s="73"/>
      <c r="F79" s="73"/>
      <c r="G79" s="39"/>
      <c r="H79" s="60"/>
      <c r="I79" s="60"/>
      <c r="J79" s="60"/>
      <c r="K79" s="61"/>
      <c r="L79" s="60"/>
      <c r="M79" s="61"/>
      <c r="N79" s="60"/>
      <c r="O79" s="61"/>
      <c r="P79" s="74"/>
      <c r="Q79" s="75"/>
      <c r="R79" s="75"/>
      <c r="S79" s="75"/>
      <c r="T79" s="75"/>
      <c r="U79" s="76"/>
      <c r="V79" s="73"/>
      <c r="W79" s="77"/>
      <c r="X79" s="73"/>
      <c r="Y79" s="73"/>
      <c r="Z79" s="73"/>
      <c r="AA79" s="320"/>
      <c r="AB79" s="328"/>
      <c r="AC79" s="321"/>
      <c r="AD79" s="321"/>
    </row>
    <row r="80" spans="1:30" ht="15.75" customHeight="1">
      <c r="A80" s="39"/>
      <c r="B80" s="39"/>
      <c r="C80" s="39"/>
      <c r="D80" s="59"/>
      <c r="E80" s="73"/>
      <c r="F80" s="73"/>
      <c r="G80" s="39"/>
      <c r="H80" s="60"/>
      <c r="I80" s="60"/>
      <c r="J80" s="60"/>
      <c r="K80" s="61"/>
      <c r="L80" s="60"/>
      <c r="M80" s="61"/>
      <c r="N80" s="60"/>
      <c r="O80" s="61"/>
      <c r="P80" s="74"/>
      <c r="Q80" s="75"/>
      <c r="R80" s="75"/>
      <c r="S80" s="75"/>
      <c r="T80" s="75"/>
      <c r="U80" s="76"/>
      <c r="V80" s="73"/>
      <c r="W80" s="77"/>
      <c r="X80" s="73"/>
      <c r="Y80" s="73"/>
      <c r="Z80" s="73"/>
      <c r="AA80" s="320"/>
      <c r="AB80" s="328"/>
      <c r="AC80" s="321"/>
      <c r="AD80" s="321"/>
    </row>
    <row r="81" spans="1:30" ht="15.75" customHeight="1">
      <c r="A81" s="39"/>
      <c r="B81" s="39"/>
      <c r="C81" s="39"/>
      <c r="D81" s="59"/>
      <c r="E81" s="73"/>
      <c r="F81" s="73"/>
      <c r="G81" s="39"/>
      <c r="H81" s="60"/>
      <c r="I81" s="60"/>
      <c r="J81" s="60"/>
      <c r="K81" s="61"/>
      <c r="L81" s="60"/>
      <c r="M81" s="61"/>
      <c r="N81" s="60"/>
      <c r="O81" s="61"/>
      <c r="P81" s="74"/>
      <c r="Q81" s="75"/>
      <c r="R81" s="75"/>
      <c r="S81" s="75"/>
      <c r="T81" s="75"/>
      <c r="U81" s="76"/>
      <c r="V81" s="73"/>
      <c r="W81" s="77"/>
      <c r="X81" s="73"/>
      <c r="Y81" s="73"/>
      <c r="Z81" s="73"/>
      <c r="AA81" s="320"/>
      <c r="AB81" s="328"/>
      <c r="AC81" s="321"/>
      <c r="AD81" s="321"/>
    </row>
    <row r="82" spans="1:30" ht="15.75" customHeight="1">
      <c r="A82" s="39"/>
      <c r="B82" s="39"/>
      <c r="C82" s="78"/>
      <c r="D82" s="59"/>
      <c r="E82" s="79"/>
      <c r="F82" s="79"/>
      <c r="G82" s="41"/>
      <c r="H82" s="60"/>
      <c r="I82" s="60"/>
      <c r="J82" s="60"/>
      <c r="K82" s="61"/>
      <c r="L82" s="60"/>
      <c r="M82" s="61"/>
      <c r="N82" s="60"/>
      <c r="O82" s="61"/>
      <c r="P82" s="42"/>
      <c r="Q82" s="75"/>
      <c r="R82" s="75"/>
      <c r="S82" s="75"/>
      <c r="T82" s="75"/>
      <c r="U82" s="80"/>
      <c r="V82" s="40"/>
      <c r="W82" s="81"/>
      <c r="X82" s="40"/>
      <c r="Y82" s="40"/>
      <c r="Z82" s="40"/>
      <c r="AA82" s="320"/>
      <c r="AB82" s="328"/>
      <c r="AC82" s="321"/>
      <c r="AD82" s="321"/>
    </row>
    <row r="83" spans="1:30" ht="15.75" customHeight="1">
      <c r="A83" s="39"/>
      <c r="B83" s="39"/>
      <c r="C83" s="78"/>
      <c r="D83" s="59"/>
      <c r="E83" s="79"/>
      <c r="F83" s="79"/>
      <c r="G83" s="41"/>
      <c r="H83" s="60"/>
      <c r="I83" s="60"/>
      <c r="J83" s="60"/>
      <c r="K83" s="61"/>
      <c r="L83" s="60"/>
      <c r="M83" s="61"/>
      <c r="N83" s="60"/>
      <c r="O83" s="61"/>
      <c r="P83" s="42"/>
      <c r="Q83" s="75"/>
      <c r="R83" s="75"/>
      <c r="S83" s="75"/>
      <c r="T83" s="75"/>
      <c r="U83" s="80"/>
      <c r="V83" s="40"/>
      <c r="W83" s="81"/>
      <c r="X83" s="40"/>
      <c r="Y83" s="40"/>
      <c r="Z83" s="40"/>
      <c r="AA83" s="320"/>
      <c r="AB83" s="328"/>
      <c r="AC83" s="321"/>
      <c r="AD83" s="321"/>
    </row>
    <row r="84" spans="1:30" ht="15.75" customHeight="1">
      <c r="A84" s="39"/>
      <c r="B84" s="39"/>
      <c r="C84" s="78"/>
      <c r="D84" s="59"/>
      <c r="E84" s="79"/>
      <c r="F84" s="79"/>
      <c r="G84" s="41"/>
      <c r="H84" s="60"/>
      <c r="I84" s="60"/>
      <c r="J84" s="60"/>
      <c r="K84" s="61"/>
      <c r="L84" s="60"/>
      <c r="M84" s="61"/>
      <c r="N84" s="60"/>
      <c r="O84" s="61"/>
      <c r="P84" s="42"/>
      <c r="Q84" s="75"/>
      <c r="R84" s="75"/>
      <c r="S84" s="75"/>
      <c r="T84" s="75"/>
      <c r="U84" s="80"/>
      <c r="V84" s="40"/>
      <c r="W84" s="81"/>
      <c r="X84" s="40"/>
      <c r="Y84" s="40"/>
      <c r="Z84" s="40"/>
      <c r="AA84" s="320"/>
      <c r="AB84" s="328"/>
      <c r="AC84" s="321"/>
      <c r="AD84" s="321"/>
    </row>
    <row r="85" spans="1:30" ht="15.75" customHeight="1">
      <c r="A85" s="39"/>
      <c r="B85" s="39"/>
      <c r="C85" s="78"/>
      <c r="D85" s="59"/>
      <c r="E85" s="79"/>
      <c r="F85" s="79"/>
      <c r="G85" s="41"/>
      <c r="H85" s="60"/>
      <c r="I85" s="60"/>
      <c r="J85" s="60"/>
      <c r="K85" s="61"/>
      <c r="L85" s="60"/>
      <c r="M85" s="61"/>
      <c r="N85" s="60"/>
      <c r="O85" s="61"/>
      <c r="P85" s="42"/>
      <c r="Q85" s="75"/>
      <c r="R85" s="75"/>
      <c r="S85" s="75"/>
      <c r="T85" s="75"/>
      <c r="U85" s="80"/>
      <c r="V85" s="40"/>
      <c r="W85" s="81"/>
      <c r="X85" s="40"/>
      <c r="Y85" s="40"/>
      <c r="Z85" s="40"/>
      <c r="AA85" s="320"/>
      <c r="AB85" s="328"/>
      <c r="AC85" s="321"/>
      <c r="AD85" s="321"/>
    </row>
    <row r="86" spans="1:30" ht="15.75" customHeight="1">
      <c r="A86" s="39"/>
      <c r="B86" s="39"/>
      <c r="C86" s="78"/>
      <c r="D86" s="59"/>
      <c r="E86" s="79"/>
      <c r="F86" s="79"/>
      <c r="G86" s="41"/>
      <c r="H86" s="60"/>
      <c r="I86" s="60"/>
      <c r="J86" s="60"/>
      <c r="K86" s="61"/>
      <c r="L86" s="60"/>
      <c r="M86" s="61"/>
      <c r="N86" s="60"/>
      <c r="O86" s="61"/>
      <c r="P86" s="42"/>
      <c r="Q86" s="75"/>
      <c r="R86" s="75"/>
      <c r="S86" s="75"/>
      <c r="T86" s="75"/>
      <c r="U86" s="80"/>
      <c r="V86" s="40"/>
      <c r="W86" s="81"/>
      <c r="X86" s="40"/>
      <c r="Y86" s="40"/>
      <c r="Z86" s="40"/>
      <c r="AA86" s="320"/>
      <c r="AB86" s="328"/>
      <c r="AC86" s="321"/>
      <c r="AD86" s="321"/>
    </row>
    <row r="87" spans="1:30" ht="15.75" customHeight="1">
      <c r="A87" s="39"/>
      <c r="B87" s="39"/>
      <c r="C87" s="78"/>
      <c r="D87" s="59"/>
      <c r="E87" s="79"/>
      <c r="F87" s="79"/>
      <c r="G87" s="41"/>
      <c r="H87" s="60"/>
      <c r="I87" s="60"/>
      <c r="J87" s="60"/>
      <c r="K87" s="61"/>
      <c r="L87" s="60"/>
      <c r="M87" s="61"/>
      <c r="N87" s="60"/>
      <c r="O87" s="61"/>
      <c r="P87" s="42"/>
      <c r="Q87" s="75"/>
      <c r="R87" s="75"/>
      <c r="S87" s="75"/>
      <c r="T87" s="75"/>
      <c r="U87" s="80"/>
      <c r="V87" s="40"/>
      <c r="W87" s="81"/>
      <c r="X87" s="40"/>
      <c r="Y87" s="40"/>
      <c r="Z87" s="40"/>
      <c r="AA87" s="320"/>
      <c r="AB87" s="328"/>
      <c r="AC87" s="321"/>
      <c r="AD87" s="321"/>
    </row>
    <row r="88" spans="1:30" ht="15.75" customHeight="1">
      <c r="A88" s="39"/>
      <c r="B88" s="39"/>
      <c r="C88" s="78"/>
      <c r="D88" s="59"/>
      <c r="E88" s="79"/>
      <c r="F88" s="79"/>
      <c r="G88" s="41"/>
      <c r="H88" s="60"/>
      <c r="I88" s="60"/>
      <c r="J88" s="60"/>
      <c r="K88" s="61"/>
      <c r="L88" s="60"/>
      <c r="M88" s="61"/>
      <c r="N88" s="60"/>
      <c r="O88" s="61"/>
      <c r="P88" s="42"/>
      <c r="Q88" s="75"/>
      <c r="R88" s="75"/>
      <c r="S88" s="75"/>
      <c r="T88" s="75"/>
      <c r="U88" s="80"/>
      <c r="V88" s="40"/>
      <c r="W88" s="81"/>
      <c r="X88" s="40"/>
      <c r="Y88" s="40"/>
      <c r="Z88" s="40"/>
      <c r="AA88" s="320"/>
      <c r="AB88" s="328"/>
      <c r="AC88" s="321"/>
      <c r="AD88" s="321"/>
    </row>
    <row r="89" spans="1:30" ht="15.75" customHeight="1">
      <c r="A89" s="39"/>
      <c r="B89" s="39"/>
      <c r="C89" s="78"/>
      <c r="D89" s="59"/>
      <c r="E89" s="79"/>
      <c r="F89" s="79"/>
      <c r="G89" s="41"/>
      <c r="H89" s="60"/>
      <c r="I89" s="60"/>
      <c r="J89" s="60"/>
      <c r="K89" s="61"/>
      <c r="L89" s="60"/>
      <c r="M89" s="61"/>
      <c r="N89" s="60"/>
      <c r="O89" s="61"/>
      <c r="P89" s="42"/>
      <c r="Q89" s="75"/>
      <c r="R89" s="75"/>
      <c r="S89" s="75"/>
      <c r="T89" s="75"/>
      <c r="U89" s="80"/>
      <c r="V89" s="40"/>
      <c r="W89" s="81"/>
      <c r="X89" s="40"/>
      <c r="Y89" s="40"/>
      <c r="Z89" s="40"/>
      <c r="AA89" s="320"/>
      <c r="AB89" s="328"/>
      <c r="AC89" s="321"/>
      <c r="AD89" s="321"/>
    </row>
    <row r="90" spans="1:30" ht="15.75" customHeight="1">
      <c r="A90" s="39"/>
      <c r="B90" s="39"/>
      <c r="C90" s="78"/>
      <c r="D90" s="59"/>
      <c r="E90" s="79"/>
      <c r="F90" s="79"/>
      <c r="G90" s="41"/>
      <c r="H90" s="60"/>
      <c r="I90" s="60"/>
      <c r="J90" s="60"/>
      <c r="K90" s="61"/>
      <c r="L90" s="60"/>
      <c r="M90" s="61"/>
      <c r="N90" s="60"/>
      <c r="O90" s="61"/>
      <c r="P90" s="42"/>
      <c r="Q90" s="75"/>
      <c r="R90" s="75"/>
      <c r="S90" s="75"/>
      <c r="T90" s="75"/>
      <c r="U90" s="80"/>
      <c r="V90" s="40"/>
      <c r="W90" s="81"/>
      <c r="X90" s="40"/>
      <c r="Y90" s="40"/>
      <c r="Z90" s="40"/>
      <c r="AA90" s="320"/>
      <c r="AB90" s="328"/>
      <c r="AC90" s="321"/>
      <c r="AD90" s="321"/>
    </row>
    <row r="91" spans="1:30" ht="15.75" customHeight="1">
      <c r="A91" s="39"/>
      <c r="B91" s="39"/>
      <c r="C91" s="78"/>
      <c r="D91" s="59"/>
      <c r="E91" s="79"/>
      <c r="F91" s="79"/>
      <c r="G91" s="41"/>
      <c r="H91" s="60"/>
      <c r="I91" s="60"/>
      <c r="J91" s="60"/>
      <c r="K91" s="61"/>
      <c r="L91" s="60"/>
      <c r="M91" s="61"/>
      <c r="N91" s="60"/>
      <c r="O91" s="61"/>
      <c r="P91" s="42"/>
      <c r="Q91" s="75"/>
      <c r="R91" s="75"/>
      <c r="S91" s="75"/>
      <c r="T91" s="75"/>
      <c r="U91" s="80"/>
      <c r="V91" s="40"/>
      <c r="W91" s="81"/>
      <c r="X91" s="40"/>
      <c r="Y91" s="40"/>
      <c r="Z91" s="40"/>
      <c r="AA91" s="320"/>
      <c r="AB91" s="328"/>
      <c r="AC91" s="321"/>
      <c r="AD91" s="321"/>
    </row>
    <row r="92" spans="1:30" ht="15.75" customHeight="1">
      <c r="A92" s="39"/>
      <c r="B92" s="39"/>
      <c r="C92" s="78"/>
      <c r="D92" s="59"/>
      <c r="E92" s="79"/>
      <c r="F92" s="79"/>
      <c r="G92" s="41"/>
      <c r="H92" s="60"/>
      <c r="I92" s="60"/>
      <c r="J92" s="60"/>
      <c r="K92" s="61"/>
      <c r="L92" s="60"/>
      <c r="M92" s="61"/>
      <c r="N92" s="60"/>
      <c r="O92" s="61"/>
      <c r="P92" s="42"/>
      <c r="Q92" s="75"/>
      <c r="R92" s="75"/>
      <c r="S92" s="75"/>
      <c r="T92" s="75"/>
      <c r="U92" s="80"/>
      <c r="V92" s="40"/>
      <c r="W92" s="81"/>
      <c r="X92" s="40"/>
      <c r="Y92" s="40"/>
      <c r="Z92" s="40"/>
      <c r="AA92" s="320"/>
      <c r="AB92" s="328"/>
      <c r="AC92" s="321"/>
      <c r="AD92" s="321"/>
    </row>
    <row r="93" spans="1:30" ht="15.75" customHeight="1">
      <c r="A93" s="39"/>
      <c r="B93" s="39"/>
      <c r="C93" s="78"/>
      <c r="D93" s="59"/>
      <c r="E93" s="79"/>
      <c r="F93" s="79"/>
      <c r="G93" s="41"/>
      <c r="H93" s="60"/>
      <c r="I93" s="60"/>
      <c r="J93" s="60"/>
      <c r="K93" s="61"/>
      <c r="L93" s="60"/>
      <c r="M93" s="61"/>
      <c r="N93" s="60"/>
      <c r="O93" s="61"/>
      <c r="P93" s="42"/>
      <c r="Q93" s="75"/>
      <c r="R93" s="75"/>
      <c r="S93" s="75"/>
      <c r="T93" s="75"/>
      <c r="U93" s="80"/>
      <c r="V93" s="40"/>
      <c r="W93" s="81"/>
      <c r="X93" s="40"/>
      <c r="Y93" s="40"/>
      <c r="Z93" s="40"/>
      <c r="AA93" s="320"/>
      <c r="AB93" s="328"/>
      <c r="AC93" s="321"/>
      <c r="AD93" s="321"/>
    </row>
    <row r="94" spans="1:30" ht="15.75" customHeight="1">
      <c r="A94" s="83"/>
      <c r="B94" s="83"/>
      <c r="C94" s="83"/>
      <c r="D94" s="59"/>
      <c r="E94" s="84"/>
      <c r="F94" s="84"/>
      <c r="G94" s="83"/>
      <c r="H94" s="60"/>
      <c r="I94" s="60"/>
      <c r="J94" s="60"/>
      <c r="K94" s="61"/>
      <c r="L94" s="60"/>
      <c r="M94" s="61"/>
      <c r="N94" s="60"/>
      <c r="O94" s="61"/>
      <c r="P94" s="85"/>
      <c r="Q94" s="75"/>
      <c r="R94" s="75"/>
      <c r="S94" s="75"/>
      <c r="T94" s="75"/>
      <c r="U94" s="86"/>
      <c r="V94" s="84"/>
      <c r="W94" s="87"/>
      <c r="X94" s="84"/>
      <c r="Y94" s="84"/>
      <c r="Z94" s="84"/>
      <c r="AA94" s="1"/>
      <c r="AB94" s="330"/>
      <c r="AC94" s="321"/>
      <c r="AD94" s="321"/>
    </row>
    <row r="95" spans="1:30" ht="15.75" customHeight="1">
      <c r="A95" s="83"/>
      <c r="B95" s="83"/>
      <c r="C95" s="83"/>
      <c r="D95" s="59"/>
      <c r="E95" s="84"/>
      <c r="F95" s="84"/>
      <c r="G95" s="83"/>
      <c r="H95" s="60"/>
      <c r="I95" s="60"/>
      <c r="J95" s="60"/>
      <c r="K95" s="61"/>
      <c r="L95" s="60"/>
      <c r="M95" s="61"/>
      <c r="N95" s="60"/>
      <c r="O95" s="61"/>
      <c r="P95" s="85"/>
      <c r="Q95" s="75"/>
      <c r="R95" s="75"/>
      <c r="S95" s="75"/>
      <c r="T95" s="75"/>
      <c r="U95" s="86"/>
      <c r="V95" s="84"/>
      <c r="W95" s="87"/>
      <c r="X95" s="84"/>
      <c r="Y95" s="84"/>
      <c r="Z95" s="84"/>
      <c r="AA95" s="1"/>
      <c r="AB95" s="330"/>
      <c r="AC95" s="321"/>
      <c r="AD95" s="321"/>
    </row>
    <row r="96" spans="1:30" ht="15.75" customHeight="1">
      <c r="A96" s="83"/>
      <c r="B96" s="83"/>
      <c r="C96" s="83"/>
      <c r="D96" s="87"/>
      <c r="E96" s="84"/>
      <c r="F96" s="84"/>
      <c r="G96" s="83"/>
      <c r="H96" s="84"/>
      <c r="I96" s="84"/>
      <c r="J96" s="84"/>
      <c r="K96" s="88"/>
      <c r="L96" s="84"/>
      <c r="M96" s="88"/>
      <c r="N96" s="84"/>
      <c r="O96" s="88"/>
      <c r="P96" s="85"/>
      <c r="Q96" s="75"/>
      <c r="R96" s="75"/>
      <c r="S96" s="75"/>
      <c r="T96" s="75"/>
      <c r="U96" s="86"/>
      <c r="V96" s="84"/>
      <c r="W96" s="87"/>
      <c r="X96" s="84"/>
      <c r="Y96" s="84"/>
      <c r="Z96" s="84"/>
      <c r="AA96" s="1"/>
      <c r="AB96" s="330"/>
      <c r="AC96" s="321"/>
      <c r="AD96" s="321"/>
    </row>
    <row r="97" spans="1:30" ht="15.75" customHeight="1">
      <c r="A97" s="83"/>
      <c r="B97" s="83"/>
      <c r="C97" s="83"/>
      <c r="D97" s="87"/>
      <c r="E97" s="84"/>
      <c r="F97" s="84"/>
      <c r="G97" s="83"/>
      <c r="H97" s="84"/>
      <c r="I97" s="84"/>
      <c r="J97" s="84"/>
      <c r="K97" s="88"/>
      <c r="L97" s="84"/>
      <c r="M97" s="88"/>
      <c r="N97" s="84"/>
      <c r="O97" s="88"/>
      <c r="P97" s="85"/>
      <c r="Q97" s="75"/>
      <c r="R97" s="75"/>
      <c r="S97" s="75"/>
      <c r="T97" s="75"/>
      <c r="U97" s="86"/>
      <c r="V97" s="84"/>
      <c r="W97" s="87"/>
      <c r="X97" s="84"/>
      <c r="Y97" s="84"/>
      <c r="Z97" s="84"/>
      <c r="AA97" s="1"/>
      <c r="AB97" s="330"/>
      <c r="AC97" s="321"/>
      <c r="AD97" s="321"/>
    </row>
    <row r="98" spans="1:30" ht="15.75" customHeight="1">
      <c r="A98" s="83"/>
      <c r="B98" s="83"/>
      <c r="C98" s="83"/>
      <c r="D98" s="87"/>
      <c r="E98" s="84"/>
      <c r="F98" s="84"/>
      <c r="G98" s="83"/>
      <c r="H98" s="84"/>
      <c r="I98" s="84"/>
      <c r="J98" s="84"/>
      <c r="K98" s="88"/>
      <c r="L98" s="84"/>
      <c r="M98" s="88"/>
      <c r="N98" s="84"/>
      <c r="O98" s="88"/>
      <c r="P98" s="85"/>
      <c r="Q98" s="75"/>
      <c r="R98" s="75"/>
      <c r="S98" s="75"/>
      <c r="T98" s="75"/>
      <c r="U98" s="86"/>
      <c r="V98" s="84"/>
      <c r="W98" s="87"/>
      <c r="X98" s="84"/>
      <c r="Y98" s="84"/>
      <c r="Z98" s="84"/>
      <c r="AA98" s="1"/>
      <c r="AB98" s="330"/>
      <c r="AC98" s="321"/>
      <c r="AD98" s="321"/>
    </row>
    <row r="99" spans="1:30" ht="15.75" customHeight="1">
      <c r="A99" s="83"/>
      <c r="B99" s="83"/>
      <c r="C99" s="83"/>
      <c r="D99" s="87"/>
      <c r="E99" s="84"/>
      <c r="F99" s="84"/>
      <c r="G99" s="83"/>
      <c r="H99" s="84"/>
      <c r="I99" s="84"/>
      <c r="J99" s="84"/>
      <c r="K99" s="88"/>
      <c r="L99" s="84"/>
      <c r="M99" s="88"/>
      <c r="N99" s="84"/>
      <c r="O99" s="88"/>
      <c r="P99" s="85"/>
      <c r="Q99" s="75"/>
      <c r="R99" s="75"/>
      <c r="S99" s="75"/>
      <c r="T99" s="75"/>
      <c r="U99" s="86"/>
      <c r="V99" s="84"/>
      <c r="W99" s="87"/>
      <c r="X99" s="84"/>
      <c r="Y99" s="84"/>
      <c r="Z99" s="84"/>
      <c r="AA99" s="1"/>
      <c r="AB99" s="330"/>
      <c r="AC99" s="321"/>
      <c r="AD99" s="321"/>
    </row>
    <row r="100" spans="1:30" ht="15.75" customHeight="1">
      <c r="A100" s="83"/>
      <c r="B100" s="83"/>
      <c r="C100" s="83"/>
      <c r="D100" s="87"/>
      <c r="E100" s="84"/>
      <c r="F100" s="84"/>
      <c r="G100" s="83"/>
      <c r="H100" s="84"/>
      <c r="I100" s="84"/>
      <c r="J100" s="84"/>
      <c r="K100" s="88"/>
      <c r="L100" s="84"/>
      <c r="M100" s="88"/>
      <c r="N100" s="84"/>
      <c r="O100" s="88"/>
      <c r="P100" s="85"/>
      <c r="Q100" s="75"/>
      <c r="R100" s="75"/>
      <c r="S100" s="75"/>
      <c r="T100" s="75"/>
      <c r="U100" s="86"/>
      <c r="V100" s="84"/>
      <c r="W100" s="87"/>
      <c r="X100" s="84"/>
      <c r="Y100" s="84"/>
      <c r="Z100" s="84"/>
      <c r="AA100" s="1"/>
      <c r="AB100" s="330"/>
      <c r="AC100" s="321"/>
      <c r="AD100" s="321"/>
    </row>
    <row r="101" spans="1:30" ht="15.75" customHeight="1">
      <c r="A101" s="83"/>
      <c r="B101" s="83"/>
      <c r="C101" s="83"/>
      <c r="D101" s="87"/>
      <c r="E101" s="84"/>
      <c r="F101" s="84"/>
      <c r="G101" s="83"/>
      <c r="H101" s="84"/>
      <c r="I101" s="84"/>
      <c r="J101" s="84"/>
      <c r="K101" s="88"/>
      <c r="L101" s="84"/>
      <c r="M101" s="88"/>
      <c r="N101" s="84"/>
      <c r="O101" s="88"/>
      <c r="P101" s="85"/>
      <c r="Q101" s="75"/>
      <c r="R101" s="75"/>
      <c r="S101" s="75"/>
      <c r="T101" s="75"/>
      <c r="U101" s="86"/>
      <c r="V101" s="84"/>
      <c r="W101" s="87"/>
      <c r="X101" s="84"/>
      <c r="Y101" s="84"/>
      <c r="Z101" s="84"/>
      <c r="AA101" s="1"/>
      <c r="AB101" s="330"/>
      <c r="AC101" s="321"/>
      <c r="AD101" s="321"/>
    </row>
    <row r="102" spans="1:30" ht="15.75" customHeight="1">
      <c r="A102" s="83"/>
      <c r="B102" s="83"/>
      <c r="C102" s="83"/>
      <c r="D102" s="87"/>
      <c r="E102" s="84"/>
      <c r="F102" s="84"/>
      <c r="G102" s="83"/>
      <c r="H102" s="84"/>
      <c r="I102" s="84"/>
      <c r="J102" s="84"/>
      <c r="K102" s="88"/>
      <c r="L102" s="84"/>
      <c r="M102" s="88"/>
      <c r="N102" s="84"/>
      <c r="O102" s="88"/>
      <c r="P102" s="85"/>
      <c r="Q102" s="75"/>
      <c r="R102" s="75"/>
      <c r="S102" s="75"/>
      <c r="T102" s="75"/>
      <c r="U102" s="86"/>
      <c r="V102" s="84"/>
      <c r="W102" s="87"/>
      <c r="X102" s="84"/>
      <c r="Y102" s="84"/>
      <c r="Z102" s="84"/>
      <c r="AA102" s="1"/>
      <c r="AB102" s="330"/>
      <c r="AC102" s="321"/>
      <c r="AD102" s="321"/>
    </row>
    <row r="103" spans="1:30" ht="15.75" customHeight="1">
      <c r="A103" s="83"/>
      <c r="B103" s="83"/>
      <c r="C103" s="83"/>
      <c r="D103" s="87"/>
      <c r="E103" s="84"/>
      <c r="F103" s="84"/>
      <c r="G103" s="83"/>
      <c r="H103" s="84"/>
      <c r="I103" s="84"/>
      <c r="J103" s="84"/>
      <c r="K103" s="88"/>
      <c r="L103" s="84"/>
      <c r="M103" s="88"/>
      <c r="N103" s="84"/>
      <c r="O103" s="88"/>
      <c r="P103" s="85"/>
      <c r="Q103" s="75"/>
      <c r="R103" s="75"/>
      <c r="S103" s="75"/>
      <c r="T103" s="75"/>
      <c r="U103" s="86"/>
      <c r="V103" s="84"/>
      <c r="W103" s="87"/>
      <c r="X103" s="84"/>
      <c r="Y103" s="84"/>
      <c r="Z103" s="84"/>
      <c r="AA103" s="1"/>
      <c r="AB103" s="330"/>
      <c r="AC103" s="321"/>
      <c r="AD103" s="321"/>
    </row>
    <row r="104" spans="1:30" ht="15.75" customHeight="1">
      <c r="A104" s="83"/>
      <c r="B104" s="83"/>
      <c r="C104" s="83"/>
      <c r="D104" s="87"/>
      <c r="E104" s="84"/>
      <c r="F104" s="84"/>
      <c r="G104" s="83"/>
      <c r="H104" s="84"/>
      <c r="I104" s="84"/>
      <c r="J104" s="84"/>
      <c r="K104" s="88"/>
      <c r="L104" s="84"/>
      <c r="M104" s="88"/>
      <c r="N104" s="84"/>
      <c r="O104" s="88"/>
      <c r="P104" s="85"/>
      <c r="Q104" s="75"/>
      <c r="R104" s="75"/>
      <c r="S104" s="75"/>
      <c r="T104" s="75"/>
      <c r="U104" s="86"/>
      <c r="V104" s="84"/>
      <c r="W104" s="87"/>
      <c r="X104" s="84"/>
      <c r="Y104" s="84"/>
      <c r="Z104" s="84"/>
      <c r="AA104" s="1"/>
      <c r="AB104" s="330"/>
      <c r="AC104" s="321"/>
      <c r="AD104" s="321"/>
    </row>
    <row r="105" spans="1:30" ht="15.75" customHeight="1">
      <c r="A105" s="83"/>
      <c r="B105" s="83"/>
      <c r="C105" s="83"/>
      <c r="D105" s="87"/>
      <c r="E105" s="84"/>
      <c r="F105" s="84"/>
      <c r="G105" s="83"/>
      <c r="H105" s="84"/>
      <c r="I105" s="84"/>
      <c r="J105" s="84"/>
      <c r="K105" s="88"/>
      <c r="L105" s="84"/>
      <c r="M105" s="88"/>
      <c r="N105" s="84"/>
      <c r="O105" s="88"/>
      <c r="P105" s="85"/>
      <c r="Q105" s="75"/>
      <c r="R105" s="75"/>
      <c r="S105" s="75"/>
      <c r="T105" s="75"/>
      <c r="U105" s="86"/>
      <c r="V105" s="84"/>
      <c r="W105" s="87"/>
      <c r="X105" s="84"/>
      <c r="Y105" s="84"/>
      <c r="Z105" s="84"/>
      <c r="AA105" s="1"/>
      <c r="AB105" s="330"/>
      <c r="AC105" s="321"/>
      <c r="AD105" s="321"/>
    </row>
    <row r="106" spans="1:30" ht="15.75" customHeight="1">
      <c r="A106" s="83"/>
      <c r="B106" s="83"/>
      <c r="C106" s="83"/>
      <c r="D106" s="87"/>
      <c r="E106" s="84"/>
      <c r="F106" s="84"/>
      <c r="G106" s="83"/>
      <c r="H106" s="84"/>
      <c r="I106" s="84"/>
      <c r="J106" s="84"/>
      <c r="K106" s="88"/>
      <c r="L106" s="84"/>
      <c r="M106" s="88"/>
      <c r="N106" s="84"/>
      <c r="O106" s="88"/>
      <c r="P106" s="85"/>
      <c r="Q106" s="75"/>
      <c r="R106" s="75"/>
      <c r="S106" s="75"/>
      <c r="T106" s="75"/>
      <c r="U106" s="86"/>
      <c r="V106" s="84"/>
      <c r="W106" s="87"/>
      <c r="X106" s="84"/>
      <c r="Y106" s="84"/>
      <c r="Z106" s="84"/>
      <c r="AA106" s="1"/>
      <c r="AB106" s="330"/>
      <c r="AC106" s="321"/>
      <c r="AD106" s="321"/>
    </row>
    <row r="107" spans="1:30" ht="15.75" customHeight="1">
      <c r="A107" s="83"/>
      <c r="B107" s="83"/>
      <c r="C107" s="83"/>
      <c r="D107" s="87"/>
      <c r="E107" s="84"/>
      <c r="F107" s="84"/>
      <c r="G107" s="83"/>
      <c r="H107" s="84"/>
      <c r="I107" s="84"/>
      <c r="J107" s="84"/>
      <c r="K107" s="88"/>
      <c r="L107" s="84"/>
      <c r="M107" s="88"/>
      <c r="N107" s="84"/>
      <c r="O107" s="88"/>
      <c r="P107" s="85"/>
      <c r="Q107" s="75"/>
      <c r="R107" s="75"/>
      <c r="S107" s="75"/>
      <c r="T107" s="75"/>
      <c r="U107" s="86"/>
      <c r="V107" s="84"/>
      <c r="W107" s="87"/>
      <c r="X107" s="84"/>
      <c r="Y107" s="84"/>
      <c r="Z107" s="84"/>
      <c r="AA107" s="1"/>
      <c r="AB107" s="330"/>
      <c r="AC107" s="321"/>
      <c r="AD107" s="321"/>
    </row>
    <row r="108" spans="1:30" ht="15.75" customHeight="1">
      <c r="A108" s="83"/>
      <c r="B108" s="83"/>
      <c r="C108" s="83"/>
      <c r="D108" s="87"/>
      <c r="E108" s="84"/>
      <c r="F108" s="84"/>
      <c r="G108" s="83"/>
      <c r="H108" s="84"/>
      <c r="I108" s="84"/>
      <c r="J108" s="84"/>
      <c r="K108" s="88"/>
      <c r="L108" s="84"/>
      <c r="M108" s="88"/>
      <c r="N108" s="84"/>
      <c r="O108" s="88"/>
      <c r="P108" s="85"/>
      <c r="Q108" s="75"/>
      <c r="R108" s="75"/>
      <c r="S108" s="75"/>
      <c r="T108" s="75"/>
      <c r="U108" s="86"/>
      <c r="V108" s="84"/>
      <c r="W108" s="87"/>
      <c r="X108" s="84"/>
      <c r="Y108" s="84"/>
      <c r="Z108" s="84"/>
      <c r="AA108" s="1"/>
      <c r="AB108" s="330"/>
      <c r="AC108" s="321"/>
      <c r="AD108" s="321"/>
    </row>
    <row r="109" spans="1:30" ht="15.75" customHeight="1">
      <c r="A109" s="83"/>
      <c r="B109" s="83"/>
      <c r="C109" s="83"/>
      <c r="D109" s="87"/>
      <c r="E109" s="84"/>
      <c r="F109" s="84"/>
      <c r="G109" s="83"/>
      <c r="H109" s="84"/>
      <c r="I109" s="84"/>
      <c r="J109" s="84"/>
      <c r="K109" s="88"/>
      <c r="L109" s="84"/>
      <c r="M109" s="88"/>
      <c r="N109" s="84"/>
      <c r="O109" s="88"/>
      <c r="P109" s="85"/>
      <c r="Q109" s="75"/>
      <c r="R109" s="75"/>
      <c r="S109" s="75"/>
      <c r="T109" s="75"/>
      <c r="U109" s="86"/>
      <c r="V109" s="84"/>
      <c r="W109" s="87"/>
      <c r="X109" s="84"/>
      <c r="Y109" s="84"/>
      <c r="Z109" s="84"/>
      <c r="AA109" s="1"/>
      <c r="AB109" s="330"/>
      <c r="AC109" s="321"/>
      <c r="AD109" s="321"/>
    </row>
    <row r="110" spans="1:30" ht="15.75" customHeight="1">
      <c r="A110" s="83"/>
      <c r="B110" s="83"/>
      <c r="C110" s="83"/>
      <c r="D110" s="87"/>
      <c r="E110" s="84"/>
      <c r="F110" s="84"/>
      <c r="G110" s="83"/>
      <c r="H110" s="84"/>
      <c r="I110" s="84"/>
      <c r="J110" s="84"/>
      <c r="K110" s="88"/>
      <c r="L110" s="84"/>
      <c r="M110" s="88"/>
      <c r="N110" s="84"/>
      <c r="O110" s="88"/>
      <c r="P110" s="85"/>
      <c r="Q110" s="75"/>
      <c r="R110" s="75"/>
      <c r="S110" s="75"/>
      <c r="T110" s="75"/>
      <c r="U110" s="86"/>
      <c r="V110" s="84"/>
      <c r="W110" s="87"/>
      <c r="X110" s="84"/>
      <c r="Y110" s="84"/>
      <c r="Z110" s="84"/>
      <c r="AA110" s="1"/>
      <c r="AB110" s="330"/>
      <c r="AC110" s="321"/>
      <c r="AD110" s="321"/>
    </row>
    <row r="111" spans="1:30" ht="15.75" customHeight="1">
      <c r="A111" s="83"/>
      <c r="B111" s="83"/>
      <c r="C111" s="83"/>
      <c r="D111" s="87"/>
      <c r="E111" s="84"/>
      <c r="F111" s="84"/>
      <c r="G111" s="83"/>
      <c r="H111" s="84"/>
      <c r="I111" s="84"/>
      <c r="J111" s="84"/>
      <c r="K111" s="88"/>
      <c r="L111" s="84"/>
      <c r="M111" s="88"/>
      <c r="N111" s="84"/>
      <c r="O111" s="88"/>
      <c r="P111" s="85"/>
      <c r="Q111" s="75"/>
      <c r="R111" s="75"/>
      <c r="S111" s="75"/>
      <c r="T111" s="75"/>
      <c r="U111" s="86"/>
      <c r="V111" s="84"/>
      <c r="W111" s="87"/>
      <c r="X111" s="84"/>
      <c r="Y111" s="84"/>
      <c r="Z111" s="84"/>
      <c r="AA111" s="1"/>
      <c r="AB111" s="330"/>
      <c r="AC111" s="321"/>
      <c r="AD111" s="321"/>
    </row>
    <row r="112" spans="1:30" ht="15.75" customHeight="1">
      <c r="A112" s="83"/>
      <c r="B112" s="83"/>
      <c r="C112" s="83"/>
      <c r="D112" s="87"/>
      <c r="E112" s="84"/>
      <c r="F112" s="84"/>
      <c r="G112" s="83"/>
      <c r="H112" s="84"/>
      <c r="I112" s="84"/>
      <c r="J112" s="84"/>
      <c r="K112" s="88"/>
      <c r="L112" s="84"/>
      <c r="M112" s="88"/>
      <c r="N112" s="84"/>
      <c r="O112" s="88"/>
      <c r="P112" s="85"/>
      <c r="Q112" s="75"/>
      <c r="R112" s="75"/>
      <c r="S112" s="75"/>
      <c r="T112" s="75"/>
      <c r="U112" s="86"/>
      <c r="V112" s="84"/>
      <c r="W112" s="87"/>
      <c r="X112" s="84"/>
      <c r="Y112" s="84"/>
      <c r="Z112" s="84"/>
      <c r="AA112" s="1"/>
      <c r="AB112" s="330"/>
      <c r="AC112" s="321"/>
      <c r="AD112" s="321"/>
    </row>
    <row r="113" spans="1:30" ht="15.75" customHeight="1">
      <c r="A113" s="83"/>
      <c r="B113" s="83"/>
      <c r="C113" s="83"/>
      <c r="D113" s="87"/>
      <c r="E113" s="84"/>
      <c r="F113" s="84"/>
      <c r="G113" s="83"/>
      <c r="H113" s="84"/>
      <c r="I113" s="84"/>
      <c r="J113" s="84"/>
      <c r="K113" s="88"/>
      <c r="L113" s="84"/>
      <c r="M113" s="88"/>
      <c r="N113" s="84"/>
      <c r="O113" s="88"/>
      <c r="P113" s="85"/>
      <c r="Q113" s="75"/>
      <c r="R113" s="75"/>
      <c r="S113" s="75"/>
      <c r="T113" s="75"/>
      <c r="U113" s="86"/>
      <c r="V113" s="84"/>
      <c r="W113" s="87"/>
      <c r="X113" s="84"/>
      <c r="Y113" s="84"/>
      <c r="Z113" s="84"/>
      <c r="AA113" s="1"/>
      <c r="AB113" s="330"/>
      <c r="AC113" s="321"/>
      <c r="AD113" s="321"/>
    </row>
    <row r="114" spans="1:30" ht="15.75" customHeight="1">
      <c r="A114" s="83"/>
      <c r="B114" s="83"/>
      <c r="C114" s="83"/>
      <c r="D114" s="87"/>
      <c r="E114" s="84"/>
      <c r="F114" s="84"/>
      <c r="G114" s="83"/>
      <c r="H114" s="84"/>
      <c r="I114" s="84"/>
      <c r="J114" s="84"/>
      <c r="K114" s="88"/>
      <c r="L114" s="84"/>
      <c r="M114" s="88"/>
      <c r="N114" s="84"/>
      <c r="O114" s="88"/>
      <c r="P114" s="85"/>
      <c r="Q114" s="75"/>
      <c r="R114" s="75"/>
      <c r="S114" s="75"/>
      <c r="T114" s="75"/>
      <c r="U114" s="86"/>
      <c r="V114" s="84"/>
      <c r="W114" s="87"/>
      <c r="X114" s="84"/>
      <c r="Y114" s="84"/>
      <c r="Z114" s="84"/>
      <c r="AA114" s="1"/>
      <c r="AB114" s="330"/>
      <c r="AC114" s="321"/>
      <c r="AD114" s="321"/>
    </row>
    <row r="115" spans="1:30" ht="15.75" customHeight="1">
      <c r="A115" s="83"/>
      <c r="B115" s="83"/>
      <c r="C115" s="83"/>
      <c r="D115" s="87"/>
      <c r="E115" s="84"/>
      <c r="F115" s="84"/>
      <c r="G115" s="83"/>
      <c r="H115" s="84"/>
      <c r="I115" s="84"/>
      <c r="J115" s="84"/>
      <c r="K115" s="88"/>
      <c r="L115" s="84"/>
      <c r="M115" s="88"/>
      <c r="N115" s="84"/>
      <c r="O115" s="88"/>
      <c r="P115" s="85"/>
      <c r="Q115" s="75"/>
      <c r="R115" s="75"/>
      <c r="S115" s="75"/>
      <c r="T115" s="75"/>
      <c r="U115" s="86"/>
      <c r="V115" s="84"/>
      <c r="W115" s="87"/>
      <c r="X115" s="84"/>
      <c r="Y115" s="84"/>
      <c r="Z115" s="84"/>
      <c r="AA115" s="1"/>
      <c r="AB115" s="330"/>
      <c r="AC115" s="321"/>
      <c r="AD115" s="321"/>
    </row>
    <row r="116" spans="1:30" ht="15.75" customHeight="1">
      <c r="A116" s="83"/>
      <c r="B116" s="83"/>
      <c r="C116" s="83"/>
      <c r="D116" s="87"/>
      <c r="E116" s="84"/>
      <c r="F116" s="84"/>
      <c r="G116" s="83"/>
      <c r="H116" s="84"/>
      <c r="I116" s="84"/>
      <c r="J116" s="84"/>
      <c r="K116" s="88"/>
      <c r="L116" s="84"/>
      <c r="M116" s="88"/>
      <c r="N116" s="84"/>
      <c r="O116" s="88"/>
      <c r="P116" s="85"/>
      <c r="Q116" s="75"/>
      <c r="R116" s="75"/>
      <c r="S116" s="75"/>
      <c r="T116" s="75"/>
      <c r="U116" s="86"/>
      <c r="V116" s="84"/>
      <c r="W116" s="87"/>
      <c r="X116" s="84"/>
      <c r="Y116" s="84"/>
      <c r="Z116" s="84"/>
      <c r="AA116" s="1"/>
      <c r="AB116" s="330"/>
      <c r="AC116" s="321"/>
      <c r="AD116" s="321"/>
    </row>
    <row r="117" spans="1:30" ht="15.75" customHeight="1">
      <c r="A117" s="83"/>
      <c r="B117" s="83"/>
      <c r="C117" s="83"/>
      <c r="D117" s="87"/>
      <c r="E117" s="84"/>
      <c r="F117" s="84"/>
      <c r="G117" s="83"/>
      <c r="H117" s="84"/>
      <c r="I117" s="84"/>
      <c r="J117" s="84"/>
      <c r="K117" s="88"/>
      <c r="L117" s="84"/>
      <c r="M117" s="88"/>
      <c r="N117" s="84"/>
      <c r="O117" s="88"/>
      <c r="P117" s="85"/>
      <c r="Q117" s="75"/>
      <c r="R117" s="75"/>
      <c r="S117" s="75"/>
      <c r="T117" s="75"/>
      <c r="U117" s="86"/>
      <c r="V117" s="84"/>
      <c r="W117" s="87"/>
      <c r="X117" s="84"/>
      <c r="Y117" s="84"/>
      <c r="Z117" s="84"/>
      <c r="AA117" s="1"/>
      <c r="AB117" s="330"/>
      <c r="AC117" s="321"/>
      <c r="AD117" s="321"/>
    </row>
    <row r="118" spans="1:30" ht="15.75" customHeight="1">
      <c r="A118" s="83"/>
      <c r="B118" s="83"/>
      <c r="C118" s="83"/>
      <c r="D118" s="87"/>
      <c r="E118" s="84"/>
      <c r="F118" s="84"/>
      <c r="G118" s="83"/>
      <c r="H118" s="84"/>
      <c r="I118" s="84"/>
      <c r="J118" s="84"/>
      <c r="K118" s="88"/>
      <c r="L118" s="84"/>
      <c r="M118" s="88"/>
      <c r="N118" s="84"/>
      <c r="O118" s="88"/>
      <c r="P118" s="85"/>
      <c r="Q118" s="75"/>
      <c r="R118" s="75"/>
      <c r="S118" s="75"/>
      <c r="T118" s="75"/>
      <c r="U118" s="86"/>
      <c r="V118" s="84"/>
      <c r="W118" s="87"/>
      <c r="X118" s="84"/>
      <c r="Y118" s="84"/>
      <c r="Z118" s="84"/>
      <c r="AA118" s="1"/>
      <c r="AB118" s="330"/>
      <c r="AC118" s="321"/>
      <c r="AD118" s="321"/>
    </row>
    <row r="119" spans="1:30" ht="15.75" customHeight="1">
      <c r="A119" s="83"/>
      <c r="B119" s="83"/>
      <c r="C119" s="83"/>
      <c r="D119" s="87"/>
      <c r="E119" s="84"/>
      <c r="F119" s="84"/>
      <c r="G119" s="83"/>
      <c r="H119" s="84"/>
      <c r="I119" s="84"/>
      <c r="J119" s="84"/>
      <c r="K119" s="88"/>
      <c r="L119" s="84"/>
      <c r="M119" s="88"/>
      <c r="N119" s="84"/>
      <c r="O119" s="88"/>
      <c r="P119" s="85"/>
      <c r="Q119" s="75"/>
      <c r="R119" s="75"/>
      <c r="S119" s="75"/>
      <c r="T119" s="75"/>
      <c r="U119" s="86"/>
      <c r="V119" s="84"/>
      <c r="W119" s="87"/>
      <c r="X119" s="84"/>
      <c r="Y119" s="84"/>
      <c r="Z119" s="84"/>
      <c r="AA119" s="1"/>
      <c r="AB119" s="330"/>
      <c r="AC119" s="321"/>
      <c r="AD119" s="321"/>
    </row>
    <row r="120" spans="1:30" ht="15.75" customHeight="1">
      <c r="A120" s="83"/>
      <c r="B120" s="83"/>
      <c r="C120" s="83"/>
      <c r="D120" s="87"/>
      <c r="E120" s="84"/>
      <c r="F120" s="84"/>
      <c r="G120" s="83"/>
      <c r="H120" s="84"/>
      <c r="I120" s="84"/>
      <c r="J120" s="84"/>
      <c r="K120" s="88"/>
      <c r="L120" s="84"/>
      <c r="M120" s="88"/>
      <c r="N120" s="84"/>
      <c r="O120" s="88"/>
      <c r="P120" s="85"/>
      <c r="Q120" s="75"/>
      <c r="R120" s="75"/>
      <c r="S120" s="75"/>
      <c r="T120" s="75"/>
      <c r="U120" s="86"/>
      <c r="V120" s="84"/>
      <c r="W120" s="87"/>
      <c r="X120" s="84"/>
      <c r="Y120" s="84"/>
      <c r="Z120" s="84"/>
      <c r="AA120" s="1"/>
      <c r="AB120" s="330"/>
      <c r="AC120" s="321"/>
      <c r="AD120" s="321"/>
    </row>
    <row r="121" spans="1:30" ht="15.75" customHeight="1">
      <c r="A121" s="83"/>
      <c r="B121" s="83"/>
      <c r="C121" s="83"/>
      <c r="D121" s="87"/>
      <c r="E121" s="84"/>
      <c r="F121" s="84"/>
      <c r="G121" s="83"/>
      <c r="H121" s="84"/>
      <c r="I121" s="84"/>
      <c r="J121" s="84"/>
      <c r="K121" s="88"/>
      <c r="L121" s="84"/>
      <c r="M121" s="88"/>
      <c r="N121" s="84"/>
      <c r="O121" s="88"/>
      <c r="P121" s="85"/>
      <c r="Q121" s="75"/>
      <c r="R121" s="75"/>
      <c r="S121" s="75"/>
      <c r="T121" s="75"/>
      <c r="U121" s="86"/>
      <c r="V121" s="84"/>
      <c r="W121" s="87"/>
      <c r="X121" s="84"/>
      <c r="Y121" s="84"/>
      <c r="Z121" s="84"/>
      <c r="AA121" s="1"/>
      <c r="AB121" s="330"/>
      <c r="AC121" s="321"/>
      <c r="AD121" s="321"/>
    </row>
    <row r="122" spans="1:30" ht="15.75" customHeight="1">
      <c r="A122" s="83"/>
      <c r="B122" s="83"/>
      <c r="C122" s="83"/>
      <c r="D122" s="87"/>
      <c r="E122" s="84"/>
      <c r="F122" s="84"/>
      <c r="G122" s="83"/>
      <c r="H122" s="84"/>
      <c r="I122" s="84"/>
      <c r="J122" s="84"/>
      <c r="K122" s="88"/>
      <c r="L122" s="84"/>
      <c r="M122" s="88"/>
      <c r="N122" s="84"/>
      <c r="O122" s="88"/>
      <c r="P122" s="85"/>
      <c r="Q122" s="75"/>
      <c r="R122" s="75"/>
      <c r="S122" s="75"/>
      <c r="T122" s="75"/>
      <c r="U122" s="86"/>
      <c r="V122" s="84"/>
      <c r="W122" s="87"/>
      <c r="X122" s="84"/>
      <c r="Y122" s="84"/>
      <c r="Z122" s="84"/>
      <c r="AA122" s="1"/>
      <c r="AB122" s="330"/>
      <c r="AC122" s="321"/>
      <c r="AD122" s="321"/>
    </row>
    <row r="123" spans="1:30" ht="15.75" customHeight="1">
      <c r="A123" s="83"/>
      <c r="B123" s="83"/>
      <c r="C123" s="83"/>
      <c r="D123" s="87"/>
      <c r="E123" s="84"/>
      <c r="F123" s="84"/>
      <c r="G123" s="83"/>
      <c r="H123" s="84"/>
      <c r="I123" s="84"/>
      <c r="J123" s="84"/>
      <c r="K123" s="88"/>
      <c r="L123" s="84"/>
      <c r="M123" s="88"/>
      <c r="N123" s="84"/>
      <c r="O123" s="88"/>
      <c r="P123" s="85"/>
      <c r="Q123" s="75"/>
      <c r="R123" s="75"/>
      <c r="S123" s="75"/>
      <c r="T123" s="75"/>
      <c r="U123" s="86"/>
      <c r="V123" s="84"/>
      <c r="W123" s="87"/>
      <c r="X123" s="84"/>
      <c r="Y123" s="84"/>
      <c r="Z123" s="84"/>
      <c r="AA123" s="1"/>
      <c r="AB123" s="330"/>
      <c r="AC123" s="321"/>
      <c r="AD123" s="321"/>
    </row>
    <row r="124" spans="1:30" ht="15.75" customHeight="1">
      <c r="A124" s="83"/>
      <c r="B124" s="83"/>
      <c r="C124" s="83"/>
      <c r="D124" s="87"/>
      <c r="E124" s="84"/>
      <c r="F124" s="84"/>
      <c r="G124" s="83"/>
      <c r="H124" s="84"/>
      <c r="I124" s="84"/>
      <c r="J124" s="84"/>
      <c r="K124" s="88"/>
      <c r="L124" s="84"/>
      <c r="M124" s="88"/>
      <c r="N124" s="84"/>
      <c r="O124" s="88"/>
      <c r="P124" s="85"/>
      <c r="Q124" s="75"/>
      <c r="R124" s="75"/>
      <c r="S124" s="75"/>
      <c r="T124" s="75"/>
      <c r="U124" s="86"/>
      <c r="V124" s="84"/>
      <c r="W124" s="87"/>
      <c r="X124" s="84"/>
      <c r="Y124" s="84"/>
      <c r="Z124" s="84"/>
      <c r="AA124" s="1"/>
      <c r="AB124" s="330"/>
      <c r="AC124" s="321"/>
      <c r="AD124" s="321"/>
    </row>
    <row r="125" spans="1:30" ht="15.75" customHeight="1">
      <c r="A125" s="83"/>
      <c r="B125" s="83"/>
      <c r="C125" s="83"/>
      <c r="D125" s="87"/>
      <c r="E125" s="84"/>
      <c r="F125" s="84"/>
      <c r="G125" s="83"/>
      <c r="H125" s="84"/>
      <c r="I125" s="84"/>
      <c r="J125" s="84"/>
      <c r="K125" s="88"/>
      <c r="L125" s="84"/>
      <c r="M125" s="88"/>
      <c r="N125" s="84"/>
      <c r="O125" s="88"/>
      <c r="P125" s="85"/>
      <c r="Q125" s="75"/>
      <c r="R125" s="75"/>
      <c r="S125" s="75"/>
      <c r="T125" s="75"/>
      <c r="U125" s="86"/>
      <c r="V125" s="84"/>
      <c r="W125" s="87"/>
      <c r="X125" s="84"/>
      <c r="Y125" s="84"/>
      <c r="Z125" s="84"/>
      <c r="AA125" s="1"/>
      <c r="AB125" s="330"/>
      <c r="AC125" s="321"/>
      <c r="AD125" s="321"/>
    </row>
    <row r="126" spans="1:30" ht="15.75" customHeight="1">
      <c r="A126" s="83"/>
      <c r="B126" s="83"/>
      <c r="C126" s="83"/>
      <c r="D126" s="87"/>
      <c r="E126" s="84"/>
      <c r="F126" s="84"/>
      <c r="G126" s="83"/>
      <c r="H126" s="84"/>
      <c r="I126" s="84"/>
      <c r="J126" s="84"/>
      <c r="K126" s="88"/>
      <c r="L126" s="84"/>
      <c r="M126" s="88"/>
      <c r="N126" s="84"/>
      <c r="O126" s="88"/>
      <c r="P126" s="85"/>
      <c r="Q126" s="75"/>
      <c r="R126" s="75"/>
      <c r="S126" s="75"/>
      <c r="T126" s="75"/>
      <c r="U126" s="86"/>
      <c r="V126" s="84"/>
      <c r="W126" s="87"/>
      <c r="X126" s="84"/>
      <c r="Y126" s="84"/>
      <c r="Z126" s="84"/>
      <c r="AA126" s="1"/>
      <c r="AB126" s="330"/>
      <c r="AC126" s="321"/>
      <c r="AD126" s="321"/>
    </row>
    <row r="127" spans="1:30" ht="15.75" customHeight="1">
      <c r="A127" s="83"/>
      <c r="B127" s="83"/>
      <c r="C127" s="83"/>
      <c r="D127" s="87"/>
      <c r="E127" s="84"/>
      <c r="F127" s="84"/>
      <c r="G127" s="83"/>
      <c r="H127" s="84"/>
      <c r="I127" s="84"/>
      <c r="J127" s="84"/>
      <c r="K127" s="88"/>
      <c r="L127" s="84"/>
      <c r="M127" s="88"/>
      <c r="N127" s="84"/>
      <c r="O127" s="88"/>
      <c r="P127" s="85"/>
      <c r="Q127" s="75"/>
      <c r="R127" s="75"/>
      <c r="S127" s="75"/>
      <c r="T127" s="75"/>
      <c r="U127" s="86"/>
      <c r="V127" s="84"/>
      <c r="W127" s="87"/>
      <c r="X127" s="84"/>
      <c r="Y127" s="84"/>
      <c r="Z127" s="84"/>
      <c r="AA127" s="1"/>
      <c r="AB127" s="330"/>
      <c r="AC127" s="321"/>
      <c r="AD127" s="321"/>
    </row>
    <row r="128" spans="1:30" ht="15.75" customHeight="1">
      <c r="A128" s="83"/>
      <c r="B128" s="83"/>
      <c r="C128" s="83"/>
      <c r="D128" s="87"/>
      <c r="E128" s="84"/>
      <c r="F128" s="84"/>
      <c r="G128" s="83"/>
      <c r="H128" s="84"/>
      <c r="I128" s="84"/>
      <c r="J128" s="84"/>
      <c r="K128" s="88"/>
      <c r="L128" s="84"/>
      <c r="M128" s="88"/>
      <c r="N128" s="84"/>
      <c r="O128" s="88"/>
      <c r="P128" s="85"/>
      <c r="Q128" s="75"/>
      <c r="R128" s="75"/>
      <c r="S128" s="75"/>
      <c r="T128" s="75"/>
      <c r="U128" s="86"/>
      <c r="V128" s="84"/>
      <c r="W128" s="87"/>
      <c r="X128" s="84"/>
      <c r="Y128" s="84"/>
      <c r="Z128" s="84"/>
      <c r="AA128" s="1"/>
      <c r="AB128" s="330"/>
      <c r="AC128" s="321"/>
      <c r="AD128" s="321"/>
    </row>
    <row r="129" spans="1:30" ht="15.75" customHeight="1">
      <c r="A129" s="83"/>
      <c r="B129" s="83"/>
      <c r="C129" s="83"/>
      <c r="D129" s="87"/>
      <c r="E129" s="84"/>
      <c r="F129" s="84"/>
      <c r="G129" s="83"/>
      <c r="H129" s="84"/>
      <c r="I129" s="84"/>
      <c r="J129" s="84"/>
      <c r="K129" s="88"/>
      <c r="L129" s="84"/>
      <c r="M129" s="88"/>
      <c r="N129" s="84"/>
      <c r="O129" s="88"/>
      <c r="P129" s="85"/>
      <c r="Q129" s="75"/>
      <c r="R129" s="75"/>
      <c r="S129" s="75"/>
      <c r="T129" s="75"/>
      <c r="U129" s="86"/>
      <c r="V129" s="84"/>
      <c r="W129" s="87"/>
      <c r="X129" s="84"/>
      <c r="Y129" s="84"/>
      <c r="Z129" s="84"/>
      <c r="AA129" s="1"/>
      <c r="AB129" s="330"/>
      <c r="AC129" s="321"/>
      <c r="AD129" s="321"/>
    </row>
    <row r="130" spans="1:30" ht="15.75" customHeight="1">
      <c r="A130" s="83"/>
      <c r="B130" s="83"/>
      <c r="C130" s="83"/>
      <c r="D130" s="87"/>
      <c r="E130" s="84"/>
      <c r="F130" s="84"/>
      <c r="G130" s="83"/>
      <c r="H130" s="84"/>
      <c r="I130" s="84"/>
      <c r="J130" s="84"/>
      <c r="K130" s="88"/>
      <c r="L130" s="84"/>
      <c r="M130" s="88"/>
      <c r="N130" s="84"/>
      <c r="O130" s="88"/>
      <c r="P130" s="85"/>
      <c r="Q130" s="75"/>
      <c r="R130" s="75"/>
      <c r="S130" s="75"/>
      <c r="T130" s="75"/>
      <c r="U130" s="86"/>
      <c r="V130" s="84"/>
      <c r="W130" s="87"/>
      <c r="X130" s="84"/>
      <c r="Y130" s="84"/>
      <c r="Z130" s="84"/>
      <c r="AA130" s="1"/>
      <c r="AB130" s="330"/>
      <c r="AC130" s="321"/>
      <c r="AD130" s="321"/>
    </row>
    <row r="131" spans="1:30" ht="15.75" customHeight="1">
      <c r="A131" s="83"/>
      <c r="B131" s="83"/>
      <c r="C131" s="83"/>
      <c r="D131" s="87"/>
      <c r="E131" s="84"/>
      <c r="F131" s="84"/>
      <c r="G131" s="83"/>
      <c r="H131" s="84"/>
      <c r="I131" s="84"/>
      <c r="J131" s="84"/>
      <c r="K131" s="88"/>
      <c r="L131" s="84"/>
      <c r="M131" s="88"/>
      <c r="N131" s="84"/>
      <c r="O131" s="88"/>
      <c r="P131" s="85"/>
      <c r="Q131" s="75"/>
      <c r="R131" s="75"/>
      <c r="S131" s="75"/>
      <c r="T131" s="75"/>
      <c r="U131" s="86"/>
      <c r="V131" s="84"/>
      <c r="W131" s="87"/>
      <c r="X131" s="84"/>
      <c r="Y131" s="84"/>
      <c r="Z131" s="84"/>
      <c r="AA131" s="1"/>
      <c r="AB131" s="330"/>
      <c r="AC131" s="321"/>
      <c r="AD131" s="321"/>
    </row>
    <row r="132" spans="1:30" ht="15.75" customHeight="1">
      <c r="A132" s="83"/>
      <c r="B132" s="83"/>
      <c r="C132" s="83"/>
      <c r="D132" s="87"/>
      <c r="E132" s="84"/>
      <c r="F132" s="84"/>
      <c r="G132" s="83"/>
      <c r="H132" s="84"/>
      <c r="I132" s="84"/>
      <c r="J132" s="84"/>
      <c r="K132" s="88"/>
      <c r="L132" s="84"/>
      <c r="M132" s="88"/>
      <c r="N132" s="84"/>
      <c r="O132" s="88"/>
      <c r="P132" s="85"/>
      <c r="Q132" s="75"/>
      <c r="R132" s="75"/>
      <c r="S132" s="75"/>
      <c r="T132" s="75"/>
      <c r="U132" s="86"/>
      <c r="V132" s="84"/>
      <c r="W132" s="87"/>
      <c r="X132" s="84"/>
      <c r="Y132" s="84"/>
      <c r="Z132" s="84"/>
      <c r="AA132" s="1"/>
      <c r="AB132" s="330"/>
      <c r="AC132" s="321"/>
      <c r="AD132" s="321"/>
    </row>
    <row r="133" spans="1:30" ht="15.75" customHeight="1">
      <c r="A133" s="83"/>
      <c r="B133" s="83"/>
      <c r="C133" s="83"/>
      <c r="D133" s="87"/>
      <c r="E133" s="84"/>
      <c r="F133" s="84"/>
      <c r="G133" s="83"/>
      <c r="H133" s="84"/>
      <c r="I133" s="84"/>
      <c r="J133" s="84"/>
      <c r="K133" s="88"/>
      <c r="L133" s="84"/>
      <c r="M133" s="88"/>
      <c r="N133" s="84"/>
      <c r="O133" s="88"/>
      <c r="P133" s="85"/>
      <c r="Q133" s="75"/>
      <c r="R133" s="75"/>
      <c r="S133" s="75"/>
      <c r="T133" s="75"/>
      <c r="U133" s="86"/>
      <c r="V133" s="84"/>
      <c r="W133" s="87"/>
      <c r="X133" s="84"/>
      <c r="Y133" s="84"/>
      <c r="Z133" s="84"/>
      <c r="AA133" s="1"/>
      <c r="AB133" s="330"/>
      <c r="AC133" s="321"/>
      <c r="AD133" s="321"/>
    </row>
    <row r="134" spans="1:30" ht="15.75" customHeight="1">
      <c r="A134" s="83"/>
      <c r="B134" s="83"/>
      <c r="C134" s="83"/>
      <c r="D134" s="87"/>
      <c r="E134" s="84"/>
      <c r="F134" s="84"/>
      <c r="G134" s="83"/>
      <c r="H134" s="84"/>
      <c r="I134" s="84"/>
      <c r="J134" s="84"/>
      <c r="K134" s="88"/>
      <c r="L134" s="84"/>
      <c r="M134" s="88"/>
      <c r="N134" s="84"/>
      <c r="O134" s="88"/>
      <c r="P134" s="85"/>
      <c r="Q134" s="75"/>
      <c r="R134" s="75"/>
      <c r="S134" s="75"/>
      <c r="T134" s="75"/>
      <c r="U134" s="86"/>
      <c r="V134" s="84"/>
      <c r="W134" s="87"/>
      <c r="X134" s="84"/>
      <c r="Y134" s="84"/>
      <c r="Z134" s="84"/>
      <c r="AA134" s="1"/>
      <c r="AB134" s="330"/>
      <c r="AC134" s="321"/>
      <c r="AD134" s="321"/>
    </row>
    <row r="135" spans="1:30" ht="15.75" customHeight="1">
      <c r="A135" s="83"/>
      <c r="B135" s="83"/>
      <c r="C135" s="83"/>
      <c r="D135" s="87"/>
      <c r="E135" s="84"/>
      <c r="F135" s="84"/>
      <c r="G135" s="83"/>
      <c r="H135" s="84"/>
      <c r="I135" s="84"/>
      <c r="J135" s="84"/>
      <c r="K135" s="88"/>
      <c r="L135" s="84"/>
      <c r="M135" s="88"/>
      <c r="N135" s="84"/>
      <c r="O135" s="88"/>
      <c r="P135" s="85"/>
      <c r="Q135" s="75"/>
      <c r="R135" s="75"/>
      <c r="S135" s="75"/>
      <c r="T135" s="75"/>
      <c r="U135" s="86"/>
      <c r="V135" s="84"/>
      <c r="W135" s="87"/>
      <c r="X135" s="84"/>
      <c r="Y135" s="84"/>
      <c r="Z135" s="84"/>
      <c r="AA135" s="1"/>
      <c r="AB135" s="330"/>
      <c r="AC135" s="321"/>
      <c r="AD135" s="321"/>
    </row>
    <row r="136" spans="1:30" ht="15.75" customHeight="1">
      <c r="A136" s="83"/>
      <c r="B136" s="83"/>
      <c r="C136" s="83"/>
      <c r="D136" s="87"/>
      <c r="E136" s="84"/>
      <c r="F136" s="84"/>
      <c r="G136" s="83"/>
      <c r="H136" s="84"/>
      <c r="I136" s="84"/>
      <c r="J136" s="84"/>
      <c r="K136" s="88"/>
      <c r="L136" s="84"/>
      <c r="M136" s="88"/>
      <c r="N136" s="84"/>
      <c r="O136" s="88"/>
      <c r="P136" s="85"/>
      <c r="Q136" s="75"/>
      <c r="R136" s="75"/>
      <c r="S136" s="75"/>
      <c r="T136" s="75"/>
      <c r="U136" s="86"/>
      <c r="V136" s="84"/>
      <c r="W136" s="87"/>
      <c r="X136" s="84"/>
      <c r="Y136" s="84"/>
      <c r="Z136" s="84"/>
      <c r="AA136" s="1"/>
      <c r="AB136" s="330"/>
      <c r="AC136" s="321"/>
      <c r="AD136" s="321"/>
    </row>
    <row r="137" spans="1:30" ht="15.75" customHeight="1">
      <c r="A137" s="83"/>
      <c r="B137" s="83"/>
      <c r="C137" s="83"/>
      <c r="D137" s="87"/>
      <c r="E137" s="84"/>
      <c r="F137" s="84"/>
      <c r="G137" s="83"/>
      <c r="H137" s="84"/>
      <c r="I137" s="84"/>
      <c r="J137" s="84"/>
      <c r="K137" s="88"/>
      <c r="L137" s="84"/>
      <c r="M137" s="88"/>
      <c r="N137" s="84"/>
      <c r="O137" s="88"/>
      <c r="P137" s="85"/>
      <c r="Q137" s="75"/>
      <c r="R137" s="75"/>
      <c r="S137" s="75"/>
      <c r="T137" s="75"/>
      <c r="U137" s="86"/>
      <c r="V137" s="84"/>
      <c r="W137" s="87"/>
      <c r="X137" s="84"/>
      <c r="Y137" s="84"/>
      <c r="Z137" s="84"/>
      <c r="AA137" s="1"/>
      <c r="AB137" s="330"/>
      <c r="AC137" s="321"/>
      <c r="AD137" s="321"/>
    </row>
    <row r="138" spans="1:30" ht="15.75" customHeight="1">
      <c r="A138" s="83"/>
      <c r="B138" s="83"/>
      <c r="C138" s="83"/>
      <c r="D138" s="87"/>
      <c r="E138" s="84"/>
      <c r="F138" s="84"/>
      <c r="G138" s="83"/>
      <c r="H138" s="84"/>
      <c r="I138" s="84"/>
      <c r="J138" s="84"/>
      <c r="K138" s="88"/>
      <c r="L138" s="84"/>
      <c r="M138" s="88"/>
      <c r="N138" s="84"/>
      <c r="O138" s="88"/>
      <c r="P138" s="85"/>
      <c r="Q138" s="75"/>
      <c r="R138" s="75"/>
      <c r="S138" s="75"/>
      <c r="T138" s="75"/>
      <c r="U138" s="86"/>
      <c r="V138" s="84"/>
      <c r="W138" s="87"/>
      <c r="X138" s="84"/>
      <c r="Y138" s="84"/>
      <c r="Z138" s="84"/>
      <c r="AA138" s="1"/>
      <c r="AB138" s="330"/>
      <c r="AC138" s="321"/>
      <c r="AD138" s="321"/>
    </row>
    <row r="139" spans="1:30" ht="15.75" customHeight="1">
      <c r="A139" s="83"/>
      <c r="B139" s="83"/>
      <c r="C139" s="83"/>
      <c r="D139" s="87"/>
      <c r="E139" s="84"/>
      <c r="F139" s="84"/>
      <c r="G139" s="83"/>
      <c r="H139" s="84"/>
      <c r="I139" s="84"/>
      <c r="J139" s="84"/>
      <c r="K139" s="88"/>
      <c r="L139" s="84"/>
      <c r="M139" s="88"/>
      <c r="N139" s="84"/>
      <c r="O139" s="88"/>
      <c r="P139" s="85"/>
      <c r="Q139" s="75"/>
      <c r="R139" s="75"/>
      <c r="S139" s="75"/>
      <c r="T139" s="75"/>
      <c r="U139" s="86"/>
      <c r="V139" s="84"/>
      <c r="W139" s="87"/>
      <c r="X139" s="84"/>
      <c r="Y139" s="84"/>
      <c r="Z139" s="84"/>
      <c r="AA139" s="1"/>
      <c r="AB139" s="330"/>
      <c r="AC139" s="321"/>
      <c r="AD139" s="321"/>
    </row>
    <row r="140" spans="1:30" ht="15.75" customHeight="1">
      <c r="A140" s="83"/>
      <c r="B140" s="83"/>
      <c r="C140" s="83"/>
      <c r="D140" s="87"/>
      <c r="E140" s="84"/>
      <c r="F140" s="84"/>
      <c r="G140" s="83"/>
      <c r="H140" s="84"/>
      <c r="I140" s="84"/>
      <c r="J140" s="84"/>
      <c r="K140" s="88"/>
      <c r="L140" s="84"/>
      <c r="M140" s="88"/>
      <c r="N140" s="84"/>
      <c r="O140" s="88"/>
      <c r="P140" s="85"/>
      <c r="Q140" s="75"/>
      <c r="R140" s="75"/>
      <c r="S140" s="75"/>
      <c r="T140" s="75"/>
      <c r="U140" s="86"/>
      <c r="V140" s="84"/>
      <c r="W140" s="87"/>
      <c r="X140" s="84"/>
      <c r="Y140" s="84"/>
      <c r="Z140" s="84"/>
      <c r="AA140" s="1"/>
      <c r="AB140" s="330"/>
      <c r="AC140" s="321"/>
      <c r="AD140" s="321"/>
    </row>
    <row r="141" spans="1:30" ht="15.75" customHeight="1">
      <c r="A141" s="83"/>
      <c r="B141" s="83"/>
      <c r="C141" s="83"/>
      <c r="D141" s="87"/>
      <c r="E141" s="84"/>
      <c r="F141" s="84"/>
      <c r="G141" s="83"/>
      <c r="H141" s="84"/>
      <c r="I141" s="84"/>
      <c r="J141" s="84"/>
      <c r="K141" s="88"/>
      <c r="L141" s="84"/>
      <c r="M141" s="88"/>
      <c r="N141" s="84"/>
      <c r="O141" s="88"/>
      <c r="P141" s="85"/>
      <c r="Q141" s="75"/>
      <c r="R141" s="75"/>
      <c r="S141" s="75"/>
      <c r="T141" s="75"/>
      <c r="U141" s="86"/>
      <c r="V141" s="84"/>
      <c r="W141" s="87"/>
      <c r="X141" s="84"/>
      <c r="Y141" s="84"/>
      <c r="Z141" s="84"/>
      <c r="AA141" s="1"/>
      <c r="AB141" s="330"/>
      <c r="AC141" s="321"/>
      <c r="AD141" s="321"/>
    </row>
    <row r="142" spans="1:30" ht="15.75" customHeight="1">
      <c r="A142" s="83"/>
      <c r="B142" s="83"/>
      <c r="C142" s="83"/>
      <c r="D142" s="87"/>
      <c r="E142" s="84"/>
      <c r="F142" s="84"/>
      <c r="G142" s="83"/>
      <c r="H142" s="84"/>
      <c r="I142" s="84"/>
      <c r="J142" s="84"/>
      <c r="K142" s="88"/>
      <c r="L142" s="84"/>
      <c r="M142" s="88"/>
      <c r="N142" s="84"/>
      <c r="O142" s="88"/>
      <c r="P142" s="85"/>
      <c r="Q142" s="75"/>
      <c r="R142" s="75"/>
      <c r="S142" s="75"/>
      <c r="T142" s="75"/>
      <c r="U142" s="86"/>
      <c r="V142" s="84"/>
      <c r="W142" s="87"/>
      <c r="X142" s="84"/>
      <c r="Y142" s="84"/>
      <c r="Z142" s="84"/>
      <c r="AA142" s="1"/>
      <c r="AB142" s="330"/>
      <c r="AC142" s="321"/>
      <c r="AD142" s="321"/>
    </row>
    <row r="143" spans="1:30" ht="15.75" customHeight="1">
      <c r="A143" s="83"/>
      <c r="B143" s="83"/>
      <c r="C143" s="83"/>
      <c r="D143" s="87"/>
      <c r="E143" s="84"/>
      <c r="F143" s="84"/>
      <c r="G143" s="83"/>
      <c r="H143" s="84"/>
      <c r="I143" s="84"/>
      <c r="J143" s="84"/>
      <c r="K143" s="88"/>
      <c r="L143" s="84"/>
      <c r="M143" s="88"/>
      <c r="N143" s="84"/>
      <c r="O143" s="88"/>
      <c r="P143" s="85"/>
      <c r="Q143" s="75"/>
      <c r="R143" s="75"/>
      <c r="S143" s="75"/>
      <c r="T143" s="75"/>
      <c r="U143" s="86"/>
      <c r="V143" s="84"/>
      <c r="W143" s="87"/>
      <c r="X143" s="84"/>
      <c r="Y143" s="84"/>
      <c r="Z143" s="84"/>
      <c r="AA143" s="1"/>
      <c r="AB143" s="330"/>
      <c r="AC143" s="321"/>
      <c r="AD143" s="321"/>
    </row>
    <row r="144" spans="1:30" ht="15.75" customHeight="1">
      <c r="A144" s="83"/>
      <c r="B144" s="83"/>
      <c r="C144" s="83"/>
      <c r="D144" s="87"/>
      <c r="E144" s="84"/>
      <c r="F144" s="84"/>
      <c r="G144" s="83"/>
      <c r="H144" s="84"/>
      <c r="I144" s="84"/>
      <c r="J144" s="84"/>
      <c r="K144" s="88"/>
      <c r="L144" s="84"/>
      <c r="M144" s="88"/>
      <c r="N144" s="84"/>
      <c r="O144" s="88"/>
      <c r="P144" s="85"/>
      <c r="Q144" s="75"/>
      <c r="R144" s="75"/>
      <c r="S144" s="75"/>
      <c r="T144" s="75"/>
      <c r="U144" s="86"/>
      <c r="V144" s="84"/>
      <c r="W144" s="87"/>
      <c r="X144" s="84"/>
      <c r="Y144" s="84"/>
      <c r="Z144" s="84"/>
      <c r="AA144" s="1"/>
      <c r="AB144" s="330"/>
      <c r="AC144" s="321"/>
      <c r="AD144" s="321"/>
    </row>
    <row r="145" spans="1:30" ht="15.75" customHeight="1">
      <c r="A145" s="83"/>
      <c r="B145" s="83"/>
      <c r="C145" s="83"/>
      <c r="D145" s="87"/>
      <c r="E145" s="84"/>
      <c r="F145" s="84"/>
      <c r="G145" s="83"/>
      <c r="H145" s="84"/>
      <c r="I145" s="84"/>
      <c r="J145" s="84"/>
      <c r="K145" s="88"/>
      <c r="L145" s="84"/>
      <c r="M145" s="88"/>
      <c r="N145" s="84"/>
      <c r="O145" s="88"/>
      <c r="P145" s="85"/>
      <c r="Q145" s="75"/>
      <c r="R145" s="75"/>
      <c r="S145" s="75"/>
      <c r="T145" s="75"/>
      <c r="U145" s="86"/>
      <c r="V145" s="84"/>
      <c r="W145" s="87"/>
      <c r="X145" s="84"/>
      <c r="Y145" s="84"/>
      <c r="Z145" s="84"/>
      <c r="AA145" s="1"/>
      <c r="AB145" s="330"/>
      <c r="AC145" s="321"/>
      <c r="AD145" s="321"/>
    </row>
    <row r="146" spans="1:30" ht="15.75" customHeight="1">
      <c r="A146" s="83"/>
      <c r="B146" s="83"/>
      <c r="C146" s="83"/>
      <c r="D146" s="87"/>
      <c r="E146" s="84"/>
      <c r="F146" s="84"/>
      <c r="G146" s="83"/>
      <c r="H146" s="84"/>
      <c r="I146" s="84"/>
      <c r="J146" s="84"/>
      <c r="K146" s="88"/>
      <c r="L146" s="84"/>
      <c r="M146" s="88"/>
      <c r="N146" s="84"/>
      <c r="O146" s="88"/>
      <c r="P146" s="85"/>
      <c r="Q146" s="75"/>
      <c r="R146" s="75"/>
      <c r="S146" s="75"/>
      <c r="T146" s="75"/>
      <c r="U146" s="86"/>
      <c r="V146" s="84"/>
      <c r="W146" s="87"/>
      <c r="X146" s="84"/>
      <c r="Y146" s="84"/>
      <c r="Z146" s="84"/>
      <c r="AA146" s="1"/>
      <c r="AB146" s="330"/>
      <c r="AC146" s="321"/>
      <c r="AD146" s="321"/>
    </row>
    <row r="147" spans="1:30" ht="15.75" customHeight="1">
      <c r="A147" s="83"/>
      <c r="B147" s="83"/>
      <c r="C147" s="83"/>
      <c r="D147" s="87"/>
      <c r="E147" s="84"/>
      <c r="F147" s="84"/>
      <c r="G147" s="83"/>
      <c r="H147" s="84"/>
      <c r="I147" s="84"/>
      <c r="J147" s="84"/>
      <c r="K147" s="88"/>
      <c r="L147" s="84"/>
      <c r="M147" s="88"/>
      <c r="N147" s="84"/>
      <c r="O147" s="88"/>
      <c r="P147" s="85"/>
      <c r="Q147" s="75"/>
      <c r="R147" s="75"/>
      <c r="S147" s="75"/>
      <c r="T147" s="75"/>
      <c r="U147" s="86"/>
      <c r="V147" s="84"/>
      <c r="W147" s="87"/>
      <c r="X147" s="84"/>
      <c r="Y147" s="84"/>
      <c r="Z147" s="84"/>
      <c r="AA147" s="1"/>
      <c r="AB147" s="330"/>
      <c r="AC147" s="321"/>
      <c r="AD147" s="321"/>
    </row>
    <row r="148" spans="1:30" ht="15.75" customHeight="1">
      <c r="A148" s="83"/>
      <c r="B148" s="83"/>
      <c r="C148" s="83"/>
      <c r="D148" s="87"/>
      <c r="E148" s="84"/>
      <c r="F148" s="84"/>
      <c r="G148" s="83"/>
      <c r="H148" s="84"/>
      <c r="I148" s="84"/>
      <c r="J148" s="84"/>
      <c r="K148" s="88"/>
      <c r="L148" s="84"/>
      <c r="M148" s="88"/>
      <c r="N148" s="84"/>
      <c r="O148" s="88"/>
      <c r="P148" s="85"/>
      <c r="Q148" s="75"/>
      <c r="R148" s="75"/>
      <c r="S148" s="75"/>
      <c r="T148" s="75"/>
      <c r="U148" s="86"/>
      <c r="V148" s="84"/>
      <c r="W148" s="87"/>
      <c r="X148" s="84"/>
      <c r="Y148" s="84"/>
      <c r="Z148" s="84"/>
      <c r="AA148" s="1"/>
      <c r="AB148" s="330"/>
      <c r="AC148" s="321"/>
      <c r="AD148" s="321"/>
    </row>
    <row r="149" spans="1:30" ht="15.75" customHeight="1">
      <c r="A149" s="83"/>
      <c r="B149" s="83"/>
      <c r="C149" s="83"/>
      <c r="D149" s="87"/>
      <c r="E149" s="84"/>
      <c r="F149" s="84"/>
      <c r="G149" s="83"/>
      <c r="H149" s="84"/>
      <c r="I149" s="84"/>
      <c r="J149" s="84"/>
      <c r="K149" s="88"/>
      <c r="L149" s="84"/>
      <c r="M149" s="88"/>
      <c r="N149" s="84"/>
      <c r="O149" s="88"/>
      <c r="P149" s="85"/>
      <c r="Q149" s="75"/>
      <c r="R149" s="75"/>
      <c r="S149" s="75"/>
      <c r="T149" s="75"/>
      <c r="U149" s="86"/>
      <c r="V149" s="84"/>
      <c r="W149" s="87"/>
      <c r="X149" s="84"/>
      <c r="Y149" s="84"/>
      <c r="Z149" s="84"/>
      <c r="AA149" s="1"/>
      <c r="AB149" s="330"/>
      <c r="AC149" s="321"/>
      <c r="AD149" s="321"/>
    </row>
    <row r="150" spans="1:30" ht="15.75" customHeight="1">
      <c r="A150" s="83"/>
      <c r="B150" s="83"/>
      <c r="C150" s="83"/>
      <c r="D150" s="87"/>
      <c r="E150" s="84"/>
      <c r="F150" s="84"/>
      <c r="G150" s="83"/>
      <c r="H150" s="84"/>
      <c r="I150" s="84"/>
      <c r="J150" s="84"/>
      <c r="K150" s="88"/>
      <c r="L150" s="84"/>
      <c r="M150" s="88"/>
      <c r="N150" s="84"/>
      <c r="O150" s="88"/>
      <c r="P150" s="85"/>
      <c r="Q150" s="75"/>
      <c r="R150" s="75"/>
      <c r="S150" s="75"/>
      <c r="T150" s="75"/>
      <c r="U150" s="86"/>
      <c r="V150" s="84"/>
      <c r="W150" s="87"/>
      <c r="X150" s="84"/>
      <c r="Y150" s="84"/>
      <c r="Z150" s="84"/>
      <c r="AA150" s="1"/>
      <c r="AB150" s="330"/>
      <c r="AC150" s="321"/>
      <c r="AD150" s="321"/>
    </row>
    <row r="151" spans="1:30" ht="15.75" customHeight="1">
      <c r="A151" s="83"/>
      <c r="B151" s="83"/>
      <c r="C151" s="83"/>
      <c r="D151" s="87"/>
      <c r="E151" s="84"/>
      <c r="F151" s="84"/>
      <c r="G151" s="83"/>
      <c r="H151" s="84"/>
      <c r="I151" s="84"/>
      <c r="J151" s="84"/>
      <c r="K151" s="88"/>
      <c r="L151" s="84"/>
      <c r="M151" s="88"/>
      <c r="N151" s="84"/>
      <c r="O151" s="88"/>
      <c r="P151" s="85"/>
      <c r="Q151" s="75"/>
      <c r="R151" s="75"/>
      <c r="S151" s="75"/>
      <c r="T151" s="75"/>
      <c r="U151" s="86"/>
      <c r="V151" s="84"/>
      <c r="W151" s="87"/>
      <c r="X151" s="84"/>
      <c r="Y151" s="84"/>
      <c r="Z151" s="84"/>
      <c r="AA151" s="1"/>
      <c r="AB151" s="330"/>
      <c r="AC151" s="321"/>
      <c r="AD151" s="321"/>
    </row>
    <row r="152" spans="1:30" ht="15.75" customHeight="1">
      <c r="A152" s="83"/>
      <c r="B152" s="83"/>
      <c r="C152" s="83"/>
      <c r="D152" s="87"/>
      <c r="E152" s="84"/>
      <c r="F152" s="84"/>
      <c r="G152" s="83"/>
      <c r="H152" s="84"/>
      <c r="I152" s="84"/>
      <c r="J152" s="84"/>
      <c r="K152" s="88"/>
      <c r="L152" s="84"/>
      <c r="M152" s="88"/>
      <c r="N152" s="84"/>
      <c r="O152" s="88"/>
      <c r="P152" s="85"/>
      <c r="Q152" s="75"/>
      <c r="R152" s="75"/>
      <c r="S152" s="75"/>
      <c r="T152" s="75"/>
      <c r="U152" s="86"/>
      <c r="V152" s="84"/>
      <c r="W152" s="87"/>
      <c r="X152" s="84"/>
      <c r="Y152" s="84"/>
      <c r="Z152" s="84"/>
      <c r="AA152" s="1"/>
      <c r="AB152" s="330"/>
      <c r="AC152" s="321"/>
      <c r="AD152" s="321"/>
    </row>
    <row r="153" spans="1:30" ht="15.75" customHeight="1">
      <c r="A153" s="83"/>
      <c r="B153" s="83"/>
      <c r="C153" s="83"/>
      <c r="D153" s="87"/>
      <c r="E153" s="84"/>
      <c r="F153" s="84"/>
      <c r="G153" s="83"/>
      <c r="H153" s="84"/>
      <c r="I153" s="84"/>
      <c r="J153" s="84"/>
      <c r="K153" s="88"/>
      <c r="L153" s="84"/>
      <c r="M153" s="88"/>
      <c r="N153" s="84"/>
      <c r="O153" s="88"/>
      <c r="P153" s="85"/>
      <c r="Q153" s="75"/>
      <c r="R153" s="75"/>
      <c r="S153" s="75"/>
      <c r="T153" s="75"/>
      <c r="U153" s="86"/>
      <c r="V153" s="84"/>
      <c r="W153" s="87"/>
      <c r="X153" s="84"/>
      <c r="Y153" s="84"/>
      <c r="Z153" s="84"/>
      <c r="AA153" s="1"/>
      <c r="AB153" s="330"/>
      <c r="AC153" s="321"/>
      <c r="AD153" s="321"/>
    </row>
    <row r="154" spans="1:30" ht="15.75" customHeight="1">
      <c r="A154" s="83"/>
      <c r="B154" s="83"/>
      <c r="C154" s="83"/>
      <c r="D154" s="87"/>
      <c r="E154" s="84"/>
      <c r="F154" s="84"/>
      <c r="G154" s="83"/>
      <c r="H154" s="84"/>
      <c r="I154" s="84"/>
      <c r="J154" s="84"/>
      <c r="K154" s="88"/>
      <c r="L154" s="84"/>
      <c r="M154" s="88"/>
      <c r="N154" s="84"/>
      <c r="O154" s="88"/>
      <c r="P154" s="85"/>
      <c r="Q154" s="75"/>
      <c r="R154" s="75"/>
      <c r="S154" s="75"/>
      <c r="T154" s="75"/>
      <c r="U154" s="86"/>
      <c r="V154" s="84"/>
      <c r="W154" s="87"/>
      <c r="X154" s="84"/>
      <c r="Y154" s="84"/>
      <c r="Z154" s="84"/>
      <c r="AA154" s="1"/>
      <c r="AB154" s="330"/>
      <c r="AC154" s="321"/>
      <c r="AD154" s="321"/>
    </row>
    <row r="155" spans="1:30" ht="15.75" customHeight="1">
      <c r="A155" s="83"/>
      <c r="B155" s="83"/>
      <c r="C155" s="83"/>
      <c r="D155" s="87"/>
      <c r="E155" s="84"/>
      <c r="F155" s="84"/>
      <c r="G155" s="83"/>
      <c r="H155" s="84"/>
      <c r="I155" s="84"/>
      <c r="J155" s="84"/>
      <c r="K155" s="88"/>
      <c r="L155" s="84"/>
      <c r="M155" s="88"/>
      <c r="N155" s="84"/>
      <c r="O155" s="88"/>
      <c r="P155" s="85"/>
      <c r="Q155" s="75"/>
      <c r="R155" s="75"/>
      <c r="S155" s="75"/>
      <c r="T155" s="75"/>
      <c r="U155" s="86"/>
      <c r="V155" s="84"/>
      <c r="W155" s="87"/>
      <c r="X155" s="84"/>
      <c r="Y155" s="84"/>
      <c r="Z155" s="84"/>
      <c r="AA155" s="1"/>
      <c r="AB155" s="330"/>
      <c r="AC155" s="321"/>
      <c r="AD155" s="321"/>
    </row>
    <row r="156" spans="1:30" ht="15.75" customHeight="1">
      <c r="A156" s="83"/>
      <c r="B156" s="83"/>
      <c r="C156" s="83"/>
      <c r="D156" s="87"/>
      <c r="E156" s="84"/>
      <c r="F156" s="84"/>
      <c r="G156" s="83"/>
      <c r="H156" s="84"/>
      <c r="I156" s="84"/>
      <c r="J156" s="84"/>
      <c r="K156" s="88"/>
      <c r="L156" s="84"/>
      <c r="M156" s="88"/>
      <c r="N156" s="84"/>
      <c r="O156" s="88"/>
      <c r="P156" s="85"/>
      <c r="Q156" s="75"/>
      <c r="R156" s="75"/>
      <c r="S156" s="75"/>
      <c r="T156" s="75"/>
      <c r="U156" s="86"/>
      <c r="V156" s="84"/>
      <c r="W156" s="87"/>
      <c r="X156" s="84"/>
      <c r="Y156" s="84"/>
      <c r="Z156" s="84"/>
      <c r="AA156" s="1"/>
      <c r="AB156" s="330"/>
      <c r="AC156" s="321"/>
      <c r="AD156" s="321"/>
    </row>
    <row r="157" spans="1:30" ht="15.75" customHeight="1">
      <c r="A157" s="83"/>
      <c r="B157" s="83"/>
      <c r="C157" s="83"/>
      <c r="D157" s="87"/>
      <c r="E157" s="84"/>
      <c r="F157" s="84"/>
      <c r="G157" s="83"/>
      <c r="H157" s="84"/>
      <c r="I157" s="84"/>
      <c r="J157" s="84"/>
      <c r="K157" s="88"/>
      <c r="L157" s="84"/>
      <c r="M157" s="88"/>
      <c r="N157" s="84"/>
      <c r="O157" s="88"/>
      <c r="P157" s="85"/>
      <c r="Q157" s="75"/>
      <c r="R157" s="75"/>
      <c r="S157" s="75"/>
      <c r="T157" s="75"/>
      <c r="U157" s="86"/>
      <c r="V157" s="84"/>
      <c r="W157" s="87"/>
      <c r="X157" s="84"/>
      <c r="Y157" s="84"/>
      <c r="Z157" s="84"/>
      <c r="AA157" s="1"/>
      <c r="AB157" s="330"/>
      <c r="AC157" s="321"/>
      <c r="AD157" s="321"/>
    </row>
    <row r="158" spans="1:30" ht="15.75" customHeight="1">
      <c r="A158" s="83"/>
      <c r="B158" s="83"/>
      <c r="C158" s="83"/>
      <c r="D158" s="87"/>
      <c r="E158" s="84"/>
      <c r="F158" s="84"/>
      <c r="G158" s="83"/>
      <c r="H158" s="84"/>
      <c r="I158" s="84"/>
      <c r="J158" s="84"/>
      <c r="K158" s="88"/>
      <c r="L158" s="84"/>
      <c r="M158" s="88"/>
      <c r="N158" s="84"/>
      <c r="O158" s="88"/>
      <c r="P158" s="85"/>
      <c r="Q158" s="75"/>
      <c r="R158" s="75"/>
      <c r="S158" s="75"/>
      <c r="T158" s="75"/>
      <c r="U158" s="86"/>
      <c r="V158" s="84"/>
      <c r="W158" s="87"/>
      <c r="X158" s="84"/>
      <c r="Y158" s="84"/>
      <c r="Z158" s="84"/>
      <c r="AA158" s="1"/>
      <c r="AB158" s="330"/>
      <c r="AC158" s="321"/>
      <c r="AD158" s="321"/>
    </row>
    <row r="159" spans="1:30" ht="15.75" customHeight="1">
      <c r="A159" s="83"/>
      <c r="B159" s="83"/>
      <c r="C159" s="83"/>
      <c r="D159" s="87"/>
      <c r="E159" s="84"/>
      <c r="F159" s="84"/>
      <c r="G159" s="83"/>
      <c r="H159" s="84"/>
      <c r="I159" s="84"/>
      <c r="J159" s="84"/>
      <c r="K159" s="88"/>
      <c r="L159" s="84"/>
      <c r="M159" s="88"/>
      <c r="N159" s="84"/>
      <c r="O159" s="88"/>
      <c r="P159" s="85"/>
      <c r="Q159" s="75"/>
      <c r="R159" s="75"/>
      <c r="S159" s="75"/>
      <c r="T159" s="75"/>
      <c r="U159" s="86"/>
      <c r="V159" s="84"/>
      <c r="W159" s="87"/>
      <c r="X159" s="84"/>
      <c r="Y159" s="84"/>
      <c r="Z159" s="84"/>
      <c r="AA159" s="1"/>
      <c r="AB159" s="330"/>
      <c r="AC159" s="321"/>
      <c r="AD159" s="321"/>
    </row>
    <row r="160" spans="1:30" ht="15.75" customHeight="1">
      <c r="A160" s="83"/>
      <c r="B160" s="83"/>
      <c r="C160" s="83"/>
      <c r="D160" s="87"/>
      <c r="E160" s="84"/>
      <c r="F160" s="84"/>
      <c r="G160" s="83"/>
      <c r="H160" s="84"/>
      <c r="I160" s="84"/>
      <c r="J160" s="84"/>
      <c r="K160" s="88"/>
      <c r="L160" s="84"/>
      <c r="M160" s="88"/>
      <c r="N160" s="84"/>
      <c r="O160" s="88"/>
      <c r="P160" s="85"/>
      <c r="Q160" s="75"/>
      <c r="R160" s="75"/>
      <c r="S160" s="75"/>
      <c r="T160" s="75"/>
      <c r="U160" s="86"/>
      <c r="V160" s="84"/>
      <c r="W160" s="87"/>
      <c r="X160" s="84"/>
      <c r="Y160" s="84"/>
      <c r="Z160" s="84"/>
      <c r="AA160" s="1"/>
      <c r="AB160" s="330"/>
      <c r="AC160" s="321"/>
      <c r="AD160" s="321"/>
    </row>
    <row r="161" spans="1:30" ht="15.75" customHeight="1">
      <c r="A161" s="83"/>
      <c r="B161" s="83"/>
      <c r="C161" s="83"/>
      <c r="D161" s="87"/>
      <c r="E161" s="84"/>
      <c r="F161" s="84"/>
      <c r="G161" s="83"/>
      <c r="H161" s="84"/>
      <c r="I161" s="84"/>
      <c r="J161" s="84"/>
      <c r="K161" s="88"/>
      <c r="L161" s="84"/>
      <c r="M161" s="88"/>
      <c r="N161" s="84"/>
      <c r="O161" s="88"/>
      <c r="P161" s="85"/>
      <c r="Q161" s="75"/>
      <c r="R161" s="75"/>
      <c r="S161" s="75"/>
      <c r="T161" s="75"/>
      <c r="U161" s="86"/>
      <c r="V161" s="84"/>
      <c r="W161" s="87"/>
      <c r="X161" s="84"/>
      <c r="Y161" s="84"/>
      <c r="Z161" s="84"/>
      <c r="AA161" s="1"/>
      <c r="AB161" s="330"/>
      <c r="AC161" s="321"/>
      <c r="AD161" s="321"/>
    </row>
    <row r="162" spans="1:30" ht="15.75" customHeight="1">
      <c r="A162" s="83"/>
      <c r="B162" s="83"/>
      <c r="C162" s="83"/>
      <c r="D162" s="87"/>
      <c r="E162" s="84"/>
      <c r="F162" s="84"/>
      <c r="G162" s="83"/>
      <c r="H162" s="84"/>
      <c r="I162" s="84"/>
      <c r="J162" s="84"/>
      <c r="K162" s="88"/>
      <c r="L162" s="84"/>
      <c r="M162" s="88"/>
      <c r="N162" s="84"/>
      <c r="O162" s="88"/>
      <c r="P162" s="85"/>
      <c r="Q162" s="75"/>
      <c r="R162" s="75"/>
      <c r="S162" s="75"/>
      <c r="T162" s="75"/>
      <c r="U162" s="86"/>
      <c r="V162" s="84"/>
      <c r="W162" s="87"/>
      <c r="X162" s="84"/>
      <c r="Y162" s="84"/>
      <c r="Z162" s="84"/>
      <c r="AA162" s="1"/>
      <c r="AB162" s="330"/>
      <c r="AC162" s="321"/>
      <c r="AD162" s="321"/>
    </row>
    <row r="163" spans="1:30" ht="15.75" customHeight="1">
      <c r="A163" s="83"/>
      <c r="B163" s="83"/>
      <c r="C163" s="83"/>
      <c r="D163" s="87"/>
      <c r="E163" s="84"/>
      <c r="F163" s="84"/>
      <c r="G163" s="83"/>
      <c r="H163" s="84"/>
      <c r="I163" s="84"/>
      <c r="J163" s="84"/>
      <c r="K163" s="88"/>
      <c r="L163" s="84"/>
      <c r="M163" s="88"/>
      <c r="N163" s="84"/>
      <c r="O163" s="88"/>
      <c r="P163" s="85"/>
      <c r="Q163" s="75"/>
      <c r="R163" s="75"/>
      <c r="S163" s="75"/>
      <c r="T163" s="75"/>
      <c r="U163" s="86"/>
      <c r="V163" s="84"/>
      <c r="W163" s="87"/>
      <c r="X163" s="84"/>
      <c r="Y163" s="84"/>
      <c r="Z163" s="84"/>
      <c r="AA163" s="1"/>
      <c r="AB163" s="330"/>
      <c r="AC163" s="321"/>
      <c r="AD163" s="321"/>
    </row>
    <row r="164" spans="1:30" ht="15.75" customHeight="1">
      <c r="A164" s="83"/>
      <c r="B164" s="83"/>
      <c r="C164" s="83"/>
      <c r="D164" s="87"/>
      <c r="E164" s="84"/>
      <c r="F164" s="84"/>
      <c r="G164" s="83"/>
      <c r="H164" s="84"/>
      <c r="I164" s="84"/>
      <c r="J164" s="84"/>
      <c r="K164" s="88"/>
      <c r="L164" s="84"/>
      <c r="M164" s="88"/>
      <c r="N164" s="84"/>
      <c r="O164" s="88"/>
      <c r="P164" s="85"/>
      <c r="Q164" s="75"/>
      <c r="R164" s="75"/>
      <c r="S164" s="75"/>
      <c r="T164" s="75"/>
      <c r="U164" s="86"/>
      <c r="V164" s="84"/>
      <c r="W164" s="87"/>
      <c r="X164" s="84"/>
      <c r="Y164" s="84"/>
      <c r="Z164" s="84"/>
      <c r="AA164" s="1"/>
      <c r="AB164" s="330"/>
      <c r="AC164" s="321"/>
      <c r="AD164" s="321"/>
    </row>
    <row r="165" spans="1:30" ht="15.75" customHeight="1">
      <c r="A165" s="83"/>
      <c r="B165" s="83"/>
      <c r="C165" s="83"/>
      <c r="D165" s="87"/>
      <c r="E165" s="84"/>
      <c r="F165" s="84"/>
      <c r="G165" s="83"/>
      <c r="H165" s="84"/>
      <c r="I165" s="84"/>
      <c r="J165" s="84"/>
      <c r="K165" s="88"/>
      <c r="L165" s="84"/>
      <c r="M165" s="88"/>
      <c r="N165" s="84"/>
      <c r="O165" s="88"/>
      <c r="P165" s="85"/>
      <c r="Q165" s="75"/>
      <c r="R165" s="75"/>
      <c r="S165" s="75"/>
      <c r="T165" s="75"/>
      <c r="U165" s="86"/>
      <c r="V165" s="84"/>
      <c r="W165" s="87"/>
      <c r="X165" s="84"/>
      <c r="Y165" s="84"/>
      <c r="Z165" s="84"/>
      <c r="AA165" s="1"/>
      <c r="AB165" s="330"/>
      <c r="AC165" s="321"/>
      <c r="AD165" s="321"/>
    </row>
    <row r="166" spans="1:30" ht="15.75" customHeight="1">
      <c r="A166" s="83"/>
      <c r="B166" s="83"/>
      <c r="C166" s="83"/>
      <c r="D166" s="87"/>
      <c r="E166" s="84"/>
      <c r="F166" s="84"/>
      <c r="G166" s="83"/>
      <c r="H166" s="84"/>
      <c r="I166" s="84"/>
      <c r="J166" s="84"/>
      <c r="K166" s="88"/>
      <c r="L166" s="84"/>
      <c r="M166" s="88"/>
      <c r="N166" s="84"/>
      <c r="O166" s="88"/>
      <c r="P166" s="85"/>
      <c r="Q166" s="75"/>
      <c r="R166" s="75"/>
      <c r="S166" s="75"/>
      <c r="T166" s="75"/>
      <c r="U166" s="86"/>
      <c r="V166" s="84"/>
      <c r="W166" s="87"/>
      <c r="X166" s="84"/>
      <c r="Y166" s="84"/>
      <c r="Z166" s="84"/>
      <c r="AA166" s="1"/>
      <c r="AB166" s="330"/>
      <c r="AC166" s="321"/>
      <c r="AD166" s="321"/>
    </row>
    <row r="167" spans="1:30" ht="15.75" customHeight="1">
      <c r="A167" s="83"/>
      <c r="B167" s="83"/>
      <c r="C167" s="83"/>
      <c r="D167" s="87"/>
      <c r="E167" s="84"/>
      <c r="F167" s="84"/>
      <c r="G167" s="83"/>
      <c r="H167" s="84"/>
      <c r="I167" s="84"/>
      <c r="J167" s="84"/>
      <c r="K167" s="88"/>
      <c r="L167" s="84"/>
      <c r="M167" s="88"/>
      <c r="N167" s="84"/>
      <c r="O167" s="88"/>
      <c r="P167" s="85"/>
      <c r="Q167" s="75"/>
      <c r="R167" s="75"/>
      <c r="S167" s="75"/>
      <c r="T167" s="75"/>
      <c r="U167" s="86"/>
      <c r="V167" s="84"/>
      <c r="W167" s="87"/>
      <c r="X167" s="84"/>
      <c r="Y167" s="84"/>
      <c r="Z167" s="84"/>
      <c r="AA167" s="1"/>
      <c r="AB167" s="330"/>
      <c r="AC167" s="321"/>
      <c r="AD167" s="321"/>
    </row>
    <row r="168" spans="1:30" ht="15.75" customHeight="1">
      <c r="A168" s="83"/>
      <c r="B168" s="83"/>
      <c r="C168" s="83"/>
      <c r="D168" s="87"/>
      <c r="E168" s="84"/>
      <c r="F168" s="84"/>
      <c r="G168" s="83"/>
      <c r="H168" s="84"/>
      <c r="I168" s="84"/>
      <c r="J168" s="84"/>
      <c r="K168" s="88"/>
      <c r="L168" s="84"/>
      <c r="M168" s="88"/>
      <c r="N168" s="84"/>
      <c r="O168" s="88"/>
      <c r="P168" s="85"/>
      <c r="Q168" s="75"/>
      <c r="R168" s="75"/>
      <c r="S168" s="75"/>
      <c r="T168" s="75"/>
      <c r="U168" s="86"/>
      <c r="V168" s="84"/>
      <c r="W168" s="87"/>
      <c r="X168" s="84"/>
      <c r="Y168" s="84"/>
      <c r="Z168" s="84"/>
      <c r="AA168" s="1"/>
      <c r="AB168" s="330"/>
      <c r="AC168" s="321"/>
      <c r="AD168" s="321"/>
    </row>
    <row r="169" spans="1:30" ht="15.75" customHeight="1">
      <c r="A169" s="83"/>
      <c r="B169" s="83"/>
      <c r="C169" s="83"/>
      <c r="D169" s="87"/>
      <c r="E169" s="84"/>
      <c r="F169" s="84"/>
      <c r="G169" s="83"/>
      <c r="H169" s="84"/>
      <c r="I169" s="84"/>
      <c r="J169" s="84"/>
      <c r="K169" s="88"/>
      <c r="L169" s="84"/>
      <c r="M169" s="88"/>
      <c r="N169" s="84"/>
      <c r="O169" s="88"/>
      <c r="P169" s="85"/>
      <c r="Q169" s="75"/>
      <c r="R169" s="75"/>
      <c r="S169" s="75"/>
      <c r="T169" s="75"/>
      <c r="U169" s="86"/>
      <c r="V169" s="84"/>
      <c r="W169" s="87"/>
      <c r="X169" s="84"/>
      <c r="Y169" s="84"/>
      <c r="Z169" s="84"/>
      <c r="AA169" s="1"/>
      <c r="AB169" s="330"/>
      <c r="AC169" s="321"/>
      <c r="AD169" s="321"/>
    </row>
    <row r="170" spans="1:30" ht="15.75" customHeight="1">
      <c r="A170" s="83"/>
      <c r="B170" s="83"/>
      <c r="C170" s="83"/>
      <c r="D170" s="87"/>
      <c r="E170" s="84"/>
      <c r="F170" s="84"/>
      <c r="G170" s="83"/>
      <c r="H170" s="84"/>
      <c r="I170" s="84"/>
      <c r="J170" s="84"/>
      <c r="K170" s="88"/>
      <c r="L170" s="84"/>
      <c r="M170" s="88"/>
      <c r="N170" s="84"/>
      <c r="O170" s="88"/>
      <c r="P170" s="85"/>
      <c r="Q170" s="75"/>
      <c r="R170" s="75"/>
      <c r="S170" s="75"/>
      <c r="T170" s="75"/>
      <c r="U170" s="86"/>
      <c r="V170" s="84"/>
      <c r="W170" s="87"/>
      <c r="X170" s="84"/>
      <c r="Y170" s="84"/>
      <c r="Z170" s="84"/>
      <c r="AA170" s="1"/>
      <c r="AB170" s="330"/>
      <c r="AC170" s="321"/>
      <c r="AD170" s="321"/>
    </row>
    <row r="171" spans="1:30" ht="15.75" customHeight="1">
      <c r="A171" s="83"/>
      <c r="B171" s="83"/>
      <c r="C171" s="83"/>
      <c r="D171" s="87"/>
      <c r="E171" s="84"/>
      <c r="F171" s="84"/>
      <c r="G171" s="83"/>
      <c r="H171" s="84"/>
      <c r="I171" s="84"/>
      <c r="J171" s="84"/>
      <c r="K171" s="88"/>
      <c r="L171" s="84"/>
      <c r="M171" s="88"/>
      <c r="N171" s="84"/>
      <c r="O171" s="88"/>
      <c r="P171" s="85"/>
      <c r="Q171" s="75"/>
      <c r="R171" s="75"/>
      <c r="S171" s="75"/>
      <c r="T171" s="75"/>
      <c r="U171" s="86"/>
      <c r="V171" s="84"/>
      <c r="W171" s="87"/>
      <c r="X171" s="84"/>
      <c r="Y171" s="84"/>
      <c r="Z171" s="84"/>
      <c r="AA171" s="1"/>
      <c r="AB171" s="330"/>
      <c r="AC171" s="321"/>
      <c r="AD171" s="321"/>
    </row>
    <row r="172" spans="1:30" ht="15.75" customHeight="1">
      <c r="A172" s="83"/>
      <c r="B172" s="83"/>
      <c r="C172" s="83"/>
      <c r="D172" s="87"/>
      <c r="E172" s="84"/>
      <c r="F172" s="84"/>
      <c r="G172" s="83"/>
      <c r="H172" s="84"/>
      <c r="I172" s="84"/>
      <c r="J172" s="84"/>
      <c r="K172" s="88"/>
      <c r="L172" s="84"/>
      <c r="M172" s="88"/>
      <c r="N172" s="84"/>
      <c r="O172" s="88"/>
      <c r="P172" s="85"/>
      <c r="Q172" s="75"/>
      <c r="R172" s="75"/>
      <c r="S172" s="75"/>
      <c r="T172" s="75"/>
      <c r="U172" s="86"/>
      <c r="V172" s="84"/>
      <c r="W172" s="87"/>
      <c r="X172" s="84"/>
      <c r="Y172" s="84"/>
      <c r="Z172" s="84"/>
      <c r="AA172" s="1"/>
      <c r="AB172" s="330"/>
      <c r="AC172" s="321"/>
      <c r="AD172" s="321"/>
    </row>
    <row r="173" spans="1:30" ht="15.75" customHeight="1">
      <c r="A173" s="83"/>
      <c r="B173" s="83"/>
      <c r="C173" s="83"/>
      <c r="D173" s="87"/>
      <c r="E173" s="84"/>
      <c r="F173" s="84"/>
      <c r="G173" s="83"/>
      <c r="H173" s="84"/>
      <c r="I173" s="84"/>
      <c r="J173" s="84"/>
      <c r="K173" s="88"/>
      <c r="L173" s="84"/>
      <c r="M173" s="88"/>
      <c r="N173" s="84"/>
      <c r="O173" s="88"/>
      <c r="P173" s="85"/>
      <c r="Q173" s="75"/>
      <c r="R173" s="75"/>
      <c r="S173" s="75"/>
      <c r="T173" s="75"/>
      <c r="U173" s="86"/>
      <c r="V173" s="84"/>
      <c r="W173" s="87"/>
      <c r="X173" s="84"/>
      <c r="Y173" s="84"/>
      <c r="Z173" s="84"/>
      <c r="AA173" s="1"/>
      <c r="AB173" s="330"/>
      <c r="AC173" s="321"/>
      <c r="AD173" s="321"/>
    </row>
    <row r="174" spans="1:30" ht="15.75" customHeight="1">
      <c r="A174" s="83"/>
      <c r="B174" s="83"/>
      <c r="C174" s="83"/>
      <c r="D174" s="87"/>
      <c r="E174" s="84"/>
      <c r="F174" s="84"/>
      <c r="G174" s="83"/>
      <c r="H174" s="84"/>
      <c r="I174" s="84"/>
      <c r="J174" s="84"/>
      <c r="K174" s="88"/>
      <c r="L174" s="84"/>
      <c r="M174" s="88"/>
      <c r="N174" s="84"/>
      <c r="O174" s="88"/>
      <c r="P174" s="85"/>
      <c r="Q174" s="75"/>
      <c r="R174" s="75"/>
      <c r="S174" s="75"/>
      <c r="T174" s="75"/>
      <c r="U174" s="86"/>
      <c r="V174" s="84"/>
      <c r="W174" s="87"/>
      <c r="X174" s="84"/>
      <c r="Y174" s="84"/>
      <c r="Z174" s="84"/>
      <c r="AA174" s="1"/>
      <c r="AB174" s="330"/>
      <c r="AC174" s="321"/>
      <c r="AD174" s="321"/>
    </row>
    <row r="175" spans="1:30" ht="15.75" customHeight="1">
      <c r="A175" s="83"/>
      <c r="B175" s="83"/>
      <c r="C175" s="83"/>
      <c r="D175" s="87"/>
      <c r="E175" s="84"/>
      <c r="F175" s="84"/>
      <c r="G175" s="83"/>
      <c r="H175" s="84"/>
      <c r="I175" s="84"/>
      <c r="J175" s="84"/>
      <c r="K175" s="88"/>
      <c r="L175" s="84"/>
      <c r="M175" s="88"/>
      <c r="N175" s="84"/>
      <c r="O175" s="88"/>
      <c r="P175" s="85"/>
      <c r="Q175" s="75"/>
      <c r="R175" s="75"/>
      <c r="S175" s="75"/>
      <c r="T175" s="75"/>
      <c r="U175" s="86"/>
      <c r="V175" s="84"/>
      <c r="W175" s="87"/>
      <c r="X175" s="84"/>
      <c r="Y175" s="84"/>
      <c r="Z175" s="84"/>
      <c r="AA175" s="1"/>
      <c r="AB175" s="330"/>
      <c r="AC175" s="321"/>
      <c r="AD175" s="321"/>
    </row>
    <row r="176" spans="1:30" ht="15.75" customHeight="1">
      <c r="A176" s="83"/>
      <c r="B176" s="83"/>
      <c r="C176" s="83"/>
      <c r="D176" s="87"/>
      <c r="E176" s="84"/>
      <c r="F176" s="84"/>
      <c r="G176" s="83"/>
      <c r="H176" s="84"/>
      <c r="I176" s="84"/>
      <c r="J176" s="84"/>
      <c r="K176" s="88"/>
      <c r="L176" s="84"/>
      <c r="M176" s="88"/>
      <c r="N176" s="84"/>
      <c r="O176" s="88"/>
      <c r="P176" s="85"/>
      <c r="Q176" s="75"/>
      <c r="R176" s="75"/>
      <c r="S176" s="75"/>
      <c r="T176" s="75"/>
      <c r="U176" s="86"/>
      <c r="V176" s="84"/>
      <c r="W176" s="87"/>
      <c r="X176" s="84"/>
      <c r="Y176" s="84"/>
      <c r="Z176" s="84"/>
      <c r="AA176" s="1"/>
      <c r="AB176" s="330"/>
      <c r="AC176" s="321"/>
      <c r="AD176" s="321"/>
    </row>
    <row r="177" spans="1:30" ht="15.75" customHeight="1">
      <c r="A177" s="83"/>
      <c r="B177" s="83"/>
      <c r="C177" s="83"/>
      <c r="D177" s="87"/>
      <c r="E177" s="84"/>
      <c r="F177" s="84"/>
      <c r="G177" s="83"/>
      <c r="H177" s="84"/>
      <c r="I177" s="84"/>
      <c r="J177" s="84"/>
      <c r="K177" s="88"/>
      <c r="L177" s="84"/>
      <c r="M177" s="88"/>
      <c r="N177" s="84"/>
      <c r="O177" s="88"/>
      <c r="P177" s="85"/>
      <c r="Q177" s="75"/>
      <c r="R177" s="75"/>
      <c r="S177" s="75"/>
      <c r="T177" s="75"/>
      <c r="U177" s="86"/>
      <c r="V177" s="84"/>
      <c r="W177" s="87"/>
      <c r="X177" s="84"/>
      <c r="Y177" s="84"/>
      <c r="Z177" s="84"/>
      <c r="AA177" s="1"/>
      <c r="AB177" s="330"/>
      <c r="AC177" s="321"/>
      <c r="AD177" s="321"/>
    </row>
    <row r="178" spans="1:30" ht="15.75" customHeight="1">
      <c r="A178" s="83"/>
      <c r="B178" s="83"/>
      <c r="C178" s="83"/>
      <c r="D178" s="87"/>
      <c r="E178" s="84"/>
      <c r="F178" s="84"/>
      <c r="G178" s="83"/>
      <c r="H178" s="84"/>
      <c r="I178" s="84"/>
      <c r="J178" s="84"/>
      <c r="K178" s="88"/>
      <c r="L178" s="84"/>
      <c r="M178" s="88"/>
      <c r="N178" s="84"/>
      <c r="O178" s="88"/>
      <c r="P178" s="85"/>
      <c r="Q178" s="75"/>
      <c r="R178" s="75"/>
      <c r="S178" s="75"/>
      <c r="T178" s="75"/>
      <c r="U178" s="86"/>
      <c r="V178" s="84"/>
      <c r="W178" s="87"/>
      <c r="X178" s="84"/>
      <c r="Y178" s="84"/>
      <c r="Z178" s="84"/>
      <c r="AA178" s="1"/>
      <c r="AB178" s="330"/>
      <c r="AC178" s="321"/>
      <c r="AD178" s="321"/>
    </row>
    <row r="179" spans="1:30" ht="15.75" customHeight="1">
      <c r="A179" s="83"/>
      <c r="B179" s="83"/>
      <c r="C179" s="83"/>
      <c r="D179" s="87"/>
      <c r="E179" s="84"/>
      <c r="F179" s="84"/>
      <c r="G179" s="83"/>
      <c r="H179" s="84"/>
      <c r="I179" s="84"/>
      <c r="J179" s="84"/>
      <c r="K179" s="88"/>
      <c r="L179" s="84"/>
      <c r="M179" s="88"/>
      <c r="N179" s="84"/>
      <c r="O179" s="88"/>
      <c r="P179" s="85"/>
      <c r="Q179" s="75"/>
      <c r="R179" s="75"/>
      <c r="S179" s="75"/>
      <c r="T179" s="75"/>
      <c r="U179" s="86"/>
      <c r="V179" s="84"/>
      <c r="W179" s="87"/>
      <c r="X179" s="84"/>
      <c r="Y179" s="84"/>
      <c r="Z179" s="84"/>
      <c r="AA179" s="1"/>
      <c r="AB179" s="330"/>
      <c r="AC179" s="321"/>
      <c r="AD179" s="321"/>
    </row>
    <row r="180" spans="1:30" ht="15.75" customHeight="1">
      <c r="A180" s="83"/>
      <c r="B180" s="83"/>
      <c r="C180" s="83"/>
      <c r="D180" s="87"/>
      <c r="E180" s="84"/>
      <c r="F180" s="84"/>
      <c r="G180" s="83"/>
      <c r="H180" s="84"/>
      <c r="I180" s="84"/>
      <c r="J180" s="84"/>
      <c r="K180" s="88"/>
      <c r="L180" s="84"/>
      <c r="M180" s="88"/>
      <c r="N180" s="84"/>
      <c r="O180" s="88"/>
      <c r="P180" s="85"/>
      <c r="Q180" s="75"/>
      <c r="R180" s="75"/>
      <c r="S180" s="75"/>
      <c r="T180" s="75"/>
      <c r="U180" s="86"/>
      <c r="V180" s="84"/>
      <c r="W180" s="87"/>
      <c r="X180" s="84"/>
      <c r="Y180" s="84"/>
      <c r="Z180" s="84"/>
      <c r="AA180" s="1"/>
      <c r="AB180" s="330"/>
      <c r="AC180" s="321"/>
      <c r="AD180" s="321"/>
    </row>
    <row r="181" spans="1:30" ht="15.75" customHeight="1">
      <c r="A181" s="83"/>
      <c r="B181" s="83"/>
      <c r="C181" s="83"/>
      <c r="D181" s="87"/>
      <c r="E181" s="84"/>
      <c r="F181" s="84"/>
      <c r="G181" s="83"/>
      <c r="H181" s="84"/>
      <c r="I181" s="84"/>
      <c r="J181" s="84"/>
      <c r="K181" s="88"/>
      <c r="L181" s="84"/>
      <c r="M181" s="88"/>
      <c r="N181" s="84"/>
      <c r="O181" s="88"/>
      <c r="P181" s="85"/>
      <c r="Q181" s="75"/>
      <c r="R181" s="75"/>
      <c r="S181" s="75"/>
      <c r="T181" s="75"/>
      <c r="U181" s="86"/>
      <c r="V181" s="84"/>
      <c r="W181" s="87"/>
      <c r="X181" s="84"/>
      <c r="Y181" s="84"/>
      <c r="Z181" s="84"/>
      <c r="AA181" s="1"/>
      <c r="AB181" s="330"/>
      <c r="AC181" s="321"/>
      <c r="AD181" s="321"/>
    </row>
    <row r="182" spans="1:30" ht="15.75" customHeight="1">
      <c r="A182" s="83"/>
      <c r="B182" s="83"/>
      <c r="C182" s="83"/>
      <c r="D182" s="87"/>
      <c r="E182" s="84"/>
      <c r="F182" s="84"/>
      <c r="G182" s="83"/>
      <c r="H182" s="84"/>
      <c r="I182" s="84"/>
      <c r="J182" s="84"/>
      <c r="K182" s="88"/>
      <c r="L182" s="84"/>
      <c r="M182" s="88"/>
      <c r="N182" s="84"/>
      <c r="O182" s="88"/>
      <c r="P182" s="85"/>
      <c r="Q182" s="75"/>
      <c r="R182" s="75"/>
      <c r="S182" s="75"/>
      <c r="T182" s="75"/>
      <c r="U182" s="86"/>
      <c r="V182" s="84"/>
      <c r="W182" s="87"/>
      <c r="X182" s="84"/>
      <c r="Y182" s="84"/>
      <c r="Z182" s="84"/>
      <c r="AA182" s="1"/>
      <c r="AB182" s="330"/>
      <c r="AC182" s="321"/>
      <c r="AD182" s="321"/>
    </row>
    <row r="183" spans="1:30" ht="15.75" customHeight="1">
      <c r="A183" s="83"/>
      <c r="B183" s="83"/>
      <c r="C183" s="83"/>
      <c r="D183" s="87"/>
      <c r="E183" s="84"/>
      <c r="F183" s="84"/>
      <c r="G183" s="83"/>
      <c r="H183" s="84"/>
      <c r="I183" s="84"/>
      <c r="J183" s="84"/>
      <c r="K183" s="88"/>
      <c r="L183" s="84"/>
      <c r="M183" s="88"/>
      <c r="N183" s="84"/>
      <c r="O183" s="88"/>
      <c r="P183" s="85"/>
      <c r="Q183" s="75"/>
      <c r="R183" s="75"/>
      <c r="S183" s="75"/>
      <c r="T183" s="75"/>
      <c r="U183" s="86"/>
      <c r="V183" s="84"/>
      <c r="W183" s="87"/>
      <c r="X183" s="84"/>
      <c r="Y183" s="84"/>
      <c r="Z183" s="84"/>
      <c r="AA183" s="1"/>
      <c r="AB183" s="330"/>
      <c r="AC183" s="321"/>
      <c r="AD183" s="321"/>
    </row>
    <row r="184" spans="1:30" ht="15.75" customHeight="1">
      <c r="A184" s="83"/>
      <c r="B184" s="83"/>
      <c r="C184" s="83"/>
      <c r="D184" s="87"/>
      <c r="E184" s="84"/>
      <c r="F184" s="84"/>
      <c r="G184" s="83"/>
      <c r="H184" s="84"/>
      <c r="I184" s="84"/>
      <c r="J184" s="84"/>
      <c r="K184" s="88"/>
      <c r="L184" s="84"/>
      <c r="M184" s="88"/>
      <c r="N184" s="84"/>
      <c r="O184" s="88"/>
      <c r="P184" s="85"/>
      <c r="Q184" s="75"/>
      <c r="R184" s="75"/>
      <c r="S184" s="75"/>
      <c r="T184" s="75"/>
      <c r="U184" s="86"/>
      <c r="V184" s="84"/>
      <c r="W184" s="87"/>
      <c r="X184" s="84"/>
      <c r="Y184" s="84"/>
      <c r="Z184" s="84"/>
      <c r="AA184" s="1"/>
      <c r="AB184" s="330"/>
      <c r="AC184" s="321"/>
      <c r="AD184" s="321"/>
    </row>
    <row r="185" spans="1:30" ht="15.75" customHeight="1">
      <c r="A185" s="83"/>
      <c r="B185" s="83"/>
      <c r="C185" s="83"/>
      <c r="D185" s="87"/>
      <c r="E185" s="84"/>
      <c r="F185" s="84"/>
      <c r="G185" s="83"/>
      <c r="H185" s="84"/>
      <c r="I185" s="84"/>
      <c r="J185" s="84"/>
      <c r="K185" s="88"/>
      <c r="L185" s="84"/>
      <c r="M185" s="88"/>
      <c r="N185" s="84"/>
      <c r="O185" s="88"/>
      <c r="P185" s="85"/>
      <c r="Q185" s="75"/>
      <c r="R185" s="75"/>
      <c r="S185" s="75"/>
      <c r="T185" s="75"/>
      <c r="U185" s="86"/>
      <c r="V185" s="84"/>
      <c r="W185" s="87"/>
      <c r="X185" s="84"/>
      <c r="Y185" s="84"/>
      <c r="Z185" s="84"/>
      <c r="AA185" s="1"/>
      <c r="AB185" s="330"/>
      <c r="AC185" s="321"/>
      <c r="AD185" s="321"/>
    </row>
    <row r="186" spans="1:30" ht="15.75" customHeight="1">
      <c r="A186" s="83"/>
      <c r="B186" s="83"/>
      <c r="C186" s="83"/>
      <c r="D186" s="87"/>
      <c r="E186" s="84"/>
      <c r="F186" s="84"/>
      <c r="G186" s="83"/>
      <c r="H186" s="84"/>
      <c r="I186" s="84"/>
      <c r="J186" s="84"/>
      <c r="K186" s="88"/>
      <c r="L186" s="84"/>
      <c r="M186" s="88"/>
      <c r="N186" s="84"/>
      <c r="O186" s="88"/>
      <c r="P186" s="85"/>
      <c r="Q186" s="75"/>
      <c r="R186" s="75"/>
      <c r="S186" s="75"/>
      <c r="T186" s="75"/>
      <c r="U186" s="86"/>
      <c r="V186" s="84"/>
      <c r="W186" s="87"/>
      <c r="X186" s="84"/>
      <c r="Y186" s="84"/>
      <c r="Z186" s="84"/>
      <c r="AA186" s="1"/>
      <c r="AB186" s="330"/>
      <c r="AC186" s="321"/>
      <c r="AD186" s="321"/>
    </row>
    <row r="187" spans="1:30" ht="15.75" customHeight="1">
      <c r="A187" s="83"/>
      <c r="B187" s="83"/>
      <c r="C187" s="83"/>
      <c r="D187" s="87"/>
      <c r="E187" s="84"/>
      <c r="F187" s="84"/>
      <c r="G187" s="83"/>
      <c r="H187" s="84"/>
      <c r="I187" s="84"/>
      <c r="J187" s="84"/>
      <c r="K187" s="88"/>
      <c r="L187" s="84"/>
      <c r="M187" s="88"/>
      <c r="N187" s="84"/>
      <c r="O187" s="88"/>
      <c r="P187" s="85"/>
      <c r="Q187" s="75"/>
      <c r="R187" s="75"/>
      <c r="S187" s="75"/>
      <c r="T187" s="75"/>
      <c r="U187" s="86"/>
      <c r="V187" s="84"/>
      <c r="W187" s="87"/>
      <c r="X187" s="84"/>
      <c r="Y187" s="84"/>
      <c r="Z187" s="84"/>
      <c r="AA187" s="1"/>
      <c r="AB187" s="330"/>
      <c r="AC187" s="321"/>
      <c r="AD187" s="321"/>
    </row>
    <row r="188" spans="1:30" ht="15.75" customHeight="1">
      <c r="A188" s="83"/>
      <c r="B188" s="83"/>
      <c r="C188" s="83"/>
      <c r="D188" s="87"/>
      <c r="E188" s="84"/>
      <c r="F188" s="84"/>
      <c r="G188" s="83"/>
      <c r="H188" s="84"/>
      <c r="I188" s="84"/>
      <c r="J188" s="84"/>
      <c r="K188" s="88"/>
      <c r="L188" s="84"/>
      <c r="M188" s="88"/>
      <c r="N188" s="84"/>
      <c r="O188" s="88"/>
      <c r="P188" s="85"/>
      <c r="Q188" s="75"/>
      <c r="R188" s="75"/>
      <c r="S188" s="75"/>
      <c r="T188" s="75"/>
      <c r="U188" s="86"/>
      <c r="V188" s="84"/>
      <c r="W188" s="87"/>
      <c r="X188" s="84"/>
      <c r="Y188" s="84"/>
      <c r="Z188" s="84"/>
      <c r="AA188" s="1"/>
      <c r="AB188" s="330"/>
      <c r="AC188" s="321"/>
      <c r="AD188" s="321"/>
    </row>
    <row r="189" spans="1:30" ht="15.75" customHeight="1">
      <c r="A189" s="83"/>
      <c r="B189" s="83"/>
      <c r="C189" s="83"/>
      <c r="D189" s="87"/>
      <c r="E189" s="84"/>
      <c r="F189" s="84"/>
      <c r="G189" s="83"/>
      <c r="H189" s="84"/>
      <c r="I189" s="84"/>
      <c r="J189" s="84"/>
      <c r="K189" s="88"/>
      <c r="L189" s="84"/>
      <c r="M189" s="88"/>
      <c r="N189" s="84"/>
      <c r="O189" s="88"/>
      <c r="P189" s="85"/>
      <c r="Q189" s="75"/>
      <c r="R189" s="75"/>
      <c r="S189" s="75"/>
      <c r="T189" s="75"/>
      <c r="U189" s="86"/>
      <c r="V189" s="84"/>
      <c r="W189" s="87"/>
      <c r="X189" s="84"/>
      <c r="Y189" s="84"/>
      <c r="Z189" s="84"/>
      <c r="AA189" s="1"/>
      <c r="AB189" s="330"/>
      <c r="AC189" s="321"/>
      <c r="AD189" s="321"/>
    </row>
    <row r="190" spans="1:30" ht="15.75" customHeight="1">
      <c r="A190" s="83"/>
      <c r="B190" s="83"/>
      <c r="C190" s="83"/>
      <c r="D190" s="87"/>
      <c r="E190" s="84"/>
      <c r="F190" s="84"/>
      <c r="G190" s="83"/>
      <c r="H190" s="84"/>
      <c r="I190" s="84"/>
      <c r="J190" s="84"/>
      <c r="K190" s="88"/>
      <c r="L190" s="84"/>
      <c r="M190" s="88"/>
      <c r="N190" s="84"/>
      <c r="O190" s="88"/>
      <c r="P190" s="85"/>
      <c r="Q190" s="75"/>
      <c r="R190" s="75"/>
      <c r="S190" s="75"/>
      <c r="T190" s="75"/>
      <c r="U190" s="86"/>
      <c r="V190" s="84"/>
      <c r="W190" s="87"/>
      <c r="X190" s="84"/>
      <c r="Y190" s="84"/>
      <c r="Z190" s="84"/>
      <c r="AA190" s="1"/>
      <c r="AB190" s="330"/>
      <c r="AC190" s="321"/>
      <c r="AD190" s="321"/>
    </row>
    <row r="191" spans="1:30" ht="15.75" customHeight="1">
      <c r="A191" s="83"/>
      <c r="B191" s="83"/>
      <c r="C191" s="83"/>
      <c r="D191" s="87"/>
      <c r="E191" s="84"/>
      <c r="F191" s="84"/>
      <c r="G191" s="83"/>
      <c r="H191" s="84"/>
      <c r="I191" s="84"/>
      <c r="J191" s="84"/>
      <c r="K191" s="88"/>
      <c r="L191" s="84"/>
      <c r="M191" s="88"/>
      <c r="N191" s="84"/>
      <c r="O191" s="88"/>
      <c r="P191" s="85"/>
      <c r="Q191" s="75"/>
      <c r="R191" s="75"/>
      <c r="S191" s="75"/>
      <c r="T191" s="75"/>
      <c r="U191" s="86"/>
      <c r="V191" s="84"/>
      <c r="W191" s="87"/>
      <c r="X191" s="84"/>
      <c r="Y191" s="84"/>
      <c r="Z191" s="84"/>
      <c r="AA191" s="1"/>
      <c r="AB191" s="330"/>
      <c r="AC191" s="321"/>
      <c r="AD191" s="321"/>
    </row>
    <row r="192" spans="1:30" ht="15.75" customHeight="1">
      <c r="A192" s="83"/>
      <c r="B192" s="83"/>
      <c r="C192" s="83"/>
      <c r="D192" s="87"/>
      <c r="E192" s="84"/>
      <c r="F192" s="84"/>
      <c r="G192" s="83"/>
      <c r="H192" s="84"/>
      <c r="I192" s="84"/>
      <c r="J192" s="84"/>
      <c r="K192" s="88"/>
      <c r="L192" s="84"/>
      <c r="M192" s="88"/>
      <c r="N192" s="84"/>
      <c r="O192" s="88"/>
      <c r="P192" s="85"/>
      <c r="Q192" s="75"/>
      <c r="R192" s="75"/>
      <c r="S192" s="75"/>
      <c r="T192" s="75"/>
      <c r="U192" s="86"/>
      <c r="V192" s="84"/>
      <c r="W192" s="87"/>
      <c r="X192" s="84"/>
      <c r="Y192" s="84"/>
      <c r="Z192" s="84"/>
      <c r="AA192" s="1"/>
      <c r="AB192" s="330"/>
      <c r="AC192" s="321"/>
      <c r="AD192" s="321"/>
    </row>
    <row r="193" spans="1:30" ht="15.75" customHeight="1">
      <c r="A193" s="83"/>
      <c r="B193" s="83"/>
      <c r="C193" s="83"/>
      <c r="D193" s="87"/>
      <c r="E193" s="84"/>
      <c r="F193" s="84"/>
      <c r="G193" s="83"/>
      <c r="H193" s="84"/>
      <c r="I193" s="84"/>
      <c r="J193" s="84"/>
      <c r="K193" s="88"/>
      <c r="L193" s="84"/>
      <c r="M193" s="88"/>
      <c r="N193" s="84"/>
      <c r="O193" s="88"/>
      <c r="P193" s="85"/>
      <c r="Q193" s="75"/>
      <c r="R193" s="75"/>
      <c r="S193" s="75"/>
      <c r="T193" s="75"/>
      <c r="U193" s="86"/>
      <c r="V193" s="84"/>
      <c r="W193" s="87"/>
      <c r="X193" s="84"/>
      <c r="Y193" s="84"/>
      <c r="Z193" s="84"/>
      <c r="AA193" s="1"/>
      <c r="AB193" s="330"/>
      <c r="AC193" s="321"/>
      <c r="AD193" s="321"/>
    </row>
    <row r="194" spans="1:30" ht="15.75" customHeight="1">
      <c r="A194" s="83"/>
      <c r="B194" s="83"/>
      <c r="C194" s="83"/>
      <c r="D194" s="87"/>
      <c r="E194" s="84"/>
      <c r="F194" s="84"/>
      <c r="G194" s="83"/>
      <c r="H194" s="84"/>
      <c r="I194" s="84"/>
      <c r="J194" s="84"/>
      <c r="K194" s="88"/>
      <c r="L194" s="84"/>
      <c r="M194" s="88"/>
      <c r="N194" s="84"/>
      <c r="O194" s="88"/>
      <c r="P194" s="85"/>
      <c r="Q194" s="75"/>
      <c r="R194" s="75"/>
      <c r="S194" s="75"/>
      <c r="T194" s="75"/>
      <c r="U194" s="86"/>
      <c r="V194" s="84"/>
      <c r="W194" s="87"/>
      <c r="X194" s="84"/>
      <c r="Y194" s="84"/>
      <c r="Z194" s="84"/>
      <c r="AA194" s="1"/>
      <c r="AB194" s="330"/>
      <c r="AC194" s="321"/>
      <c r="AD194" s="321"/>
    </row>
    <row r="195" spans="1:30" ht="15.75" customHeight="1">
      <c r="A195" s="83"/>
      <c r="B195" s="83"/>
      <c r="C195" s="83"/>
      <c r="D195" s="87"/>
      <c r="E195" s="84"/>
      <c r="F195" s="84"/>
      <c r="G195" s="83"/>
      <c r="H195" s="84"/>
      <c r="I195" s="84"/>
      <c r="J195" s="84"/>
      <c r="K195" s="88"/>
      <c r="L195" s="84"/>
      <c r="M195" s="88"/>
      <c r="N195" s="84"/>
      <c r="O195" s="88"/>
      <c r="P195" s="85"/>
      <c r="Q195" s="75"/>
      <c r="R195" s="75"/>
      <c r="S195" s="75"/>
      <c r="T195" s="75"/>
      <c r="U195" s="86"/>
      <c r="V195" s="84"/>
      <c r="W195" s="87"/>
      <c r="X195" s="84"/>
      <c r="Y195" s="84"/>
      <c r="Z195" s="84"/>
      <c r="AA195" s="1"/>
      <c r="AB195" s="330"/>
      <c r="AC195" s="321"/>
      <c r="AD195" s="321"/>
    </row>
    <row r="196" spans="1:30" ht="15.75" customHeight="1">
      <c r="A196" s="83"/>
      <c r="B196" s="83"/>
      <c r="C196" s="83"/>
      <c r="D196" s="87"/>
      <c r="E196" s="84"/>
      <c r="F196" s="84"/>
      <c r="G196" s="83"/>
      <c r="H196" s="84"/>
      <c r="I196" s="84"/>
      <c r="J196" s="84"/>
      <c r="K196" s="88"/>
      <c r="L196" s="84"/>
      <c r="M196" s="88"/>
      <c r="N196" s="84"/>
      <c r="O196" s="88"/>
      <c r="P196" s="85"/>
      <c r="Q196" s="75"/>
      <c r="R196" s="75"/>
      <c r="S196" s="75"/>
      <c r="T196" s="75"/>
      <c r="U196" s="86"/>
      <c r="V196" s="84"/>
      <c r="W196" s="87"/>
      <c r="X196" s="84"/>
      <c r="Y196" s="84"/>
      <c r="Z196" s="84"/>
      <c r="AA196" s="1"/>
      <c r="AB196" s="330"/>
      <c r="AC196" s="321"/>
      <c r="AD196" s="321"/>
    </row>
    <row r="197" spans="1:30" ht="15.75" customHeight="1">
      <c r="A197" s="83"/>
      <c r="B197" s="83"/>
      <c r="C197" s="83"/>
      <c r="D197" s="87"/>
      <c r="E197" s="84"/>
      <c r="F197" s="84"/>
      <c r="G197" s="83"/>
      <c r="H197" s="84"/>
      <c r="I197" s="84"/>
      <c r="J197" s="84"/>
      <c r="K197" s="88"/>
      <c r="L197" s="84"/>
      <c r="M197" s="88"/>
      <c r="N197" s="84"/>
      <c r="O197" s="88"/>
      <c r="P197" s="85"/>
      <c r="Q197" s="75"/>
      <c r="R197" s="75"/>
      <c r="S197" s="75"/>
      <c r="T197" s="75"/>
      <c r="U197" s="86"/>
      <c r="V197" s="84"/>
      <c r="W197" s="87"/>
      <c r="X197" s="84"/>
      <c r="Y197" s="84"/>
      <c r="Z197" s="84"/>
      <c r="AA197" s="1"/>
      <c r="AB197" s="330"/>
      <c r="AC197" s="321"/>
      <c r="AD197" s="321"/>
    </row>
    <row r="198" spans="1:30" ht="15.75" customHeight="1">
      <c r="A198" s="83"/>
      <c r="B198" s="83"/>
      <c r="C198" s="83"/>
      <c r="D198" s="87"/>
      <c r="E198" s="84"/>
      <c r="F198" s="84"/>
      <c r="G198" s="83"/>
      <c r="H198" s="84"/>
      <c r="I198" s="84"/>
      <c r="J198" s="84"/>
      <c r="K198" s="88"/>
      <c r="L198" s="84"/>
      <c r="M198" s="88"/>
      <c r="N198" s="84"/>
      <c r="O198" s="88"/>
      <c r="P198" s="85"/>
      <c r="Q198" s="75"/>
      <c r="R198" s="75"/>
      <c r="S198" s="75"/>
      <c r="T198" s="75"/>
      <c r="U198" s="86"/>
      <c r="V198" s="84"/>
      <c r="W198" s="87"/>
      <c r="X198" s="84"/>
      <c r="Y198" s="84"/>
      <c r="Z198" s="84"/>
      <c r="AA198" s="1"/>
      <c r="AB198" s="330"/>
      <c r="AC198" s="321"/>
      <c r="AD198" s="321"/>
    </row>
    <row r="199" spans="1:30" ht="15.75" customHeight="1">
      <c r="A199" s="83"/>
      <c r="B199" s="83"/>
      <c r="C199" s="83"/>
      <c r="D199" s="87"/>
      <c r="E199" s="84"/>
      <c r="F199" s="84"/>
      <c r="G199" s="83"/>
      <c r="H199" s="84"/>
      <c r="I199" s="84"/>
      <c r="J199" s="84"/>
      <c r="K199" s="88"/>
      <c r="L199" s="84"/>
      <c r="M199" s="88"/>
      <c r="N199" s="84"/>
      <c r="O199" s="88"/>
      <c r="P199" s="85"/>
      <c r="Q199" s="75"/>
      <c r="R199" s="75"/>
      <c r="S199" s="75"/>
      <c r="T199" s="75"/>
      <c r="U199" s="86"/>
      <c r="V199" s="84"/>
      <c r="W199" s="87"/>
      <c r="X199" s="84"/>
      <c r="Y199" s="84"/>
      <c r="Z199" s="84"/>
      <c r="AA199" s="1"/>
      <c r="AB199" s="330"/>
      <c r="AC199" s="321"/>
      <c r="AD199" s="321"/>
    </row>
    <row r="200" spans="1:30" ht="15.75" customHeight="1">
      <c r="A200" s="83"/>
      <c r="B200" s="83"/>
      <c r="C200" s="83"/>
      <c r="D200" s="87"/>
      <c r="E200" s="84"/>
      <c r="F200" s="84"/>
      <c r="G200" s="83"/>
      <c r="H200" s="84"/>
      <c r="I200" s="84"/>
      <c r="J200" s="84"/>
      <c r="K200" s="88"/>
      <c r="L200" s="84"/>
      <c r="M200" s="88"/>
      <c r="N200" s="84"/>
      <c r="O200" s="88"/>
      <c r="P200" s="85"/>
      <c r="Q200" s="75"/>
      <c r="R200" s="75"/>
      <c r="S200" s="75"/>
      <c r="T200" s="75"/>
      <c r="U200" s="86"/>
      <c r="V200" s="84"/>
      <c r="W200" s="87"/>
      <c r="X200" s="84"/>
      <c r="Y200" s="84"/>
      <c r="Z200" s="84"/>
      <c r="AA200" s="1"/>
      <c r="AB200" s="330"/>
      <c r="AC200" s="321"/>
      <c r="AD200" s="321"/>
    </row>
    <row r="201" spans="1:30" ht="15.75" customHeight="1">
      <c r="A201" s="83"/>
      <c r="B201" s="83"/>
      <c r="C201" s="83"/>
      <c r="D201" s="87"/>
      <c r="E201" s="84"/>
      <c r="F201" s="84"/>
      <c r="G201" s="83"/>
      <c r="H201" s="84"/>
      <c r="I201" s="84"/>
      <c r="J201" s="84"/>
      <c r="K201" s="88"/>
      <c r="L201" s="84"/>
      <c r="M201" s="88"/>
      <c r="N201" s="84"/>
      <c r="O201" s="88"/>
      <c r="P201" s="85"/>
      <c r="Q201" s="75"/>
      <c r="R201" s="75"/>
      <c r="S201" s="75"/>
      <c r="T201" s="75"/>
      <c r="U201" s="86"/>
      <c r="V201" s="84"/>
      <c r="W201" s="87"/>
      <c r="X201" s="84"/>
      <c r="Y201" s="84"/>
      <c r="Z201" s="84"/>
      <c r="AA201" s="1"/>
      <c r="AB201" s="330"/>
      <c r="AC201" s="321"/>
      <c r="AD201" s="321"/>
    </row>
    <row r="202" spans="1:30" ht="15.75" customHeight="1">
      <c r="A202" s="83"/>
      <c r="B202" s="83"/>
      <c r="C202" s="83"/>
      <c r="D202" s="87"/>
      <c r="E202" s="84"/>
      <c r="F202" s="84"/>
      <c r="G202" s="83"/>
      <c r="H202" s="84"/>
      <c r="I202" s="84"/>
      <c r="J202" s="84"/>
      <c r="K202" s="88"/>
      <c r="L202" s="84"/>
      <c r="M202" s="88"/>
      <c r="N202" s="84"/>
      <c r="O202" s="88"/>
      <c r="P202" s="85"/>
      <c r="Q202" s="75"/>
      <c r="R202" s="75"/>
      <c r="S202" s="75"/>
      <c r="T202" s="75"/>
      <c r="U202" s="86"/>
      <c r="V202" s="84"/>
      <c r="W202" s="87"/>
      <c r="X202" s="84"/>
      <c r="Y202" s="84"/>
      <c r="Z202" s="84"/>
      <c r="AA202" s="1"/>
      <c r="AB202" s="330"/>
      <c r="AC202" s="321"/>
      <c r="AD202" s="321"/>
    </row>
    <row r="203" spans="1:30" ht="15.75" customHeight="1">
      <c r="A203" s="83"/>
      <c r="B203" s="83"/>
      <c r="C203" s="83"/>
      <c r="D203" s="87"/>
      <c r="E203" s="84"/>
      <c r="F203" s="84"/>
      <c r="G203" s="83"/>
      <c r="H203" s="84"/>
      <c r="I203" s="84"/>
      <c r="J203" s="84"/>
      <c r="K203" s="88"/>
      <c r="L203" s="84"/>
      <c r="M203" s="88"/>
      <c r="N203" s="84"/>
      <c r="O203" s="88"/>
      <c r="P203" s="85"/>
      <c r="Q203" s="75"/>
      <c r="R203" s="75"/>
      <c r="S203" s="75"/>
      <c r="T203" s="75"/>
      <c r="U203" s="86"/>
      <c r="V203" s="84"/>
      <c r="W203" s="87"/>
      <c r="X203" s="84"/>
      <c r="Y203" s="84"/>
      <c r="Z203" s="84"/>
      <c r="AA203" s="1"/>
      <c r="AB203" s="330"/>
      <c r="AC203" s="321"/>
      <c r="AD203" s="321"/>
    </row>
    <row r="204" spans="1:30" ht="15.75" customHeight="1">
      <c r="A204" s="83"/>
      <c r="B204" s="83"/>
      <c r="C204" s="83"/>
      <c r="D204" s="87"/>
      <c r="E204" s="84"/>
      <c r="F204" s="84"/>
      <c r="G204" s="83"/>
      <c r="H204" s="84"/>
      <c r="I204" s="84"/>
      <c r="J204" s="84"/>
      <c r="K204" s="88"/>
      <c r="L204" s="84"/>
      <c r="M204" s="88"/>
      <c r="N204" s="84"/>
      <c r="O204" s="88"/>
      <c r="P204" s="85"/>
      <c r="Q204" s="75"/>
      <c r="R204" s="75"/>
      <c r="S204" s="75"/>
      <c r="T204" s="75"/>
      <c r="U204" s="86"/>
      <c r="V204" s="84"/>
      <c r="W204" s="87"/>
      <c r="X204" s="84"/>
      <c r="Y204" s="84"/>
      <c r="Z204" s="84"/>
      <c r="AA204" s="1"/>
      <c r="AB204" s="330"/>
      <c r="AC204" s="321"/>
      <c r="AD204" s="321"/>
    </row>
    <row r="205" spans="1:30" ht="15.75" customHeight="1">
      <c r="A205" s="83"/>
      <c r="B205" s="83"/>
      <c r="C205" s="83"/>
      <c r="D205" s="87"/>
      <c r="E205" s="84"/>
      <c r="F205" s="84"/>
      <c r="G205" s="83"/>
      <c r="H205" s="84"/>
      <c r="I205" s="84"/>
      <c r="J205" s="84"/>
      <c r="K205" s="88"/>
      <c r="L205" s="84"/>
      <c r="M205" s="88"/>
      <c r="N205" s="84"/>
      <c r="O205" s="88"/>
      <c r="P205" s="85"/>
      <c r="Q205" s="75"/>
      <c r="R205" s="75"/>
      <c r="S205" s="75"/>
      <c r="T205" s="75"/>
      <c r="U205" s="86"/>
      <c r="V205" s="84"/>
      <c r="W205" s="87"/>
      <c r="X205" s="84"/>
      <c r="Y205" s="84"/>
      <c r="Z205" s="84"/>
      <c r="AA205" s="1"/>
      <c r="AB205" s="330"/>
      <c r="AC205" s="321"/>
      <c r="AD205" s="321"/>
    </row>
    <row r="206" spans="1:30" ht="15.75" customHeight="1">
      <c r="A206" s="83"/>
      <c r="B206" s="83"/>
      <c r="C206" s="83"/>
      <c r="D206" s="87"/>
      <c r="E206" s="84"/>
      <c r="F206" s="84"/>
      <c r="G206" s="83"/>
      <c r="H206" s="84"/>
      <c r="I206" s="84"/>
      <c r="J206" s="84"/>
      <c r="K206" s="88"/>
      <c r="L206" s="84"/>
      <c r="M206" s="88"/>
      <c r="N206" s="84"/>
      <c r="O206" s="88"/>
      <c r="P206" s="85"/>
      <c r="Q206" s="75"/>
      <c r="R206" s="75"/>
      <c r="S206" s="75"/>
      <c r="T206" s="75"/>
      <c r="U206" s="86"/>
      <c r="V206" s="84"/>
      <c r="W206" s="87"/>
      <c r="X206" s="84"/>
      <c r="Y206" s="84"/>
      <c r="Z206" s="84"/>
      <c r="AA206" s="1"/>
      <c r="AB206" s="330"/>
      <c r="AC206" s="321"/>
      <c r="AD206" s="321"/>
    </row>
    <row r="207" spans="1:30" ht="15.75" customHeight="1">
      <c r="A207" s="83"/>
      <c r="B207" s="83"/>
      <c r="C207" s="83"/>
      <c r="D207" s="87"/>
      <c r="E207" s="84"/>
      <c r="F207" s="84"/>
      <c r="G207" s="83"/>
      <c r="H207" s="84"/>
      <c r="I207" s="84"/>
      <c r="J207" s="84"/>
      <c r="K207" s="88"/>
      <c r="L207" s="84"/>
      <c r="M207" s="88"/>
      <c r="N207" s="84"/>
      <c r="O207" s="88"/>
      <c r="P207" s="85"/>
      <c r="Q207" s="75"/>
      <c r="R207" s="75"/>
      <c r="S207" s="75"/>
      <c r="T207" s="75"/>
      <c r="U207" s="86"/>
      <c r="V207" s="84"/>
      <c r="W207" s="87"/>
      <c r="X207" s="84"/>
      <c r="Y207" s="84"/>
      <c r="Z207" s="84"/>
      <c r="AA207" s="1"/>
      <c r="AB207" s="330"/>
      <c r="AC207" s="321"/>
      <c r="AD207" s="321"/>
    </row>
    <row r="208" spans="1:30" ht="15.75" customHeight="1">
      <c r="A208" s="83"/>
      <c r="B208" s="83"/>
      <c r="C208" s="83"/>
      <c r="D208" s="87"/>
      <c r="E208" s="84"/>
      <c r="F208" s="84"/>
      <c r="G208" s="83"/>
      <c r="H208" s="84"/>
      <c r="I208" s="84"/>
      <c r="J208" s="84"/>
      <c r="K208" s="88"/>
      <c r="L208" s="84"/>
      <c r="M208" s="88"/>
      <c r="N208" s="84"/>
      <c r="O208" s="88"/>
      <c r="P208" s="85"/>
      <c r="Q208" s="75"/>
      <c r="R208" s="75"/>
      <c r="S208" s="75"/>
      <c r="T208" s="75"/>
      <c r="U208" s="86"/>
      <c r="V208" s="84"/>
      <c r="W208" s="87"/>
      <c r="X208" s="84"/>
      <c r="Y208" s="84"/>
      <c r="Z208" s="84"/>
      <c r="AA208" s="1"/>
      <c r="AB208" s="330"/>
      <c r="AC208" s="321"/>
      <c r="AD208" s="321"/>
    </row>
    <row r="209" spans="1:30" ht="15.75" customHeight="1">
      <c r="A209" s="83"/>
      <c r="B209" s="83"/>
      <c r="C209" s="83"/>
      <c r="D209" s="87"/>
      <c r="E209" s="84"/>
      <c r="F209" s="84"/>
      <c r="G209" s="83"/>
      <c r="H209" s="84"/>
      <c r="I209" s="84"/>
      <c r="J209" s="84"/>
      <c r="K209" s="88"/>
      <c r="L209" s="84"/>
      <c r="M209" s="88"/>
      <c r="N209" s="84"/>
      <c r="O209" s="88"/>
      <c r="P209" s="85"/>
      <c r="Q209" s="75"/>
      <c r="R209" s="75"/>
      <c r="S209" s="75"/>
      <c r="T209" s="75"/>
      <c r="U209" s="86"/>
      <c r="V209" s="84"/>
      <c r="W209" s="87"/>
      <c r="X209" s="84"/>
      <c r="Y209" s="84"/>
      <c r="Z209" s="84"/>
      <c r="AA209" s="1"/>
      <c r="AB209" s="330"/>
      <c r="AC209" s="321"/>
      <c r="AD209" s="321"/>
    </row>
    <row r="210" spans="1:30" ht="15.75" customHeight="1">
      <c r="A210" s="83"/>
      <c r="B210" s="83"/>
      <c r="C210" s="83"/>
      <c r="D210" s="87"/>
      <c r="E210" s="84"/>
      <c r="F210" s="84"/>
      <c r="G210" s="83"/>
      <c r="H210" s="84"/>
      <c r="I210" s="84"/>
      <c r="J210" s="84"/>
      <c r="K210" s="88"/>
      <c r="L210" s="84"/>
      <c r="M210" s="88"/>
      <c r="N210" s="84"/>
      <c r="O210" s="88"/>
      <c r="P210" s="85"/>
      <c r="Q210" s="75"/>
      <c r="R210" s="75"/>
      <c r="S210" s="75"/>
      <c r="T210" s="75"/>
      <c r="U210" s="86"/>
      <c r="V210" s="84"/>
      <c r="W210" s="87"/>
      <c r="X210" s="84"/>
      <c r="Y210" s="84"/>
      <c r="Z210" s="84"/>
      <c r="AA210" s="1"/>
      <c r="AB210" s="330"/>
      <c r="AC210" s="321"/>
      <c r="AD210" s="321"/>
    </row>
    <row r="211" spans="1:30" ht="15.75" customHeight="1">
      <c r="A211" s="83"/>
      <c r="B211" s="83"/>
      <c r="C211" s="83"/>
      <c r="D211" s="87"/>
      <c r="E211" s="84"/>
      <c r="F211" s="84"/>
      <c r="G211" s="83"/>
      <c r="H211" s="84"/>
      <c r="I211" s="84"/>
      <c r="J211" s="84"/>
      <c r="K211" s="88"/>
      <c r="L211" s="84"/>
      <c r="M211" s="88"/>
      <c r="N211" s="84"/>
      <c r="O211" s="88"/>
      <c r="P211" s="85"/>
      <c r="Q211" s="75"/>
      <c r="R211" s="75"/>
      <c r="S211" s="75"/>
      <c r="T211" s="75"/>
      <c r="U211" s="86"/>
      <c r="V211" s="84"/>
      <c r="W211" s="87"/>
      <c r="X211" s="84"/>
      <c r="Y211" s="84"/>
      <c r="Z211" s="84"/>
      <c r="AA211" s="1"/>
      <c r="AB211" s="330"/>
      <c r="AC211" s="321"/>
      <c r="AD211" s="321"/>
    </row>
    <row r="212" spans="1:30" ht="15.75" customHeight="1">
      <c r="A212" s="83"/>
      <c r="B212" s="83"/>
      <c r="C212" s="83"/>
      <c r="D212" s="87"/>
      <c r="E212" s="84"/>
      <c r="F212" s="84"/>
      <c r="G212" s="83"/>
      <c r="H212" s="84"/>
      <c r="I212" s="84"/>
      <c r="J212" s="84"/>
      <c r="K212" s="88"/>
      <c r="L212" s="84"/>
      <c r="M212" s="88"/>
      <c r="N212" s="84"/>
      <c r="O212" s="88"/>
      <c r="P212" s="85"/>
      <c r="Q212" s="75"/>
      <c r="R212" s="75"/>
      <c r="S212" s="75"/>
      <c r="T212" s="75"/>
      <c r="U212" s="86"/>
      <c r="V212" s="84"/>
      <c r="W212" s="87"/>
      <c r="X212" s="84"/>
      <c r="Y212" s="84"/>
      <c r="Z212" s="84"/>
      <c r="AA212" s="1"/>
      <c r="AB212" s="330"/>
      <c r="AC212" s="321"/>
      <c r="AD212" s="321"/>
    </row>
    <row r="213" spans="1:30" ht="15.75" customHeight="1">
      <c r="A213" s="83"/>
      <c r="B213" s="83"/>
      <c r="C213" s="83"/>
      <c r="D213" s="87"/>
      <c r="E213" s="84"/>
      <c r="F213" s="84"/>
      <c r="G213" s="83"/>
      <c r="H213" s="84"/>
      <c r="I213" s="84"/>
      <c r="J213" s="84"/>
      <c r="K213" s="88"/>
      <c r="L213" s="84"/>
      <c r="M213" s="88"/>
      <c r="N213" s="84"/>
      <c r="O213" s="88"/>
      <c r="P213" s="85"/>
      <c r="Q213" s="75"/>
      <c r="R213" s="75"/>
      <c r="S213" s="75"/>
      <c r="T213" s="75"/>
      <c r="U213" s="86"/>
      <c r="V213" s="84"/>
      <c r="W213" s="87"/>
      <c r="X213" s="84"/>
      <c r="Y213" s="84"/>
      <c r="Z213" s="84"/>
      <c r="AA213" s="1"/>
      <c r="AB213" s="330"/>
      <c r="AC213" s="321"/>
      <c r="AD213" s="321"/>
    </row>
    <row r="214" spans="1:30" ht="15.75" customHeight="1">
      <c r="A214" s="83"/>
      <c r="B214" s="83"/>
      <c r="C214" s="83"/>
      <c r="D214" s="87"/>
      <c r="E214" s="84"/>
      <c r="F214" s="84"/>
      <c r="G214" s="83"/>
      <c r="H214" s="84"/>
      <c r="I214" s="84"/>
      <c r="J214" s="84"/>
      <c r="K214" s="88"/>
      <c r="L214" s="84"/>
      <c r="M214" s="88"/>
      <c r="N214" s="84"/>
      <c r="O214" s="88"/>
      <c r="P214" s="85"/>
      <c r="Q214" s="75"/>
      <c r="R214" s="75"/>
      <c r="S214" s="75"/>
      <c r="T214" s="75"/>
      <c r="U214" s="86"/>
      <c r="V214" s="84"/>
      <c r="W214" s="87"/>
      <c r="X214" s="84"/>
      <c r="Y214" s="84"/>
      <c r="Z214" s="84"/>
      <c r="AA214" s="1"/>
      <c r="AB214" s="330"/>
      <c r="AC214" s="321"/>
      <c r="AD214" s="321"/>
    </row>
    <row r="215" spans="1:30" ht="15.75" customHeight="1">
      <c r="A215" s="83"/>
      <c r="B215" s="83"/>
      <c r="C215" s="83"/>
      <c r="D215" s="87"/>
      <c r="E215" s="84"/>
      <c r="F215" s="84"/>
      <c r="G215" s="83"/>
      <c r="H215" s="84"/>
      <c r="I215" s="84"/>
      <c r="J215" s="84"/>
      <c r="K215" s="88"/>
      <c r="L215" s="84"/>
      <c r="M215" s="88"/>
      <c r="N215" s="84"/>
      <c r="O215" s="88"/>
      <c r="P215" s="85"/>
      <c r="Q215" s="75"/>
      <c r="R215" s="75"/>
      <c r="S215" s="75"/>
      <c r="T215" s="75"/>
      <c r="U215" s="86"/>
      <c r="V215" s="84"/>
      <c r="W215" s="87"/>
      <c r="X215" s="84"/>
      <c r="Y215" s="84"/>
      <c r="Z215" s="84"/>
      <c r="AA215" s="1"/>
      <c r="AB215" s="330"/>
      <c r="AC215" s="321"/>
      <c r="AD215" s="321"/>
    </row>
    <row r="216" spans="1:30" ht="15.75" customHeight="1">
      <c r="A216" s="83"/>
      <c r="B216" s="83"/>
      <c r="C216" s="83"/>
      <c r="D216" s="87"/>
      <c r="E216" s="84"/>
      <c r="F216" s="84"/>
      <c r="G216" s="83"/>
      <c r="H216" s="84"/>
      <c r="I216" s="84"/>
      <c r="J216" s="84"/>
      <c r="K216" s="88"/>
      <c r="L216" s="84"/>
      <c r="M216" s="88"/>
      <c r="N216" s="84"/>
      <c r="O216" s="88"/>
      <c r="P216" s="85"/>
      <c r="Q216" s="75"/>
      <c r="R216" s="75"/>
      <c r="S216" s="75"/>
      <c r="T216" s="75"/>
      <c r="U216" s="86"/>
      <c r="V216" s="84"/>
      <c r="W216" s="87"/>
      <c r="X216" s="84"/>
      <c r="Y216" s="84"/>
      <c r="Z216" s="84"/>
      <c r="AA216" s="1"/>
      <c r="AB216" s="330"/>
      <c r="AC216" s="321"/>
      <c r="AD216" s="321"/>
    </row>
    <row r="217" spans="1:30" ht="15.75" customHeight="1">
      <c r="A217" s="83"/>
      <c r="B217" s="83"/>
      <c r="C217" s="83"/>
      <c r="D217" s="87"/>
      <c r="E217" s="84"/>
      <c r="F217" s="84"/>
      <c r="G217" s="83"/>
      <c r="H217" s="84"/>
      <c r="I217" s="84"/>
      <c r="J217" s="84"/>
      <c r="K217" s="88"/>
      <c r="L217" s="84"/>
      <c r="M217" s="88"/>
      <c r="N217" s="84"/>
      <c r="O217" s="88"/>
      <c r="P217" s="85"/>
      <c r="Q217" s="75"/>
      <c r="R217" s="75"/>
      <c r="S217" s="75"/>
      <c r="T217" s="75"/>
      <c r="U217" s="86"/>
      <c r="V217" s="84"/>
      <c r="W217" s="87"/>
      <c r="X217" s="84"/>
      <c r="Y217" s="84"/>
      <c r="Z217" s="84"/>
      <c r="AA217" s="1"/>
      <c r="AB217" s="330"/>
      <c r="AC217" s="321"/>
      <c r="AD217" s="321"/>
    </row>
    <row r="218" spans="1:30" ht="15.75" customHeight="1">
      <c r="A218" s="83"/>
      <c r="B218" s="83"/>
      <c r="C218" s="83"/>
      <c r="D218" s="87"/>
      <c r="E218" s="84"/>
      <c r="F218" s="84"/>
      <c r="G218" s="83"/>
      <c r="H218" s="84"/>
      <c r="I218" s="84"/>
      <c r="J218" s="84"/>
      <c r="K218" s="88"/>
      <c r="L218" s="84"/>
      <c r="M218" s="88"/>
      <c r="N218" s="84"/>
      <c r="O218" s="88"/>
      <c r="P218" s="85"/>
      <c r="Q218" s="75"/>
      <c r="R218" s="75"/>
      <c r="S218" s="75"/>
      <c r="T218" s="75"/>
      <c r="U218" s="86"/>
      <c r="V218" s="84"/>
      <c r="W218" s="87"/>
      <c r="X218" s="84"/>
      <c r="Y218" s="84"/>
      <c r="Z218" s="84"/>
      <c r="AA218" s="1"/>
      <c r="AB218" s="330"/>
      <c r="AC218" s="321"/>
      <c r="AD218" s="321"/>
    </row>
    <row r="219" spans="1:30" ht="15.75" customHeight="1">
      <c r="A219" s="83"/>
      <c r="B219" s="83"/>
      <c r="C219" s="83"/>
      <c r="D219" s="87"/>
      <c r="E219" s="84"/>
      <c r="F219" s="84"/>
      <c r="G219" s="83"/>
      <c r="H219" s="84"/>
      <c r="I219" s="84"/>
      <c r="J219" s="84"/>
      <c r="K219" s="88"/>
      <c r="L219" s="84"/>
      <c r="M219" s="88"/>
      <c r="N219" s="84"/>
      <c r="O219" s="88"/>
      <c r="P219" s="85"/>
      <c r="Q219" s="75"/>
      <c r="R219" s="75"/>
      <c r="S219" s="75"/>
      <c r="T219" s="75"/>
      <c r="U219" s="86"/>
      <c r="V219" s="84"/>
      <c r="W219" s="87"/>
      <c r="X219" s="84"/>
      <c r="Y219" s="84"/>
      <c r="Z219" s="84"/>
      <c r="AA219" s="1"/>
      <c r="AB219" s="330"/>
      <c r="AC219" s="321"/>
      <c r="AD219" s="321"/>
    </row>
    <row r="220" spans="1:30" ht="15.75" customHeight="1">
      <c r="A220" s="83"/>
      <c r="B220" s="83"/>
      <c r="C220" s="83"/>
      <c r="D220" s="87"/>
      <c r="E220" s="84"/>
      <c r="F220" s="84"/>
      <c r="G220" s="83"/>
      <c r="H220" s="84"/>
      <c r="I220" s="84"/>
      <c r="J220" s="84"/>
      <c r="K220" s="88"/>
      <c r="L220" s="84"/>
      <c r="M220" s="88"/>
      <c r="N220" s="84"/>
      <c r="O220" s="88"/>
      <c r="P220" s="85"/>
      <c r="Q220" s="75"/>
      <c r="R220" s="75"/>
      <c r="S220" s="75"/>
      <c r="T220" s="75"/>
      <c r="U220" s="86"/>
      <c r="V220" s="84"/>
      <c r="W220" s="87"/>
      <c r="X220" s="84"/>
      <c r="Y220" s="84"/>
      <c r="Z220" s="84"/>
      <c r="AA220" s="1"/>
      <c r="AB220" s="330"/>
      <c r="AC220" s="321"/>
      <c r="AD220" s="321"/>
    </row>
    <row r="221" spans="1:30" ht="15.75" customHeight="1">
      <c r="A221" s="83"/>
      <c r="B221" s="83"/>
      <c r="C221" s="83"/>
      <c r="D221" s="87"/>
      <c r="E221" s="84"/>
      <c r="F221" s="84"/>
      <c r="G221" s="83"/>
      <c r="H221" s="84"/>
      <c r="I221" s="84"/>
      <c r="J221" s="84"/>
      <c r="K221" s="88"/>
      <c r="L221" s="84"/>
      <c r="M221" s="88"/>
      <c r="N221" s="84"/>
      <c r="O221" s="88"/>
      <c r="P221" s="85"/>
      <c r="Q221" s="75"/>
      <c r="R221" s="75"/>
      <c r="S221" s="75"/>
      <c r="T221" s="75"/>
      <c r="U221" s="86"/>
      <c r="V221" s="84"/>
      <c r="W221" s="87"/>
      <c r="X221" s="84"/>
      <c r="Y221" s="84"/>
      <c r="Z221" s="84"/>
      <c r="AA221" s="1"/>
      <c r="AB221" s="330"/>
      <c r="AC221" s="321"/>
      <c r="AD221" s="321"/>
    </row>
    <row r="222" spans="1:30" ht="15.75" customHeight="1">
      <c r="A222" s="83"/>
      <c r="B222" s="83"/>
      <c r="C222" s="83"/>
      <c r="D222" s="87"/>
      <c r="E222" s="84"/>
      <c r="F222" s="84"/>
      <c r="G222" s="83"/>
      <c r="H222" s="84"/>
      <c r="I222" s="84"/>
      <c r="J222" s="84"/>
      <c r="K222" s="88"/>
      <c r="L222" s="84"/>
      <c r="M222" s="88"/>
      <c r="N222" s="84"/>
      <c r="O222" s="88"/>
      <c r="P222" s="85"/>
      <c r="Q222" s="75"/>
      <c r="R222" s="75"/>
      <c r="S222" s="75"/>
      <c r="T222" s="75"/>
      <c r="U222" s="86"/>
      <c r="V222" s="84"/>
      <c r="W222" s="87"/>
      <c r="X222" s="84"/>
      <c r="Y222" s="84"/>
      <c r="Z222" s="84"/>
      <c r="AA222" s="1"/>
      <c r="AB222" s="330"/>
      <c r="AC222" s="321"/>
      <c r="AD222" s="321"/>
    </row>
    <row r="223" spans="1:30" ht="15.75" customHeight="1">
      <c r="A223" s="83"/>
      <c r="B223" s="83"/>
      <c r="C223" s="83"/>
      <c r="D223" s="87"/>
      <c r="E223" s="84"/>
      <c r="F223" s="84"/>
      <c r="G223" s="83"/>
      <c r="H223" s="84"/>
      <c r="I223" s="84"/>
      <c r="J223" s="84"/>
      <c r="K223" s="88"/>
      <c r="L223" s="84"/>
      <c r="M223" s="88"/>
      <c r="N223" s="84"/>
      <c r="O223" s="88"/>
      <c r="P223" s="85"/>
      <c r="Q223" s="75"/>
      <c r="R223" s="75"/>
      <c r="S223" s="75"/>
      <c r="T223" s="75"/>
      <c r="U223" s="86"/>
      <c r="V223" s="84"/>
      <c r="W223" s="87"/>
      <c r="X223" s="84"/>
      <c r="Y223" s="84"/>
      <c r="Z223" s="84"/>
      <c r="AA223" s="1"/>
      <c r="AB223" s="330"/>
      <c r="AC223" s="321"/>
      <c r="AD223" s="321"/>
    </row>
    <row r="224" spans="1:30" ht="15.75" customHeight="1">
      <c r="A224" s="83"/>
      <c r="B224" s="83"/>
      <c r="C224" s="83"/>
      <c r="D224" s="87"/>
      <c r="E224" s="84"/>
      <c r="F224" s="84"/>
      <c r="G224" s="83"/>
      <c r="H224" s="84"/>
      <c r="I224" s="84"/>
      <c r="J224" s="84"/>
      <c r="K224" s="88"/>
      <c r="L224" s="84"/>
      <c r="M224" s="88"/>
      <c r="N224" s="84"/>
      <c r="O224" s="88"/>
      <c r="P224" s="85"/>
      <c r="Q224" s="75"/>
      <c r="R224" s="75"/>
      <c r="S224" s="75"/>
      <c r="T224" s="75"/>
      <c r="U224" s="86"/>
      <c r="V224" s="84"/>
      <c r="W224" s="87"/>
      <c r="X224" s="84"/>
      <c r="Y224" s="84"/>
      <c r="Z224" s="84"/>
      <c r="AA224" s="1"/>
      <c r="AB224" s="330"/>
      <c r="AC224" s="321"/>
      <c r="AD224" s="321"/>
    </row>
    <row r="225" spans="1:30" ht="15.75" customHeight="1">
      <c r="A225" s="83"/>
      <c r="B225" s="83"/>
      <c r="C225" s="83"/>
      <c r="D225" s="87"/>
      <c r="E225" s="84"/>
      <c r="F225" s="84"/>
      <c r="G225" s="83"/>
      <c r="H225" s="84"/>
      <c r="I225" s="84"/>
      <c r="J225" s="84"/>
      <c r="K225" s="88"/>
      <c r="L225" s="84"/>
      <c r="M225" s="88"/>
      <c r="N225" s="84"/>
      <c r="O225" s="88"/>
      <c r="P225" s="85"/>
      <c r="Q225" s="75"/>
      <c r="R225" s="75"/>
      <c r="S225" s="75"/>
      <c r="T225" s="75"/>
      <c r="U225" s="86"/>
      <c r="V225" s="84"/>
      <c r="W225" s="87"/>
      <c r="X225" s="84"/>
      <c r="Y225" s="84"/>
      <c r="Z225" s="84"/>
      <c r="AA225" s="1"/>
      <c r="AB225" s="330"/>
      <c r="AC225" s="321"/>
      <c r="AD225" s="321"/>
    </row>
    <row r="226" spans="1:30" ht="15.75" customHeight="1">
      <c r="A226" s="83"/>
      <c r="B226" s="83"/>
      <c r="C226" s="83"/>
      <c r="D226" s="87"/>
      <c r="E226" s="84"/>
      <c r="F226" s="84"/>
      <c r="G226" s="83"/>
      <c r="H226" s="84"/>
      <c r="I226" s="84"/>
      <c r="J226" s="84"/>
      <c r="K226" s="88"/>
      <c r="L226" s="84"/>
      <c r="M226" s="88"/>
      <c r="N226" s="84"/>
      <c r="O226" s="88"/>
      <c r="P226" s="85"/>
      <c r="Q226" s="75"/>
      <c r="R226" s="75"/>
      <c r="S226" s="75"/>
      <c r="T226" s="75"/>
      <c r="U226" s="86"/>
      <c r="V226" s="84"/>
      <c r="W226" s="87"/>
      <c r="X226" s="84"/>
      <c r="Y226" s="84"/>
      <c r="Z226" s="84"/>
      <c r="AA226" s="1"/>
      <c r="AB226" s="330"/>
      <c r="AC226" s="321"/>
      <c r="AD226" s="321"/>
    </row>
    <row r="227" spans="1:30" ht="15.75" customHeight="1">
      <c r="A227" s="83"/>
      <c r="B227" s="83"/>
      <c r="C227" s="83"/>
      <c r="D227" s="87"/>
      <c r="E227" s="84"/>
      <c r="F227" s="84"/>
      <c r="G227" s="83"/>
      <c r="H227" s="84"/>
      <c r="I227" s="84"/>
      <c r="J227" s="84"/>
      <c r="K227" s="88"/>
      <c r="L227" s="84"/>
      <c r="M227" s="88"/>
      <c r="N227" s="84"/>
      <c r="O227" s="88"/>
      <c r="P227" s="85"/>
      <c r="Q227" s="75"/>
      <c r="R227" s="75"/>
      <c r="S227" s="75"/>
      <c r="T227" s="75"/>
      <c r="U227" s="86"/>
      <c r="V227" s="84"/>
      <c r="W227" s="87"/>
      <c r="X227" s="84"/>
      <c r="Y227" s="84"/>
      <c r="Z227" s="84"/>
      <c r="AA227" s="1"/>
      <c r="AB227" s="330"/>
      <c r="AC227" s="321"/>
      <c r="AD227" s="321"/>
    </row>
    <row r="228" spans="1:30" ht="15.75" customHeight="1">
      <c r="A228" s="83"/>
      <c r="B228" s="83"/>
      <c r="C228" s="83"/>
      <c r="D228" s="87"/>
      <c r="E228" s="84"/>
      <c r="F228" s="84"/>
      <c r="G228" s="83"/>
      <c r="H228" s="84"/>
      <c r="I228" s="84"/>
      <c r="J228" s="84"/>
      <c r="K228" s="88"/>
      <c r="L228" s="84"/>
      <c r="M228" s="88"/>
      <c r="N228" s="84"/>
      <c r="O228" s="88"/>
      <c r="P228" s="85"/>
      <c r="Q228" s="75"/>
      <c r="R228" s="75"/>
      <c r="S228" s="75"/>
      <c r="T228" s="75"/>
      <c r="U228" s="86"/>
      <c r="V228" s="84"/>
      <c r="W228" s="87"/>
      <c r="X228" s="84"/>
      <c r="Y228" s="84"/>
      <c r="Z228" s="84"/>
      <c r="AA228" s="1"/>
      <c r="AB228" s="330"/>
      <c r="AC228" s="321"/>
      <c r="AD228" s="321"/>
    </row>
    <row r="229" spans="1:30" ht="15.75" customHeight="1">
      <c r="A229" s="83"/>
      <c r="B229" s="83"/>
      <c r="C229" s="83"/>
      <c r="D229" s="87"/>
      <c r="E229" s="84"/>
      <c r="F229" s="84"/>
      <c r="G229" s="83"/>
      <c r="H229" s="84"/>
      <c r="I229" s="84"/>
      <c r="J229" s="84"/>
      <c r="K229" s="88"/>
      <c r="L229" s="84"/>
      <c r="M229" s="88"/>
      <c r="N229" s="84"/>
      <c r="O229" s="88"/>
      <c r="P229" s="85"/>
      <c r="Q229" s="75"/>
      <c r="R229" s="75"/>
      <c r="S229" s="75"/>
      <c r="T229" s="75"/>
      <c r="U229" s="86"/>
      <c r="V229" s="84"/>
      <c r="W229" s="87"/>
      <c r="X229" s="84"/>
      <c r="Y229" s="84"/>
      <c r="Z229" s="84"/>
      <c r="AA229" s="1"/>
      <c r="AB229" s="330"/>
      <c r="AC229" s="321"/>
      <c r="AD229" s="321"/>
    </row>
    <row r="230" spans="1:30" ht="15.75" customHeight="1">
      <c r="A230" s="83"/>
      <c r="B230" s="83"/>
      <c r="C230" s="83"/>
      <c r="D230" s="87"/>
      <c r="E230" s="84"/>
      <c r="F230" s="84"/>
      <c r="G230" s="83"/>
      <c r="H230" s="84"/>
      <c r="I230" s="84"/>
      <c r="J230" s="84"/>
      <c r="K230" s="88"/>
      <c r="L230" s="84"/>
      <c r="M230" s="88"/>
      <c r="N230" s="84"/>
      <c r="O230" s="88"/>
      <c r="P230" s="85"/>
      <c r="Q230" s="75"/>
      <c r="R230" s="75"/>
      <c r="S230" s="75"/>
      <c r="T230" s="75"/>
      <c r="U230" s="86"/>
      <c r="V230" s="84"/>
      <c r="W230" s="87"/>
      <c r="X230" s="84"/>
      <c r="Y230" s="84"/>
      <c r="Z230" s="84"/>
      <c r="AA230" s="1"/>
      <c r="AB230" s="330"/>
      <c r="AC230" s="321"/>
      <c r="AD230" s="321"/>
    </row>
    <row r="231" spans="1:30" ht="15.75" customHeight="1">
      <c r="A231" s="83"/>
      <c r="B231" s="83"/>
      <c r="C231" s="83"/>
      <c r="D231" s="87"/>
      <c r="E231" s="84"/>
      <c r="F231" s="84"/>
      <c r="G231" s="83"/>
      <c r="H231" s="84"/>
      <c r="I231" s="84"/>
      <c r="J231" s="84"/>
      <c r="K231" s="88"/>
      <c r="L231" s="84"/>
      <c r="M231" s="88"/>
      <c r="N231" s="84"/>
      <c r="O231" s="88"/>
      <c r="P231" s="85"/>
      <c r="Q231" s="75"/>
      <c r="R231" s="75"/>
      <c r="S231" s="75"/>
      <c r="T231" s="75"/>
      <c r="U231" s="86"/>
      <c r="V231" s="84"/>
      <c r="W231" s="87"/>
      <c r="X231" s="84"/>
      <c r="Y231" s="84"/>
      <c r="Z231" s="84"/>
      <c r="AA231" s="1"/>
      <c r="AB231" s="330"/>
      <c r="AC231" s="321"/>
      <c r="AD231" s="321"/>
    </row>
    <row r="232" spans="1:30" ht="15.75" customHeight="1">
      <c r="A232" s="83"/>
      <c r="B232" s="83"/>
      <c r="C232" s="83"/>
      <c r="D232" s="87"/>
      <c r="E232" s="84"/>
      <c r="F232" s="84"/>
      <c r="G232" s="83"/>
      <c r="H232" s="84"/>
      <c r="I232" s="84"/>
      <c r="J232" s="84"/>
      <c r="K232" s="88"/>
      <c r="L232" s="84"/>
      <c r="M232" s="88"/>
      <c r="N232" s="84"/>
      <c r="O232" s="88"/>
      <c r="P232" s="85"/>
      <c r="Q232" s="75"/>
      <c r="R232" s="75"/>
      <c r="S232" s="75"/>
      <c r="T232" s="75"/>
      <c r="U232" s="86"/>
      <c r="V232" s="84"/>
      <c r="W232" s="87"/>
      <c r="X232" s="84"/>
      <c r="Y232" s="84"/>
      <c r="Z232" s="84"/>
      <c r="AA232" s="1"/>
      <c r="AB232" s="330"/>
      <c r="AC232" s="321"/>
      <c r="AD232" s="321"/>
    </row>
    <row r="233" spans="1:30" ht="15.75" customHeight="1">
      <c r="A233" s="83"/>
      <c r="B233" s="83"/>
      <c r="C233" s="83"/>
      <c r="D233" s="87"/>
      <c r="E233" s="84"/>
      <c r="F233" s="84"/>
      <c r="G233" s="83"/>
      <c r="H233" s="84"/>
      <c r="I233" s="84"/>
      <c r="J233" s="84"/>
      <c r="K233" s="88"/>
      <c r="L233" s="84"/>
      <c r="M233" s="88"/>
      <c r="N233" s="84"/>
      <c r="O233" s="88"/>
      <c r="P233" s="85"/>
      <c r="Q233" s="75"/>
      <c r="R233" s="75"/>
      <c r="S233" s="75"/>
      <c r="T233" s="75"/>
      <c r="U233" s="86"/>
      <c r="V233" s="84"/>
      <c r="W233" s="87"/>
      <c r="X233" s="84"/>
      <c r="Y233" s="84"/>
      <c r="Z233" s="84"/>
      <c r="AA233" s="1"/>
      <c r="AB233" s="330"/>
      <c r="AC233" s="321"/>
      <c r="AD233" s="321"/>
    </row>
    <row r="234" spans="1:30" ht="15.75" customHeight="1">
      <c r="A234" s="83"/>
      <c r="B234" s="83"/>
      <c r="C234" s="83"/>
      <c r="D234" s="87"/>
      <c r="E234" s="84"/>
      <c r="F234" s="84"/>
      <c r="G234" s="83"/>
      <c r="H234" s="84"/>
      <c r="I234" s="84"/>
      <c r="J234" s="84"/>
      <c r="K234" s="88"/>
      <c r="L234" s="84"/>
      <c r="M234" s="88"/>
      <c r="N234" s="84"/>
      <c r="O234" s="88"/>
      <c r="P234" s="85"/>
      <c r="Q234" s="75"/>
      <c r="R234" s="75"/>
      <c r="S234" s="75"/>
      <c r="T234" s="75"/>
      <c r="U234" s="86"/>
      <c r="V234" s="84"/>
      <c r="W234" s="87"/>
      <c r="X234" s="84"/>
      <c r="Y234" s="84"/>
      <c r="Z234" s="84"/>
      <c r="AA234" s="1"/>
      <c r="AB234" s="330"/>
      <c r="AC234" s="321"/>
      <c r="AD234" s="321"/>
    </row>
    <row r="235" spans="1:30" ht="15.75" customHeight="1">
      <c r="A235" s="83"/>
      <c r="B235" s="83"/>
      <c r="C235" s="83"/>
      <c r="D235" s="87"/>
      <c r="E235" s="84"/>
      <c r="F235" s="84"/>
      <c r="G235" s="83"/>
      <c r="H235" s="84"/>
      <c r="I235" s="84"/>
      <c r="J235" s="84"/>
      <c r="K235" s="88"/>
      <c r="L235" s="84"/>
      <c r="M235" s="88"/>
      <c r="N235" s="84"/>
      <c r="O235" s="88"/>
      <c r="P235" s="85"/>
      <c r="Q235" s="75"/>
      <c r="R235" s="75"/>
      <c r="S235" s="75"/>
      <c r="T235" s="75"/>
      <c r="U235" s="86"/>
      <c r="V235" s="84"/>
      <c r="W235" s="87"/>
      <c r="X235" s="84"/>
      <c r="Y235" s="84"/>
      <c r="Z235" s="84"/>
      <c r="AA235" s="1"/>
      <c r="AB235" s="330"/>
      <c r="AC235" s="321"/>
      <c r="AD235" s="321"/>
    </row>
    <row r="236" spans="1:30" ht="15.75" customHeight="1">
      <c r="A236" s="83"/>
      <c r="B236" s="83"/>
      <c r="C236" s="83"/>
      <c r="D236" s="87"/>
      <c r="E236" s="84"/>
      <c r="F236" s="84"/>
      <c r="G236" s="83"/>
      <c r="H236" s="84"/>
      <c r="I236" s="84"/>
      <c r="J236" s="84"/>
      <c r="K236" s="88"/>
      <c r="L236" s="84"/>
      <c r="M236" s="88"/>
      <c r="N236" s="84"/>
      <c r="O236" s="88"/>
      <c r="P236" s="85"/>
      <c r="Q236" s="75"/>
      <c r="R236" s="75"/>
      <c r="S236" s="75"/>
      <c r="T236" s="75"/>
      <c r="U236" s="86"/>
      <c r="V236" s="84"/>
      <c r="W236" s="87"/>
      <c r="X236" s="84"/>
      <c r="Y236" s="84"/>
      <c r="Z236" s="84"/>
      <c r="AA236" s="1"/>
      <c r="AB236" s="330"/>
      <c r="AC236" s="321"/>
      <c r="AD236" s="321"/>
    </row>
    <row r="237" spans="1:30" ht="15.75" customHeight="1">
      <c r="A237" s="83"/>
      <c r="B237" s="83"/>
      <c r="C237" s="83"/>
      <c r="D237" s="87"/>
      <c r="E237" s="84"/>
      <c r="F237" s="84"/>
      <c r="G237" s="83"/>
      <c r="H237" s="84"/>
      <c r="I237" s="84"/>
      <c r="J237" s="84"/>
      <c r="K237" s="88"/>
      <c r="L237" s="84"/>
      <c r="M237" s="88"/>
      <c r="N237" s="84"/>
      <c r="O237" s="88"/>
      <c r="P237" s="85"/>
      <c r="Q237" s="75"/>
      <c r="R237" s="75"/>
      <c r="S237" s="75"/>
      <c r="T237" s="75"/>
      <c r="U237" s="86"/>
      <c r="V237" s="84"/>
      <c r="W237" s="87"/>
      <c r="X237" s="84"/>
      <c r="Y237" s="84"/>
      <c r="Z237" s="84"/>
      <c r="AA237" s="1"/>
      <c r="AB237" s="330"/>
      <c r="AC237" s="321"/>
      <c r="AD237" s="321"/>
    </row>
    <row r="238" spans="1:30" ht="15.75" customHeight="1">
      <c r="A238" s="83"/>
      <c r="B238" s="83"/>
      <c r="C238" s="83"/>
      <c r="D238" s="87"/>
      <c r="E238" s="84"/>
      <c r="F238" s="84"/>
      <c r="G238" s="83"/>
      <c r="H238" s="84"/>
      <c r="I238" s="84"/>
      <c r="J238" s="84"/>
      <c r="K238" s="88"/>
      <c r="L238" s="84"/>
      <c r="M238" s="88"/>
      <c r="N238" s="84"/>
      <c r="O238" s="88"/>
      <c r="P238" s="85"/>
      <c r="Q238" s="75"/>
      <c r="R238" s="75"/>
      <c r="S238" s="75"/>
      <c r="T238" s="75"/>
      <c r="U238" s="86"/>
      <c r="V238" s="84"/>
      <c r="W238" s="87"/>
      <c r="X238" s="84"/>
      <c r="Y238" s="84"/>
      <c r="Z238" s="84"/>
      <c r="AA238" s="1"/>
      <c r="AB238" s="330"/>
      <c r="AC238" s="321"/>
      <c r="AD238" s="321"/>
    </row>
    <row r="239" spans="1:30" ht="15.75" customHeight="1">
      <c r="A239" s="83"/>
      <c r="B239" s="83"/>
      <c r="C239" s="83"/>
      <c r="D239" s="87"/>
      <c r="E239" s="84"/>
      <c r="F239" s="84"/>
      <c r="G239" s="83"/>
      <c r="H239" s="84"/>
      <c r="I239" s="84"/>
      <c r="J239" s="84"/>
      <c r="K239" s="88"/>
      <c r="L239" s="84"/>
      <c r="M239" s="88"/>
      <c r="N239" s="84"/>
      <c r="O239" s="88"/>
      <c r="P239" s="85"/>
      <c r="Q239" s="75"/>
      <c r="R239" s="75"/>
      <c r="S239" s="75"/>
      <c r="T239" s="75"/>
      <c r="U239" s="86"/>
      <c r="V239" s="84"/>
      <c r="W239" s="87"/>
      <c r="X239" s="84"/>
      <c r="Y239" s="84"/>
      <c r="Z239" s="84"/>
      <c r="AA239" s="1"/>
      <c r="AB239" s="330"/>
      <c r="AC239" s="321"/>
      <c r="AD239" s="321"/>
    </row>
    <row r="240" spans="1:30" ht="15.75" customHeight="1">
      <c r="A240" s="83"/>
      <c r="B240" s="83"/>
      <c r="C240" s="83"/>
      <c r="D240" s="87"/>
      <c r="E240" s="84"/>
      <c r="F240" s="84"/>
      <c r="G240" s="83"/>
      <c r="H240" s="84"/>
      <c r="I240" s="84"/>
      <c r="J240" s="84"/>
      <c r="K240" s="88"/>
      <c r="L240" s="84"/>
      <c r="M240" s="88"/>
      <c r="N240" s="84"/>
      <c r="O240" s="88"/>
      <c r="P240" s="85"/>
      <c r="Q240" s="75"/>
      <c r="R240" s="75"/>
      <c r="S240" s="75"/>
      <c r="T240" s="75"/>
      <c r="U240" s="86"/>
      <c r="V240" s="84"/>
      <c r="W240" s="87"/>
      <c r="X240" s="84"/>
      <c r="Y240" s="84"/>
      <c r="Z240" s="84"/>
      <c r="AA240" s="1"/>
      <c r="AB240" s="330"/>
      <c r="AC240" s="321"/>
      <c r="AD240" s="321"/>
    </row>
    <row r="241" spans="1:30" ht="15.75" customHeight="1">
      <c r="A241" s="83"/>
      <c r="B241" s="83"/>
      <c r="C241" s="83"/>
      <c r="D241" s="87"/>
      <c r="E241" s="84"/>
      <c r="F241" s="84"/>
      <c r="G241" s="83"/>
      <c r="H241" s="84"/>
      <c r="I241" s="84"/>
      <c r="J241" s="84"/>
      <c r="K241" s="88"/>
      <c r="L241" s="84"/>
      <c r="M241" s="88"/>
      <c r="N241" s="84"/>
      <c r="O241" s="88"/>
      <c r="P241" s="85"/>
      <c r="Q241" s="75"/>
      <c r="R241" s="75"/>
      <c r="S241" s="75"/>
      <c r="T241" s="75"/>
      <c r="U241" s="86"/>
      <c r="V241" s="84"/>
      <c r="W241" s="87"/>
      <c r="X241" s="84"/>
      <c r="Y241" s="84"/>
      <c r="Z241" s="84"/>
      <c r="AA241" s="1"/>
      <c r="AB241" s="330"/>
      <c r="AC241" s="321"/>
      <c r="AD241" s="321"/>
    </row>
    <row r="242" spans="1:30" ht="15.75" customHeight="1">
      <c r="A242" s="83"/>
      <c r="B242" s="83"/>
      <c r="C242" s="83"/>
      <c r="D242" s="87"/>
      <c r="E242" s="84"/>
      <c r="F242" s="84"/>
      <c r="G242" s="83"/>
      <c r="H242" s="84"/>
      <c r="I242" s="84"/>
      <c r="J242" s="84"/>
      <c r="K242" s="88"/>
      <c r="L242" s="84"/>
      <c r="M242" s="88"/>
      <c r="N242" s="84"/>
      <c r="O242" s="88"/>
      <c r="P242" s="85"/>
      <c r="Q242" s="75"/>
      <c r="R242" s="75"/>
      <c r="S242" s="75"/>
      <c r="T242" s="75"/>
      <c r="U242" s="86"/>
      <c r="V242" s="84"/>
      <c r="W242" s="87"/>
      <c r="X242" s="84"/>
      <c r="Y242" s="84"/>
      <c r="Z242" s="84"/>
      <c r="AA242" s="1"/>
      <c r="AB242" s="330"/>
      <c r="AC242" s="321"/>
      <c r="AD242" s="321"/>
    </row>
    <row r="243" spans="1:30" ht="15.75" customHeight="1">
      <c r="A243" s="83"/>
      <c r="B243" s="83"/>
      <c r="C243" s="83"/>
      <c r="D243" s="87"/>
      <c r="E243" s="84"/>
      <c r="F243" s="84"/>
      <c r="G243" s="83"/>
      <c r="H243" s="84"/>
      <c r="I243" s="84"/>
      <c r="J243" s="84"/>
      <c r="K243" s="88"/>
      <c r="L243" s="84"/>
      <c r="M243" s="88"/>
      <c r="N243" s="84"/>
      <c r="O243" s="88"/>
      <c r="P243" s="85"/>
      <c r="Q243" s="75"/>
      <c r="R243" s="75"/>
      <c r="S243" s="75"/>
      <c r="T243" s="75"/>
      <c r="U243" s="86"/>
      <c r="V243" s="84"/>
      <c r="W243" s="87"/>
      <c r="X243" s="84"/>
      <c r="Y243" s="84"/>
      <c r="Z243" s="84"/>
      <c r="AA243" s="1"/>
      <c r="AB243" s="330"/>
      <c r="AC243" s="321"/>
      <c r="AD243" s="321"/>
    </row>
    <row r="244" spans="1:30" ht="15.75" customHeight="1">
      <c r="A244" s="83"/>
      <c r="B244" s="83"/>
      <c r="C244" s="83"/>
      <c r="D244" s="87"/>
      <c r="E244" s="84"/>
      <c r="F244" s="84"/>
      <c r="G244" s="83"/>
      <c r="H244" s="84"/>
      <c r="I244" s="84"/>
      <c r="J244" s="84"/>
      <c r="K244" s="88"/>
      <c r="L244" s="84"/>
      <c r="M244" s="88"/>
      <c r="N244" s="84"/>
      <c r="O244" s="88"/>
      <c r="P244" s="85"/>
      <c r="Q244" s="75"/>
      <c r="R244" s="75"/>
      <c r="S244" s="75"/>
      <c r="T244" s="75"/>
      <c r="U244" s="86"/>
      <c r="V244" s="84"/>
      <c r="W244" s="87"/>
      <c r="X244" s="84"/>
      <c r="Y244" s="84"/>
      <c r="Z244" s="84"/>
      <c r="AA244" s="1"/>
      <c r="AB244" s="330"/>
      <c r="AC244" s="321"/>
      <c r="AD244" s="321"/>
    </row>
    <row r="245" spans="1:30" ht="15.75" customHeight="1">
      <c r="A245" s="83"/>
      <c r="B245" s="83"/>
      <c r="C245" s="83"/>
      <c r="D245" s="87"/>
      <c r="E245" s="84"/>
      <c r="F245" s="84"/>
      <c r="G245" s="83"/>
      <c r="H245" s="84"/>
      <c r="I245" s="84"/>
      <c r="J245" s="84"/>
      <c r="K245" s="88"/>
      <c r="L245" s="84"/>
      <c r="M245" s="88"/>
      <c r="N245" s="84"/>
      <c r="O245" s="88"/>
      <c r="P245" s="85"/>
      <c r="Q245" s="75"/>
      <c r="R245" s="75"/>
      <c r="S245" s="75"/>
      <c r="T245" s="75"/>
      <c r="U245" s="86"/>
      <c r="V245" s="84"/>
      <c r="W245" s="87"/>
      <c r="X245" s="84"/>
      <c r="Y245" s="84"/>
      <c r="Z245" s="84"/>
      <c r="AA245" s="1"/>
      <c r="AB245" s="330"/>
      <c r="AC245" s="321"/>
      <c r="AD245" s="321"/>
    </row>
    <row r="246" spans="1:30" ht="15.75" customHeight="1">
      <c r="A246" s="83"/>
      <c r="B246" s="83"/>
      <c r="C246" s="83"/>
      <c r="D246" s="87"/>
      <c r="E246" s="84"/>
      <c r="F246" s="84"/>
      <c r="G246" s="83"/>
      <c r="H246" s="84"/>
      <c r="I246" s="84"/>
      <c r="J246" s="84"/>
      <c r="K246" s="88"/>
      <c r="L246" s="84"/>
      <c r="M246" s="88"/>
      <c r="N246" s="84"/>
      <c r="O246" s="88"/>
      <c r="P246" s="85"/>
      <c r="Q246" s="75"/>
      <c r="R246" s="75"/>
      <c r="S246" s="75"/>
      <c r="T246" s="75"/>
      <c r="U246" s="86"/>
      <c r="V246" s="84"/>
      <c r="W246" s="87"/>
      <c r="X246" s="84"/>
      <c r="Y246" s="84"/>
      <c r="Z246" s="84"/>
      <c r="AA246" s="1"/>
      <c r="AB246" s="330"/>
      <c r="AC246" s="321"/>
      <c r="AD246" s="321"/>
    </row>
    <row r="247" spans="1:30" ht="15.75" customHeight="1">
      <c r="A247" s="83"/>
      <c r="B247" s="83"/>
      <c r="C247" s="83"/>
      <c r="D247" s="87"/>
      <c r="E247" s="84"/>
      <c r="F247" s="84"/>
      <c r="G247" s="83"/>
      <c r="H247" s="84"/>
      <c r="I247" s="84"/>
      <c r="J247" s="84"/>
      <c r="K247" s="88"/>
      <c r="L247" s="84"/>
      <c r="M247" s="88"/>
      <c r="N247" s="84"/>
      <c r="O247" s="88"/>
      <c r="P247" s="85"/>
      <c r="Q247" s="75"/>
      <c r="R247" s="75"/>
      <c r="S247" s="75"/>
      <c r="T247" s="75"/>
      <c r="U247" s="86"/>
      <c r="V247" s="84"/>
      <c r="W247" s="87"/>
      <c r="X247" s="84"/>
      <c r="Y247" s="84"/>
      <c r="Z247" s="84"/>
      <c r="AA247" s="1"/>
      <c r="AB247" s="330"/>
      <c r="AC247" s="321"/>
      <c r="AD247" s="321"/>
    </row>
    <row r="248" spans="1:30" ht="15.75" customHeight="1">
      <c r="A248" s="83"/>
      <c r="B248" s="83"/>
      <c r="C248" s="83"/>
      <c r="D248" s="87"/>
      <c r="E248" s="84"/>
      <c r="F248" s="84"/>
      <c r="G248" s="83"/>
      <c r="H248" s="84"/>
      <c r="I248" s="84"/>
      <c r="J248" s="84"/>
      <c r="K248" s="88"/>
      <c r="L248" s="84"/>
      <c r="M248" s="88"/>
      <c r="N248" s="84"/>
      <c r="O248" s="88"/>
      <c r="P248" s="85"/>
      <c r="Q248" s="75"/>
      <c r="R248" s="75"/>
      <c r="S248" s="75"/>
      <c r="T248" s="75"/>
      <c r="U248" s="86"/>
      <c r="V248" s="84"/>
      <c r="W248" s="87"/>
      <c r="X248" s="84"/>
      <c r="Y248" s="84"/>
      <c r="Z248" s="84"/>
      <c r="AA248" s="1"/>
      <c r="AB248" s="330"/>
      <c r="AC248" s="321"/>
      <c r="AD248" s="321"/>
    </row>
    <row r="249" spans="1:30" ht="15.75" customHeight="1">
      <c r="A249" s="83"/>
      <c r="B249" s="83"/>
      <c r="C249" s="83"/>
      <c r="D249" s="87"/>
      <c r="E249" s="84"/>
      <c r="F249" s="84"/>
      <c r="G249" s="83"/>
      <c r="H249" s="84"/>
      <c r="I249" s="84"/>
      <c r="J249" s="84"/>
      <c r="K249" s="88"/>
      <c r="L249" s="84"/>
      <c r="M249" s="88"/>
      <c r="N249" s="84"/>
      <c r="O249" s="88"/>
      <c r="P249" s="85"/>
      <c r="Q249" s="75"/>
      <c r="R249" s="75"/>
      <c r="S249" s="75"/>
      <c r="T249" s="75"/>
      <c r="U249" s="86"/>
      <c r="V249" s="84"/>
      <c r="W249" s="87"/>
      <c r="X249" s="84"/>
      <c r="Y249" s="84"/>
      <c r="Z249" s="84"/>
      <c r="AA249" s="1"/>
      <c r="AB249" s="330"/>
      <c r="AC249" s="321"/>
      <c r="AD249" s="321"/>
    </row>
    <row r="250" spans="1:30" ht="15.75" customHeight="1">
      <c r="A250" s="83"/>
      <c r="B250" s="83"/>
      <c r="C250" s="83"/>
      <c r="D250" s="87"/>
      <c r="E250" s="84"/>
      <c r="F250" s="84"/>
      <c r="G250" s="83"/>
      <c r="H250" s="84"/>
      <c r="I250" s="84"/>
      <c r="J250" s="84"/>
      <c r="K250" s="88"/>
      <c r="L250" s="84"/>
      <c r="M250" s="88"/>
      <c r="N250" s="84"/>
      <c r="O250" s="88"/>
      <c r="P250" s="85"/>
      <c r="Q250" s="75"/>
      <c r="R250" s="75"/>
      <c r="S250" s="75"/>
      <c r="T250" s="75"/>
      <c r="U250" s="86"/>
      <c r="V250" s="84"/>
      <c r="W250" s="87"/>
      <c r="X250" s="84"/>
      <c r="Y250" s="84"/>
      <c r="Z250" s="84"/>
      <c r="AA250" s="1"/>
      <c r="AB250" s="330"/>
      <c r="AC250" s="321"/>
      <c r="AD250" s="321"/>
    </row>
    <row r="251" spans="1:30" ht="15.75" customHeight="1">
      <c r="A251" s="83"/>
      <c r="B251" s="83"/>
      <c r="C251" s="83"/>
      <c r="D251" s="87"/>
      <c r="E251" s="84"/>
      <c r="F251" s="84"/>
      <c r="G251" s="83"/>
      <c r="H251" s="84"/>
      <c r="I251" s="84"/>
      <c r="J251" s="84"/>
      <c r="K251" s="88"/>
      <c r="L251" s="84"/>
      <c r="M251" s="88"/>
      <c r="N251" s="84"/>
      <c r="O251" s="88"/>
      <c r="P251" s="85"/>
      <c r="Q251" s="75"/>
      <c r="R251" s="75"/>
      <c r="S251" s="75"/>
      <c r="T251" s="75"/>
      <c r="U251" s="86"/>
      <c r="V251" s="84"/>
      <c r="W251" s="87"/>
      <c r="X251" s="84"/>
      <c r="Y251" s="84"/>
      <c r="Z251" s="84"/>
      <c r="AA251" s="1"/>
      <c r="AB251" s="330"/>
      <c r="AC251" s="321"/>
      <c r="AD251" s="321"/>
    </row>
    <row r="252" spans="1:30" ht="15.75" customHeight="1">
      <c r="A252" s="83"/>
      <c r="B252" s="83"/>
      <c r="C252" s="83"/>
      <c r="D252" s="87"/>
      <c r="E252" s="84"/>
      <c r="F252" s="84"/>
      <c r="G252" s="83"/>
      <c r="H252" s="84"/>
      <c r="I252" s="84"/>
      <c r="J252" s="84"/>
      <c r="K252" s="88"/>
      <c r="L252" s="84"/>
      <c r="M252" s="88"/>
      <c r="N252" s="84"/>
      <c r="O252" s="88"/>
      <c r="P252" s="85"/>
      <c r="Q252" s="75"/>
      <c r="R252" s="75"/>
      <c r="S252" s="75"/>
      <c r="T252" s="75"/>
      <c r="U252" s="86"/>
      <c r="V252" s="84"/>
      <c r="W252" s="87"/>
      <c r="X252" s="84"/>
      <c r="Y252" s="84"/>
      <c r="Z252" s="84"/>
      <c r="AA252" s="1"/>
      <c r="AB252" s="330"/>
      <c r="AC252" s="321"/>
      <c r="AD252" s="321"/>
    </row>
    <row r="253" spans="1:30" ht="15.75" customHeight="1">
      <c r="A253" s="83"/>
      <c r="B253" s="83"/>
      <c r="C253" s="83"/>
      <c r="D253" s="87"/>
      <c r="E253" s="84"/>
      <c r="F253" s="84"/>
      <c r="G253" s="83"/>
      <c r="H253" s="84"/>
      <c r="I253" s="84"/>
      <c r="J253" s="84"/>
      <c r="K253" s="88"/>
      <c r="L253" s="84"/>
      <c r="M253" s="88"/>
      <c r="N253" s="84"/>
      <c r="O253" s="88"/>
      <c r="P253" s="85"/>
      <c r="Q253" s="75"/>
      <c r="R253" s="75"/>
      <c r="S253" s="75"/>
      <c r="T253" s="75"/>
      <c r="U253" s="86"/>
      <c r="V253" s="84"/>
      <c r="W253" s="87"/>
      <c r="X253" s="84"/>
      <c r="Y253" s="84"/>
      <c r="Z253" s="84"/>
      <c r="AA253" s="1"/>
      <c r="AB253" s="330"/>
      <c r="AC253" s="321"/>
      <c r="AD253" s="321"/>
    </row>
    <row r="254" spans="1:30" ht="15.75" customHeight="1">
      <c r="A254" s="83"/>
      <c r="B254" s="83"/>
      <c r="C254" s="83"/>
      <c r="D254" s="87"/>
      <c r="E254" s="84"/>
      <c r="F254" s="84"/>
      <c r="G254" s="83"/>
      <c r="H254" s="84"/>
      <c r="I254" s="84"/>
      <c r="J254" s="84"/>
      <c r="K254" s="88"/>
      <c r="L254" s="84"/>
      <c r="M254" s="88"/>
      <c r="N254" s="84"/>
      <c r="O254" s="88"/>
      <c r="P254" s="85"/>
      <c r="Q254" s="75"/>
      <c r="R254" s="75"/>
      <c r="S254" s="75"/>
      <c r="T254" s="75"/>
      <c r="U254" s="86"/>
      <c r="V254" s="84"/>
      <c r="W254" s="87"/>
      <c r="X254" s="84"/>
      <c r="Y254" s="84"/>
      <c r="Z254" s="84"/>
      <c r="AA254" s="1"/>
      <c r="AB254" s="330"/>
      <c r="AC254" s="321"/>
      <c r="AD254" s="321"/>
    </row>
    <row r="255" spans="1:30" ht="15.75" customHeight="1">
      <c r="A255" s="83"/>
      <c r="B255" s="83"/>
      <c r="C255" s="83"/>
      <c r="D255" s="87"/>
      <c r="E255" s="84"/>
      <c r="F255" s="84"/>
      <c r="G255" s="83"/>
      <c r="H255" s="84"/>
      <c r="I255" s="84"/>
      <c r="J255" s="84"/>
      <c r="K255" s="88"/>
      <c r="L255" s="84"/>
      <c r="M255" s="88"/>
      <c r="N255" s="84"/>
      <c r="O255" s="88"/>
      <c r="P255" s="85"/>
      <c r="Q255" s="75"/>
      <c r="R255" s="75"/>
      <c r="S255" s="75"/>
      <c r="T255" s="75"/>
      <c r="U255" s="86"/>
      <c r="V255" s="84"/>
      <c r="W255" s="87"/>
      <c r="X255" s="84"/>
      <c r="Y255" s="84"/>
      <c r="Z255" s="84"/>
      <c r="AA255" s="1"/>
      <c r="AB255" s="330"/>
      <c r="AC255" s="321"/>
      <c r="AD255" s="321"/>
    </row>
    <row r="256" spans="1:30" ht="15.75" customHeight="1">
      <c r="A256" s="83"/>
      <c r="B256" s="83"/>
      <c r="C256" s="83"/>
      <c r="D256" s="87"/>
      <c r="E256" s="84"/>
      <c r="F256" s="84"/>
      <c r="G256" s="83"/>
      <c r="H256" s="84"/>
      <c r="I256" s="84"/>
      <c r="J256" s="84"/>
      <c r="K256" s="88"/>
      <c r="L256" s="84"/>
      <c r="M256" s="88"/>
      <c r="N256" s="84"/>
      <c r="O256" s="88"/>
      <c r="P256" s="85"/>
      <c r="Q256" s="75"/>
      <c r="R256" s="75"/>
      <c r="S256" s="75"/>
      <c r="T256" s="75"/>
      <c r="U256" s="86"/>
      <c r="V256" s="84"/>
      <c r="W256" s="87"/>
      <c r="X256" s="84"/>
      <c r="Y256" s="84"/>
      <c r="Z256" s="84"/>
      <c r="AA256" s="1"/>
      <c r="AB256" s="330"/>
      <c r="AC256" s="321"/>
      <c r="AD256" s="321"/>
    </row>
    <row r="257" spans="1:30" ht="15.75" customHeight="1">
      <c r="A257" s="83"/>
      <c r="B257" s="83"/>
      <c r="C257" s="83"/>
      <c r="D257" s="87"/>
      <c r="E257" s="84"/>
      <c r="F257" s="84"/>
      <c r="G257" s="83"/>
      <c r="H257" s="84"/>
      <c r="I257" s="84"/>
      <c r="J257" s="84"/>
      <c r="K257" s="88"/>
      <c r="L257" s="84"/>
      <c r="M257" s="88"/>
      <c r="N257" s="84"/>
      <c r="O257" s="88"/>
      <c r="P257" s="85"/>
      <c r="Q257" s="75"/>
      <c r="R257" s="75"/>
      <c r="S257" s="75"/>
      <c r="T257" s="75"/>
      <c r="U257" s="86"/>
      <c r="V257" s="84"/>
      <c r="W257" s="87"/>
      <c r="X257" s="84"/>
      <c r="Y257" s="84"/>
      <c r="Z257" s="84"/>
      <c r="AA257" s="1"/>
      <c r="AB257" s="330"/>
      <c r="AC257" s="321"/>
      <c r="AD257" s="321"/>
    </row>
    <row r="258" spans="1:30" ht="15.75" customHeight="1">
      <c r="A258" s="83"/>
      <c r="B258" s="83"/>
      <c r="C258" s="83"/>
      <c r="D258" s="87"/>
      <c r="E258" s="84"/>
      <c r="F258" s="84"/>
      <c r="G258" s="83"/>
      <c r="H258" s="84"/>
      <c r="I258" s="84"/>
      <c r="J258" s="84"/>
      <c r="K258" s="88"/>
      <c r="L258" s="84"/>
      <c r="M258" s="88"/>
      <c r="N258" s="84"/>
      <c r="O258" s="88"/>
      <c r="P258" s="85"/>
      <c r="Q258" s="75"/>
      <c r="R258" s="75"/>
      <c r="S258" s="75"/>
      <c r="T258" s="75"/>
      <c r="U258" s="86"/>
      <c r="V258" s="84"/>
      <c r="W258" s="87"/>
      <c r="X258" s="84"/>
      <c r="Y258" s="84"/>
      <c r="Z258" s="84"/>
      <c r="AA258" s="1"/>
      <c r="AB258" s="330"/>
      <c r="AC258" s="321"/>
      <c r="AD258" s="321"/>
    </row>
    <row r="259" spans="1:30" ht="15.75" customHeight="1">
      <c r="A259" s="83"/>
      <c r="B259" s="83"/>
      <c r="C259" s="83"/>
      <c r="D259" s="87"/>
      <c r="E259" s="84"/>
      <c r="F259" s="84"/>
      <c r="G259" s="83"/>
      <c r="H259" s="84"/>
      <c r="I259" s="84"/>
      <c r="J259" s="84"/>
      <c r="K259" s="88"/>
      <c r="L259" s="84"/>
      <c r="M259" s="88"/>
      <c r="N259" s="84"/>
      <c r="O259" s="88"/>
      <c r="P259" s="85"/>
      <c r="Q259" s="75"/>
      <c r="R259" s="75"/>
      <c r="S259" s="75"/>
      <c r="T259" s="75"/>
      <c r="U259" s="86"/>
      <c r="V259" s="84"/>
      <c r="W259" s="87"/>
      <c r="X259" s="84"/>
      <c r="Y259" s="84"/>
      <c r="Z259" s="84"/>
      <c r="AA259" s="1"/>
      <c r="AB259" s="330"/>
      <c r="AC259" s="321"/>
      <c r="AD259" s="321"/>
    </row>
    <row r="260" spans="1:30" ht="15.75" customHeight="1">
      <c r="A260" s="83"/>
      <c r="B260" s="83"/>
      <c r="C260" s="83"/>
      <c r="D260" s="87"/>
      <c r="E260" s="84"/>
      <c r="F260" s="84"/>
      <c r="G260" s="83"/>
      <c r="H260" s="84"/>
      <c r="I260" s="84"/>
      <c r="J260" s="84"/>
      <c r="K260" s="88"/>
      <c r="L260" s="84"/>
      <c r="M260" s="88"/>
      <c r="N260" s="84"/>
      <c r="O260" s="88"/>
      <c r="P260" s="85"/>
      <c r="Q260" s="75"/>
      <c r="R260" s="75"/>
      <c r="S260" s="75"/>
      <c r="T260" s="75"/>
      <c r="U260" s="86"/>
      <c r="V260" s="84"/>
      <c r="W260" s="87"/>
      <c r="X260" s="84"/>
      <c r="Y260" s="84"/>
      <c r="Z260" s="84"/>
      <c r="AA260" s="1"/>
      <c r="AB260" s="330"/>
      <c r="AC260" s="321"/>
      <c r="AD260" s="321"/>
    </row>
    <row r="261" spans="1:30" ht="15.75" customHeight="1">
      <c r="A261" s="83"/>
      <c r="B261" s="83"/>
      <c r="C261" s="83"/>
      <c r="D261" s="87"/>
      <c r="E261" s="84"/>
      <c r="F261" s="84"/>
      <c r="G261" s="83"/>
      <c r="H261" s="84"/>
      <c r="I261" s="84"/>
      <c r="J261" s="84"/>
      <c r="K261" s="88"/>
      <c r="L261" s="84"/>
      <c r="M261" s="88"/>
      <c r="N261" s="84"/>
      <c r="O261" s="88"/>
      <c r="P261" s="85"/>
      <c r="Q261" s="75"/>
      <c r="R261" s="75"/>
      <c r="S261" s="75"/>
      <c r="T261" s="75"/>
      <c r="U261" s="86"/>
      <c r="V261" s="84"/>
      <c r="W261" s="87"/>
      <c r="X261" s="84"/>
      <c r="Y261" s="84"/>
      <c r="Z261" s="84"/>
      <c r="AA261" s="1"/>
      <c r="AB261" s="330"/>
      <c r="AC261" s="321"/>
      <c r="AD261" s="321"/>
    </row>
    <row r="262" spans="1:30" ht="15.75" customHeight="1">
      <c r="A262" s="83"/>
      <c r="B262" s="83"/>
      <c r="C262" s="83"/>
      <c r="D262" s="87"/>
      <c r="E262" s="84"/>
      <c r="F262" s="84"/>
      <c r="G262" s="83"/>
      <c r="H262" s="84"/>
      <c r="I262" s="84"/>
      <c r="J262" s="84"/>
      <c r="K262" s="88"/>
      <c r="L262" s="84"/>
      <c r="M262" s="88"/>
      <c r="N262" s="84"/>
      <c r="O262" s="88"/>
      <c r="P262" s="85"/>
      <c r="Q262" s="75"/>
      <c r="R262" s="75"/>
      <c r="S262" s="75"/>
      <c r="T262" s="75"/>
      <c r="U262" s="86"/>
      <c r="V262" s="84"/>
      <c r="W262" s="87"/>
      <c r="X262" s="84"/>
      <c r="Y262" s="84"/>
      <c r="Z262" s="84"/>
      <c r="AA262" s="1"/>
      <c r="AB262" s="330"/>
      <c r="AC262" s="321"/>
      <c r="AD262" s="321"/>
    </row>
    <row r="263" spans="1:30" ht="15.75" customHeight="1">
      <c r="A263" s="83"/>
      <c r="B263" s="83"/>
      <c r="C263" s="83"/>
      <c r="D263" s="87"/>
      <c r="E263" s="84"/>
      <c r="F263" s="84"/>
      <c r="G263" s="83"/>
      <c r="H263" s="84"/>
      <c r="I263" s="84"/>
      <c r="J263" s="84"/>
      <c r="K263" s="88"/>
      <c r="L263" s="84"/>
      <c r="M263" s="88"/>
      <c r="N263" s="84"/>
      <c r="O263" s="88"/>
      <c r="P263" s="85"/>
      <c r="Q263" s="75"/>
      <c r="R263" s="75"/>
      <c r="S263" s="75"/>
      <c r="T263" s="75"/>
      <c r="U263" s="86"/>
      <c r="V263" s="84"/>
      <c r="W263" s="87"/>
      <c r="X263" s="84"/>
      <c r="Y263" s="84"/>
      <c r="Z263" s="84"/>
      <c r="AA263" s="1"/>
      <c r="AB263" s="330"/>
      <c r="AC263" s="321"/>
      <c r="AD263" s="321"/>
    </row>
    <row r="264" spans="1:30" ht="15.75" customHeight="1">
      <c r="A264" s="83"/>
      <c r="B264" s="83"/>
      <c r="C264" s="83"/>
      <c r="D264" s="87"/>
      <c r="E264" s="84"/>
      <c r="F264" s="84"/>
      <c r="G264" s="83"/>
      <c r="H264" s="84"/>
      <c r="I264" s="84"/>
      <c r="J264" s="84"/>
      <c r="K264" s="88"/>
      <c r="L264" s="84"/>
      <c r="M264" s="88"/>
      <c r="N264" s="84"/>
      <c r="O264" s="88"/>
      <c r="P264" s="85"/>
      <c r="Q264" s="75"/>
      <c r="R264" s="75"/>
      <c r="S264" s="75"/>
      <c r="T264" s="75"/>
      <c r="U264" s="86"/>
      <c r="V264" s="84"/>
      <c r="W264" s="87"/>
      <c r="X264" s="84"/>
      <c r="Y264" s="84"/>
      <c r="Z264" s="84"/>
      <c r="AA264" s="1"/>
      <c r="AB264" s="330"/>
      <c r="AC264" s="321"/>
      <c r="AD264" s="321"/>
    </row>
    <row r="265" spans="1:30" ht="15.75" customHeight="1">
      <c r="A265" s="83"/>
      <c r="B265" s="83"/>
      <c r="C265" s="83"/>
      <c r="D265" s="87"/>
      <c r="E265" s="84"/>
      <c r="F265" s="84"/>
      <c r="G265" s="83"/>
      <c r="H265" s="84"/>
      <c r="I265" s="84"/>
      <c r="J265" s="84"/>
      <c r="K265" s="88"/>
      <c r="L265" s="84"/>
      <c r="M265" s="88"/>
      <c r="N265" s="84"/>
      <c r="O265" s="88"/>
      <c r="P265" s="85"/>
      <c r="Q265" s="75"/>
      <c r="R265" s="75"/>
      <c r="S265" s="75"/>
      <c r="T265" s="75"/>
      <c r="U265" s="86"/>
      <c r="V265" s="84"/>
      <c r="W265" s="87"/>
      <c r="X265" s="84"/>
      <c r="Y265" s="84"/>
      <c r="Z265" s="84"/>
      <c r="AA265" s="1"/>
      <c r="AB265" s="330"/>
      <c r="AC265" s="321"/>
      <c r="AD265" s="321"/>
    </row>
    <row r="266" spans="1:30" ht="15.75" customHeight="1">
      <c r="A266" s="83"/>
      <c r="B266" s="83"/>
      <c r="C266" s="83"/>
      <c r="D266" s="87"/>
      <c r="E266" s="84"/>
      <c r="F266" s="84"/>
      <c r="G266" s="83"/>
      <c r="H266" s="84"/>
      <c r="I266" s="84"/>
      <c r="J266" s="84"/>
      <c r="K266" s="88"/>
      <c r="L266" s="84"/>
      <c r="M266" s="88"/>
      <c r="N266" s="84"/>
      <c r="O266" s="88"/>
      <c r="P266" s="85"/>
      <c r="Q266" s="75"/>
      <c r="R266" s="75"/>
      <c r="S266" s="75"/>
      <c r="T266" s="75"/>
      <c r="U266" s="86"/>
      <c r="V266" s="84"/>
      <c r="W266" s="87"/>
      <c r="X266" s="84"/>
      <c r="Y266" s="84"/>
      <c r="Z266" s="84"/>
      <c r="AA266" s="1"/>
      <c r="AB266" s="330"/>
      <c r="AC266" s="321"/>
      <c r="AD266" s="321"/>
    </row>
    <row r="267" spans="1:30" ht="15.75" customHeight="1">
      <c r="A267" s="83"/>
      <c r="B267" s="83"/>
      <c r="C267" s="83"/>
      <c r="D267" s="87"/>
      <c r="E267" s="84"/>
      <c r="F267" s="84"/>
      <c r="G267" s="83"/>
      <c r="H267" s="84"/>
      <c r="I267" s="84"/>
      <c r="J267" s="84"/>
      <c r="K267" s="88"/>
      <c r="L267" s="84"/>
      <c r="M267" s="88"/>
      <c r="N267" s="84"/>
      <c r="O267" s="88"/>
      <c r="P267" s="85"/>
      <c r="Q267" s="75"/>
      <c r="R267" s="75"/>
      <c r="S267" s="75"/>
      <c r="T267" s="75"/>
      <c r="U267" s="86"/>
      <c r="V267" s="84"/>
      <c r="W267" s="87"/>
      <c r="X267" s="84"/>
      <c r="Y267" s="84"/>
      <c r="Z267" s="84"/>
      <c r="AA267" s="1"/>
      <c r="AB267" s="330"/>
      <c r="AC267" s="321"/>
      <c r="AD267" s="321"/>
    </row>
    <row r="268" spans="1:30" ht="15.75" customHeight="1">
      <c r="A268" s="83"/>
      <c r="B268" s="83"/>
      <c r="C268" s="83"/>
      <c r="D268" s="87"/>
      <c r="E268" s="84"/>
      <c r="F268" s="84"/>
      <c r="G268" s="83"/>
      <c r="H268" s="84"/>
      <c r="I268" s="84"/>
      <c r="J268" s="84"/>
      <c r="K268" s="88"/>
      <c r="L268" s="84"/>
      <c r="M268" s="88"/>
      <c r="N268" s="84"/>
      <c r="O268" s="88"/>
      <c r="P268" s="85"/>
      <c r="Q268" s="75"/>
      <c r="R268" s="75"/>
      <c r="S268" s="75"/>
      <c r="T268" s="75"/>
      <c r="U268" s="86"/>
      <c r="V268" s="84"/>
      <c r="W268" s="87"/>
      <c r="X268" s="84"/>
      <c r="Y268" s="84"/>
      <c r="Z268" s="84"/>
      <c r="AA268" s="1"/>
      <c r="AB268" s="330"/>
      <c r="AC268" s="321"/>
      <c r="AD268" s="321"/>
    </row>
    <row r="269" spans="1:30" ht="15.75" customHeight="1">
      <c r="A269" s="83"/>
      <c r="B269" s="83"/>
      <c r="C269" s="83"/>
      <c r="D269" s="87"/>
      <c r="E269" s="84"/>
      <c r="F269" s="84"/>
      <c r="G269" s="83"/>
      <c r="H269" s="84"/>
      <c r="I269" s="84"/>
      <c r="J269" s="84"/>
      <c r="K269" s="88"/>
      <c r="L269" s="84"/>
      <c r="M269" s="88"/>
      <c r="N269" s="84"/>
      <c r="O269" s="88"/>
      <c r="P269" s="85"/>
      <c r="Q269" s="75"/>
      <c r="R269" s="75"/>
      <c r="S269" s="75"/>
      <c r="T269" s="75"/>
      <c r="U269" s="86"/>
      <c r="V269" s="84"/>
      <c r="W269" s="87"/>
      <c r="X269" s="84"/>
      <c r="Y269" s="84"/>
      <c r="Z269" s="84"/>
      <c r="AA269" s="1"/>
      <c r="AB269" s="330"/>
      <c r="AC269" s="321"/>
      <c r="AD269" s="321"/>
    </row>
    <row r="270" spans="1:30" ht="15.75" customHeight="1">
      <c r="A270" s="83"/>
      <c r="B270" s="83"/>
      <c r="C270" s="83"/>
      <c r="D270" s="87"/>
      <c r="E270" s="84"/>
      <c r="F270" s="84"/>
      <c r="G270" s="83"/>
      <c r="H270" s="84"/>
      <c r="I270" s="84"/>
      <c r="J270" s="84"/>
      <c r="K270" s="88"/>
      <c r="L270" s="84"/>
      <c r="M270" s="88"/>
      <c r="N270" s="84"/>
      <c r="O270" s="88"/>
      <c r="P270" s="85"/>
      <c r="Q270" s="75"/>
      <c r="R270" s="75"/>
      <c r="S270" s="75"/>
      <c r="T270" s="75"/>
      <c r="U270" s="86"/>
      <c r="V270" s="84"/>
      <c r="W270" s="87"/>
      <c r="X270" s="84"/>
      <c r="Y270" s="84"/>
      <c r="Z270" s="84"/>
      <c r="AA270" s="1"/>
      <c r="AB270" s="330"/>
      <c r="AC270" s="321"/>
      <c r="AD270" s="321"/>
    </row>
    <row r="271" spans="1:30" ht="15.75" customHeight="1">
      <c r="A271" s="83"/>
      <c r="B271" s="83"/>
      <c r="C271" s="83"/>
      <c r="D271" s="87"/>
      <c r="E271" s="84"/>
      <c r="F271" s="84"/>
      <c r="G271" s="83"/>
      <c r="H271" s="84"/>
      <c r="I271" s="84"/>
      <c r="J271" s="84"/>
      <c r="K271" s="88"/>
      <c r="L271" s="84"/>
      <c r="M271" s="88"/>
      <c r="N271" s="84"/>
      <c r="O271" s="88"/>
      <c r="P271" s="85"/>
      <c r="Q271" s="75"/>
      <c r="R271" s="75"/>
      <c r="S271" s="75"/>
      <c r="T271" s="75"/>
      <c r="U271" s="86"/>
      <c r="V271" s="84"/>
      <c r="W271" s="87"/>
      <c r="X271" s="84"/>
      <c r="Y271" s="84"/>
      <c r="Z271" s="84"/>
      <c r="AA271" s="1"/>
      <c r="AB271" s="330"/>
      <c r="AC271" s="321"/>
      <c r="AD271" s="321"/>
    </row>
    <row r="272" spans="1:30" ht="15.75" customHeight="1">
      <c r="A272" s="83"/>
      <c r="B272" s="83"/>
      <c r="C272" s="83"/>
      <c r="D272" s="87"/>
      <c r="E272" s="84"/>
      <c r="F272" s="84"/>
      <c r="G272" s="83"/>
      <c r="H272" s="84"/>
      <c r="I272" s="84"/>
      <c r="J272" s="84"/>
      <c r="K272" s="88"/>
      <c r="L272" s="84"/>
      <c r="M272" s="88"/>
      <c r="N272" s="84"/>
      <c r="O272" s="88"/>
      <c r="P272" s="85"/>
      <c r="Q272" s="75"/>
      <c r="R272" s="75"/>
      <c r="S272" s="75"/>
      <c r="T272" s="75"/>
      <c r="U272" s="86"/>
      <c r="V272" s="84"/>
      <c r="W272" s="87"/>
      <c r="X272" s="84"/>
      <c r="Y272" s="84"/>
      <c r="Z272" s="84"/>
      <c r="AA272" s="1"/>
      <c r="AB272" s="330"/>
      <c r="AC272" s="321"/>
      <c r="AD272" s="321"/>
    </row>
    <row r="273" spans="1:30" ht="15.75" customHeight="1">
      <c r="A273" s="83"/>
      <c r="B273" s="83"/>
      <c r="C273" s="83"/>
      <c r="D273" s="87"/>
      <c r="E273" s="84"/>
      <c r="F273" s="84"/>
      <c r="G273" s="83"/>
      <c r="H273" s="84"/>
      <c r="I273" s="84"/>
      <c r="J273" s="84"/>
      <c r="K273" s="88"/>
      <c r="L273" s="84"/>
      <c r="M273" s="88"/>
      <c r="N273" s="84"/>
      <c r="O273" s="88"/>
      <c r="P273" s="85"/>
      <c r="Q273" s="75"/>
      <c r="R273" s="75"/>
      <c r="S273" s="75"/>
      <c r="T273" s="75"/>
      <c r="U273" s="86"/>
      <c r="V273" s="84"/>
      <c r="W273" s="87"/>
      <c r="X273" s="84"/>
      <c r="Y273" s="84"/>
      <c r="Z273" s="84"/>
      <c r="AA273" s="1"/>
      <c r="AB273" s="330"/>
      <c r="AC273" s="321"/>
      <c r="AD273" s="321"/>
    </row>
    <row r="274" spans="1:30" ht="15.75" customHeight="1">
      <c r="A274" s="83"/>
      <c r="B274" s="83"/>
      <c r="C274" s="83"/>
      <c r="D274" s="87"/>
      <c r="E274" s="84"/>
      <c r="F274" s="84"/>
      <c r="G274" s="83"/>
      <c r="H274" s="84"/>
      <c r="I274" s="84"/>
      <c r="J274" s="84"/>
      <c r="K274" s="88"/>
      <c r="L274" s="84"/>
      <c r="M274" s="88"/>
      <c r="N274" s="84"/>
      <c r="O274" s="88"/>
      <c r="P274" s="85"/>
      <c r="Q274" s="75"/>
      <c r="R274" s="75"/>
      <c r="S274" s="75"/>
      <c r="T274" s="75"/>
      <c r="U274" s="86"/>
      <c r="V274" s="84"/>
      <c r="W274" s="87"/>
      <c r="X274" s="84"/>
      <c r="Y274" s="84"/>
      <c r="Z274" s="84"/>
      <c r="AA274" s="1"/>
      <c r="AB274" s="330"/>
      <c r="AC274" s="321"/>
      <c r="AD274" s="321"/>
    </row>
    <row r="275" spans="1:30" ht="15.75" customHeight="1">
      <c r="A275" s="83"/>
      <c r="B275" s="83"/>
      <c r="C275" s="83"/>
      <c r="D275" s="87"/>
      <c r="E275" s="84"/>
      <c r="F275" s="84"/>
      <c r="G275" s="83"/>
      <c r="H275" s="84"/>
      <c r="I275" s="84"/>
      <c r="J275" s="84"/>
      <c r="K275" s="88"/>
      <c r="L275" s="84"/>
      <c r="M275" s="88"/>
      <c r="N275" s="84"/>
      <c r="O275" s="88"/>
      <c r="P275" s="85"/>
      <c r="Q275" s="75"/>
      <c r="R275" s="75"/>
      <c r="S275" s="75"/>
      <c r="T275" s="75"/>
      <c r="U275" s="86"/>
      <c r="V275" s="84"/>
      <c r="W275" s="87"/>
      <c r="X275" s="84"/>
      <c r="Y275" s="84"/>
      <c r="Z275" s="84"/>
      <c r="AA275" s="1"/>
      <c r="AB275" s="330"/>
      <c r="AC275" s="321"/>
      <c r="AD275" s="321"/>
    </row>
    <row r="276" spans="1:30" ht="15.75" customHeight="1">
      <c r="A276" s="83"/>
      <c r="B276" s="83"/>
      <c r="C276" s="83"/>
      <c r="D276" s="87"/>
      <c r="E276" s="84"/>
      <c r="F276" s="84"/>
      <c r="G276" s="83"/>
      <c r="H276" s="84"/>
      <c r="I276" s="84"/>
      <c r="J276" s="84"/>
      <c r="K276" s="88"/>
      <c r="L276" s="84"/>
      <c r="M276" s="88"/>
      <c r="N276" s="84"/>
      <c r="O276" s="88"/>
      <c r="P276" s="85"/>
      <c r="Q276" s="75"/>
      <c r="R276" s="75"/>
      <c r="S276" s="75"/>
      <c r="T276" s="75"/>
      <c r="U276" s="86"/>
      <c r="V276" s="84"/>
      <c r="W276" s="87"/>
      <c r="X276" s="84"/>
      <c r="Y276" s="84"/>
      <c r="Z276" s="84"/>
      <c r="AA276" s="1"/>
      <c r="AB276" s="330"/>
      <c r="AC276" s="321"/>
      <c r="AD276" s="321"/>
    </row>
    <row r="277" spans="1:30" ht="15.75" customHeight="1">
      <c r="A277" s="83"/>
      <c r="B277" s="83"/>
      <c r="C277" s="83"/>
      <c r="D277" s="87"/>
      <c r="E277" s="84"/>
      <c r="F277" s="84"/>
      <c r="G277" s="83"/>
      <c r="H277" s="84"/>
      <c r="I277" s="84"/>
      <c r="J277" s="84"/>
      <c r="K277" s="88"/>
      <c r="L277" s="84"/>
      <c r="M277" s="88"/>
      <c r="N277" s="84"/>
      <c r="O277" s="88"/>
      <c r="P277" s="85"/>
      <c r="Q277" s="75"/>
      <c r="R277" s="75"/>
      <c r="S277" s="75"/>
      <c r="T277" s="75"/>
      <c r="U277" s="86"/>
      <c r="V277" s="84"/>
      <c r="W277" s="87"/>
      <c r="X277" s="84"/>
      <c r="Y277" s="84"/>
      <c r="Z277" s="84"/>
      <c r="AA277" s="1"/>
      <c r="AB277" s="330"/>
      <c r="AC277" s="321"/>
      <c r="AD277" s="321"/>
    </row>
    <row r="278" spans="1:30" ht="15.75" customHeight="1">
      <c r="A278" s="83"/>
      <c r="B278" s="83"/>
      <c r="C278" s="83"/>
      <c r="D278" s="87"/>
      <c r="E278" s="84"/>
      <c r="F278" s="84"/>
      <c r="G278" s="83"/>
      <c r="H278" s="84"/>
      <c r="I278" s="84"/>
      <c r="J278" s="84"/>
      <c r="K278" s="88"/>
      <c r="L278" s="84"/>
      <c r="M278" s="88"/>
      <c r="N278" s="84"/>
      <c r="O278" s="88"/>
      <c r="P278" s="85"/>
      <c r="Q278" s="75"/>
      <c r="R278" s="75"/>
      <c r="S278" s="75"/>
      <c r="T278" s="75"/>
      <c r="U278" s="86"/>
      <c r="V278" s="84"/>
      <c r="W278" s="87"/>
      <c r="X278" s="84"/>
      <c r="Y278" s="84"/>
      <c r="Z278" s="84"/>
      <c r="AA278" s="1"/>
      <c r="AB278" s="330"/>
      <c r="AC278" s="321"/>
      <c r="AD278" s="321"/>
    </row>
    <row r="279" spans="1:30" ht="15.75" customHeight="1">
      <c r="A279" s="83"/>
      <c r="B279" s="83"/>
      <c r="C279" s="83"/>
      <c r="D279" s="87"/>
      <c r="E279" s="84"/>
      <c r="F279" s="84"/>
      <c r="G279" s="83"/>
      <c r="H279" s="84"/>
      <c r="I279" s="84"/>
      <c r="J279" s="84"/>
      <c r="K279" s="88"/>
      <c r="L279" s="84"/>
      <c r="M279" s="88"/>
      <c r="N279" s="84"/>
      <c r="O279" s="88"/>
      <c r="P279" s="85"/>
      <c r="Q279" s="75"/>
      <c r="R279" s="75"/>
      <c r="S279" s="75"/>
      <c r="T279" s="75"/>
      <c r="U279" s="86"/>
      <c r="V279" s="84"/>
      <c r="W279" s="87"/>
      <c r="X279" s="84"/>
      <c r="Y279" s="84"/>
      <c r="Z279" s="84"/>
      <c r="AA279" s="1"/>
      <c r="AB279" s="330"/>
      <c r="AC279" s="321"/>
      <c r="AD279" s="321"/>
    </row>
    <row r="280" spans="1:30" ht="15.75" customHeight="1">
      <c r="A280" s="83"/>
      <c r="B280" s="83"/>
      <c r="C280" s="83"/>
      <c r="D280" s="87"/>
      <c r="E280" s="84"/>
      <c r="F280" s="84"/>
      <c r="G280" s="83"/>
      <c r="H280" s="84"/>
      <c r="I280" s="84"/>
      <c r="J280" s="84"/>
      <c r="K280" s="88"/>
      <c r="L280" s="84"/>
      <c r="M280" s="88"/>
      <c r="N280" s="84"/>
      <c r="O280" s="88"/>
      <c r="P280" s="85"/>
      <c r="Q280" s="75"/>
      <c r="R280" s="75"/>
      <c r="S280" s="75"/>
      <c r="T280" s="75"/>
      <c r="U280" s="86"/>
      <c r="V280" s="84"/>
      <c r="W280" s="87"/>
      <c r="X280" s="84"/>
      <c r="Y280" s="84"/>
      <c r="Z280" s="84"/>
      <c r="AA280" s="1"/>
      <c r="AB280" s="330"/>
      <c r="AC280" s="321"/>
      <c r="AD280" s="321"/>
    </row>
    <row r="281" spans="1:30" ht="15.75" customHeight="1">
      <c r="A281" s="83"/>
      <c r="B281" s="83"/>
      <c r="C281" s="83"/>
      <c r="D281" s="87"/>
      <c r="E281" s="84"/>
      <c r="F281" s="84"/>
      <c r="G281" s="83"/>
      <c r="H281" s="84"/>
      <c r="I281" s="84"/>
      <c r="J281" s="84"/>
      <c r="K281" s="88"/>
      <c r="L281" s="84"/>
      <c r="M281" s="88"/>
      <c r="N281" s="84"/>
      <c r="O281" s="88"/>
      <c r="P281" s="85"/>
      <c r="Q281" s="75"/>
      <c r="R281" s="75"/>
      <c r="S281" s="75"/>
      <c r="T281" s="75"/>
      <c r="U281" s="86"/>
      <c r="V281" s="84"/>
      <c r="W281" s="87"/>
      <c r="X281" s="84"/>
      <c r="Y281" s="84"/>
      <c r="Z281" s="84"/>
      <c r="AA281" s="1"/>
      <c r="AB281" s="330"/>
      <c r="AC281" s="321"/>
      <c r="AD281" s="321"/>
    </row>
    <row r="282" spans="1:30" ht="15.75" customHeight="1">
      <c r="A282" s="83"/>
      <c r="B282" s="83"/>
      <c r="C282" s="83"/>
      <c r="D282" s="87"/>
      <c r="E282" s="84"/>
      <c r="F282" s="84"/>
      <c r="G282" s="83"/>
      <c r="H282" s="84"/>
      <c r="I282" s="84"/>
      <c r="J282" s="84"/>
      <c r="K282" s="88"/>
      <c r="L282" s="84"/>
      <c r="M282" s="88"/>
      <c r="N282" s="84"/>
      <c r="O282" s="88"/>
      <c r="P282" s="85"/>
      <c r="Q282" s="75"/>
      <c r="R282" s="75"/>
      <c r="S282" s="75"/>
      <c r="T282" s="75"/>
      <c r="U282" s="86"/>
      <c r="V282" s="84"/>
      <c r="W282" s="87"/>
      <c r="X282" s="84"/>
      <c r="Y282" s="84"/>
      <c r="Z282" s="84"/>
      <c r="AA282" s="1"/>
      <c r="AB282" s="330"/>
      <c r="AC282" s="321"/>
      <c r="AD282" s="321"/>
    </row>
    <row r="283" spans="1:30" ht="15.75" customHeight="1">
      <c r="A283" s="83"/>
      <c r="B283" s="83"/>
      <c r="C283" s="83"/>
      <c r="D283" s="87"/>
      <c r="E283" s="84"/>
      <c r="F283" s="84"/>
      <c r="G283" s="83"/>
      <c r="H283" s="84"/>
      <c r="I283" s="84"/>
      <c r="J283" s="84"/>
      <c r="K283" s="88"/>
      <c r="L283" s="84"/>
      <c r="M283" s="88"/>
      <c r="N283" s="84"/>
      <c r="O283" s="88"/>
      <c r="P283" s="85"/>
      <c r="Q283" s="75"/>
      <c r="R283" s="75"/>
      <c r="S283" s="75"/>
      <c r="T283" s="75"/>
      <c r="U283" s="86"/>
      <c r="V283" s="84"/>
      <c r="W283" s="87"/>
      <c r="X283" s="84"/>
      <c r="Y283" s="84"/>
      <c r="Z283" s="84"/>
      <c r="AA283" s="1"/>
      <c r="AB283" s="330"/>
      <c r="AC283" s="321"/>
      <c r="AD283" s="321"/>
    </row>
    <row r="284" spans="1:30" ht="15.75" customHeight="1">
      <c r="A284" s="83"/>
      <c r="B284" s="83"/>
      <c r="C284" s="83"/>
      <c r="D284" s="87"/>
      <c r="E284" s="84"/>
      <c r="F284" s="84"/>
      <c r="G284" s="83"/>
      <c r="H284" s="84"/>
      <c r="I284" s="84"/>
      <c r="J284" s="84"/>
      <c r="K284" s="88"/>
      <c r="L284" s="84"/>
      <c r="M284" s="88"/>
      <c r="N284" s="84"/>
      <c r="O284" s="88"/>
      <c r="P284" s="85"/>
      <c r="Q284" s="75"/>
      <c r="R284" s="75"/>
      <c r="S284" s="75"/>
      <c r="T284" s="75"/>
      <c r="U284" s="86"/>
      <c r="V284" s="84"/>
      <c r="W284" s="87"/>
      <c r="X284" s="84"/>
      <c r="Y284" s="84"/>
      <c r="Z284" s="84"/>
      <c r="AA284" s="1"/>
      <c r="AB284" s="330"/>
      <c r="AC284" s="321"/>
      <c r="AD284" s="321"/>
    </row>
    <row r="285" spans="1:30" ht="15.75" customHeight="1">
      <c r="A285" s="83"/>
      <c r="B285" s="83"/>
      <c r="C285" s="83"/>
      <c r="D285" s="87"/>
      <c r="E285" s="84"/>
      <c r="F285" s="84"/>
      <c r="G285" s="83"/>
      <c r="H285" s="84"/>
      <c r="I285" s="84"/>
      <c r="J285" s="84"/>
      <c r="K285" s="88"/>
      <c r="L285" s="84"/>
      <c r="M285" s="88"/>
      <c r="N285" s="84"/>
      <c r="O285" s="88"/>
      <c r="P285" s="85"/>
      <c r="Q285" s="75"/>
      <c r="R285" s="75"/>
      <c r="S285" s="75"/>
      <c r="T285" s="75"/>
      <c r="U285" s="86"/>
      <c r="V285" s="84"/>
      <c r="W285" s="87"/>
      <c r="X285" s="84"/>
      <c r="Y285" s="84"/>
      <c r="Z285" s="84"/>
      <c r="AA285" s="1"/>
      <c r="AB285" s="330"/>
      <c r="AC285" s="321"/>
      <c r="AD285" s="321"/>
    </row>
    <row r="286" spans="1:30" ht="15.75" customHeight="1">
      <c r="A286" s="83"/>
      <c r="B286" s="83"/>
      <c r="C286" s="83"/>
      <c r="D286" s="87"/>
      <c r="E286" s="84"/>
      <c r="F286" s="84"/>
      <c r="G286" s="83"/>
      <c r="H286" s="84"/>
      <c r="I286" s="84"/>
      <c r="J286" s="84"/>
      <c r="K286" s="88"/>
      <c r="L286" s="84"/>
      <c r="M286" s="88"/>
      <c r="N286" s="84"/>
      <c r="O286" s="88"/>
      <c r="P286" s="85"/>
      <c r="Q286" s="75"/>
      <c r="R286" s="75"/>
      <c r="S286" s="75"/>
      <c r="T286" s="75"/>
      <c r="U286" s="86"/>
      <c r="V286" s="84"/>
      <c r="W286" s="87"/>
      <c r="X286" s="84"/>
      <c r="Y286" s="84"/>
      <c r="Z286" s="84"/>
      <c r="AA286" s="1"/>
      <c r="AB286" s="330"/>
      <c r="AC286" s="321"/>
      <c r="AD286" s="321"/>
    </row>
    <row r="287" spans="1:30" ht="15.75" customHeight="1">
      <c r="A287" s="83"/>
      <c r="B287" s="83"/>
      <c r="C287" s="83"/>
      <c r="D287" s="87"/>
      <c r="E287" s="84"/>
      <c r="F287" s="84"/>
      <c r="G287" s="83"/>
      <c r="H287" s="84"/>
      <c r="I287" s="84"/>
      <c r="J287" s="84"/>
      <c r="K287" s="88"/>
      <c r="L287" s="84"/>
      <c r="M287" s="88"/>
      <c r="N287" s="84"/>
      <c r="O287" s="88"/>
      <c r="P287" s="85"/>
      <c r="Q287" s="75"/>
      <c r="R287" s="75"/>
      <c r="S287" s="75"/>
      <c r="T287" s="75"/>
      <c r="U287" s="86"/>
      <c r="V287" s="84"/>
      <c r="W287" s="87"/>
      <c r="X287" s="84"/>
      <c r="Y287" s="84"/>
      <c r="Z287" s="84"/>
      <c r="AA287" s="1"/>
      <c r="AB287" s="330"/>
      <c r="AC287" s="321"/>
      <c r="AD287" s="321"/>
    </row>
    <row r="288" spans="1:30" ht="15.75" customHeight="1">
      <c r="A288" s="83"/>
      <c r="B288" s="83"/>
      <c r="C288" s="83"/>
      <c r="D288" s="87"/>
      <c r="E288" s="84"/>
      <c r="F288" s="84"/>
      <c r="G288" s="83"/>
      <c r="H288" s="84"/>
      <c r="I288" s="84"/>
      <c r="J288" s="84"/>
      <c r="K288" s="88"/>
      <c r="L288" s="84"/>
      <c r="M288" s="88"/>
      <c r="N288" s="84"/>
      <c r="O288" s="88"/>
      <c r="P288" s="85"/>
      <c r="Q288" s="75"/>
      <c r="R288" s="75"/>
      <c r="S288" s="75"/>
      <c r="T288" s="75"/>
      <c r="U288" s="86"/>
      <c r="V288" s="84"/>
      <c r="W288" s="87"/>
      <c r="X288" s="84"/>
      <c r="Y288" s="84"/>
      <c r="Z288" s="84"/>
      <c r="AA288" s="1"/>
      <c r="AB288" s="330"/>
      <c r="AC288" s="321"/>
      <c r="AD288" s="321"/>
    </row>
    <row r="289" spans="1:30" ht="15.75" customHeight="1">
      <c r="A289" s="83"/>
      <c r="B289" s="83"/>
      <c r="C289" s="83"/>
      <c r="D289" s="87"/>
      <c r="E289" s="84"/>
      <c r="F289" s="84"/>
      <c r="G289" s="83"/>
      <c r="H289" s="84"/>
      <c r="I289" s="84"/>
      <c r="J289" s="84"/>
      <c r="K289" s="88"/>
      <c r="L289" s="84"/>
      <c r="M289" s="88"/>
      <c r="N289" s="84"/>
      <c r="O289" s="88"/>
      <c r="P289" s="85"/>
      <c r="Q289" s="75"/>
      <c r="R289" s="75"/>
      <c r="S289" s="75"/>
      <c r="T289" s="75"/>
      <c r="U289" s="86"/>
      <c r="V289" s="84"/>
      <c r="W289" s="87"/>
      <c r="X289" s="84"/>
      <c r="Y289" s="84"/>
      <c r="Z289" s="84"/>
      <c r="AA289" s="1"/>
      <c r="AB289" s="330"/>
      <c r="AC289" s="321"/>
      <c r="AD289" s="321"/>
    </row>
    <row r="290" spans="1:30" ht="15.75" customHeight="1">
      <c r="A290" s="83"/>
      <c r="B290" s="83"/>
      <c r="C290" s="83"/>
      <c r="D290" s="87"/>
      <c r="E290" s="84"/>
      <c r="F290" s="84"/>
      <c r="G290" s="83"/>
      <c r="H290" s="84"/>
      <c r="I290" s="84"/>
      <c r="J290" s="84"/>
      <c r="K290" s="88"/>
      <c r="L290" s="84"/>
      <c r="M290" s="88"/>
      <c r="N290" s="84"/>
      <c r="O290" s="88"/>
      <c r="P290" s="85"/>
      <c r="Q290" s="75"/>
      <c r="R290" s="75"/>
      <c r="S290" s="75"/>
      <c r="T290" s="75"/>
      <c r="U290" s="86"/>
      <c r="V290" s="84"/>
      <c r="W290" s="87"/>
      <c r="X290" s="84"/>
      <c r="Y290" s="84"/>
      <c r="Z290" s="84"/>
      <c r="AA290" s="1"/>
      <c r="AB290" s="330"/>
      <c r="AC290" s="321"/>
      <c r="AD290" s="321"/>
    </row>
    <row r="291" spans="1:30" ht="15.75" customHeight="1">
      <c r="A291" s="83"/>
      <c r="B291" s="83"/>
      <c r="C291" s="83"/>
      <c r="D291" s="87"/>
      <c r="E291" s="84"/>
      <c r="F291" s="84"/>
      <c r="G291" s="83"/>
      <c r="H291" s="84"/>
      <c r="I291" s="84"/>
      <c r="J291" s="84"/>
      <c r="K291" s="88"/>
      <c r="L291" s="84"/>
      <c r="M291" s="88"/>
      <c r="N291" s="84"/>
      <c r="O291" s="88"/>
      <c r="P291" s="85"/>
      <c r="Q291" s="75"/>
      <c r="R291" s="75"/>
      <c r="S291" s="75"/>
      <c r="T291" s="75"/>
      <c r="U291" s="86"/>
      <c r="V291" s="84"/>
      <c r="W291" s="87"/>
      <c r="X291" s="84"/>
      <c r="Y291" s="84"/>
      <c r="Z291" s="84"/>
      <c r="AA291" s="1"/>
      <c r="AB291" s="330"/>
      <c r="AC291" s="321"/>
      <c r="AD291" s="321"/>
    </row>
    <row r="292" spans="1:30" ht="15.75" customHeight="1">
      <c r="A292" s="83"/>
      <c r="B292" s="83"/>
      <c r="C292" s="83"/>
      <c r="D292" s="87"/>
      <c r="E292" s="84"/>
      <c r="F292" s="84"/>
      <c r="G292" s="83"/>
      <c r="H292" s="84"/>
      <c r="I292" s="84"/>
      <c r="J292" s="84"/>
      <c r="K292" s="88"/>
      <c r="L292" s="84"/>
      <c r="M292" s="88"/>
      <c r="N292" s="84"/>
      <c r="O292" s="88"/>
      <c r="P292" s="85"/>
      <c r="Q292" s="75"/>
      <c r="R292" s="75"/>
      <c r="S292" s="75"/>
      <c r="T292" s="75"/>
      <c r="U292" s="86"/>
      <c r="V292" s="84"/>
      <c r="W292" s="87"/>
      <c r="X292" s="84"/>
      <c r="Y292" s="84"/>
      <c r="Z292" s="84"/>
      <c r="AA292" s="1"/>
      <c r="AB292" s="330"/>
      <c r="AC292" s="321"/>
      <c r="AD292" s="321"/>
    </row>
    <row r="293" spans="1:30" ht="15.75" customHeight="1">
      <c r="A293" s="83"/>
      <c r="B293" s="83"/>
      <c r="C293" s="83"/>
      <c r="D293" s="87"/>
      <c r="E293" s="84"/>
      <c r="F293" s="84"/>
      <c r="G293" s="83"/>
      <c r="H293" s="84"/>
      <c r="I293" s="84"/>
      <c r="J293" s="84"/>
      <c r="K293" s="88"/>
      <c r="L293" s="84"/>
      <c r="M293" s="88"/>
      <c r="N293" s="84"/>
      <c r="O293" s="88"/>
      <c r="P293" s="85"/>
      <c r="Q293" s="75"/>
      <c r="R293" s="75"/>
      <c r="S293" s="75"/>
      <c r="T293" s="75"/>
      <c r="U293" s="86"/>
      <c r="V293" s="84"/>
      <c r="W293" s="87"/>
      <c r="X293" s="84"/>
      <c r="Y293" s="84"/>
      <c r="Z293" s="84"/>
      <c r="AA293" s="1"/>
      <c r="AB293" s="330"/>
      <c r="AC293" s="321"/>
      <c r="AD293" s="321"/>
    </row>
    <row r="294" spans="1:30" ht="15.75" customHeight="1">
      <c r="A294" s="83"/>
      <c r="B294" s="83"/>
      <c r="C294" s="83"/>
      <c r="D294" s="87"/>
      <c r="E294" s="84"/>
      <c r="F294" s="84"/>
      <c r="G294" s="83"/>
      <c r="H294" s="84"/>
      <c r="I294" s="84"/>
      <c r="J294" s="84"/>
      <c r="K294" s="88"/>
      <c r="L294" s="84"/>
      <c r="M294" s="88"/>
      <c r="N294" s="84"/>
      <c r="O294" s="88"/>
      <c r="P294" s="85"/>
      <c r="Q294" s="75"/>
      <c r="R294" s="75"/>
      <c r="S294" s="75"/>
      <c r="T294" s="75"/>
      <c r="U294" s="86"/>
      <c r="V294" s="84"/>
      <c r="W294" s="87"/>
      <c r="X294" s="84"/>
      <c r="Y294" s="84"/>
      <c r="Z294" s="84"/>
      <c r="AA294" s="1"/>
      <c r="AB294" s="330"/>
      <c r="AC294" s="321"/>
      <c r="AD294" s="321"/>
    </row>
    <row r="295" spans="1:30" ht="15.75" customHeight="1">
      <c r="A295" s="83"/>
      <c r="B295" s="83"/>
      <c r="C295" s="83"/>
      <c r="D295" s="87"/>
      <c r="E295" s="84"/>
      <c r="F295" s="84"/>
      <c r="G295" s="83"/>
      <c r="H295" s="84"/>
      <c r="I295" s="84"/>
      <c r="J295" s="84"/>
      <c r="K295" s="88"/>
      <c r="L295" s="84"/>
      <c r="M295" s="88"/>
      <c r="N295" s="84"/>
      <c r="O295" s="88"/>
      <c r="P295" s="85"/>
      <c r="Q295" s="75"/>
      <c r="R295" s="75"/>
      <c r="S295" s="75"/>
      <c r="T295" s="75"/>
      <c r="U295" s="86"/>
      <c r="V295" s="84"/>
      <c r="W295" s="87"/>
      <c r="X295" s="84"/>
      <c r="Y295" s="84"/>
      <c r="Z295" s="84"/>
      <c r="AA295" s="1"/>
      <c r="AB295" s="330"/>
      <c r="AC295" s="321"/>
      <c r="AD295" s="321"/>
    </row>
    <row r="296" spans="1:30" ht="15.75" customHeight="1">
      <c r="A296" s="83"/>
      <c r="B296" s="83"/>
      <c r="C296" s="83"/>
      <c r="D296" s="87"/>
      <c r="E296" s="84"/>
      <c r="F296" s="84"/>
      <c r="G296" s="83"/>
      <c r="H296" s="84"/>
      <c r="I296" s="84"/>
      <c r="J296" s="84"/>
      <c r="K296" s="88"/>
      <c r="L296" s="84"/>
      <c r="M296" s="88"/>
      <c r="N296" s="84"/>
      <c r="O296" s="88"/>
      <c r="P296" s="85"/>
      <c r="Q296" s="75"/>
      <c r="R296" s="75"/>
      <c r="S296" s="75"/>
      <c r="T296" s="75"/>
      <c r="U296" s="86"/>
      <c r="V296" s="84"/>
      <c r="W296" s="87"/>
      <c r="X296" s="84"/>
      <c r="Y296" s="84"/>
      <c r="Z296" s="84"/>
      <c r="AA296" s="1"/>
      <c r="AB296" s="330"/>
      <c r="AC296" s="321"/>
      <c r="AD296" s="321"/>
    </row>
    <row r="297" spans="1:30" ht="15.75" customHeight="1">
      <c r="A297" s="83"/>
      <c r="B297" s="83"/>
      <c r="C297" s="83"/>
      <c r="D297" s="87"/>
      <c r="E297" s="84"/>
      <c r="F297" s="84"/>
      <c r="G297" s="83"/>
      <c r="H297" s="84"/>
      <c r="I297" s="84"/>
      <c r="J297" s="84"/>
      <c r="K297" s="88"/>
      <c r="L297" s="84"/>
      <c r="M297" s="88"/>
      <c r="N297" s="84"/>
      <c r="O297" s="88"/>
      <c r="P297" s="85"/>
      <c r="Q297" s="75"/>
      <c r="R297" s="75"/>
      <c r="S297" s="75"/>
      <c r="T297" s="75"/>
      <c r="U297" s="86"/>
      <c r="V297" s="84"/>
      <c r="W297" s="87"/>
      <c r="X297" s="84"/>
      <c r="Y297" s="84"/>
      <c r="Z297" s="84"/>
      <c r="AA297" s="1"/>
      <c r="AB297" s="330"/>
      <c r="AC297" s="321"/>
      <c r="AD297" s="321"/>
    </row>
    <row r="298" spans="1:30" ht="15.75" customHeight="1">
      <c r="A298" s="83"/>
      <c r="B298" s="83"/>
      <c r="C298" s="83"/>
      <c r="D298" s="87"/>
      <c r="E298" s="84"/>
      <c r="F298" s="84"/>
      <c r="G298" s="83"/>
      <c r="H298" s="84"/>
      <c r="I298" s="84"/>
      <c r="J298" s="84"/>
      <c r="K298" s="88"/>
      <c r="L298" s="84"/>
      <c r="M298" s="88"/>
      <c r="N298" s="84"/>
      <c r="O298" s="88"/>
      <c r="P298" s="85"/>
      <c r="Q298" s="75"/>
      <c r="R298" s="75"/>
      <c r="S298" s="75"/>
      <c r="T298" s="75"/>
      <c r="U298" s="86"/>
      <c r="V298" s="84"/>
      <c r="W298" s="87"/>
      <c r="X298" s="84"/>
      <c r="Y298" s="84"/>
      <c r="Z298" s="84"/>
      <c r="AA298" s="1"/>
      <c r="AB298" s="330"/>
      <c r="AC298" s="321"/>
      <c r="AD298" s="321"/>
    </row>
    <row r="299" spans="1:30" ht="15.75" customHeight="1">
      <c r="A299" s="83"/>
      <c r="B299" s="83"/>
      <c r="C299" s="83"/>
      <c r="D299" s="87"/>
      <c r="E299" s="84"/>
      <c r="F299" s="84"/>
      <c r="G299" s="83"/>
      <c r="H299" s="84"/>
      <c r="I299" s="84"/>
      <c r="J299" s="84"/>
      <c r="K299" s="88"/>
      <c r="L299" s="84"/>
      <c r="M299" s="88"/>
      <c r="N299" s="84"/>
      <c r="O299" s="88"/>
      <c r="P299" s="85"/>
      <c r="Q299" s="75"/>
      <c r="R299" s="75"/>
      <c r="S299" s="75"/>
      <c r="T299" s="75"/>
      <c r="U299" s="86"/>
      <c r="V299" s="84"/>
      <c r="W299" s="87"/>
      <c r="X299" s="84"/>
      <c r="Y299" s="84"/>
      <c r="Z299" s="84"/>
      <c r="AA299" s="1"/>
      <c r="AB299" s="330"/>
      <c r="AC299" s="321"/>
      <c r="AD299" s="321"/>
    </row>
    <row r="300" spans="1:30" ht="15.75" customHeight="1">
      <c r="A300" s="83"/>
      <c r="B300" s="83"/>
      <c r="C300" s="83"/>
      <c r="D300" s="87"/>
      <c r="E300" s="84"/>
      <c r="F300" s="84"/>
      <c r="G300" s="83"/>
      <c r="H300" s="84"/>
      <c r="I300" s="84"/>
      <c r="J300" s="84"/>
      <c r="K300" s="88"/>
      <c r="L300" s="84"/>
      <c r="M300" s="88"/>
      <c r="N300" s="84"/>
      <c r="O300" s="88"/>
      <c r="P300" s="85"/>
      <c r="Q300" s="75"/>
      <c r="R300" s="75"/>
      <c r="S300" s="75"/>
      <c r="T300" s="75"/>
      <c r="U300" s="86"/>
      <c r="V300" s="84"/>
      <c r="W300" s="87"/>
      <c r="X300" s="84"/>
      <c r="Y300" s="84"/>
      <c r="Z300" s="84"/>
      <c r="AA300" s="1"/>
      <c r="AB300" s="330"/>
      <c r="AC300" s="321"/>
      <c r="AD300" s="321"/>
    </row>
    <row r="301" spans="1:30" ht="15.75" customHeight="1">
      <c r="A301" s="83"/>
      <c r="B301" s="83"/>
      <c r="C301" s="83"/>
      <c r="D301" s="87"/>
      <c r="E301" s="84"/>
      <c r="F301" s="84"/>
      <c r="G301" s="83"/>
      <c r="H301" s="84"/>
      <c r="I301" s="84"/>
      <c r="J301" s="84"/>
      <c r="K301" s="88"/>
      <c r="L301" s="84"/>
      <c r="M301" s="88"/>
      <c r="N301" s="84"/>
      <c r="O301" s="88"/>
      <c r="P301" s="85"/>
      <c r="Q301" s="75"/>
      <c r="R301" s="75"/>
      <c r="S301" s="75"/>
      <c r="T301" s="75"/>
      <c r="U301" s="86"/>
      <c r="V301" s="84"/>
      <c r="W301" s="87"/>
      <c r="X301" s="84"/>
      <c r="Y301" s="84"/>
      <c r="Z301" s="84"/>
      <c r="AA301" s="1"/>
      <c r="AB301" s="330"/>
      <c r="AC301" s="321"/>
      <c r="AD301" s="321"/>
    </row>
    <row r="302" spans="1:30" ht="15.75" customHeight="1">
      <c r="A302" s="83"/>
      <c r="B302" s="83"/>
      <c r="C302" s="83"/>
      <c r="D302" s="87"/>
      <c r="E302" s="84"/>
      <c r="F302" s="84"/>
      <c r="G302" s="83"/>
      <c r="H302" s="84"/>
      <c r="I302" s="84"/>
      <c r="J302" s="84"/>
      <c r="K302" s="88"/>
      <c r="L302" s="84"/>
      <c r="M302" s="88"/>
      <c r="N302" s="84"/>
      <c r="O302" s="88"/>
      <c r="P302" s="85"/>
      <c r="Q302" s="75"/>
      <c r="R302" s="75"/>
      <c r="S302" s="75"/>
      <c r="T302" s="75"/>
      <c r="U302" s="86"/>
      <c r="V302" s="84"/>
      <c r="W302" s="87"/>
      <c r="X302" s="84"/>
      <c r="Y302" s="84"/>
      <c r="Z302" s="84"/>
      <c r="AA302" s="1"/>
      <c r="AB302" s="330"/>
      <c r="AC302" s="321"/>
      <c r="AD302" s="321"/>
    </row>
    <row r="303" spans="1:30" ht="15.75" customHeight="1">
      <c r="A303" s="83"/>
      <c r="B303" s="83"/>
      <c r="C303" s="83"/>
      <c r="D303" s="87"/>
      <c r="E303" s="84"/>
      <c r="F303" s="84"/>
      <c r="G303" s="83"/>
      <c r="H303" s="84"/>
      <c r="I303" s="84"/>
      <c r="J303" s="84"/>
      <c r="K303" s="88"/>
      <c r="L303" s="84"/>
      <c r="M303" s="88"/>
      <c r="N303" s="84"/>
      <c r="O303" s="88"/>
      <c r="P303" s="85"/>
      <c r="Q303" s="75"/>
      <c r="R303" s="75"/>
      <c r="S303" s="75"/>
      <c r="T303" s="75"/>
      <c r="U303" s="86"/>
      <c r="V303" s="84"/>
      <c r="W303" s="87"/>
      <c r="X303" s="84"/>
      <c r="Y303" s="84"/>
      <c r="Z303" s="84"/>
      <c r="AA303" s="1"/>
      <c r="AB303" s="330"/>
      <c r="AC303" s="321"/>
      <c r="AD303" s="321"/>
    </row>
    <row r="304" spans="1:30" ht="15.75" customHeight="1">
      <c r="A304" s="83"/>
      <c r="B304" s="83"/>
      <c r="C304" s="83"/>
      <c r="D304" s="87"/>
      <c r="E304" s="84"/>
      <c r="F304" s="84"/>
      <c r="G304" s="83"/>
      <c r="H304" s="84"/>
      <c r="I304" s="84"/>
      <c r="J304" s="84"/>
      <c r="K304" s="88"/>
      <c r="L304" s="84"/>
      <c r="M304" s="88"/>
      <c r="N304" s="84"/>
      <c r="O304" s="88"/>
      <c r="P304" s="85"/>
      <c r="Q304" s="75"/>
      <c r="R304" s="75"/>
      <c r="S304" s="75"/>
      <c r="T304" s="75"/>
      <c r="U304" s="86"/>
      <c r="V304" s="84"/>
      <c r="W304" s="87"/>
      <c r="X304" s="84"/>
      <c r="Y304" s="84"/>
      <c r="Z304" s="84"/>
      <c r="AA304" s="1"/>
      <c r="AB304" s="330"/>
      <c r="AC304" s="321"/>
      <c r="AD304" s="321"/>
    </row>
    <row r="305" spans="1:30" ht="15.75" customHeight="1">
      <c r="A305" s="83"/>
      <c r="B305" s="83"/>
      <c r="C305" s="83"/>
      <c r="D305" s="87"/>
      <c r="E305" s="84"/>
      <c r="F305" s="84"/>
      <c r="G305" s="83"/>
      <c r="H305" s="84"/>
      <c r="I305" s="84"/>
      <c r="J305" s="84"/>
      <c r="K305" s="88"/>
      <c r="L305" s="84"/>
      <c r="M305" s="88"/>
      <c r="N305" s="84"/>
      <c r="O305" s="88"/>
      <c r="P305" s="85"/>
      <c r="Q305" s="75"/>
      <c r="R305" s="75"/>
      <c r="S305" s="75"/>
      <c r="T305" s="75"/>
      <c r="U305" s="86"/>
      <c r="V305" s="84"/>
      <c r="W305" s="87"/>
      <c r="X305" s="84"/>
      <c r="Y305" s="84"/>
      <c r="Z305" s="84"/>
      <c r="AA305" s="1"/>
      <c r="AB305" s="330"/>
      <c r="AC305" s="321"/>
      <c r="AD305" s="321"/>
    </row>
    <row r="306" spans="1:30" ht="15.75" customHeight="1">
      <c r="A306" s="83"/>
      <c r="B306" s="83"/>
      <c r="C306" s="83"/>
      <c r="D306" s="87"/>
      <c r="E306" s="84"/>
      <c r="F306" s="84"/>
      <c r="G306" s="83"/>
      <c r="H306" s="84"/>
      <c r="I306" s="84"/>
      <c r="J306" s="84"/>
      <c r="K306" s="88"/>
      <c r="L306" s="84"/>
      <c r="M306" s="88"/>
      <c r="N306" s="84"/>
      <c r="O306" s="88"/>
      <c r="P306" s="85"/>
      <c r="Q306" s="75"/>
      <c r="R306" s="75"/>
      <c r="S306" s="75"/>
      <c r="T306" s="75"/>
      <c r="U306" s="86"/>
      <c r="V306" s="84"/>
      <c r="W306" s="87"/>
      <c r="X306" s="84"/>
      <c r="Y306" s="84"/>
      <c r="Z306" s="84"/>
      <c r="AA306" s="1"/>
      <c r="AB306" s="330"/>
      <c r="AC306" s="321"/>
      <c r="AD306" s="321"/>
    </row>
    <row r="307" spans="1:30" ht="15.75" customHeight="1">
      <c r="A307" s="83"/>
      <c r="B307" s="83"/>
      <c r="C307" s="83"/>
      <c r="D307" s="87"/>
      <c r="E307" s="84"/>
      <c r="F307" s="84"/>
      <c r="G307" s="83"/>
      <c r="H307" s="84"/>
      <c r="I307" s="84"/>
      <c r="J307" s="84"/>
      <c r="K307" s="88"/>
      <c r="L307" s="84"/>
      <c r="M307" s="88"/>
      <c r="N307" s="84"/>
      <c r="O307" s="88"/>
      <c r="P307" s="85"/>
      <c r="Q307" s="75"/>
      <c r="R307" s="75"/>
      <c r="S307" s="75"/>
      <c r="T307" s="75"/>
      <c r="U307" s="86"/>
      <c r="V307" s="84"/>
      <c r="W307" s="87"/>
      <c r="X307" s="84"/>
      <c r="Y307" s="84"/>
      <c r="Z307" s="84"/>
      <c r="AA307" s="1"/>
      <c r="AB307" s="330"/>
      <c r="AC307" s="321"/>
      <c r="AD307" s="321"/>
    </row>
    <row r="308" spans="1:30" ht="15.75" customHeight="1">
      <c r="A308" s="83"/>
      <c r="B308" s="83"/>
      <c r="C308" s="83"/>
      <c r="D308" s="87"/>
      <c r="E308" s="84"/>
      <c r="F308" s="84"/>
      <c r="G308" s="83"/>
      <c r="H308" s="84"/>
      <c r="I308" s="84"/>
      <c r="J308" s="84"/>
      <c r="K308" s="88"/>
      <c r="L308" s="84"/>
      <c r="M308" s="88"/>
      <c r="N308" s="84"/>
      <c r="O308" s="88"/>
      <c r="P308" s="85"/>
      <c r="Q308" s="75"/>
      <c r="R308" s="75"/>
      <c r="S308" s="75"/>
      <c r="T308" s="75"/>
      <c r="U308" s="86"/>
      <c r="V308" s="84"/>
      <c r="W308" s="87"/>
      <c r="X308" s="84"/>
      <c r="Y308" s="84"/>
      <c r="Z308" s="84"/>
      <c r="AA308" s="1"/>
      <c r="AB308" s="330"/>
      <c r="AC308" s="321"/>
      <c r="AD308" s="321"/>
    </row>
    <row r="309" spans="1:30" ht="15.75" customHeight="1">
      <c r="A309" s="83"/>
      <c r="B309" s="83"/>
      <c r="C309" s="83"/>
      <c r="D309" s="87"/>
      <c r="E309" s="84"/>
      <c r="F309" s="84"/>
      <c r="G309" s="83"/>
      <c r="H309" s="84"/>
      <c r="I309" s="84"/>
      <c r="J309" s="84"/>
      <c r="K309" s="88"/>
      <c r="L309" s="84"/>
      <c r="M309" s="88"/>
      <c r="N309" s="84"/>
      <c r="O309" s="88"/>
      <c r="P309" s="85"/>
      <c r="Q309" s="75"/>
      <c r="R309" s="75"/>
      <c r="S309" s="75"/>
      <c r="T309" s="75"/>
      <c r="U309" s="86"/>
      <c r="V309" s="84"/>
      <c r="W309" s="87"/>
      <c r="X309" s="84"/>
      <c r="Y309" s="84"/>
      <c r="Z309" s="84"/>
      <c r="AA309" s="1"/>
      <c r="AB309" s="330"/>
      <c r="AC309" s="321"/>
      <c r="AD309" s="321"/>
    </row>
    <row r="310" spans="1:30" ht="15.75" customHeight="1">
      <c r="A310" s="83"/>
      <c r="B310" s="83"/>
      <c r="C310" s="83"/>
      <c r="D310" s="87"/>
      <c r="E310" s="84"/>
      <c r="F310" s="84"/>
      <c r="G310" s="83"/>
      <c r="H310" s="84"/>
      <c r="I310" s="84"/>
      <c r="J310" s="84"/>
      <c r="K310" s="88"/>
      <c r="L310" s="84"/>
      <c r="M310" s="88"/>
      <c r="N310" s="84"/>
      <c r="O310" s="88"/>
      <c r="P310" s="85"/>
      <c r="Q310" s="75"/>
      <c r="R310" s="75"/>
      <c r="S310" s="75"/>
      <c r="T310" s="75"/>
      <c r="U310" s="86"/>
      <c r="V310" s="84"/>
      <c r="W310" s="87"/>
      <c r="X310" s="84"/>
      <c r="Y310" s="84"/>
      <c r="Z310" s="84"/>
      <c r="AA310" s="1"/>
      <c r="AB310" s="330"/>
      <c r="AC310" s="321"/>
      <c r="AD310" s="321"/>
    </row>
    <row r="311" spans="1:30" ht="15.75" customHeight="1">
      <c r="A311" s="83"/>
      <c r="B311" s="83"/>
      <c r="C311" s="83"/>
      <c r="D311" s="87"/>
      <c r="E311" s="84"/>
      <c r="F311" s="84"/>
      <c r="G311" s="83"/>
      <c r="H311" s="84"/>
      <c r="I311" s="84"/>
      <c r="J311" s="84"/>
      <c r="K311" s="88"/>
      <c r="L311" s="84"/>
      <c r="M311" s="88"/>
      <c r="N311" s="84"/>
      <c r="O311" s="88"/>
      <c r="P311" s="85"/>
      <c r="Q311" s="75"/>
      <c r="R311" s="75"/>
      <c r="S311" s="75"/>
      <c r="T311" s="75"/>
      <c r="U311" s="86"/>
      <c r="V311" s="84"/>
      <c r="W311" s="87"/>
      <c r="X311" s="84"/>
      <c r="Y311" s="84"/>
      <c r="Z311" s="84"/>
      <c r="AA311" s="1"/>
      <c r="AB311" s="330"/>
      <c r="AC311" s="321"/>
      <c r="AD311" s="321"/>
    </row>
    <row r="312" spans="1:30" ht="15.75" customHeight="1">
      <c r="A312" s="83"/>
      <c r="B312" s="83"/>
      <c r="C312" s="83"/>
      <c r="D312" s="87"/>
      <c r="E312" s="84"/>
      <c r="F312" s="84"/>
      <c r="G312" s="83"/>
      <c r="H312" s="84"/>
      <c r="I312" s="84"/>
      <c r="J312" s="84"/>
      <c r="K312" s="88"/>
      <c r="L312" s="84"/>
      <c r="M312" s="88"/>
      <c r="N312" s="84"/>
      <c r="O312" s="88"/>
      <c r="P312" s="85"/>
      <c r="Q312" s="75"/>
      <c r="R312" s="75"/>
      <c r="S312" s="75"/>
      <c r="T312" s="75"/>
      <c r="U312" s="86"/>
      <c r="V312" s="84"/>
      <c r="W312" s="87"/>
      <c r="X312" s="84"/>
      <c r="Y312" s="84"/>
      <c r="Z312" s="84"/>
      <c r="AA312" s="1"/>
      <c r="AB312" s="330"/>
      <c r="AC312" s="321"/>
      <c r="AD312" s="321"/>
    </row>
    <row r="313" spans="1:30" ht="15.75" customHeight="1">
      <c r="A313" s="83"/>
      <c r="B313" s="83"/>
      <c r="C313" s="83"/>
      <c r="D313" s="87"/>
      <c r="E313" s="84"/>
      <c r="F313" s="84"/>
      <c r="G313" s="83"/>
      <c r="H313" s="84"/>
      <c r="I313" s="84"/>
      <c r="J313" s="84"/>
      <c r="K313" s="88"/>
      <c r="L313" s="84"/>
      <c r="M313" s="88"/>
      <c r="N313" s="84"/>
      <c r="O313" s="88"/>
      <c r="P313" s="85"/>
      <c r="Q313" s="75"/>
      <c r="R313" s="75"/>
      <c r="S313" s="75"/>
      <c r="T313" s="75"/>
      <c r="U313" s="86"/>
      <c r="V313" s="84"/>
      <c r="W313" s="87"/>
      <c r="X313" s="84"/>
      <c r="Y313" s="84"/>
      <c r="Z313" s="84"/>
      <c r="AA313" s="1"/>
      <c r="AB313" s="330"/>
      <c r="AC313" s="321"/>
      <c r="AD313" s="321"/>
    </row>
    <row r="314" spans="1:30" ht="15.75" customHeight="1">
      <c r="A314" s="83"/>
      <c r="B314" s="83"/>
      <c r="C314" s="83"/>
      <c r="D314" s="87"/>
      <c r="E314" s="84"/>
      <c r="F314" s="84"/>
      <c r="G314" s="83"/>
      <c r="H314" s="84"/>
      <c r="I314" s="84"/>
      <c r="J314" s="84"/>
      <c r="K314" s="88"/>
      <c r="L314" s="84"/>
      <c r="M314" s="88"/>
      <c r="N314" s="84"/>
      <c r="O314" s="88"/>
      <c r="P314" s="85"/>
      <c r="Q314" s="75"/>
      <c r="R314" s="75"/>
      <c r="S314" s="75"/>
      <c r="T314" s="75"/>
      <c r="U314" s="86"/>
      <c r="V314" s="84"/>
      <c r="W314" s="87"/>
      <c r="X314" s="84"/>
      <c r="Y314" s="84"/>
      <c r="Z314" s="84"/>
      <c r="AA314" s="1"/>
      <c r="AB314" s="330"/>
      <c r="AC314" s="321"/>
      <c r="AD314" s="321"/>
    </row>
    <row r="315" spans="1:30" ht="15.75" customHeight="1">
      <c r="A315" s="83"/>
      <c r="B315" s="83"/>
      <c r="C315" s="83"/>
      <c r="D315" s="87"/>
      <c r="E315" s="84"/>
      <c r="F315" s="84"/>
      <c r="G315" s="83"/>
      <c r="H315" s="84"/>
      <c r="I315" s="84"/>
      <c r="J315" s="84"/>
      <c r="K315" s="88"/>
      <c r="L315" s="84"/>
      <c r="M315" s="88"/>
      <c r="N315" s="84"/>
      <c r="O315" s="88"/>
      <c r="P315" s="85"/>
      <c r="Q315" s="75"/>
      <c r="R315" s="75"/>
      <c r="S315" s="75"/>
      <c r="T315" s="75"/>
      <c r="U315" s="86"/>
      <c r="V315" s="84"/>
      <c r="W315" s="87"/>
      <c r="X315" s="84"/>
      <c r="Y315" s="84"/>
      <c r="Z315" s="84"/>
      <c r="AA315" s="1"/>
      <c r="AB315" s="330"/>
      <c r="AC315" s="321"/>
      <c r="AD315" s="321"/>
    </row>
    <row r="316" spans="1:30" ht="15.75" customHeight="1">
      <c r="A316" s="83"/>
      <c r="B316" s="83"/>
      <c r="C316" s="83"/>
      <c r="D316" s="87"/>
      <c r="E316" s="84"/>
      <c r="F316" s="84"/>
      <c r="G316" s="83"/>
      <c r="H316" s="84"/>
      <c r="I316" s="84"/>
      <c r="J316" s="84"/>
      <c r="K316" s="88"/>
      <c r="L316" s="84"/>
      <c r="M316" s="88"/>
      <c r="N316" s="84"/>
      <c r="O316" s="88"/>
      <c r="P316" s="85"/>
      <c r="Q316" s="75"/>
      <c r="R316" s="75"/>
      <c r="S316" s="75"/>
      <c r="T316" s="75"/>
      <c r="U316" s="86"/>
      <c r="V316" s="84"/>
      <c r="W316" s="87"/>
      <c r="X316" s="84"/>
      <c r="Y316" s="84"/>
      <c r="Z316" s="84"/>
      <c r="AA316" s="1"/>
      <c r="AB316" s="330"/>
      <c r="AC316" s="321"/>
      <c r="AD316" s="321"/>
    </row>
    <row r="317" spans="1:30" ht="15.75" customHeight="1">
      <c r="A317" s="83"/>
      <c r="B317" s="83"/>
      <c r="C317" s="83"/>
      <c r="D317" s="87"/>
      <c r="E317" s="84"/>
      <c r="F317" s="84"/>
      <c r="G317" s="83"/>
      <c r="H317" s="84"/>
      <c r="I317" s="84"/>
      <c r="J317" s="84"/>
      <c r="K317" s="88"/>
      <c r="L317" s="84"/>
      <c r="M317" s="88"/>
      <c r="N317" s="84"/>
      <c r="O317" s="88"/>
      <c r="P317" s="85"/>
      <c r="Q317" s="75"/>
      <c r="R317" s="75"/>
      <c r="S317" s="75"/>
      <c r="T317" s="75"/>
      <c r="U317" s="86"/>
      <c r="V317" s="84"/>
      <c r="W317" s="87"/>
      <c r="X317" s="84"/>
      <c r="Y317" s="84"/>
      <c r="Z317" s="84"/>
      <c r="AA317" s="1"/>
      <c r="AB317" s="330"/>
      <c r="AC317" s="321"/>
      <c r="AD317" s="321"/>
    </row>
    <row r="318" spans="1:30" ht="15.75" customHeight="1">
      <c r="A318" s="83"/>
      <c r="B318" s="83"/>
      <c r="C318" s="83"/>
      <c r="D318" s="87"/>
      <c r="E318" s="84"/>
      <c r="F318" s="84"/>
      <c r="G318" s="83"/>
      <c r="H318" s="84"/>
      <c r="I318" s="84"/>
      <c r="J318" s="84"/>
      <c r="K318" s="88"/>
      <c r="L318" s="84"/>
      <c r="M318" s="88"/>
      <c r="N318" s="84"/>
      <c r="O318" s="88"/>
      <c r="P318" s="85"/>
      <c r="Q318" s="75"/>
      <c r="R318" s="75"/>
      <c r="S318" s="75"/>
      <c r="T318" s="75"/>
      <c r="U318" s="86"/>
      <c r="V318" s="84"/>
      <c r="W318" s="87"/>
      <c r="X318" s="84"/>
      <c r="Y318" s="84"/>
      <c r="Z318" s="84"/>
      <c r="AA318" s="1"/>
      <c r="AB318" s="330"/>
      <c r="AC318" s="321"/>
      <c r="AD318" s="321"/>
    </row>
    <row r="319" spans="1:30" ht="15.75" customHeight="1">
      <c r="A319" s="83"/>
      <c r="B319" s="83"/>
      <c r="C319" s="83"/>
      <c r="D319" s="87"/>
      <c r="E319" s="84"/>
      <c r="F319" s="84"/>
      <c r="G319" s="83"/>
      <c r="H319" s="84"/>
      <c r="I319" s="84"/>
      <c r="J319" s="84"/>
      <c r="K319" s="88"/>
      <c r="L319" s="84"/>
      <c r="M319" s="88"/>
      <c r="N319" s="84"/>
      <c r="O319" s="88"/>
      <c r="P319" s="85"/>
      <c r="Q319" s="75"/>
      <c r="R319" s="75"/>
      <c r="S319" s="75"/>
      <c r="T319" s="75"/>
      <c r="U319" s="86"/>
      <c r="V319" s="84"/>
      <c r="W319" s="87"/>
      <c r="X319" s="84"/>
      <c r="Y319" s="84"/>
      <c r="Z319" s="84"/>
      <c r="AA319" s="1"/>
      <c r="AB319" s="330"/>
      <c r="AC319" s="321"/>
      <c r="AD319" s="321"/>
    </row>
    <row r="320" spans="1:30" ht="15.75" customHeight="1">
      <c r="A320" s="83"/>
      <c r="B320" s="83"/>
      <c r="C320" s="83"/>
      <c r="D320" s="87"/>
      <c r="E320" s="84"/>
      <c r="F320" s="84"/>
      <c r="G320" s="83"/>
      <c r="H320" s="84"/>
      <c r="I320" s="84"/>
      <c r="J320" s="84"/>
      <c r="K320" s="88"/>
      <c r="L320" s="84"/>
      <c r="M320" s="88"/>
      <c r="N320" s="84"/>
      <c r="O320" s="88"/>
      <c r="P320" s="85"/>
      <c r="Q320" s="75"/>
      <c r="R320" s="75"/>
      <c r="S320" s="75"/>
      <c r="T320" s="75"/>
      <c r="U320" s="86"/>
      <c r="V320" s="84"/>
      <c r="W320" s="87"/>
      <c r="X320" s="84"/>
      <c r="Y320" s="84"/>
      <c r="Z320" s="84"/>
      <c r="AA320" s="1"/>
      <c r="AB320" s="330"/>
      <c r="AC320" s="321"/>
      <c r="AD320" s="321"/>
    </row>
    <row r="321" spans="1:30" ht="15.75" customHeight="1">
      <c r="A321" s="83"/>
      <c r="B321" s="83"/>
      <c r="C321" s="83"/>
      <c r="D321" s="87"/>
      <c r="E321" s="84"/>
      <c r="F321" s="84"/>
      <c r="G321" s="83"/>
      <c r="H321" s="84"/>
      <c r="I321" s="84"/>
      <c r="J321" s="84"/>
      <c r="K321" s="88"/>
      <c r="L321" s="84"/>
      <c r="M321" s="88"/>
      <c r="N321" s="84"/>
      <c r="O321" s="88"/>
      <c r="P321" s="85"/>
      <c r="Q321" s="75"/>
      <c r="R321" s="75"/>
      <c r="S321" s="75"/>
      <c r="T321" s="75"/>
      <c r="U321" s="86"/>
      <c r="V321" s="84"/>
      <c r="W321" s="87"/>
      <c r="X321" s="84"/>
      <c r="Y321" s="84"/>
      <c r="Z321" s="84"/>
      <c r="AA321" s="1"/>
      <c r="AB321" s="330"/>
      <c r="AC321" s="321"/>
      <c r="AD321" s="321"/>
    </row>
    <row r="322" spans="1:30" ht="15.75" customHeight="1">
      <c r="A322" s="83"/>
      <c r="B322" s="83"/>
      <c r="C322" s="83"/>
      <c r="D322" s="87"/>
      <c r="E322" s="84"/>
      <c r="F322" s="84"/>
      <c r="G322" s="83"/>
      <c r="H322" s="84"/>
      <c r="I322" s="84"/>
      <c r="J322" s="84"/>
      <c r="K322" s="88"/>
      <c r="L322" s="84"/>
      <c r="M322" s="88"/>
      <c r="N322" s="84"/>
      <c r="O322" s="88"/>
      <c r="P322" s="85"/>
      <c r="Q322" s="75"/>
      <c r="R322" s="75"/>
      <c r="S322" s="75"/>
      <c r="T322" s="75"/>
      <c r="U322" s="86"/>
      <c r="V322" s="84"/>
      <c r="W322" s="87"/>
      <c r="X322" s="84"/>
      <c r="Y322" s="84"/>
      <c r="Z322" s="84"/>
      <c r="AA322" s="1"/>
      <c r="AB322" s="330"/>
      <c r="AC322" s="321"/>
      <c r="AD322" s="321"/>
    </row>
    <row r="323" spans="1:30" ht="15.75" customHeight="1">
      <c r="A323" s="83"/>
      <c r="B323" s="83"/>
      <c r="C323" s="83"/>
      <c r="D323" s="87"/>
      <c r="E323" s="84"/>
      <c r="F323" s="84"/>
      <c r="G323" s="83"/>
      <c r="H323" s="84"/>
      <c r="I323" s="84"/>
      <c r="J323" s="84"/>
      <c r="K323" s="88"/>
      <c r="L323" s="84"/>
      <c r="M323" s="88"/>
      <c r="N323" s="84"/>
      <c r="O323" s="88"/>
      <c r="P323" s="85"/>
      <c r="Q323" s="75"/>
      <c r="R323" s="75"/>
      <c r="S323" s="75"/>
      <c r="T323" s="75"/>
      <c r="U323" s="86"/>
      <c r="V323" s="84"/>
      <c r="W323" s="87"/>
      <c r="X323" s="84"/>
      <c r="Y323" s="84"/>
      <c r="Z323" s="84"/>
      <c r="AA323" s="1"/>
      <c r="AB323" s="330"/>
      <c r="AC323" s="321"/>
      <c r="AD323" s="321"/>
    </row>
    <row r="324" spans="1:30" ht="15.75" customHeight="1">
      <c r="A324" s="83"/>
      <c r="B324" s="83"/>
      <c r="C324" s="83"/>
      <c r="D324" s="87"/>
      <c r="E324" s="84"/>
      <c r="F324" s="84"/>
      <c r="G324" s="83"/>
      <c r="H324" s="84"/>
      <c r="I324" s="84"/>
      <c r="J324" s="84"/>
      <c r="K324" s="88"/>
      <c r="L324" s="84"/>
      <c r="M324" s="88"/>
      <c r="N324" s="84"/>
      <c r="O324" s="88"/>
      <c r="P324" s="85"/>
      <c r="Q324" s="75"/>
      <c r="R324" s="75"/>
      <c r="S324" s="75"/>
      <c r="T324" s="75"/>
      <c r="U324" s="86"/>
      <c r="V324" s="84"/>
      <c r="W324" s="87"/>
      <c r="X324" s="84"/>
      <c r="Y324" s="84"/>
      <c r="Z324" s="84"/>
      <c r="AA324" s="1"/>
      <c r="AB324" s="330"/>
      <c r="AC324" s="321"/>
      <c r="AD324" s="321"/>
    </row>
    <row r="325" spans="1:30" ht="15.75" customHeight="1">
      <c r="A325" s="83"/>
      <c r="B325" s="83"/>
      <c r="C325" s="83"/>
      <c r="D325" s="87"/>
      <c r="E325" s="84"/>
      <c r="F325" s="84"/>
      <c r="G325" s="83"/>
      <c r="H325" s="84"/>
      <c r="I325" s="84"/>
      <c r="J325" s="84"/>
      <c r="K325" s="88"/>
      <c r="L325" s="84"/>
      <c r="M325" s="88"/>
      <c r="N325" s="84"/>
      <c r="O325" s="88"/>
      <c r="P325" s="85"/>
      <c r="Q325" s="75"/>
      <c r="R325" s="75"/>
      <c r="S325" s="75"/>
      <c r="T325" s="75"/>
      <c r="U325" s="86"/>
      <c r="V325" s="84"/>
      <c r="W325" s="87"/>
      <c r="X325" s="84"/>
      <c r="Y325" s="84"/>
      <c r="Z325" s="84"/>
      <c r="AA325" s="1"/>
      <c r="AB325" s="330"/>
      <c r="AC325" s="321"/>
      <c r="AD325" s="321"/>
    </row>
    <row r="326" spans="1:30" ht="15.75" customHeight="1">
      <c r="A326" s="83"/>
      <c r="B326" s="83"/>
      <c r="C326" s="83"/>
      <c r="D326" s="87"/>
      <c r="E326" s="84"/>
      <c r="F326" s="84"/>
      <c r="G326" s="83"/>
      <c r="H326" s="84"/>
      <c r="I326" s="84"/>
      <c r="J326" s="84"/>
      <c r="K326" s="88"/>
      <c r="L326" s="84"/>
      <c r="M326" s="88"/>
      <c r="N326" s="84"/>
      <c r="O326" s="88"/>
      <c r="P326" s="85"/>
      <c r="Q326" s="75"/>
      <c r="R326" s="75"/>
      <c r="S326" s="75"/>
      <c r="T326" s="75"/>
      <c r="U326" s="86"/>
      <c r="V326" s="84"/>
      <c r="W326" s="87"/>
      <c r="X326" s="84"/>
      <c r="Y326" s="84"/>
      <c r="Z326" s="84"/>
      <c r="AA326" s="1"/>
      <c r="AB326" s="330"/>
      <c r="AC326" s="321"/>
      <c r="AD326" s="321"/>
    </row>
    <row r="327" spans="1:30" ht="15.75" customHeight="1">
      <c r="A327" s="83"/>
      <c r="B327" s="83"/>
      <c r="C327" s="83"/>
      <c r="D327" s="87"/>
      <c r="E327" s="84"/>
      <c r="F327" s="84"/>
      <c r="G327" s="83"/>
      <c r="H327" s="84"/>
      <c r="I327" s="84"/>
      <c r="J327" s="84"/>
      <c r="K327" s="88"/>
      <c r="L327" s="84"/>
      <c r="M327" s="88"/>
      <c r="N327" s="84"/>
      <c r="O327" s="88"/>
      <c r="P327" s="85"/>
      <c r="Q327" s="75"/>
      <c r="R327" s="75"/>
      <c r="S327" s="75"/>
      <c r="T327" s="75"/>
      <c r="U327" s="86"/>
      <c r="V327" s="84"/>
      <c r="W327" s="87"/>
      <c r="X327" s="84"/>
      <c r="Y327" s="84"/>
      <c r="Z327" s="84"/>
      <c r="AA327" s="1"/>
      <c r="AB327" s="330"/>
      <c r="AC327" s="321"/>
      <c r="AD327" s="321"/>
    </row>
    <row r="328" spans="1:30" ht="15.75" customHeight="1">
      <c r="A328" s="83"/>
      <c r="B328" s="83"/>
      <c r="C328" s="83"/>
      <c r="D328" s="87"/>
      <c r="E328" s="84"/>
      <c r="F328" s="84"/>
      <c r="G328" s="83"/>
      <c r="H328" s="84"/>
      <c r="I328" s="84"/>
      <c r="J328" s="84"/>
      <c r="K328" s="88"/>
      <c r="L328" s="84"/>
      <c r="M328" s="88"/>
      <c r="N328" s="84"/>
      <c r="O328" s="88"/>
      <c r="P328" s="85"/>
      <c r="Q328" s="75"/>
      <c r="R328" s="75"/>
      <c r="S328" s="75"/>
      <c r="T328" s="75"/>
      <c r="U328" s="86"/>
      <c r="V328" s="84"/>
      <c r="W328" s="87"/>
      <c r="X328" s="84"/>
      <c r="Y328" s="84"/>
      <c r="Z328" s="84"/>
      <c r="AA328" s="1"/>
      <c r="AB328" s="330"/>
      <c r="AC328" s="321"/>
      <c r="AD328" s="321"/>
    </row>
    <row r="329" spans="1:30" ht="15.75" customHeight="1">
      <c r="A329" s="83"/>
      <c r="B329" s="83"/>
      <c r="C329" s="83"/>
      <c r="D329" s="87"/>
      <c r="E329" s="84"/>
      <c r="F329" s="84"/>
      <c r="G329" s="83"/>
      <c r="H329" s="84"/>
      <c r="I329" s="84"/>
      <c r="J329" s="84"/>
      <c r="K329" s="88"/>
      <c r="L329" s="84"/>
      <c r="M329" s="88"/>
      <c r="N329" s="84"/>
      <c r="O329" s="88"/>
      <c r="P329" s="85"/>
      <c r="Q329" s="75"/>
      <c r="R329" s="75"/>
      <c r="S329" s="75"/>
      <c r="T329" s="75"/>
      <c r="U329" s="86"/>
      <c r="V329" s="84"/>
      <c r="W329" s="87"/>
      <c r="X329" s="84"/>
      <c r="Y329" s="84"/>
      <c r="Z329" s="84"/>
      <c r="AA329" s="1"/>
      <c r="AB329" s="330"/>
      <c r="AC329" s="321"/>
      <c r="AD329" s="321"/>
    </row>
    <row r="330" spans="1:30" ht="15.75" customHeight="1">
      <c r="A330" s="83"/>
      <c r="B330" s="83"/>
      <c r="C330" s="83"/>
      <c r="D330" s="87"/>
      <c r="E330" s="84"/>
      <c r="F330" s="84"/>
      <c r="G330" s="83"/>
      <c r="H330" s="84"/>
      <c r="I330" s="84"/>
      <c r="J330" s="84"/>
      <c r="K330" s="88"/>
      <c r="L330" s="84"/>
      <c r="M330" s="88"/>
      <c r="N330" s="84"/>
      <c r="O330" s="88"/>
      <c r="P330" s="85"/>
      <c r="Q330" s="75"/>
      <c r="R330" s="75"/>
      <c r="S330" s="75"/>
      <c r="T330" s="75"/>
      <c r="U330" s="86"/>
      <c r="V330" s="84"/>
      <c r="W330" s="87"/>
      <c r="X330" s="84"/>
      <c r="Y330" s="84"/>
      <c r="Z330" s="84"/>
      <c r="AA330" s="1"/>
      <c r="AB330" s="330"/>
      <c r="AC330" s="321"/>
      <c r="AD330" s="321"/>
    </row>
    <row r="331" spans="1:30" ht="15.75" customHeight="1">
      <c r="A331" s="83"/>
      <c r="B331" s="83"/>
      <c r="C331" s="83"/>
      <c r="D331" s="87"/>
      <c r="E331" s="84"/>
      <c r="F331" s="84"/>
      <c r="G331" s="83"/>
      <c r="H331" s="84"/>
      <c r="I331" s="84"/>
      <c r="J331" s="84"/>
      <c r="K331" s="88"/>
      <c r="L331" s="84"/>
      <c r="M331" s="88"/>
      <c r="N331" s="84"/>
      <c r="O331" s="88"/>
      <c r="P331" s="85"/>
      <c r="Q331" s="75"/>
      <c r="R331" s="75"/>
      <c r="S331" s="75"/>
      <c r="T331" s="75"/>
      <c r="U331" s="86"/>
      <c r="V331" s="84"/>
      <c r="W331" s="87"/>
      <c r="X331" s="84"/>
      <c r="Y331" s="84"/>
      <c r="Z331" s="84"/>
      <c r="AA331" s="1"/>
      <c r="AB331" s="330"/>
      <c r="AC331" s="321"/>
      <c r="AD331" s="321"/>
    </row>
    <row r="332" spans="1:30" ht="15.75" customHeight="1">
      <c r="A332" s="83"/>
      <c r="B332" s="83"/>
      <c r="C332" s="83"/>
      <c r="D332" s="87"/>
      <c r="E332" s="84"/>
      <c r="F332" s="84"/>
      <c r="G332" s="83"/>
      <c r="H332" s="84"/>
      <c r="I332" s="84"/>
      <c r="J332" s="84"/>
      <c r="K332" s="88"/>
      <c r="L332" s="84"/>
      <c r="M332" s="88"/>
      <c r="N332" s="84"/>
      <c r="O332" s="88"/>
      <c r="P332" s="85"/>
      <c r="Q332" s="75"/>
      <c r="R332" s="75"/>
      <c r="S332" s="75"/>
      <c r="T332" s="75"/>
      <c r="U332" s="86"/>
      <c r="V332" s="84"/>
      <c r="W332" s="87"/>
      <c r="X332" s="84"/>
      <c r="Y332" s="84"/>
      <c r="Z332" s="84"/>
      <c r="AA332" s="1"/>
      <c r="AB332" s="330"/>
      <c r="AC332" s="321"/>
      <c r="AD332" s="321"/>
    </row>
    <row r="333" spans="1:30" ht="15.75" customHeight="1">
      <c r="A333" s="83"/>
      <c r="B333" s="83"/>
      <c r="C333" s="83"/>
      <c r="D333" s="87"/>
      <c r="E333" s="84"/>
      <c r="F333" s="84"/>
      <c r="G333" s="83"/>
      <c r="H333" s="84"/>
      <c r="I333" s="84"/>
      <c r="J333" s="84"/>
      <c r="K333" s="88"/>
      <c r="L333" s="84"/>
      <c r="M333" s="88"/>
      <c r="N333" s="84"/>
      <c r="O333" s="88"/>
      <c r="P333" s="85"/>
      <c r="Q333" s="75"/>
      <c r="R333" s="75"/>
      <c r="S333" s="75"/>
      <c r="T333" s="75"/>
      <c r="U333" s="86"/>
      <c r="V333" s="84"/>
      <c r="W333" s="87"/>
      <c r="X333" s="84"/>
      <c r="Y333" s="84"/>
      <c r="Z333" s="84"/>
      <c r="AA333" s="1"/>
      <c r="AB333" s="330"/>
      <c r="AC333" s="321"/>
      <c r="AD333" s="321"/>
    </row>
    <row r="334" spans="1:30" ht="15.75" customHeight="1">
      <c r="A334" s="83"/>
      <c r="B334" s="83"/>
      <c r="C334" s="83"/>
      <c r="D334" s="87"/>
      <c r="E334" s="84"/>
      <c r="F334" s="84"/>
      <c r="G334" s="83"/>
      <c r="H334" s="84"/>
      <c r="I334" s="84"/>
      <c r="J334" s="84"/>
      <c r="K334" s="88"/>
      <c r="L334" s="84"/>
      <c r="M334" s="88"/>
      <c r="N334" s="84"/>
      <c r="O334" s="88"/>
      <c r="P334" s="85"/>
      <c r="Q334" s="75"/>
      <c r="R334" s="75"/>
      <c r="S334" s="75"/>
      <c r="T334" s="75"/>
      <c r="U334" s="86"/>
      <c r="V334" s="84"/>
      <c r="W334" s="87"/>
      <c r="X334" s="84"/>
      <c r="Y334" s="84"/>
      <c r="Z334" s="84"/>
      <c r="AA334" s="1"/>
      <c r="AB334" s="330"/>
      <c r="AC334" s="321"/>
      <c r="AD334" s="321"/>
    </row>
    <row r="335" spans="1:30" ht="15.75" customHeight="1">
      <c r="A335" s="83"/>
      <c r="B335" s="83"/>
      <c r="C335" s="83"/>
      <c r="D335" s="87"/>
      <c r="E335" s="84"/>
      <c r="F335" s="84"/>
      <c r="G335" s="83"/>
      <c r="H335" s="84"/>
      <c r="I335" s="84"/>
      <c r="J335" s="84"/>
      <c r="K335" s="88"/>
      <c r="L335" s="84"/>
      <c r="M335" s="88"/>
      <c r="N335" s="84"/>
      <c r="O335" s="88"/>
      <c r="P335" s="85"/>
      <c r="Q335" s="75"/>
      <c r="R335" s="75"/>
      <c r="S335" s="75"/>
      <c r="T335" s="75"/>
      <c r="U335" s="86"/>
      <c r="V335" s="84"/>
      <c r="W335" s="87"/>
      <c r="X335" s="84"/>
      <c r="Y335" s="84"/>
      <c r="Z335" s="84"/>
      <c r="AA335" s="1"/>
      <c r="AB335" s="330"/>
      <c r="AC335" s="321"/>
      <c r="AD335" s="321"/>
    </row>
    <row r="336" spans="1:30" ht="15.75" customHeight="1">
      <c r="A336" s="83"/>
      <c r="B336" s="83"/>
      <c r="C336" s="83"/>
      <c r="D336" s="87"/>
      <c r="E336" s="84"/>
      <c r="F336" s="84"/>
      <c r="G336" s="83"/>
      <c r="H336" s="84"/>
      <c r="I336" s="84"/>
      <c r="J336" s="84"/>
      <c r="K336" s="88"/>
      <c r="L336" s="84"/>
      <c r="M336" s="88"/>
      <c r="N336" s="84"/>
      <c r="O336" s="88"/>
      <c r="P336" s="85"/>
      <c r="Q336" s="75"/>
      <c r="R336" s="75"/>
      <c r="S336" s="75"/>
      <c r="T336" s="75"/>
      <c r="U336" s="86"/>
      <c r="V336" s="84"/>
      <c r="W336" s="87"/>
      <c r="X336" s="84"/>
      <c r="Y336" s="84"/>
      <c r="Z336" s="84"/>
      <c r="AA336" s="1"/>
      <c r="AB336" s="330"/>
      <c r="AC336" s="321"/>
      <c r="AD336" s="321"/>
    </row>
    <row r="337" spans="1:30" ht="15.75" customHeight="1">
      <c r="A337" s="83"/>
      <c r="B337" s="83"/>
      <c r="C337" s="83"/>
      <c r="D337" s="87"/>
      <c r="E337" s="84"/>
      <c r="F337" s="84"/>
      <c r="G337" s="83"/>
      <c r="H337" s="84"/>
      <c r="I337" s="84"/>
      <c r="J337" s="84"/>
      <c r="K337" s="88"/>
      <c r="L337" s="84"/>
      <c r="M337" s="88"/>
      <c r="N337" s="84"/>
      <c r="O337" s="88"/>
      <c r="P337" s="85"/>
      <c r="Q337" s="75"/>
      <c r="R337" s="75"/>
      <c r="S337" s="75"/>
      <c r="T337" s="75"/>
      <c r="U337" s="86"/>
      <c r="V337" s="84"/>
      <c r="W337" s="87"/>
      <c r="X337" s="84"/>
      <c r="Y337" s="84"/>
      <c r="Z337" s="84"/>
      <c r="AA337" s="1"/>
      <c r="AB337" s="330"/>
      <c r="AC337" s="321"/>
      <c r="AD337" s="321"/>
    </row>
    <row r="338" spans="1:30" ht="15.75" customHeight="1">
      <c r="A338" s="83"/>
      <c r="B338" s="83"/>
      <c r="C338" s="83"/>
      <c r="D338" s="87"/>
      <c r="E338" s="84"/>
      <c r="F338" s="84"/>
      <c r="G338" s="83"/>
      <c r="H338" s="84"/>
      <c r="I338" s="84"/>
      <c r="J338" s="84"/>
      <c r="K338" s="88"/>
      <c r="L338" s="84"/>
      <c r="M338" s="88"/>
      <c r="N338" s="84"/>
      <c r="O338" s="88"/>
      <c r="P338" s="85"/>
      <c r="Q338" s="75"/>
      <c r="R338" s="75"/>
      <c r="S338" s="75"/>
      <c r="T338" s="75"/>
      <c r="U338" s="86"/>
      <c r="V338" s="84"/>
      <c r="W338" s="87"/>
      <c r="X338" s="84"/>
      <c r="Y338" s="84"/>
      <c r="Z338" s="84"/>
      <c r="AA338" s="1"/>
      <c r="AB338" s="330"/>
      <c r="AC338" s="321"/>
      <c r="AD338" s="321"/>
    </row>
    <row r="339" spans="1:30" ht="15.75" customHeight="1">
      <c r="A339" s="83"/>
      <c r="B339" s="83"/>
      <c r="C339" s="83"/>
      <c r="D339" s="87"/>
      <c r="E339" s="84"/>
      <c r="F339" s="84"/>
      <c r="G339" s="83"/>
      <c r="H339" s="84"/>
      <c r="I339" s="84"/>
      <c r="J339" s="84"/>
      <c r="K339" s="88"/>
      <c r="L339" s="84"/>
      <c r="M339" s="88"/>
      <c r="N339" s="84"/>
      <c r="O339" s="88"/>
      <c r="P339" s="85"/>
      <c r="Q339" s="75"/>
      <c r="R339" s="75"/>
      <c r="S339" s="75"/>
      <c r="T339" s="75"/>
      <c r="U339" s="86"/>
      <c r="V339" s="84"/>
      <c r="W339" s="87"/>
      <c r="X339" s="84"/>
      <c r="Y339" s="84"/>
      <c r="Z339" s="84"/>
      <c r="AA339" s="1"/>
      <c r="AB339" s="330"/>
      <c r="AC339" s="321"/>
      <c r="AD339" s="321"/>
    </row>
    <row r="340" spans="1:30" ht="15.75" customHeight="1">
      <c r="A340" s="83"/>
      <c r="B340" s="83"/>
      <c r="C340" s="83"/>
      <c r="D340" s="87"/>
      <c r="E340" s="84"/>
      <c r="F340" s="84"/>
      <c r="G340" s="83"/>
      <c r="H340" s="84"/>
      <c r="I340" s="84"/>
      <c r="J340" s="84"/>
      <c r="K340" s="88"/>
      <c r="L340" s="84"/>
      <c r="M340" s="88"/>
      <c r="N340" s="84"/>
      <c r="O340" s="88"/>
      <c r="P340" s="85"/>
      <c r="Q340" s="75"/>
      <c r="R340" s="75"/>
      <c r="S340" s="75"/>
      <c r="T340" s="75"/>
      <c r="U340" s="86"/>
      <c r="V340" s="84"/>
      <c r="W340" s="87"/>
      <c r="X340" s="84"/>
      <c r="Y340" s="84"/>
      <c r="Z340" s="84"/>
      <c r="AA340" s="1"/>
      <c r="AB340" s="330"/>
      <c r="AC340" s="321"/>
      <c r="AD340" s="321"/>
    </row>
    <row r="341" spans="1:30" ht="15.75" customHeight="1">
      <c r="A341" s="83"/>
      <c r="B341" s="83"/>
      <c r="C341" s="83"/>
      <c r="D341" s="87"/>
      <c r="E341" s="84"/>
      <c r="F341" s="84"/>
      <c r="G341" s="83"/>
      <c r="H341" s="84"/>
      <c r="I341" s="84"/>
      <c r="J341" s="84"/>
      <c r="K341" s="88"/>
      <c r="L341" s="84"/>
      <c r="M341" s="88"/>
      <c r="N341" s="84"/>
      <c r="O341" s="88"/>
      <c r="P341" s="85"/>
      <c r="Q341" s="75"/>
      <c r="R341" s="75"/>
      <c r="S341" s="75"/>
      <c r="T341" s="75"/>
      <c r="U341" s="86"/>
      <c r="V341" s="84"/>
      <c r="W341" s="87"/>
      <c r="X341" s="84"/>
      <c r="Y341" s="84"/>
      <c r="Z341" s="84"/>
      <c r="AA341" s="1"/>
      <c r="AB341" s="330"/>
      <c r="AC341" s="321"/>
      <c r="AD341" s="321"/>
    </row>
    <row r="342" spans="1:30" ht="15.75" customHeight="1">
      <c r="A342" s="83"/>
      <c r="B342" s="83"/>
      <c r="C342" s="83"/>
      <c r="D342" s="87"/>
      <c r="E342" s="84"/>
      <c r="F342" s="84"/>
      <c r="G342" s="83"/>
      <c r="H342" s="84"/>
      <c r="I342" s="84"/>
      <c r="J342" s="84"/>
      <c r="K342" s="88"/>
      <c r="L342" s="84"/>
      <c r="M342" s="88"/>
      <c r="N342" s="84"/>
      <c r="O342" s="88"/>
      <c r="P342" s="85"/>
      <c r="Q342" s="75"/>
      <c r="R342" s="75"/>
      <c r="S342" s="75"/>
      <c r="T342" s="75"/>
      <c r="U342" s="86"/>
      <c r="V342" s="84"/>
      <c r="W342" s="87"/>
      <c r="X342" s="84"/>
      <c r="Y342" s="84"/>
      <c r="Z342" s="84"/>
      <c r="AA342" s="1"/>
      <c r="AB342" s="330"/>
      <c r="AC342" s="321"/>
      <c r="AD342" s="321"/>
    </row>
    <row r="343" spans="1:30" ht="15.75" customHeight="1">
      <c r="A343" s="83"/>
      <c r="B343" s="83"/>
      <c r="C343" s="83"/>
      <c r="D343" s="87"/>
      <c r="E343" s="84"/>
      <c r="F343" s="84"/>
      <c r="G343" s="83"/>
      <c r="H343" s="84"/>
      <c r="I343" s="84"/>
      <c r="J343" s="84"/>
      <c r="K343" s="88"/>
      <c r="L343" s="84"/>
      <c r="M343" s="88"/>
      <c r="N343" s="84"/>
      <c r="O343" s="88"/>
      <c r="P343" s="85"/>
      <c r="Q343" s="75"/>
      <c r="R343" s="75"/>
      <c r="S343" s="75"/>
      <c r="T343" s="75"/>
      <c r="U343" s="86"/>
      <c r="V343" s="84"/>
      <c r="W343" s="87"/>
      <c r="X343" s="84"/>
      <c r="Y343" s="84"/>
      <c r="Z343" s="84"/>
      <c r="AA343" s="1"/>
      <c r="AB343" s="330"/>
      <c r="AC343" s="321"/>
      <c r="AD343" s="321"/>
    </row>
    <row r="344" spans="1:30" ht="15.75" customHeight="1">
      <c r="A344" s="83"/>
      <c r="B344" s="83"/>
      <c r="C344" s="83"/>
      <c r="D344" s="87"/>
      <c r="E344" s="84"/>
      <c r="F344" s="84"/>
      <c r="G344" s="83"/>
      <c r="H344" s="84"/>
      <c r="I344" s="84"/>
      <c r="J344" s="84"/>
      <c r="K344" s="88"/>
      <c r="L344" s="84"/>
      <c r="M344" s="88"/>
      <c r="N344" s="84"/>
      <c r="O344" s="88"/>
      <c r="P344" s="85"/>
      <c r="Q344" s="75"/>
      <c r="R344" s="75"/>
      <c r="S344" s="75"/>
      <c r="T344" s="75"/>
      <c r="U344" s="86"/>
      <c r="V344" s="84"/>
      <c r="W344" s="87"/>
      <c r="X344" s="84"/>
      <c r="Y344" s="84"/>
      <c r="Z344" s="84"/>
      <c r="AA344" s="1"/>
      <c r="AB344" s="330"/>
      <c r="AC344" s="321"/>
      <c r="AD344" s="321"/>
    </row>
    <row r="345" spans="1:30" ht="15.75" customHeight="1">
      <c r="A345" s="83"/>
      <c r="B345" s="83"/>
      <c r="C345" s="83"/>
      <c r="D345" s="87"/>
      <c r="E345" s="84"/>
      <c r="F345" s="84"/>
      <c r="G345" s="83"/>
      <c r="H345" s="84"/>
      <c r="I345" s="84"/>
      <c r="J345" s="84"/>
      <c r="K345" s="88"/>
      <c r="L345" s="84"/>
      <c r="M345" s="88"/>
      <c r="N345" s="84"/>
      <c r="O345" s="88"/>
      <c r="P345" s="85"/>
      <c r="Q345" s="75"/>
      <c r="R345" s="75"/>
      <c r="S345" s="75"/>
      <c r="T345" s="75"/>
      <c r="U345" s="86"/>
      <c r="V345" s="84"/>
      <c r="W345" s="87"/>
      <c r="X345" s="84"/>
      <c r="Y345" s="84"/>
      <c r="Z345" s="84"/>
      <c r="AA345" s="1"/>
      <c r="AB345" s="330"/>
      <c r="AC345" s="321"/>
      <c r="AD345" s="321"/>
    </row>
    <row r="346" spans="1:30" ht="15.75" customHeight="1">
      <c r="A346" s="83"/>
      <c r="B346" s="83"/>
      <c r="C346" s="83"/>
      <c r="D346" s="87"/>
      <c r="E346" s="84"/>
      <c r="F346" s="84"/>
      <c r="G346" s="83"/>
      <c r="H346" s="84"/>
      <c r="I346" s="84"/>
      <c r="J346" s="84"/>
      <c r="K346" s="88"/>
      <c r="L346" s="84"/>
      <c r="M346" s="88"/>
      <c r="N346" s="84"/>
      <c r="O346" s="88"/>
      <c r="P346" s="85"/>
      <c r="Q346" s="75"/>
      <c r="R346" s="75"/>
      <c r="S346" s="75"/>
      <c r="T346" s="75"/>
      <c r="U346" s="86"/>
      <c r="V346" s="84"/>
      <c r="W346" s="87"/>
      <c r="X346" s="84"/>
      <c r="Y346" s="84"/>
      <c r="Z346" s="84"/>
      <c r="AA346" s="1"/>
      <c r="AB346" s="330"/>
      <c r="AC346" s="321"/>
      <c r="AD346" s="321"/>
    </row>
    <row r="347" spans="1:30" ht="15.75" customHeight="1">
      <c r="A347" s="83"/>
      <c r="B347" s="83"/>
      <c r="C347" s="83"/>
      <c r="D347" s="87"/>
      <c r="E347" s="84"/>
      <c r="F347" s="84"/>
      <c r="G347" s="83"/>
      <c r="H347" s="84"/>
      <c r="I347" s="84"/>
      <c r="J347" s="84"/>
      <c r="K347" s="88"/>
      <c r="L347" s="84"/>
      <c r="M347" s="88"/>
      <c r="N347" s="84"/>
      <c r="O347" s="88"/>
      <c r="P347" s="85"/>
      <c r="Q347" s="75"/>
      <c r="R347" s="75"/>
      <c r="S347" s="75"/>
      <c r="T347" s="75"/>
      <c r="U347" s="86"/>
      <c r="V347" s="84"/>
      <c r="W347" s="87"/>
      <c r="X347" s="84"/>
      <c r="Y347" s="84"/>
      <c r="Z347" s="84"/>
      <c r="AA347" s="1"/>
      <c r="AB347" s="330"/>
      <c r="AC347" s="321"/>
      <c r="AD347" s="321"/>
    </row>
    <row r="348" spans="1:30" ht="15.75" customHeight="1">
      <c r="A348" s="83"/>
      <c r="B348" s="83"/>
      <c r="C348" s="83"/>
      <c r="D348" s="87"/>
      <c r="E348" s="84"/>
      <c r="F348" s="84"/>
      <c r="G348" s="83"/>
      <c r="H348" s="84"/>
      <c r="I348" s="84"/>
      <c r="J348" s="84"/>
      <c r="K348" s="88"/>
      <c r="L348" s="84"/>
      <c r="M348" s="88"/>
      <c r="N348" s="84"/>
      <c r="O348" s="88"/>
      <c r="P348" s="85"/>
      <c r="Q348" s="75"/>
      <c r="R348" s="75"/>
      <c r="S348" s="75"/>
      <c r="T348" s="75"/>
      <c r="U348" s="86"/>
      <c r="V348" s="84"/>
      <c r="W348" s="87"/>
      <c r="X348" s="84"/>
      <c r="Y348" s="84"/>
      <c r="Z348" s="84"/>
      <c r="AA348" s="1"/>
      <c r="AB348" s="330"/>
      <c r="AC348" s="321"/>
      <c r="AD348" s="321"/>
    </row>
    <row r="349" spans="1:30" ht="15.75" customHeight="1">
      <c r="A349" s="83"/>
      <c r="B349" s="83"/>
      <c r="C349" s="83"/>
      <c r="D349" s="87"/>
      <c r="E349" s="84"/>
      <c r="F349" s="84"/>
      <c r="G349" s="83"/>
      <c r="H349" s="84"/>
      <c r="I349" s="84"/>
      <c r="J349" s="84"/>
      <c r="K349" s="88"/>
      <c r="L349" s="84"/>
      <c r="M349" s="88"/>
      <c r="N349" s="84"/>
      <c r="O349" s="88"/>
      <c r="P349" s="85"/>
      <c r="Q349" s="75"/>
      <c r="R349" s="75"/>
      <c r="S349" s="75"/>
      <c r="T349" s="75"/>
      <c r="U349" s="86"/>
      <c r="V349" s="84"/>
      <c r="W349" s="87"/>
      <c r="X349" s="84"/>
      <c r="Y349" s="84"/>
      <c r="Z349" s="84"/>
      <c r="AA349" s="1"/>
      <c r="AB349" s="330"/>
      <c r="AC349" s="321"/>
      <c r="AD349" s="321"/>
    </row>
    <row r="350" spans="1:30" ht="15.75" customHeight="1">
      <c r="A350" s="83"/>
      <c r="B350" s="83"/>
      <c r="C350" s="83"/>
      <c r="D350" s="87"/>
      <c r="E350" s="84"/>
      <c r="F350" s="84"/>
      <c r="G350" s="83"/>
      <c r="H350" s="84"/>
      <c r="I350" s="84"/>
      <c r="J350" s="84"/>
      <c r="K350" s="88"/>
      <c r="L350" s="84"/>
      <c r="M350" s="88"/>
      <c r="N350" s="84"/>
      <c r="O350" s="88"/>
      <c r="P350" s="85"/>
      <c r="Q350" s="75"/>
      <c r="R350" s="75"/>
      <c r="S350" s="75"/>
      <c r="T350" s="75"/>
      <c r="U350" s="86"/>
      <c r="V350" s="84"/>
      <c r="W350" s="87"/>
      <c r="X350" s="84"/>
      <c r="Y350" s="84"/>
      <c r="Z350" s="84"/>
      <c r="AA350" s="1"/>
      <c r="AB350" s="330"/>
      <c r="AC350" s="321"/>
      <c r="AD350" s="321"/>
    </row>
    <row r="351" spans="1:30" ht="15.75" customHeight="1">
      <c r="A351" s="83"/>
      <c r="B351" s="83"/>
      <c r="C351" s="83"/>
      <c r="D351" s="87"/>
      <c r="E351" s="84"/>
      <c r="F351" s="84"/>
      <c r="G351" s="83"/>
      <c r="H351" s="84"/>
      <c r="I351" s="84"/>
      <c r="J351" s="84"/>
      <c r="K351" s="88"/>
      <c r="L351" s="84"/>
      <c r="M351" s="88"/>
      <c r="N351" s="84"/>
      <c r="O351" s="88"/>
      <c r="P351" s="85"/>
      <c r="Q351" s="75"/>
      <c r="R351" s="75"/>
      <c r="S351" s="75"/>
      <c r="T351" s="75"/>
      <c r="U351" s="86"/>
      <c r="V351" s="84"/>
      <c r="W351" s="87"/>
      <c r="X351" s="84"/>
      <c r="Y351" s="84"/>
      <c r="Z351" s="84"/>
      <c r="AA351" s="1"/>
      <c r="AB351" s="330"/>
      <c r="AC351" s="321"/>
      <c r="AD351" s="321"/>
    </row>
    <row r="352" spans="1:30" ht="15.75" customHeight="1">
      <c r="A352" s="83"/>
      <c r="B352" s="83"/>
      <c r="C352" s="83"/>
      <c r="D352" s="87"/>
      <c r="E352" s="84"/>
      <c r="F352" s="84"/>
      <c r="G352" s="83"/>
      <c r="H352" s="84"/>
      <c r="I352" s="84"/>
      <c r="J352" s="84"/>
      <c r="K352" s="88"/>
      <c r="L352" s="84"/>
      <c r="M352" s="88"/>
      <c r="N352" s="84"/>
      <c r="O352" s="88"/>
      <c r="P352" s="85"/>
      <c r="Q352" s="75"/>
      <c r="R352" s="75"/>
      <c r="S352" s="75"/>
      <c r="T352" s="75"/>
      <c r="U352" s="86"/>
      <c r="V352" s="84"/>
      <c r="W352" s="87"/>
      <c r="X352" s="84"/>
      <c r="Y352" s="84"/>
      <c r="Z352" s="84"/>
      <c r="AA352" s="1"/>
      <c r="AB352" s="330"/>
      <c r="AC352" s="321"/>
      <c r="AD352" s="321"/>
    </row>
    <row r="353" spans="1:30" ht="15.75" customHeight="1">
      <c r="A353" s="83"/>
      <c r="B353" s="83"/>
      <c r="C353" s="83"/>
      <c r="D353" s="87"/>
      <c r="E353" s="84"/>
      <c r="F353" s="84"/>
      <c r="G353" s="83"/>
      <c r="H353" s="84"/>
      <c r="I353" s="84"/>
      <c r="J353" s="84"/>
      <c r="K353" s="88"/>
      <c r="L353" s="84"/>
      <c r="M353" s="88"/>
      <c r="N353" s="84"/>
      <c r="O353" s="88"/>
      <c r="P353" s="85"/>
      <c r="Q353" s="75"/>
      <c r="R353" s="75"/>
      <c r="S353" s="75"/>
      <c r="T353" s="75"/>
      <c r="U353" s="86"/>
      <c r="V353" s="84"/>
      <c r="W353" s="87"/>
      <c r="X353" s="84"/>
      <c r="Y353" s="84"/>
      <c r="Z353" s="84"/>
      <c r="AA353" s="1"/>
      <c r="AB353" s="330"/>
      <c r="AC353" s="321"/>
      <c r="AD353" s="321"/>
    </row>
    <row r="354" spans="1:30" ht="15.75" customHeight="1">
      <c r="A354" s="83"/>
      <c r="B354" s="83"/>
      <c r="C354" s="83"/>
      <c r="D354" s="87"/>
      <c r="E354" s="84"/>
      <c r="F354" s="84"/>
      <c r="G354" s="83"/>
      <c r="H354" s="84"/>
      <c r="I354" s="84"/>
      <c r="J354" s="84"/>
      <c r="K354" s="88"/>
      <c r="L354" s="84"/>
      <c r="M354" s="88"/>
      <c r="N354" s="84"/>
      <c r="O354" s="88"/>
      <c r="P354" s="85"/>
      <c r="Q354" s="75"/>
      <c r="R354" s="75"/>
      <c r="S354" s="75"/>
      <c r="T354" s="75"/>
      <c r="U354" s="86"/>
      <c r="V354" s="84"/>
      <c r="W354" s="87"/>
      <c r="X354" s="84"/>
      <c r="Y354" s="84"/>
      <c r="Z354" s="84"/>
      <c r="AA354" s="1"/>
      <c r="AB354" s="330"/>
      <c r="AC354" s="321"/>
      <c r="AD354" s="321"/>
    </row>
    <row r="355" spans="1:30" ht="15.75" customHeight="1">
      <c r="A355" s="83"/>
      <c r="B355" s="83"/>
      <c r="C355" s="83"/>
      <c r="D355" s="87"/>
      <c r="E355" s="84"/>
      <c r="F355" s="84"/>
      <c r="G355" s="83"/>
      <c r="H355" s="84"/>
      <c r="I355" s="84"/>
      <c r="J355" s="84"/>
      <c r="K355" s="88"/>
      <c r="L355" s="84"/>
      <c r="M355" s="88"/>
      <c r="N355" s="84"/>
      <c r="O355" s="88"/>
      <c r="P355" s="85"/>
      <c r="Q355" s="75"/>
      <c r="R355" s="75"/>
      <c r="S355" s="75"/>
      <c r="T355" s="75"/>
      <c r="U355" s="86"/>
      <c r="V355" s="84"/>
      <c r="W355" s="87"/>
      <c r="X355" s="84"/>
      <c r="Y355" s="84"/>
      <c r="Z355" s="84"/>
      <c r="AA355" s="1"/>
      <c r="AB355" s="330"/>
      <c r="AC355" s="321"/>
      <c r="AD355" s="321"/>
    </row>
    <row r="356" spans="1:30" ht="15.75" customHeight="1">
      <c r="A356" s="83"/>
      <c r="B356" s="83"/>
      <c r="C356" s="83"/>
      <c r="D356" s="87"/>
      <c r="E356" s="84"/>
      <c r="F356" s="84"/>
      <c r="G356" s="83"/>
      <c r="H356" s="84"/>
      <c r="I356" s="84"/>
      <c r="J356" s="84"/>
      <c r="K356" s="88"/>
      <c r="L356" s="84"/>
      <c r="M356" s="88"/>
      <c r="N356" s="84"/>
      <c r="O356" s="88"/>
      <c r="P356" s="85"/>
      <c r="Q356" s="75"/>
      <c r="R356" s="75"/>
      <c r="S356" s="75"/>
      <c r="T356" s="75"/>
      <c r="U356" s="86"/>
      <c r="V356" s="84"/>
      <c r="W356" s="87"/>
      <c r="X356" s="84"/>
      <c r="Y356" s="84"/>
      <c r="Z356" s="84"/>
      <c r="AA356" s="1"/>
      <c r="AB356" s="330"/>
      <c r="AC356" s="321"/>
      <c r="AD356" s="321"/>
    </row>
    <row r="357" spans="1:30" ht="15.75" customHeight="1">
      <c r="A357" s="83"/>
      <c r="B357" s="83"/>
      <c r="C357" s="83"/>
      <c r="D357" s="87"/>
      <c r="E357" s="84"/>
      <c r="F357" s="84"/>
      <c r="G357" s="83"/>
      <c r="H357" s="84"/>
      <c r="I357" s="84"/>
      <c r="J357" s="84"/>
      <c r="K357" s="88"/>
      <c r="L357" s="84"/>
      <c r="M357" s="88"/>
      <c r="N357" s="84"/>
      <c r="O357" s="88"/>
      <c r="P357" s="85"/>
      <c r="Q357" s="75"/>
      <c r="R357" s="75"/>
      <c r="S357" s="75"/>
      <c r="T357" s="75"/>
      <c r="U357" s="86"/>
      <c r="V357" s="84"/>
      <c r="W357" s="87"/>
      <c r="X357" s="84"/>
      <c r="Y357" s="84"/>
      <c r="Z357" s="84"/>
      <c r="AA357" s="1"/>
      <c r="AB357" s="330"/>
      <c r="AC357" s="321"/>
      <c r="AD357" s="321"/>
    </row>
    <row r="358" spans="1:30" ht="15.75" customHeight="1">
      <c r="A358" s="83"/>
      <c r="B358" s="83"/>
      <c r="C358" s="83"/>
      <c r="D358" s="87"/>
      <c r="E358" s="84"/>
      <c r="F358" s="84"/>
      <c r="G358" s="83"/>
      <c r="H358" s="84"/>
      <c r="I358" s="84"/>
      <c r="J358" s="84"/>
      <c r="K358" s="88"/>
      <c r="L358" s="84"/>
      <c r="M358" s="88"/>
      <c r="N358" s="84"/>
      <c r="O358" s="88"/>
      <c r="P358" s="85"/>
      <c r="Q358" s="75"/>
      <c r="R358" s="75"/>
      <c r="S358" s="75"/>
      <c r="T358" s="75"/>
      <c r="U358" s="86"/>
      <c r="V358" s="84"/>
      <c r="W358" s="87"/>
      <c r="X358" s="84"/>
      <c r="Y358" s="84"/>
      <c r="Z358" s="84"/>
      <c r="AA358" s="1"/>
      <c r="AB358" s="330"/>
      <c r="AC358" s="321"/>
      <c r="AD358" s="321"/>
    </row>
    <row r="359" spans="1:30" ht="15.75" customHeight="1">
      <c r="A359" s="83"/>
      <c r="B359" s="83"/>
      <c r="C359" s="83"/>
      <c r="D359" s="87"/>
      <c r="E359" s="84"/>
      <c r="F359" s="84"/>
      <c r="G359" s="83"/>
      <c r="H359" s="84"/>
      <c r="I359" s="84"/>
      <c r="J359" s="84"/>
      <c r="K359" s="88"/>
      <c r="L359" s="84"/>
      <c r="M359" s="88"/>
      <c r="N359" s="84"/>
      <c r="O359" s="88"/>
      <c r="P359" s="85"/>
      <c r="Q359" s="75"/>
      <c r="R359" s="75"/>
      <c r="S359" s="75"/>
      <c r="T359" s="75"/>
      <c r="U359" s="86"/>
      <c r="V359" s="84"/>
      <c r="W359" s="87"/>
      <c r="X359" s="84"/>
      <c r="Y359" s="84"/>
      <c r="Z359" s="84"/>
      <c r="AA359" s="1"/>
      <c r="AB359" s="330"/>
      <c r="AC359" s="321"/>
      <c r="AD359" s="321"/>
    </row>
    <row r="360" spans="1:30" ht="15.75" customHeight="1">
      <c r="A360" s="83"/>
      <c r="B360" s="83"/>
      <c r="C360" s="83"/>
      <c r="D360" s="87"/>
      <c r="E360" s="84"/>
      <c r="F360" s="84"/>
      <c r="G360" s="83"/>
      <c r="H360" s="84"/>
      <c r="I360" s="84"/>
      <c r="J360" s="84"/>
      <c r="K360" s="88"/>
      <c r="L360" s="84"/>
      <c r="M360" s="88"/>
      <c r="N360" s="84"/>
      <c r="O360" s="88"/>
      <c r="P360" s="85"/>
      <c r="Q360" s="75"/>
      <c r="R360" s="75"/>
      <c r="S360" s="75"/>
      <c r="T360" s="75"/>
      <c r="U360" s="86"/>
      <c r="V360" s="84"/>
      <c r="W360" s="87"/>
      <c r="X360" s="84"/>
      <c r="Y360" s="84"/>
      <c r="Z360" s="84"/>
      <c r="AA360" s="1"/>
      <c r="AB360" s="330"/>
      <c r="AC360" s="321"/>
      <c r="AD360" s="321"/>
    </row>
    <row r="361" spans="1:30" ht="15.75" customHeight="1">
      <c r="A361" s="83"/>
      <c r="B361" s="83"/>
      <c r="C361" s="83"/>
      <c r="D361" s="87"/>
      <c r="E361" s="84"/>
      <c r="F361" s="84"/>
      <c r="G361" s="83"/>
      <c r="H361" s="84"/>
      <c r="I361" s="84"/>
      <c r="J361" s="84"/>
      <c r="K361" s="88"/>
      <c r="L361" s="84"/>
      <c r="M361" s="88"/>
      <c r="N361" s="84"/>
      <c r="O361" s="88"/>
      <c r="P361" s="85"/>
      <c r="Q361" s="75"/>
      <c r="R361" s="75"/>
      <c r="S361" s="75"/>
      <c r="T361" s="75"/>
      <c r="U361" s="86"/>
      <c r="V361" s="84"/>
      <c r="W361" s="87"/>
      <c r="X361" s="84"/>
      <c r="Y361" s="84"/>
      <c r="Z361" s="84"/>
      <c r="AA361" s="1"/>
      <c r="AB361" s="330"/>
      <c r="AC361" s="321"/>
      <c r="AD361" s="321"/>
    </row>
    <row r="362" spans="1:30" ht="15.75" customHeight="1">
      <c r="A362" s="83"/>
      <c r="B362" s="83"/>
      <c r="C362" s="83"/>
      <c r="D362" s="87"/>
      <c r="E362" s="84"/>
      <c r="F362" s="84"/>
      <c r="G362" s="83"/>
      <c r="H362" s="84"/>
      <c r="I362" s="84"/>
      <c r="J362" s="84"/>
      <c r="K362" s="88"/>
      <c r="L362" s="84"/>
      <c r="M362" s="88"/>
      <c r="N362" s="84"/>
      <c r="O362" s="88"/>
      <c r="P362" s="85"/>
      <c r="Q362" s="75"/>
      <c r="R362" s="75"/>
      <c r="S362" s="75"/>
      <c r="T362" s="75"/>
      <c r="U362" s="86"/>
      <c r="V362" s="84"/>
      <c r="W362" s="87"/>
      <c r="X362" s="84"/>
      <c r="Y362" s="84"/>
      <c r="Z362" s="84"/>
      <c r="AA362" s="1"/>
      <c r="AB362" s="330"/>
      <c r="AC362" s="321"/>
      <c r="AD362" s="321"/>
    </row>
    <row r="363" spans="1:30" ht="15.75" customHeight="1">
      <c r="A363" s="83"/>
      <c r="B363" s="83"/>
      <c r="C363" s="83"/>
      <c r="D363" s="87"/>
      <c r="E363" s="84"/>
      <c r="F363" s="84"/>
      <c r="G363" s="83"/>
      <c r="H363" s="84"/>
      <c r="I363" s="84"/>
      <c r="J363" s="84"/>
      <c r="K363" s="88"/>
      <c r="L363" s="84"/>
      <c r="M363" s="88"/>
      <c r="N363" s="84"/>
      <c r="O363" s="88"/>
      <c r="P363" s="85"/>
      <c r="Q363" s="75"/>
      <c r="R363" s="75"/>
      <c r="S363" s="75"/>
      <c r="T363" s="75"/>
      <c r="U363" s="86"/>
      <c r="V363" s="84"/>
      <c r="W363" s="87"/>
      <c r="X363" s="84"/>
      <c r="Y363" s="84"/>
      <c r="Z363" s="84"/>
      <c r="AA363" s="1"/>
      <c r="AB363" s="330"/>
      <c r="AC363" s="321"/>
      <c r="AD363" s="321"/>
    </row>
    <row r="364" spans="1:30" ht="15.75" customHeight="1">
      <c r="A364" s="83"/>
      <c r="B364" s="83"/>
      <c r="C364" s="83"/>
      <c r="D364" s="87"/>
      <c r="E364" s="84"/>
      <c r="F364" s="84"/>
      <c r="G364" s="83"/>
      <c r="H364" s="84"/>
      <c r="I364" s="84"/>
      <c r="J364" s="84"/>
      <c r="K364" s="88"/>
      <c r="L364" s="84"/>
      <c r="M364" s="88"/>
      <c r="N364" s="84"/>
      <c r="O364" s="88"/>
      <c r="P364" s="85"/>
      <c r="Q364" s="75"/>
      <c r="R364" s="75"/>
      <c r="S364" s="75"/>
      <c r="T364" s="75"/>
      <c r="U364" s="86"/>
      <c r="V364" s="84"/>
      <c r="W364" s="87"/>
      <c r="X364" s="84"/>
      <c r="Y364" s="84"/>
      <c r="Z364" s="84"/>
      <c r="AA364" s="1"/>
      <c r="AB364" s="330"/>
      <c r="AC364" s="321"/>
      <c r="AD364" s="321"/>
    </row>
    <row r="365" spans="1:30" ht="15.75" customHeight="1">
      <c r="A365" s="83"/>
      <c r="B365" s="83"/>
      <c r="C365" s="83"/>
      <c r="D365" s="87"/>
      <c r="E365" s="84"/>
      <c r="F365" s="84"/>
      <c r="G365" s="83"/>
      <c r="H365" s="84"/>
      <c r="I365" s="84"/>
      <c r="J365" s="84"/>
      <c r="K365" s="88"/>
      <c r="L365" s="84"/>
      <c r="M365" s="88"/>
      <c r="N365" s="84"/>
      <c r="O365" s="88"/>
      <c r="P365" s="85"/>
      <c r="Q365" s="75"/>
      <c r="R365" s="75"/>
      <c r="S365" s="75"/>
      <c r="T365" s="75"/>
      <c r="U365" s="86"/>
      <c r="V365" s="84"/>
      <c r="W365" s="87"/>
      <c r="X365" s="84"/>
      <c r="Y365" s="84"/>
      <c r="Z365" s="84"/>
      <c r="AA365" s="1"/>
      <c r="AB365" s="330"/>
      <c r="AC365" s="321"/>
      <c r="AD365" s="321"/>
    </row>
    <row r="366" spans="1:30" ht="15.75" customHeight="1">
      <c r="A366" s="83"/>
      <c r="B366" s="83"/>
      <c r="C366" s="83"/>
      <c r="D366" s="87"/>
      <c r="E366" s="84"/>
      <c r="F366" s="84"/>
      <c r="G366" s="83"/>
      <c r="H366" s="84"/>
      <c r="I366" s="84"/>
      <c r="J366" s="84"/>
      <c r="K366" s="88"/>
      <c r="L366" s="84"/>
      <c r="M366" s="88"/>
      <c r="N366" s="84"/>
      <c r="O366" s="88"/>
      <c r="P366" s="85"/>
      <c r="Q366" s="75"/>
      <c r="R366" s="75"/>
      <c r="S366" s="75"/>
      <c r="T366" s="75"/>
      <c r="U366" s="86"/>
      <c r="V366" s="84"/>
      <c r="W366" s="87"/>
      <c r="X366" s="84"/>
      <c r="Y366" s="84"/>
      <c r="Z366" s="84"/>
      <c r="AA366" s="1"/>
      <c r="AB366" s="330"/>
      <c r="AC366" s="321"/>
      <c r="AD366" s="321"/>
    </row>
    <row r="367" spans="1:30" ht="15.75" customHeight="1">
      <c r="A367" s="83"/>
      <c r="B367" s="83"/>
      <c r="C367" s="83"/>
      <c r="D367" s="87"/>
      <c r="E367" s="84"/>
      <c r="F367" s="84"/>
      <c r="G367" s="83"/>
      <c r="H367" s="84"/>
      <c r="I367" s="84"/>
      <c r="J367" s="84"/>
      <c r="K367" s="88"/>
      <c r="L367" s="84"/>
      <c r="M367" s="88"/>
      <c r="N367" s="84"/>
      <c r="O367" s="88"/>
      <c r="P367" s="85"/>
      <c r="Q367" s="75"/>
      <c r="R367" s="75"/>
      <c r="S367" s="75"/>
      <c r="T367" s="75"/>
      <c r="U367" s="86"/>
      <c r="V367" s="84"/>
      <c r="W367" s="87"/>
      <c r="X367" s="84"/>
      <c r="Y367" s="84"/>
      <c r="Z367" s="84"/>
      <c r="AA367" s="1"/>
      <c r="AB367" s="330"/>
      <c r="AC367" s="321"/>
      <c r="AD367" s="321"/>
    </row>
    <row r="368" spans="1:30" ht="15.75" customHeight="1">
      <c r="A368" s="83"/>
      <c r="B368" s="83"/>
      <c r="C368" s="83"/>
      <c r="D368" s="87"/>
      <c r="E368" s="84"/>
      <c r="F368" s="84"/>
      <c r="G368" s="83"/>
      <c r="H368" s="84"/>
      <c r="I368" s="84"/>
      <c r="J368" s="84"/>
      <c r="K368" s="88"/>
      <c r="L368" s="84"/>
      <c r="M368" s="88"/>
      <c r="N368" s="84"/>
      <c r="O368" s="88"/>
      <c r="P368" s="85"/>
      <c r="Q368" s="75"/>
      <c r="R368" s="75"/>
      <c r="S368" s="75"/>
      <c r="T368" s="75"/>
      <c r="U368" s="86"/>
      <c r="V368" s="84"/>
      <c r="W368" s="87"/>
      <c r="X368" s="84"/>
      <c r="Y368" s="84"/>
      <c r="Z368" s="84"/>
      <c r="AA368" s="1"/>
      <c r="AB368" s="330"/>
      <c r="AC368" s="321"/>
      <c r="AD368" s="321"/>
    </row>
    <row r="369" spans="1:30" ht="15.75" customHeight="1">
      <c r="A369" s="83"/>
      <c r="B369" s="83"/>
      <c r="C369" s="83"/>
      <c r="D369" s="87"/>
      <c r="E369" s="84"/>
      <c r="F369" s="84"/>
      <c r="G369" s="83"/>
      <c r="H369" s="84"/>
      <c r="I369" s="84"/>
      <c r="J369" s="84"/>
      <c r="K369" s="88"/>
      <c r="L369" s="84"/>
      <c r="M369" s="88"/>
      <c r="N369" s="84"/>
      <c r="O369" s="88"/>
      <c r="P369" s="85"/>
      <c r="Q369" s="75"/>
      <c r="R369" s="75"/>
      <c r="S369" s="75"/>
      <c r="T369" s="75"/>
      <c r="U369" s="86"/>
      <c r="V369" s="84"/>
      <c r="W369" s="87"/>
      <c r="X369" s="84"/>
      <c r="Y369" s="84"/>
      <c r="Z369" s="84"/>
      <c r="AA369" s="1"/>
      <c r="AB369" s="330"/>
      <c r="AC369" s="321"/>
      <c r="AD369" s="321"/>
    </row>
    <row r="370" spans="1:30" ht="15.75" customHeight="1">
      <c r="A370" s="83"/>
      <c r="B370" s="83"/>
      <c r="C370" s="83"/>
      <c r="D370" s="87"/>
      <c r="E370" s="84"/>
      <c r="F370" s="84"/>
      <c r="G370" s="83"/>
      <c r="H370" s="84"/>
      <c r="I370" s="84"/>
      <c r="J370" s="84"/>
      <c r="K370" s="88"/>
      <c r="L370" s="84"/>
      <c r="M370" s="88"/>
      <c r="N370" s="84"/>
      <c r="O370" s="88"/>
      <c r="P370" s="85"/>
      <c r="Q370" s="75"/>
      <c r="R370" s="75"/>
      <c r="S370" s="75"/>
      <c r="T370" s="75"/>
      <c r="U370" s="86"/>
      <c r="V370" s="84"/>
      <c r="W370" s="87"/>
      <c r="X370" s="84"/>
      <c r="Y370" s="84"/>
      <c r="Z370" s="84"/>
      <c r="AA370" s="1"/>
      <c r="AB370" s="330"/>
      <c r="AC370" s="321"/>
      <c r="AD370" s="321"/>
    </row>
    <row r="371" spans="1:30" ht="15.75" customHeight="1">
      <c r="A371" s="83"/>
      <c r="B371" s="83"/>
      <c r="C371" s="83"/>
      <c r="D371" s="84"/>
      <c r="E371" s="84"/>
      <c r="F371" s="84"/>
      <c r="G371" s="83"/>
      <c r="H371" s="84"/>
      <c r="I371" s="84"/>
      <c r="J371" s="84"/>
      <c r="K371" s="84"/>
      <c r="L371" s="84"/>
      <c r="M371" s="84"/>
      <c r="N371" s="84"/>
      <c r="O371" s="84"/>
      <c r="P371" s="85"/>
      <c r="Q371" s="75"/>
      <c r="R371" s="75"/>
      <c r="S371" s="75"/>
      <c r="T371" s="75"/>
      <c r="U371" s="89"/>
      <c r="V371" s="84"/>
      <c r="W371" s="84"/>
      <c r="X371" s="84"/>
      <c r="Y371" s="84"/>
      <c r="Z371" s="84"/>
      <c r="AA371" s="1"/>
      <c r="AB371" s="330"/>
      <c r="AC371" s="321"/>
      <c r="AD371" s="321"/>
    </row>
    <row r="372" spans="1:30" ht="15.75" customHeight="1">
      <c r="A372" s="83"/>
      <c r="B372" s="83"/>
      <c r="C372" s="83"/>
      <c r="D372" s="84"/>
      <c r="E372" s="84"/>
      <c r="F372" s="84"/>
      <c r="G372" s="83"/>
      <c r="H372" s="84"/>
      <c r="I372" s="84"/>
      <c r="J372" s="84"/>
      <c r="K372" s="84"/>
      <c r="L372" s="84"/>
      <c r="M372" s="84"/>
      <c r="N372" s="84"/>
      <c r="O372" s="84"/>
      <c r="P372" s="85"/>
      <c r="Q372" s="75"/>
      <c r="R372" s="75"/>
      <c r="S372" s="75"/>
      <c r="T372" s="75"/>
      <c r="U372" s="89"/>
      <c r="V372" s="84"/>
      <c r="W372" s="84"/>
      <c r="X372" s="84"/>
      <c r="Y372" s="84"/>
      <c r="Z372" s="84"/>
      <c r="AA372" s="1"/>
      <c r="AB372" s="330"/>
      <c r="AC372" s="321"/>
      <c r="AD372" s="321"/>
    </row>
    <row r="373" spans="1:30" ht="15.75" customHeight="1">
      <c r="A373" s="83"/>
      <c r="B373" s="83"/>
      <c r="C373" s="83"/>
      <c r="D373" s="84"/>
      <c r="E373" s="84"/>
      <c r="F373" s="84"/>
      <c r="G373" s="83"/>
      <c r="H373" s="84"/>
      <c r="I373" s="84"/>
      <c r="J373" s="84"/>
      <c r="K373" s="84"/>
      <c r="L373" s="84"/>
      <c r="M373" s="84"/>
      <c r="N373" s="84"/>
      <c r="O373" s="84"/>
      <c r="P373" s="85"/>
      <c r="Q373" s="75"/>
      <c r="R373" s="75"/>
      <c r="S373" s="75"/>
      <c r="T373" s="75"/>
      <c r="U373" s="89"/>
      <c r="V373" s="84"/>
      <c r="W373" s="84"/>
      <c r="X373" s="84"/>
      <c r="Y373" s="84"/>
      <c r="Z373" s="84"/>
      <c r="AA373" s="1"/>
      <c r="AB373" s="330"/>
      <c r="AC373" s="321"/>
      <c r="AD373" s="321"/>
    </row>
    <row r="374" spans="1:30" ht="15.75" customHeight="1">
      <c r="A374" s="83"/>
      <c r="B374" s="83"/>
      <c r="C374" s="83"/>
      <c r="D374" s="84"/>
      <c r="E374" s="84"/>
      <c r="F374" s="84"/>
      <c r="G374" s="83"/>
      <c r="H374" s="84"/>
      <c r="I374" s="84"/>
      <c r="J374" s="84"/>
      <c r="K374" s="84"/>
      <c r="L374" s="84"/>
      <c r="M374" s="84"/>
      <c r="N374" s="84"/>
      <c r="O374" s="84"/>
      <c r="P374" s="85"/>
      <c r="Q374" s="75"/>
      <c r="R374" s="75"/>
      <c r="S374" s="75"/>
      <c r="T374" s="75"/>
      <c r="U374" s="89"/>
      <c r="V374" s="84"/>
      <c r="W374" s="84"/>
      <c r="X374" s="84"/>
      <c r="Y374" s="84"/>
      <c r="Z374" s="84"/>
      <c r="AA374" s="1"/>
      <c r="AB374" s="330"/>
      <c r="AC374" s="321"/>
      <c r="AD374" s="321"/>
    </row>
    <row r="375" spans="1:30" ht="15.75" customHeight="1">
      <c r="A375" s="83"/>
      <c r="B375" s="83"/>
      <c r="C375" s="83"/>
      <c r="D375" s="84"/>
      <c r="E375" s="84"/>
      <c r="F375" s="84"/>
      <c r="G375" s="83"/>
      <c r="H375" s="84"/>
      <c r="I375" s="84"/>
      <c r="J375" s="84"/>
      <c r="K375" s="84"/>
      <c r="L375" s="84"/>
      <c r="M375" s="84"/>
      <c r="N375" s="84"/>
      <c r="O375" s="84"/>
      <c r="P375" s="85"/>
      <c r="Q375" s="75"/>
      <c r="R375" s="75"/>
      <c r="S375" s="75"/>
      <c r="T375" s="75"/>
      <c r="U375" s="89"/>
      <c r="V375" s="84"/>
      <c r="W375" s="84"/>
      <c r="X375" s="84"/>
      <c r="Y375" s="84"/>
      <c r="Z375" s="84"/>
      <c r="AA375" s="1"/>
      <c r="AB375" s="330"/>
      <c r="AC375" s="321"/>
      <c r="AD375" s="321"/>
    </row>
    <row r="376" spans="1:30" ht="15.75" customHeight="1">
      <c r="A376" s="83"/>
      <c r="B376" s="83"/>
      <c r="C376" s="83"/>
      <c r="D376" s="84"/>
      <c r="E376" s="84"/>
      <c r="F376" s="84"/>
      <c r="G376" s="83"/>
      <c r="H376" s="84"/>
      <c r="I376" s="84"/>
      <c r="J376" s="84"/>
      <c r="K376" s="84"/>
      <c r="L376" s="84"/>
      <c r="M376" s="84"/>
      <c r="N376" s="84"/>
      <c r="O376" s="84"/>
      <c r="P376" s="85"/>
      <c r="Q376" s="75"/>
      <c r="R376" s="75"/>
      <c r="S376" s="75"/>
      <c r="T376" s="75"/>
      <c r="U376" s="89"/>
      <c r="V376" s="84"/>
      <c r="W376" s="84"/>
      <c r="X376" s="84"/>
      <c r="Y376" s="84"/>
      <c r="Z376" s="84"/>
      <c r="AA376" s="1"/>
      <c r="AB376" s="330"/>
      <c r="AC376" s="321"/>
      <c r="AD376" s="321"/>
    </row>
    <row r="377" spans="1:30" ht="15.75" customHeight="1">
      <c r="A377" s="83"/>
      <c r="B377" s="83"/>
      <c r="C377" s="83"/>
      <c r="D377" s="84"/>
      <c r="E377" s="84"/>
      <c r="F377" s="84"/>
      <c r="G377" s="83"/>
      <c r="H377" s="84"/>
      <c r="I377" s="84"/>
      <c r="J377" s="84"/>
      <c r="K377" s="84"/>
      <c r="L377" s="84"/>
      <c r="M377" s="84"/>
      <c r="N377" s="84"/>
      <c r="O377" s="84"/>
      <c r="P377" s="85"/>
      <c r="Q377" s="75"/>
      <c r="R377" s="75"/>
      <c r="S377" s="75"/>
      <c r="T377" s="75"/>
      <c r="U377" s="89"/>
      <c r="V377" s="84"/>
      <c r="W377" s="84"/>
      <c r="X377" s="84"/>
      <c r="Y377" s="84"/>
      <c r="Z377" s="84"/>
      <c r="AA377" s="1"/>
      <c r="AB377" s="330"/>
      <c r="AC377" s="321"/>
      <c r="AD377" s="321"/>
    </row>
    <row r="378" spans="1:30" ht="15.75" customHeight="1">
      <c r="A378" s="83"/>
      <c r="B378" s="83"/>
      <c r="C378" s="83"/>
      <c r="D378" s="84"/>
      <c r="E378" s="84"/>
      <c r="F378" s="84"/>
      <c r="G378" s="83"/>
      <c r="H378" s="84"/>
      <c r="I378" s="84"/>
      <c r="J378" s="84"/>
      <c r="K378" s="84"/>
      <c r="L378" s="84"/>
      <c r="M378" s="84"/>
      <c r="N378" s="84"/>
      <c r="O378" s="84"/>
      <c r="P378" s="85"/>
      <c r="Q378" s="75"/>
      <c r="R378" s="75"/>
      <c r="S378" s="75"/>
      <c r="T378" s="75"/>
      <c r="U378" s="89"/>
      <c r="V378" s="84"/>
      <c r="W378" s="84"/>
      <c r="X378" s="84"/>
      <c r="Y378" s="84"/>
      <c r="Z378" s="84"/>
      <c r="AA378" s="1"/>
      <c r="AB378" s="330"/>
      <c r="AC378" s="321"/>
      <c r="AD378" s="321"/>
    </row>
    <row r="379" spans="1:30" ht="15.75" customHeight="1">
      <c r="A379" s="83"/>
      <c r="B379" s="83"/>
      <c r="C379" s="83"/>
      <c r="D379" s="84"/>
      <c r="E379" s="84"/>
      <c r="F379" s="84"/>
      <c r="G379" s="83"/>
      <c r="H379" s="84"/>
      <c r="I379" s="84"/>
      <c r="J379" s="84"/>
      <c r="K379" s="84"/>
      <c r="L379" s="84"/>
      <c r="M379" s="84"/>
      <c r="N379" s="84"/>
      <c r="O379" s="84"/>
      <c r="P379" s="85"/>
      <c r="Q379" s="75"/>
      <c r="R379" s="75"/>
      <c r="S379" s="75"/>
      <c r="T379" s="75"/>
      <c r="U379" s="89"/>
      <c r="V379" s="84"/>
      <c r="W379" s="84"/>
      <c r="X379" s="84"/>
      <c r="Y379" s="84"/>
      <c r="Z379" s="84"/>
      <c r="AA379" s="1"/>
      <c r="AB379" s="330"/>
      <c r="AC379" s="321"/>
      <c r="AD379" s="321"/>
    </row>
    <row r="380" spans="1:30" ht="15.75" customHeight="1">
      <c r="A380" s="83"/>
      <c r="B380" s="83"/>
      <c r="C380" s="83"/>
      <c r="D380" s="84"/>
      <c r="E380" s="84"/>
      <c r="F380" s="84"/>
      <c r="G380" s="83"/>
      <c r="H380" s="84"/>
      <c r="I380" s="84"/>
      <c r="J380" s="84"/>
      <c r="K380" s="84"/>
      <c r="L380" s="84"/>
      <c r="M380" s="84"/>
      <c r="N380" s="84"/>
      <c r="O380" s="84"/>
      <c r="P380" s="85"/>
      <c r="Q380" s="75"/>
      <c r="R380" s="75"/>
      <c r="S380" s="75"/>
      <c r="T380" s="75"/>
      <c r="U380" s="89"/>
      <c r="V380" s="84"/>
      <c r="W380" s="84"/>
      <c r="X380" s="84"/>
      <c r="Y380" s="84"/>
      <c r="Z380" s="84"/>
      <c r="AA380" s="1"/>
      <c r="AB380" s="330"/>
      <c r="AC380" s="321"/>
      <c r="AD380" s="321"/>
    </row>
    <row r="381" spans="1:30" ht="15.75" customHeight="1">
      <c r="A381" s="83"/>
      <c r="B381" s="83"/>
      <c r="C381" s="83"/>
      <c r="D381" s="84"/>
      <c r="E381" s="84"/>
      <c r="F381" s="84"/>
      <c r="G381" s="83"/>
      <c r="H381" s="84"/>
      <c r="I381" s="84"/>
      <c r="J381" s="84"/>
      <c r="K381" s="84"/>
      <c r="L381" s="84"/>
      <c r="M381" s="84"/>
      <c r="N381" s="84"/>
      <c r="O381" s="84"/>
      <c r="P381" s="85"/>
      <c r="Q381" s="75"/>
      <c r="R381" s="75"/>
      <c r="S381" s="75"/>
      <c r="T381" s="75"/>
      <c r="U381" s="89"/>
      <c r="V381" s="84"/>
      <c r="W381" s="84"/>
      <c r="X381" s="84"/>
      <c r="Y381" s="84"/>
      <c r="Z381" s="84"/>
      <c r="AA381" s="1"/>
      <c r="AB381" s="330"/>
      <c r="AC381" s="321"/>
      <c r="AD381" s="321"/>
    </row>
    <row r="382" spans="1:30" ht="15.75" customHeight="1">
      <c r="A382" s="83"/>
      <c r="B382" s="83"/>
      <c r="C382" s="83"/>
      <c r="D382" s="84"/>
      <c r="E382" s="84"/>
      <c r="F382" s="84"/>
      <c r="G382" s="83"/>
      <c r="H382" s="84"/>
      <c r="I382" s="84"/>
      <c r="J382" s="84"/>
      <c r="K382" s="84"/>
      <c r="L382" s="84"/>
      <c r="M382" s="84"/>
      <c r="N382" s="84"/>
      <c r="O382" s="84"/>
      <c r="P382" s="85"/>
      <c r="Q382" s="75"/>
      <c r="R382" s="75"/>
      <c r="S382" s="75"/>
      <c r="T382" s="75"/>
      <c r="U382" s="89"/>
      <c r="V382" s="84"/>
      <c r="W382" s="84"/>
      <c r="X382" s="84"/>
      <c r="Y382" s="84"/>
      <c r="Z382" s="84"/>
      <c r="AA382" s="1"/>
      <c r="AB382" s="330"/>
      <c r="AC382" s="321"/>
      <c r="AD382" s="321"/>
    </row>
    <row r="383" spans="1:30" ht="15.75" customHeight="1">
      <c r="A383" s="83"/>
      <c r="B383" s="83"/>
      <c r="C383" s="83"/>
      <c r="D383" s="84"/>
      <c r="E383" s="84"/>
      <c r="F383" s="84"/>
      <c r="G383" s="83"/>
      <c r="H383" s="84"/>
      <c r="I383" s="84"/>
      <c r="J383" s="84"/>
      <c r="K383" s="84"/>
      <c r="L383" s="84"/>
      <c r="M383" s="84"/>
      <c r="N383" s="84"/>
      <c r="O383" s="84"/>
      <c r="P383" s="85"/>
      <c r="Q383" s="75"/>
      <c r="R383" s="75"/>
      <c r="S383" s="75"/>
      <c r="T383" s="75"/>
      <c r="U383" s="89"/>
      <c r="V383" s="84"/>
      <c r="W383" s="84"/>
      <c r="X383" s="84"/>
      <c r="Y383" s="84"/>
      <c r="Z383" s="84"/>
      <c r="AA383" s="1"/>
      <c r="AB383" s="330"/>
      <c r="AC383" s="321"/>
      <c r="AD383" s="321"/>
    </row>
    <row r="384" spans="1:30" ht="15.75" customHeight="1">
      <c r="A384" s="83"/>
      <c r="B384" s="83"/>
      <c r="C384" s="83"/>
      <c r="D384" s="84"/>
      <c r="E384" s="84"/>
      <c r="F384" s="84"/>
      <c r="G384" s="83"/>
      <c r="H384" s="84"/>
      <c r="I384" s="84"/>
      <c r="J384" s="84"/>
      <c r="K384" s="84"/>
      <c r="L384" s="84"/>
      <c r="M384" s="84"/>
      <c r="N384" s="84"/>
      <c r="O384" s="84"/>
      <c r="P384" s="85"/>
      <c r="Q384" s="75"/>
      <c r="R384" s="75"/>
      <c r="S384" s="75"/>
      <c r="T384" s="75"/>
      <c r="U384" s="89"/>
      <c r="V384" s="84"/>
      <c r="W384" s="84"/>
      <c r="X384" s="84"/>
      <c r="Y384" s="84"/>
      <c r="Z384" s="84"/>
      <c r="AA384" s="1"/>
      <c r="AB384" s="330"/>
      <c r="AC384" s="321"/>
      <c r="AD384" s="321"/>
    </row>
    <row r="385" spans="1:30" ht="15.75" customHeight="1">
      <c r="A385" s="83"/>
      <c r="B385" s="83"/>
      <c r="C385" s="83"/>
      <c r="D385" s="84"/>
      <c r="E385" s="84"/>
      <c r="F385" s="84"/>
      <c r="G385" s="83"/>
      <c r="H385" s="84"/>
      <c r="I385" s="84"/>
      <c r="J385" s="84"/>
      <c r="K385" s="84"/>
      <c r="L385" s="84"/>
      <c r="M385" s="84"/>
      <c r="N385" s="84"/>
      <c r="O385" s="84"/>
      <c r="P385" s="85"/>
      <c r="Q385" s="75"/>
      <c r="R385" s="75"/>
      <c r="S385" s="75"/>
      <c r="T385" s="75"/>
      <c r="U385" s="89"/>
      <c r="V385" s="84"/>
      <c r="W385" s="84"/>
      <c r="X385" s="84"/>
      <c r="Y385" s="84"/>
      <c r="Z385" s="84"/>
      <c r="AA385" s="1"/>
      <c r="AB385" s="330"/>
      <c r="AC385" s="321"/>
      <c r="AD385" s="321"/>
    </row>
    <row r="386" spans="1:30" ht="15.75" customHeight="1">
      <c r="A386" s="83"/>
      <c r="B386" s="83"/>
      <c r="C386" s="83"/>
      <c r="D386" s="84"/>
      <c r="E386" s="84"/>
      <c r="F386" s="84"/>
      <c r="G386" s="83"/>
      <c r="H386" s="84"/>
      <c r="I386" s="84"/>
      <c r="J386" s="84"/>
      <c r="K386" s="84"/>
      <c r="L386" s="84"/>
      <c r="M386" s="84"/>
      <c r="N386" s="84"/>
      <c r="O386" s="84"/>
      <c r="P386" s="85"/>
      <c r="Q386" s="75"/>
      <c r="R386" s="75"/>
      <c r="S386" s="75"/>
      <c r="T386" s="75"/>
      <c r="U386" s="89"/>
      <c r="V386" s="84"/>
      <c r="W386" s="84"/>
      <c r="X386" s="84"/>
      <c r="Y386" s="84"/>
      <c r="Z386" s="84"/>
      <c r="AA386" s="1"/>
      <c r="AB386" s="330"/>
      <c r="AC386" s="321"/>
      <c r="AD386" s="321"/>
    </row>
    <row r="387" spans="1:30" ht="15.75" customHeight="1">
      <c r="A387" s="83"/>
      <c r="B387" s="83"/>
      <c r="C387" s="83"/>
      <c r="D387" s="84"/>
      <c r="E387" s="84"/>
      <c r="F387" s="84"/>
      <c r="G387" s="83"/>
      <c r="H387" s="84"/>
      <c r="I387" s="84"/>
      <c r="J387" s="84"/>
      <c r="K387" s="84"/>
      <c r="L387" s="84"/>
      <c r="M387" s="84"/>
      <c r="N387" s="84"/>
      <c r="O387" s="84"/>
      <c r="P387" s="85"/>
      <c r="Q387" s="75"/>
      <c r="R387" s="75"/>
      <c r="S387" s="75"/>
      <c r="T387" s="75"/>
      <c r="U387" s="89"/>
      <c r="V387" s="84"/>
      <c r="W387" s="84"/>
      <c r="X387" s="84"/>
      <c r="Y387" s="84"/>
      <c r="Z387" s="84"/>
      <c r="AA387" s="1"/>
      <c r="AB387" s="330"/>
      <c r="AC387" s="321"/>
      <c r="AD387" s="321"/>
    </row>
    <row r="388" spans="1:30" ht="15.75" customHeight="1">
      <c r="A388" s="83"/>
      <c r="B388" s="83"/>
      <c r="C388" s="83"/>
      <c r="D388" s="84"/>
      <c r="E388" s="84"/>
      <c r="F388" s="84"/>
      <c r="G388" s="83"/>
      <c r="H388" s="84"/>
      <c r="I388" s="84"/>
      <c r="J388" s="84"/>
      <c r="K388" s="84"/>
      <c r="L388" s="84"/>
      <c r="M388" s="84"/>
      <c r="N388" s="84"/>
      <c r="O388" s="84"/>
      <c r="P388" s="85"/>
      <c r="Q388" s="75"/>
      <c r="R388" s="75"/>
      <c r="S388" s="75"/>
      <c r="T388" s="75"/>
      <c r="U388" s="89"/>
      <c r="V388" s="84"/>
      <c r="W388" s="84"/>
      <c r="X388" s="84"/>
      <c r="Y388" s="84"/>
      <c r="Z388" s="84"/>
      <c r="AA388" s="1"/>
      <c r="AB388" s="330"/>
      <c r="AC388" s="321"/>
      <c r="AD388" s="321"/>
    </row>
    <row r="389" spans="1:30" ht="15.75" customHeight="1">
      <c r="A389" s="83"/>
      <c r="B389" s="83"/>
      <c r="C389" s="83"/>
      <c r="D389" s="84"/>
      <c r="E389" s="84"/>
      <c r="F389" s="84"/>
      <c r="G389" s="83"/>
      <c r="H389" s="84"/>
      <c r="I389" s="84"/>
      <c r="J389" s="84"/>
      <c r="K389" s="84"/>
      <c r="L389" s="84"/>
      <c r="M389" s="84"/>
      <c r="N389" s="84"/>
      <c r="O389" s="84"/>
      <c r="P389" s="85"/>
      <c r="Q389" s="75"/>
      <c r="R389" s="75"/>
      <c r="S389" s="75"/>
      <c r="T389" s="75"/>
      <c r="U389" s="89"/>
      <c r="V389" s="84"/>
      <c r="W389" s="84"/>
      <c r="X389" s="84"/>
      <c r="Y389" s="84"/>
      <c r="Z389" s="84"/>
      <c r="AA389" s="1"/>
      <c r="AB389" s="330"/>
      <c r="AC389" s="321"/>
      <c r="AD389" s="321"/>
    </row>
    <row r="390" spans="1:30" ht="15.75" customHeight="1">
      <c r="A390" s="83"/>
      <c r="B390" s="83"/>
      <c r="C390" s="83"/>
      <c r="D390" s="84"/>
      <c r="E390" s="84"/>
      <c r="F390" s="84"/>
      <c r="G390" s="83"/>
      <c r="H390" s="84"/>
      <c r="I390" s="84"/>
      <c r="J390" s="84"/>
      <c r="K390" s="84"/>
      <c r="L390" s="84"/>
      <c r="M390" s="84"/>
      <c r="N390" s="84"/>
      <c r="O390" s="84"/>
      <c r="P390" s="85"/>
      <c r="Q390" s="75"/>
      <c r="R390" s="75"/>
      <c r="S390" s="75"/>
      <c r="T390" s="75"/>
      <c r="U390" s="89"/>
      <c r="V390" s="84"/>
      <c r="W390" s="84"/>
      <c r="X390" s="84"/>
      <c r="Y390" s="84"/>
      <c r="Z390" s="84"/>
      <c r="AA390" s="1"/>
      <c r="AB390" s="330"/>
      <c r="AC390" s="321"/>
      <c r="AD390" s="321"/>
    </row>
    <row r="391" spans="1:30" ht="15.75" customHeight="1">
      <c r="A391" s="83"/>
      <c r="B391" s="83"/>
      <c r="C391" s="83"/>
      <c r="D391" s="84"/>
      <c r="E391" s="84"/>
      <c r="F391" s="84"/>
      <c r="G391" s="83"/>
      <c r="H391" s="84"/>
      <c r="I391" s="84"/>
      <c r="J391" s="84"/>
      <c r="K391" s="84"/>
      <c r="L391" s="84"/>
      <c r="M391" s="84"/>
      <c r="N391" s="84"/>
      <c r="O391" s="84"/>
      <c r="P391" s="85"/>
      <c r="Q391" s="75"/>
      <c r="R391" s="75"/>
      <c r="S391" s="75"/>
      <c r="T391" s="75"/>
      <c r="U391" s="89"/>
      <c r="V391" s="84"/>
      <c r="W391" s="84"/>
      <c r="X391" s="84"/>
      <c r="Y391" s="84"/>
      <c r="Z391" s="84"/>
      <c r="AA391" s="1"/>
      <c r="AB391" s="330"/>
      <c r="AC391" s="321"/>
      <c r="AD391" s="321"/>
    </row>
    <row r="392" spans="1:30" ht="15.75" customHeight="1">
      <c r="A392" s="83"/>
      <c r="B392" s="83"/>
      <c r="C392" s="83"/>
      <c r="D392" s="84"/>
      <c r="E392" s="84"/>
      <c r="F392" s="84"/>
      <c r="G392" s="83"/>
      <c r="H392" s="84"/>
      <c r="I392" s="84"/>
      <c r="J392" s="84"/>
      <c r="K392" s="84"/>
      <c r="L392" s="84"/>
      <c r="M392" s="84"/>
      <c r="N392" s="84"/>
      <c r="O392" s="84"/>
      <c r="P392" s="85"/>
      <c r="Q392" s="75"/>
      <c r="R392" s="75"/>
      <c r="S392" s="75"/>
      <c r="T392" s="75"/>
      <c r="U392" s="89"/>
      <c r="V392" s="84"/>
      <c r="W392" s="84"/>
      <c r="X392" s="84"/>
      <c r="Y392" s="84"/>
      <c r="Z392" s="84"/>
      <c r="AA392" s="1"/>
      <c r="AB392" s="330"/>
      <c r="AC392" s="321"/>
      <c r="AD392" s="321"/>
    </row>
    <row r="393" spans="1:30" ht="15.75" customHeight="1">
      <c r="A393" s="83"/>
      <c r="B393" s="83"/>
      <c r="C393" s="83"/>
      <c r="D393" s="84"/>
      <c r="E393" s="84"/>
      <c r="F393" s="84"/>
      <c r="G393" s="83"/>
      <c r="H393" s="84"/>
      <c r="I393" s="84"/>
      <c r="J393" s="84"/>
      <c r="K393" s="84"/>
      <c r="L393" s="84"/>
      <c r="M393" s="84"/>
      <c r="N393" s="84"/>
      <c r="O393" s="84"/>
      <c r="P393" s="85"/>
      <c r="Q393" s="75"/>
      <c r="R393" s="75"/>
      <c r="S393" s="75"/>
      <c r="T393" s="75"/>
      <c r="U393" s="89"/>
      <c r="V393" s="84"/>
      <c r="W393" s="84"/>
      <c r="X393" s="84"/>
      <c r="Y393" s="84"/>
      <c r="Z393" s="84"/>
      <c r="AA393" s="1"/>
      <c r="AB393" s="330"/>
      <c r="AC393" s="321"/>
      <c r="AD393" s="321"/>
    </row>
    <row r="394" spans="1:30" ht="15.75" customHeight="1">
      <c r="A394" s="83"/>
      <c r="B394" s="83"/>
      <c r="C394" s="83"/>
      <c r="D394" s="84"/>
      <c r="E394" s="84"/>
      <c r="F394" s="84"/>
      <c r="G394" s="83"/>
      <c r="H394" s="84"/>
      <c r="I394" s="84"/>
      <c r="J394" s="84"/>
      <c r="K394" s="84"/>
      <c r="L394" s="84"/>
      <c r="M394" s="84"/>
      <c r="N394" s="84"/>
      <c r="O394" s="84"/>
      <c r="P394" s="85"/>
      <c r="Q394" s="75"/>
      <c r="R394" s="75"/>
      <c r="S394" s="75"/>
      <c r="T394" s="75"/>
      <c r="U394" s="89"/>
      <c r="V394" s="84"/>
      <c r="W394" s="84"/>
      <c r="X394" s="84"/>
      <c r="Y394" s="84"/>
      <c r="Z394" s="84"/>
      <c r="AA394" s="1"/>
      <c r="AB394" s="330"/>
      <c r="AC394" s="321"/>
      <c r="AD394" s="321"/>
    </row>
    <row r="395" spans="1:30" ht="15.75" customHeight="1">
      <c r="A395" s="83"/>
      <c r="B395" s="83"/>
      <c r="C395" s="83"/>
      <c r="D395" s="84"/>
      <c r="E395" s="84"/>
      <c r="F395" s="84"/>
      <c r="G395" s="83"/>
      <c r="H395" s="84"/>
      <c r="I395" s="84"/>
      <c r="J395" s="84"/>
      <c r="K395" s="84"/>
      <c r="L395" s="84"/>
      <c r="M395" s="84"/>
      <c r="N395" s="84"/>
      <c r="O395" s="84"/>
      <c r="P395" s="85"/>
      <c r="Q395" s="75"/>
      <c r="R395" s="75"/>
      <c r="S395" s="75"/>
      <c r="T395" s="75"/>
      <c r="U395" s="89"/>
      <c r="V395" s="84"/>
      <c r="W395" s="84"/>
      <c r="X395" s="84"/>
      <c r="Y395" s="84"/>
      <c r="Z395" s="84"/>
      <c r="AA395" s="1"/>
      <c r="AB395" s="330"/>
      <c r="AC395" s="321"/>
      <c r="AD395" s="321"/>
    </row>
    <row r="396" spans="1:30" ht="15.75" customHeight="1">
      <c r="A396" s="83"/>
      <c r="B396" s="83"/>
      <c r="C396" s="83"/>
      <c r="D396" s="84"/>
      <c r="E396" s="84"/>
      <c r="F396" s="84"/>
      <c r="G396" s="83"/>
      <c r="H396" s="84"/>
      <c r="I396" s="84"/>
      <c r="J396" s="84"/>
      <c r="K396" s="84"/>
      <c r="L396" s="84"/>
      <c r="M396" s="84"/>
      <c r="N396" s="84"/>
      <c r="O396" s="84"/>
      <c r="P396" s="85"/>
      <c r="Q396" s="75"/>
      <c r="R396" s="75"/>
      <c r="S396" s="75"/>
      <c r="T396" s="75"/>
      <c r="U396" s="89"/>
      <c r="V396" s="84"/>
      <c r="W396" s="84"/>
      <c r="X396" s="84"/>
      <c r="Y396" s="84"/>
      <c r="Z396" s="84"/>
      <c r="AA396" s="1"/>
      <c r="AB396" s="330"/>
      <c r="AC396" s="321"/>
      <c r="AD396" s="321"/>
    </row>
    <row r="397" spans="1:30" ht="15.75" customHeight="1">
      <c r="A397" s="83"/>
      <c r="B397" s="83"/>
      <c r="C397" s="83"/>
      <c r="D397" s="84"/>
      <c r="E397" s="84"/>
      <c r="F397" s="84"/>
      <c r="G397" s="83"/>
      <c r="H397" s="84"/>
      <c r="I397" s="84"/>
      <c r="J397" s="84"/>
      <c r="K397" s="84"/>
      <c r="L397" s="84"/>
      <c r="M397" s="84"/>
      <c r="N397" s="84"/>
      <c r="O397" s="84"/>
      <c r="P397" s="85"/>
      <c r="Q397" s="75"/>
      <c r="R397" s="75"/>
      <c r="S397" s="75"/>
      <c r="T397" s="75"/>
      <c r="U397" s="89"/>
      <c r="V397" s="84"/>
      <c r="W397" s="84"/>
      <c r="X397" s="84"/>
      <c r="Y397" s="84"/>
      <c r="Z397" s="84"/>
      <c r="AA397" s="1"/>
      <c r="AB397" s="330"/>
      <c r="AC397" s="321"/>
      <c r="AD397" s="321"/>
    </row>
    <row r="398" spans="1:30" ht="15.75" customHeight="1">
      <c r="A398" s="83"/>
      <c r="B398" s="83"/>
      <c r="C398" s="83"/>
      <c r="D398" s="84"/>
      <c r="E398" s="84"/>
      <c r="F398" s="84"/>
      <c r="G398" s="83"/>
      <c r="H398" s="84"/>
      <c r="I398" s="84"/>
      <c r="J398" s="84"/>
      <c r="K398" s="84"/>
      <c r="L398" s="84"/>
      <c r="M398" s="84"/>
      <c r="N398" s="84"/>
      <c r="O398" s="84"/>
      <c r="P398" s="85"/>
      <c r="Q398" s="75"/>
      <c r="R398" s="75"/>
      <c r="S398" s="75"/>
      <c r="T398" s="75"/>
      <c r="U398" s="89"/>
      <c r="V398" s="84"/>
      <c r="W398" s="84"/>
      <c r="X398" s="84"/>
      <c r="Y398" s="84"/>
      <c r="Z398" s="84"/>
      <c r="AA398" s="1"/>
      <c r="AB398" s="330"/>
      <c r="AC398" s="321"/>
      <c r="AD398" s="321"/>
    </row>
    <row r="399" spans="1:30" ht="15.75" customHeight="1">
      <c r="A399" s="83"/>
      <c r="B399" s="83"/>
      <c r="C399" s="83"/>
      <c r="D399" s="84"/>
      <c r="E399" s="84"/>
      <c r="F399" s="84"/>
      <c r="G399" s="83"/>
      <c r="H399" s="84"/>
      <c r="I399" s="84"/>
      <c r="J399" s="84"/>
      <c r="K399" s="84"/>
      <c r="L399" s="84"/>
      <c r="M399" s="84"/>
      <c r="N399" s="84"/>
      <c r="O399" s="84"/>
      <c r="P399" s="85"/>
      <c r="Q399" s="75"/>
      <c r="R399" s="75"/>
      <c r="S399" s="75"/>
      <c r="T399" s="75"/>
      <c r="U399" s="89"/>
      <c r="V399" s="84"/>
      <c r="W399" s="84"/>
      <c r="X399" s="84"/>
      <c r="Y399" s="84"/>
      <c r="Z399" s="84"/>
      <c r="AA399" s="1"/>
      <c r="AB399" s="330"/>
      <c r="AC399" s="321"/>
      <c r="AD399" s="321"/>
    </row>
    <row r="400" spans="1:30" ht="15.75" customHeight="1">
      <c r="A400" s="83"/>
      <c r="B400" s="83"/>
      <c r="C400" s="83"/>
      <c r="D400" s="84"/>
      <c r="E400" s="84"/>
      <c r="F400" s="84"/>
      <c r="G400" s="83"/>
      <c r="H400" s="84"/>
      <c r="I400" s="84"/>
      <c r="J400" s="84"/>
      <c r="K400" s="84"/>
      <c r="L400" s="84"/>
      <c r="M400" s="84"/>
      <c r="N400" s="84"/>
      <c r="O400" s="84"/>
      <c r="P400" s="85"/>
      <c r="Q400" s="75"/>
      <c r="R400" s="75"/>
      <c r="S400" s="75"/>
      <c r="T400" s="75"/>
      <c r="U400" s="89"/>
      <c r="V400" s="84"/>
      <c r="W400" s="84"/>
      <c r="X400" s="84"/>
      <c r="Y400" s="84"/>
      <c r="Z400" s="84"/>
      <c r="AA400" s="1"/>
      <c r="AB400" s="330"/>
      <c r="AC400" s="321"/>
      <c r="AD400" s="321"/>
    </row>
    <row r="401" spans="1:30" ht="15.75" customHeight="1">
      <c r="A401" s="83"/>
      <c r="B401" s="83"/>
      <c r="C401" s="83"/>
      <c r="D401" s="84"/>
      <c r="E401" s="84"/>
      <c r="F401" s="84"/>
      <c r="G401" s="83"/>
      <c r="H401" s="84"/>
      <c r="I401" s="84"/>
      <c r="J401" s="84"/>
      <c r="K401" s="84"/>
      <c r="L401" s="84"/>
      <c r="M401" s="84"/>
      <c r="N401" s="84"/>
      <c r="O401" s="84"/>
      <c r="P401" s="85"/>
      <c r="Q401" s="75"/>
      <c r="R401" s="75"/>
      <c r="S401" s="75"/>
      <c r="T401" s="75"/>
      <c r="U401" s="89"/>
      <c r="V401" s="84"/>
      <c r="W401" s="84"/>
      <c r="X401" s="84"/>
      <c r="Y401" s="84"/>
      <c r="Z401" s="84"/>
      <c r="AA401" s="1"/>
      <c r="AB401" s="330"/>
      <c r="AC401" s="321"/>
      <c r="AD401" s="321"/>
    </row>
    <row r="402" spans="1:30" ht="15.75" customHeight="1">
      <c r="A402" s="83"/>
      <c r="B402" s="83"/>
      <c r="C402" s="83"/>
      <c r="D402" s="84"/>
      <c r="E402" s="84"/>
      <c r="F402" s="84"/>
      <c r="G402" s="83"/>
      <c r="H402" s="84"/>
      <c r="I402" s="84"/>
      <c r="J402" s="84"/>
      <c r="K402" s="84"/>
      <c r="L402" s="84"/>
      <c r="M402" s="84"/>
      <c r="N402" s="84"/>
      <c r="O402" s="84"/>
      <c r="P402" s="85"/>
      <c r="Q402" s="75"/>
      <c r="R402" s="75"/>
      <c r="S402" s="75"/>
      <c r="T402" s="75"/>
      <c r="U402" s="89"/>
      <c r="V402" s="84"/>
      <c r="W402" s="84"/>
      <c r="X402" s="84"/>
      <c r="Y402" s="84"/>
      <c r="Z402" s="84"/>
      <c r="AA402" s="1"/>
      <c r="AB402" s="330"/>
      <c r="AC402" s="321"/>
      <c r="AD402" s="321"/>
    </row>
    <row r="403" spans="1:30" ht="15.75" customHeight="1">
      <c r="A403" s="83"/>
      <c r="B403" s="83"/>
      <c r="C403" s="83"/>
      <c r="D403" s="84"/>
      <c r="E403" s="84"/>
      <c r="F403" s="84"/>
      <c r="G403" s="83"/>
      <c r="H403" s="84"/>
      <c r="I403" s="84"/>
      <c r="J403" s="84"/>
      <c r="K403" s="84"/>
      <c r="L403" s="84"/>
      <c r="M403" s="84"/>
      <c r="N403" s="84"/>
      <c r="O403" s="84"/>
      <c r="P403" s="85"/>
      <c r="Q403" s="75"/>
      <c r="R403" s="75"/>
      <c r="S403" s="75"/>
      <c r="T403" s="75"/>
      <c r="U403" s="89"/>
      <c r="V403" s="84"/>
      <c r="W403" s="84"/>
      <c r="X403" s="84"/>
      <c r="Y403" s="84"/>
      <c r="Z403" s="84"/>
      <c r="AA403" s="1"/>
      <c r="AB403" s="330"/>
      <c r="AC403" s="321"/>
      <c r="AD403" s="321"/>
    </row>
    <row r="404" spans="1:30" ht="15.75" customHeight="1">
      <c r="A404" s="83"/>
      <c r="B404" s="83"/>
      <c r="C404" s="83"/>
      <c r="D404" s="84"/>
      <c r="E404" s="84"/>
      <c r="F404" s="84"/>
      <c r="G404" s="83"/>
      <c r="H404" s="84"/>
      <c r="I404" s="84"/>
      <c r="J404" s="84"/>
      <c r="K404" s="84"/>
      <c r="L404" s="84"/>
      <c r="M404" s="84"/>
      <c r="N404" s="84"/>
      <c r="O404" s="84"/>
      <c r="P404" s="85"/>
      <c r="Q404" s="75"/>
      <c r="R404" s="75"/>
      <c r="S404" s="75"/>
      <c r="T404" s="75"/>
      <c r="U404" s="89"/>
      <c r="V404" s="84"/>
      <c r="W404" s="84"/>
      <c r="X404" s="84"/>
      <c r="Y404" s="84"/>
      <c r="Z404" s="84"/>
      <c r="AA404" s="1"/>
      <c r="AB404" s="330"/>
      <c r="AC404" s="321"/>
      <c r="AD404" s="321"/>
    </row>
    <row r="405" spans="1:30" ht="15.75" customHeight="1">
      <c r="A405" s="83"/>
      <c r="B405" s="83"/>
      <c r="C405" s="83"/>
      <c r="D405" s="84"/>
      <c r="E405" s="84"/>
      <c r="F405" s="84"/>
      <c r="G405" s="83"/>
      <c r="H405" s="84"/>
      <c r="I405" s="84"/>
      <c r="J405" s="84"/>
      <c r="K405" s="84"/>
      <c r="L405" s="84"/>
      <c r="M405" s="84"/>
      <c r="N405" s="84"/>
      <c r="O405" s="84"/>
      <c r="P405" s="85"/>
      <c r="Q405" s="75"/>
      <c r="R405" s="75"/>
      <c r="S405" s="75"/>
      <c r="T405" s="75"/>
      <c r="U405" s="89"/>
      <c r="V405" s="84"/>
      <c r="W405" s="84"/>
      <c r="X405" s="84"/>
      <c r="Y405" s="84"/>
      <c r="Z405" s="84"/>
      <c r="AA405" s="1"/>
      <c r="AB405" s="330"/>
      <c r="AC405" s="321"/>
      <c r="AD405" s="321"/>
    </row>
    <row r="406" spans="1:30" ht="15.75" customHeight="1">
      <c r="A406" s="83"/>
      <c r="B406" s="83"/>
      <c r="C406" s="83"/>
      <c r="D406" s="84"/>
      <c r="E406" s="84"/>
      <c r="F406" s="84"/>
      <c r="G406" s="83"/>
      <c r="H406" s="84"/>
      <c r="I406" s="84"/>
      <c r="J406" s="84"/>
      <c r="K406" s="84"/>
      <c r="L406" s="84"/>
      <c r="M406" s="84"/>
      <c r="N406" s="84"/>
      <c r="O406" s="84"/>
      <c r="P406" s="85"/>
      <c r="Q406" s="75"/>
      <c r="R406" s="75"/>
      <c r="S406" s="75"/>
      <c r="T406" s="75"/>
      <c r="U406" s="89"/>
      <c r="V406" s="84"/>
      <c r="W406" s="84"/>
      <c r="X406" s="84"/>
      <c r="Y406" s="84"/>
      <c r="Z406" s="84"/>
      <c r="AA406" s="1"/>
      <c r="AB406" s="330"/>
      <c r="AC406" s="321"/>
      <c r="AD406" s="321"/>
    </row>
    <row r="407" spans="1:30" ht="15.75" customHeight="1">
      <c r="A407" s="83"/>
      <c r="B407" s="83"/>
      <c r="C407" s="83"/>
      <c r="D407" s="84"/>
      <c r="E407" s="84"/>
      <c r="F407" s="84"/>
      <c r="G407" s="83"/>
      <c r="H407" s="84"/>
      <c r="I407" s="84"/>
      <c r="J407" s="84"/>
      <c r="K407" s="84"/>
      <c r="L407" s="84"/>
      <c r="M407" s="84"/>
      <c r="N407" s="84"/>
      <c r="O407" s="84"/>
      <c r="P407" s="85"/>
      <c r="Q407" s="75"/>
      <c r="R407" s="75"/>
      <c r="S407" s="75"/>
      <c r="T407" s="75"/>
      <c r="U407" s="89"/>
      <c r="V407" s="84"/>
      <c r="W407" s="84"/>
      <c r="X407" s="84"/>
      <c r="Y407" s="84"/>
      <c r="Z407" s="84"/>
      <c r="AA407" s="1"/>
      <c r="AB407" s="330"/>
      <c r="AC407" s="321"/>
      <c r="AD407" s="321"/>
    </row>
    <row r="408" spans="1:30" ht="15.75" customHeight="1">
      <c r="A408" s="83"/>
      <c r="B408" s="83"/>
      <c r="C408" s="83"/>
      <c r="D408" s="84"/>
      <c r="E408" s="84"/>
      <c r="F408" s="84"/>
      <c r="G408" s="83"/>
      <c r="H408" s="84"/>
      <c r="I408" s="84"/>
      <c r="J408" s="84"/>
      <c r="K408" s="84"/>
      <c r="L408" s="84"/>
      <c r="M408" s="84"/>
      <c r="N408" s="84"/>
      <c r="O408" s="84"/>
      <c r="P408" s="85"/>
      <c r="Q408" s="75"/>
      <c r="R408" s="75"/>
      <c r="S408" s="75"/>
      <c r="T408" s="75"/>
      <c r="U408" s="89"/>
      <c r="V408" s="84"/>
      <c r="W408" s="84"/>
      <c r="X408" s="84"/>
      <c r="Y408" s="84"/>
      <c r="Z408" s="84"/>
      <c r="AA408" s="1"/>
      <c r="AB408" s="330"/>
      <c r="AC408" s="321"/>
      <c r="AD408" s="321"/>
    </row>
    <row r="409" spans="1:30" ht="15.75" customHeight="1">
      <c r="A409" s="83"/>
      <c r="B409" s="83"/>
      <c r="C409" s="83"/>
      <c r="D409" s="84"/>
      <c r="E409" s="84"/>
      <c r="F409" s="84"/>
      <c r="G409" s="83"/>
      <c r="H409" s="84"/>
      <c r="I409" s="84"/>
      <c r="J409" s="84"/>
      <c r="K409" s="84"/>
      <c r="L409" s="84"/>
      <c r="M409" s="84"/>
      <c r="N409" s="84"/>
      <c r="O409" s="84"/>
      <c r="P409" s="85"/>
      <c r="Q409" s="75"/>
      <c r="R409" s="75"/>
      <c r="S409" s="75"/>
      <c r="T409" s="75"/>
      <c r="U409" s="89"/>
      <c r="V409" s="84"/>
      <c r="W409" s="84"/>
      <c r="X409" s="84"/>
      <c r="Y409" s="84"/>
      <c r="Z409" s="84"/>
      <c r="AA409" s="1"/>
      <c r="AB409" s="330"/>
      <c r="AC409" s="321"/>
      <c r="AD409" s="321"/>
    </row>
    <row r="410" spans="1:30" ht="15.75" customHeight="1">
      <c r="A410" s="83"/>
      <c r="B410" s="83"/>
      <c r="C410" s="83"/>
      <c r="D410" s="84"/>
      <c r="E410" s="84"/>
      <c r="F410" s="84"/>
      <c r="G410" s="83"/>
      <c r="H410" s="84"/>
      <c r="I410" s="84"/>
      <c r="J410" s="84"/>
      <c r="K410" s="84"/>
      <c r="L410" s="84"/>
      <c r="M410" s="84"/>
      <c r="N410" s="84"/>
      <c r="O410" s="84"/>
      <c r="P410" s="85"/>
      <c r="Q410" s="75"/>
      <c r="R410" s="75"/>
      <c r="S410" s="75"/>
      <c r="T410" s="75"/>
      <c r="U410" s="89"/>
      <c r="V410" s="84"/>
      <c r="W410" s="84"/>
      <c r="X410" s="84"/>
      <c r="Y410" s="84"/>
      <c r="Z410" s="84"/>
      <c r="AA410" s="1"/>
      <c r="AB410" s="330"/>
      <c r="AC410" s="321"/>
      <c r="AD410" s="321"/>
    </row>
    <row r="411" spans="1:30" ht="15.75" customHeight="1">
      <c r="A411" s="83"/>
      <c r="B411" s="83"/>
      <c r="C411" s="83"/>
      <c r="D411" s="84"/>
      <c r="E411" s="84"/>
      <c r="F411" s="84"/>
      <c r="G411" s="83"/>
      <c r="H411" s="84"/>
      <c r="I411" s="84"/>
      <c r="J411" s="84"/>
      <c r="K411" s="84"/>
      <c r="L411" s="84"/>
      <c r="M411" s="84"/>
      <c r="N411" s="84"/>
      <c r="O411" s="84"/>
      <c r="P411" s="85"/>
      <c r="Q411" s="75"/>
      <c r="R411" s="75"/>
      <c r="S411" s="75"/>
      <c r="T411" s="75"/>
      <c r="U411" s="89"/>
      <c r="V411" s="84"/>
      <c r="W411" s="84"/>
      <c r="X411" s="84"/>
      <c r="Y411" s="84"/>
      <c r="Z411" s="84"/>
      <c r="AA411" s="1"/>
      <c r="AB411" s="330"/>
      <c r="AC411" s="321"/>
      <c r="AD411" s="321"/>
    </row>
    <row r="412" spans="1:30" ht="15.75" customHeight="1">
      <c r="A412" s="83"/>
      <c r="B412" s="83"/>
      <c r="C412" s="83"/>
      <c r="D412" s="84"/>
      <c r="E412" s="84"/>
      <c r="F412" s="84"/>
      <c r="G412" s="83"/>
      <c r="H412" s="84"/>
      <c r="I412" s="84"/>
      <c r="J412" s="84"/>
      <c r="K412" s="84"/>
      <c r="L412" s="84"/>
      <c r="M412" s="84"/>
      <c r="N412" s="84"/>
      <c r="O412" s="84"/>
      <c r="P412" s="85"/>
      <c r="Q412" s="75"/>
      <c r="R412" s="75"/>
      <c r="S412" s="75"/>
      <c r="T412" s="75"/>
      <c r="U412" s="89"/>
      <c r="V412" s="84"/>
      <c r="W412" s="84"/>
      <c r="X412" s="84"/>
      <c r="Y412" s="84"/>
      <c r="Z412" s="84"/>
      <c r="AA412" s="1"/>
      <c r="AB412" s="330"/>
      <c r="AC412" s="321"/>
      <c r="AD412" s="321"/>
    </row>
    <row r="413" spans="1:30" ht="15.75" customHeight="1">
      <c r="A413" s="83"/>
      <c r="B413" s="83"/>
      <c r="C413" s="83"/>
      <c r="D413" s="84"/>
      <c r="E413" s="84"/>
      <c r="F413" s="84"/>
      <c r="G413" s="83"/>
      <c r="H413" s="84"/>
      <c r="I413" s="84"/>
      <c r="J413" s="84"/>
      <c r="K413" s="84"/>
      <c r="L413" s="84"/>
      <c r="M413" s="84"/>
      <c r="N413" s="84"/>
      <c r="O413" s="84"/>
      <c r="P413" s="85"/>
      <c r="Q413" s="75"/>
      <c r="R413" s="75"/>
      <c r="S413" s="75"/>
      <c r="T413" s="75"/>
      <c r="U413" s="89"/>
      <c r="V413" s="84"/>
      <c r="W413" s="84"/>
      <c r="X413" s="84"/>
      <c r="Y413" s="84"/>
      <c r="Z413" s="84"/>
      <c r="AA413" s="1"/>
      <c r="AB413" s="330"/>
      <c r="AC413" s="321"/>
      <c r="AD413" s="321"/>
    </row>
    <row r="414" spans="1:30" ht="15.75" customHeight="1">
      <c r="A414" s="83"/>
      <c r="B414" s="83"/>
      <c r="C414" s="83"/>
      <c r="D414" s="84"/>
      <c r="E414" s="84"/>
      <c r="F414" s="84"/>
      <c r="G414" s="83"/>
      <c r="H414" s="84"/>
      <c r="I414" s="84"/>
      <c r="J414" s="84"/>
      <c r="K414" s="84"/>
      <c r="L414" s="84"/>
      <c r="M414" s="84"/>
      <c r="N414" s="84"/>
      <c r="O414" s="84"/>
      <c r="P414" s="85"/>
      <c r="Q414" s="75"/>
      <c r="R414" s="75"/>
      <c r="S414" s="75"/>
      <c r="T414" s="75"/>
      <c r="U414" s="89"/>
      <c r="V414" s="84"/>
      <c r="W414" s="84"/>
      <c r="X414" s="84"/>
      <c r="Y414" s="84"/>
      <c r="Z414" s="84"/>
      <c r="AA414" s="1"/>
      <c r="AB414" s="330"/>
      <c r="AC414" s="321"/>
      <c r="AD414" s="321"/>
    </row>
    <row r="415" spans="1:30" ht="15.75" customHeight="1">
      <c r="A415" s="83"/>
      <c r="B415" s="83"/>
      <c r="C415" s="83"/>
      <c r="D415" s="84"/>
      <c r="E415" s="84"/>
      <c r="F415" s="84"/>
      <c r="G415" s="83"/>
      <c r="H415" s="84"/>
      <c r="I415" s="84"/>
      <c r="J415" s="84"/>
      <c r="K415" s="84"/>
      <c r="L415" s="84"/>
      <c r="M415" s="84"/>
      <c r="N415" s="84"/>
      <c r="O415" s="84"/>
      <c r="P415" s="85"/>
      <c r="Q415" s="75"/>
      <c r="R415" s="75"/>
      <c r="S415" s="75"/>
      <c r="T415" s="75"/>
      <c r="U415" s="89"/>
      <c r="V415" s="84"/>
      <c r="W415" s="84"/>
      <c r="X415" s="84"/>
      <c r="Y415" s="84"/>
      <c r="Z415" s="84"/>
      <c r="AA415" s="1"/>
      <c r="AB415" s="330"/>
      <c r="AC415" s="321"/>
      <c r="AD415" s="321"/>
    </row>
    <row r="416" spans="1:30" ht="15.75" customHeight="1">
      <c r="A416" s="83"/>
      <c r="B416" s="83"/>
      <c r="C416" s="83"/>
      <c r="D416" s="84"/>
      <c r="E416" s="84"/>
      <c r="F416" s="84"/>
      <c r="G416" s="83"/>
      <c r="H416" s="84"/>
      <c r="I416" s="84"/>
      <c r="J416" s="84"/>
      <c r="K416" s="84"/>
      <c r="L416" s="84"/>
      <c r="M416" s="84"/>
      <c r="N416" s="84"/>
      <c r="O416" s="84"/>
      <c r="P416" s="85"/>
      <c r="Q416" s="75"/>
      <c r="R416" s="75"/>
      <c r="S416" s="75"/>
      <c r="T416" s="75"/>
      <c r="U416" s="89"/>
      <c r="V416" s="84"/>
      <c r="W416" s="84"/>
      <c r="X416" s="84"/>
      <c r="Y416" s="84"/>
      <c r="Z416" s="84"/>
      <c r="AA416" s="1"/>
      <c r="AB416" s="330"/>
      <c r="AC416" s="321"/>
      <c r="AD416" s="321"/>
    </row>
    <row r="417" spans="1:30" ht="15.75" customHeight="1">
      <c r="A417" s="83"/>
      <c r="B417" s="83"/>
      <c r="C417" s="83"/>
      <c r="D417" s="84"/>
      <c r="E417" s="84"/>
      <c r="F417" s="84"/>
      <c r="G417" s="83"/>
      <c r="H417" s="84"/>
      <c r="I417" s="84"/>
      <c r="J417" s="84"/>
      <c r="K417" s="84"/>
      <c r="L417" s="84"/>
      <c r="M417" s="84"/>
      <c r="N417" s="84"/>
      <c r="O417" s="84"/>
      <c r="P417" s="85"/>
      <c r="Q417" s="75"/>
      <c r="R417" s="75"/>
      <c r="S417" s="75"/>
      <c r="T417" s="75"/>
      <c r="U417" s="89"/>
      <c r="V417" s="84"/>
      <c r="W417" s="84"/>
      <c r="X417" s="84"/>
      <c r="Y417" s="84"/>
      <c r="Z417" s="84"/>
      <c r="AA417" s="1"/>
      <c r="AB417" s="330"/>
      <c r="AC417" s="321"/>
      <c r="AD417" s="321"/>
    </row>
    <row r="418" spans="1:30" ht="15.75" customHeight="1">
      <c r="A418" s="83"/>
      <c r="B418" s="83"/>
      <c r="C418" s="83"/>
      <c r="D418" s="84"/>
      <c r="E418" s="84"/>
      <c r="F418" s="84"/>
      <c r="G418" s="83"/>
      <c r="H418" s="84"/>
      <c r="I418" s="84"/>
      <c r="J418" s="84"/>
      <c r="K418" s="84"/>
      <c r="L418" s="84"/>
      <c r="M418" s="84"/>
      <c r="N418" s="84"/>
      <c r="O418" s="84"/>
      <c r="P418" s="85"/>
      <c r="Q418" s="75"/>
      <c r="R418" s="75"/>
      <c r="S418" s="75"/>
      <c r="T418" s="75"/>
      <c r="U418" s="89"/>
      <c r="V418" s="84"/>
      <c r="W418" s="84"/>
      <c r="X418" s="84"/>
      <c r="Y418" s="84"/>
      <c r="Z418" s="84"/>
      <c r="AA418" s="1"/>
      <c r="AB418" s="330"/>
      <c r="AC418" s="321"/>
      <c r="AD418" s="321"/>
    </row>
    <row r="419" spans="1:30" ht="15.75" customHeight="1">
      <c r="A419" s="83"/>
      <c r="B419" s="83"/>
      <c r="C419" s="83"/>
      <c r="D419" s="84"/>
      <c r="E419" s="84"/>
      <c r="F419" s="84"/>
      <c r="G419" s="83"/>
      <c r="H419" s="84"/>
      <c r="I419" s="84"/>
      <c r="J419" s="84"/>
      <c r="K419" s="84"/>
      <c r="L419" s="84"/>
      <c r="M419" s="84"/>
      <c r="N419" s="84"/>
      <c r="O419" s="84"/>
      <c r="P419" s="85"/>
      <c r="Q419" s="75"/>
      <c r="R419" s="75"/>
      <c r="S419" s="75"/>
      <c r="T419" s="75"/>
      <c r="U419" s="89"/>
      <c r="V419" s="84"/>
      <c r="W419" s="84"/>
      <c r="X419" s="84"/>
      <c r="Y419" s="84"/>
      <c r="Z419" s="84"/>
      <c r="AA419" s="1"/>
      <c r="AB419" s="330"/>
      <c r="AC419" s="321"/>
      <c r="AD419" s="321"/>
    </row>
    <row r="420" spans="1:30" ht="15.75" customHeight="1">
      <c r="A420" s="83"/>
      <c r="B420" s="83"/>
      <c r="C420" s="83"/>
      <c r="D420" s="84"/>
      <c r="E420" s="84"/>
      <c r="F420" s="84"/>
      <c r="G420" s="83"/>
      <c r="H420" s="84"/>
      <c r="I420" s="84"/>
      <c r="J420" s="84"/>
      <c r="K420" s="84"/>
      <c r="L420" s="84"/>
      <c r="M420" s="84"/>
      <c r="N420" s="84"/>
      <c r="O420" s="84"/>
      <c r="P420" s="85"/>
      <c r="Q420" s="75"/>
      <c r="R420" s="75"/>
      <c r="S420" s="75"/>
      <c r="T420" s="75"/>
      <c r="U420" s="89"/>
      <c r="V420" s="84"/>
      <c r="W420" s="84"/>
      <c r="X420" s="84"/>
      <c r="Y420" s="84"/>
      <c r="Z420" s="84"/>
      <c r="AA420" s="1"/>
      <c r="AB420" s="330"/>
      <c r="AC420" s="321"/>
      <c r="AD420" s="321"/>
    </row>
    <row r="421" spans="1:30" ht="15.75" customHeight="1">
      <c r="A421" s="83"/>
      <c r="B421" s="83"/>
      <c r="C421" s="83"/>
      <c r="D421" s="84"/>
      <c r="E421" s="84"/>
      <c r="F421" s="84"/>
      <c r="G421" s="83"/>
      <c r="H421" s="84"/>
      <c r="I421" s="84"/>
      <c r="J421" s="84"/>
      <c r="K421" s="84"/>
      <c r="L421" s="84"/>
      <c r="M421" s="84"/>
      <c r="N421" s="84"/>
      <c r="O421" s="84"/>
      <c r="P421" s="85"/>
      <c r="Q421" s="75"/>
      <c r="R421" s="75"/>
      <c r="S421" s="75"/>
      <c r="T421" s="75"/>
      <c r="U421" s="89"/>
      <c r="V421" s="84"/>
      <c r="W421" s="84"/>
      <c r="X421" s="84"/>
      <c r="Y421" s="84"/>
      <c r="Z421" s="84"/>
      <c r="AA421" s="1"/>
      <c r="AB421" s="330"/>
      <c r="AC421" s="321"/>
      <c r="AD421" s="321"/>
    </row>
    <row r="422" spans="1:30" ht="15.75" customHeight="1">
      <c r="A422" s="83"/>
      <c r="B422" s="83"/>
      <c r="C422" s="83"/>
      <c r="D422" s="84"/>
      <c r="E422" s="84"/>
      <c r="F422" s="84"/>
      <c r="G422" s="83"/>
      <c r="H422" s="84"/>
      <c r="I422" s="84"/>
      <c r="J422" s="84"/>
      <c r="K422" s="84"/>
      <c r="L422" s="84"/>
      <c r="M422" s="84"/>
      <c r="N422" s="84"/>
      <c r="O422" s="84"/>
      <c r="P422" s="85"/>
      <c r="Q422" s="75"/>
      <c r="R422" s="75"/>
      <c r="S422" s="75"/>
      <c r="T422" s="75"/>
      <c r="U422" s="89"/>
      <c r="V422" s="84"/>
      <c r="W422" s="84"/>
      <c r="X422" s="84"/>
      <c r="Y422" s="84"/>
      <c r="Z422" s="84"/>
      <c r="AA422" s="1"/>
      <c r="AB422" s="330"/>
      <c r="AC422" s="321"/>
      <c r="AD422" s="321"/>
    </row>
    <row r="423" spans="1:30" ht="15.75" customHeight="1">
      <c r="A423" s="83"/>
      <c r="B423" s="83"/>
      <c r="C423" s="83"/>
      <c r="D423" s="84"/>
      <c r="E423" s="84"/>
      <c r="F423" s="84"/>
      <c r="G423" s="83"/>
      <c r="H423" s="84"/>
      <c r="I423" s="84"/>
      <c r="J423" s="84"/>
      <c r="K423" s="84"/>
      <c r="L423" s="84"/>
      <c r="M423" s="84"/>
      <c r="N423" s="84"/>
      <c r="O423" s="84"/>
      <c r="P423" s="85"/>
      <c r="Q423" s="75"/>
      <c r="R423" s="75"/>
      <c r="S423" s="75"/>
      <c r="T423" s="75"/>
      <c r="U423" s="89"/>
      <c r="V423" s="84"/>
      <c r="W423" s="84"/>
      <c r="X423" s="84"/>
      <c r="Y423" s="84"/>
      <c r="Z423" s="84"/>
      <c r="AA423" s="1"/>
      <c r="AB423" s="330"/>
      <c r="AC423" s="321"/>
      <c r="AD423" s="321"/>
    </row>
    <row r="424" spans="1:30" ht="15.75" customHeight="1">
      <c r="A424" s="83"/>
      <c r="B424" s="83"/>
      <c r="C424" s="83"/>
      <c r="D424" s="84"/>
      <c r="E424" s="84"/>
      <c r="F424" s="84"/>
      <c r="G424" s="83"/>
      <c r="H424" s="84"/>
      <c r="I424" s="84"/>
      <c r="J424" s="84"/>
      <c r="K424" s="84"/>
      <c r="L424" s="84"/>
      <c r="M424" s="84"/>
      <c r="N424" s="84"/>
      <c r="O424" s="84"/>
      <c r="P424" s="85"/>
      <c r="Q424" s="75"/>
      <c r="R424" s="75"/>
      <c r="S424" s="75"/>
      <c r="T424" s="75"/>
      <c r="U424" s="89"/>
      <c r="V424" s="84"/>
      <c r="W424" s="84"/>
      <c r="X424" s="84"/>
      <c r="Y424" s="84"/>
      <c r="Z424" s="84"/>
      <c r="AA424" s="1"/>
      <c r="AB424" s="330"/>
      <c r="AC424" s="321"/>
      <c r="AD424" s="321"/>
    </row>
    <row r="425" spans="1:30" ht="15.75" customHeight="1">
      <c r="A425" s="83"/>
      <c r="B425" s="83"/>
      <c r="C425" s="83"/>
      <c r="D425" s="84"/>
      <c r="E425" s="84"/>
      <c r="F425" s="84"/>
      <c r="G425" s="83"/>
      <c r="H425" s="84"/>
      <c r="I425" s="84"/>
      <c r="J425" s="84"/>
      <c r="K425" s="84"/>
      <c r="L425" s="84"/>
      <c r="M425" s="84"/>
      <c r="N425" s="84"/>
      <c r="O425" s="84"/>
      <c r="P425" s="85"/>
      <c r="Q425" s="75"/>
      <c r="R425" s="75"/>
      <c r="S425" s="75"/>
      <c r="T425" s="75"/>
      <c r="U425" s="89"/>
      <c r="V425" s="84"/>
      <c r="W425" s="84"/>
      <c r="X425" s="84"/>
      <c r="Y425" s="84"/>
      <c r="Z425" s="84"/>
      <c r="AA425" s="1"/>
      <c r="AB425" s="330"/>
      <c r="AC425" s="321"/>
      <c r="AD425" s="321"/>
    </row>
    <row r="426" spans="1:30" ht="15.75" customHeight="1">
      <c r="A426" s="83"/>
      <c r="B426" s="83"/>
      <c r="C426" s="83"/>
      <c r="D426" s="84"/>
      <c r="E426" s="84"/>
      <c r="F426" s="84"/>
      <c r="G426" s="83"/>
      <c r="H426" s="84"/>
      <c r="I426" s="84"/>
      <c r="J426" s="84"/>
      <c r="K426" s="84"/>
      <c r="L426" s="84"/>
      <c r="M426" s="84"/>
      <c r="N426" s="84"/>
      <c r="O426" s="84"/>
      <c r="P426" s="85"/>
      <c r="Q426" s="75"/>
      <c r="R426" s="75"/>
      <c r="S426" s="75"/>
      <c r="T426" s="75"/>
      <c r="U426" s="89"/>
      <c r="V426" s="84"/>
      <c r="W426" s="84"/>
      <c r="X426" s="84"/>
      <c r="Y426" s="84"/>
      <c r="Z426" s="84"/>
      <c r="AA426" s="1"/>
      <c r="AB426" s="330"/>
      <c r="AC426" s="321"/>
      <c r="AD426" s="321"/>
    </row>
    <row r="427" spans="1:30" ht="15.75" customHeight="1">
      <c r="A427" s="83"/>
      <c r="B427" s="83"/>
      <c r="C427" s="83"/>
      <c r="D427" s="84"/>
      <c r="E427" s="84"/>
      <c r="F427" s="84"/>
      <c r="G427" s="83"/>
      <c r="H427" s="84"/>
      <c r="I427" s="84"/>
      <c r="J427" s="84"/>
      <c r="K427" s="84"/>
      <c r="L427" s="84"/>
      <c r="M427" s="84"/>
      <c r="N427" s="84"/>
      <c r="O427" s="84"/>
      <c r="P427" s="85"/>
      <c r="Q427" s="75"/>
      <c r="R427" s="75"/>
      <c r="S427" s="75"/>
      <c r="T427" s="75"/>
      <c r="U427" s="89"/>
      <c r="V427" s="84"/>
      <c r="W427" s="84"/>
      <c r="X427" s="84"/>
      <c r="Y427" s="84"/>
      <c r="Z427" s="84"/>
      <c r="AA427" s="1"/>
      <c r="AB427" s="330"/>
      <c r="AC427" s="321"/>
      <c r="AD427" s="321"/>
    </row>
    <row r="428" spans="1:30" ht="15.75" customHeight="1">
      <c r="A428" s="83"/>
      <c r="B428" s="83"/>
      <c r="C428" s="83"/>
      <c r="D428" s="84"/>
      <c r="E428" s="84"/>
      <c r="F428" s="84"/>
      <c r="G428" s="83"/>
      <c r="H428" s="84"/>
      <c r="I428" s="84"/>
      <c r="J428" s="84"/>
      <c r="K428" s="84"/>
      <c r="L428" s="84"/>
      <c r="M428" s="84"/>
      <c r="N428" s="84"/>
      <c r="O428" s="84"/>
      <c r="P428" s="85"/>
      <c r="Q428" s="75"/>
      <c r="R428" s="75"/>
      <c r="S428" s="75"/>
      <c r="T428" s="75"/>
      <c r="U428" s="89"/>
      <c r="V428" s="84"/>
      <c r="W428" s="84"/>
      <c r="X428" s="84"/>
      <c r="Y428" s="84"/>
      <c r="Z428" s="84"/>
      <c r="AA428" s="1"/>
      <c r="AB428" s="330"/>
      <c r="AC428" s="321"/>
      <c r="AD428" s="321"/>
    </row>
    <row r="429" spans="1:30" ht="15.75" customHeight="1">
      <c r="A429" s="83"/>
      <c r="B429" s="83"/>
      <c r="C429" s="83"/>
      <c r="D429" s="84"/>
      <c r="E429" s="84"/>
      <c r="F429" s="84"/>
      <c r="G429" s="83"/>
      <c r="H429" s="84"/>
      <c r="I429" s="84"/>
      <c r="J429" s="84"/>
      <c r="K429" s="84"/>
      <c r="L429" s="84"/>
      <c r="M429" s="84"/>
      <c r="N429" s="84"/>
      <c r="O429" s="84"/>
      <c r="P429" s="85"/>
      <c r="Q429" s="75"/>
      <c r="R429" s="75"/>
      <c r="S429" s="75"/>
      <c r="T429" s="75"/>
      <c r="U429" s="89"/>
      <c r="V429" s="84"/>
      <c r="W429" s="84"/>
      <c r="X429" s="84"/>
      <c r="Y429" s="84"/>
      <c r="Z429" s="84"/>
      <c r="AA429" s="1"/>
      <c r="AB429" s="330"/>
      <c r="AC429" s="321"/>
      <c r="AD429" s="321"/>
    </row>
    <row r="430" spans="1:30" ht="15.75" customHeight="1">
      <c r="A430" s="83"/>
      <c r="B430" s="83"/>
      <c r="C430" s="83"/>
      <c r="D430" s="84"/>
      <c r="E430" s="84"/>
      <c r="F430" s="84"/>
      <c r="G430" s="83"/>
      <c r="H430" s="84"/>
      <c r="I430" s="84"/>
      <c r="J430" s="84"/>
      <c r="K430" s="84"/>
      <c r="L430" s="84"/>
      <c r="M430" s="84"/>
      <c r="N430" s="84"/>
      <c r="O430" s="84"/>
      <c r="P430" s="85"/>
      <c r="Q430" s="75"/>
      <c r="R430" s="75"/>
      <c r="S430" s="75"/>
      <c r="T430" s="75"/>
      <c r="U430" s="89"/>
      <c r="V430" s="84"/>
      <c r="W430" s="84"/>
      <c r="X430" s="84"/>
      <c r="Y430" s="84"/>
      <c r="Z430" s="84"/>
      <c r="AA430" s="1"/>
      <c r="AB430" s="330"/>
      <c r="AC430" s="321"/>
      <c r="AD430" s="321"/>
    </row>
    <row r="431" spans="1:30" ht="15.75" customHeight="1">
      <c r="A431" s="83"/>
      <c r="B431" s="83"/>
      <c r="C431" s="83"/>
      <c r="D431" s="84"/>
      <c r="E431" s="84"/>
      <c r="F431" s="84"/>
      <c r="G431" s="83"/>
      <c r="H431" s="84"/>
      <c r="I431" s="84"/>
      <c r="J431" s="84"/>
      <c r="K431" s="84"/>
      <c r="L431" s="84"/>
      <c r="M431" s="84"/>
      <c r="N431" s="84"/>
      <c r="O431" s="84"/>
      <c r="P431" s="85"/>
      <c r="Q431" s="75"/>
      <c r="R431" s="75"/>
      <c r="S431" s="75"/>
      <c r="T431" s="75"/>
      <c r="U431" s="89"/>
      <c r="V431" s="84"/>
      <c r="W431" s="84"/>
      <c r="X431" s="84"/>
      <c r="Y431" s="84"/>
      <c r="Z431" s="84"/>
      <c r="AA431" s="1"/>
      <c r="AB431" s="330"/>
      <c r="AC431" s="321"/>
      <c r="AD431" s="321"/>
    </row>
    <row r="432" spans="1:30" ht="15.75" customHeight="1">
      <c r="A432" s="83"/>
      <c r="B432" s="83"/>
      <c r="C432" s="83"/>
      <c r="D432" s="84"/>
      <c r="E432" s="84"/>
      <c r="F432" s="84"/>
      <c r="G432" s="83"/>
      <c r="H432" s="84"/>
      <c r="I432" s="84"/>
      <c r="J432" s="84"/>
      <c r="K432" s="84"/>
      <c r="L432" s="84"/>
      <c r="M432" s="84"/>
      <c r="N432" s="84"/>
      <c r="O432" s="84"/>
      <c r="P432" s="85"/>
      <c r="Q432" s="75"/>
      <c r="R432" s="75"/>
      <c r="S432" s="75"/>
      <c r="T432" s="75"/>
      <c r="U432" s="89"/>
      <c r="V432" s="84"/>
      <c r="W432" s="84"/>
      <c r="X432" s="84"/>
      <c r="Y432" s="84"/>
      <c r="Z432" s="84"/>
      <c r="AA432" s="1"/>
      <c r="AB432" s="330"/>
      <c r="AC432" s="321"/>
      <c r="AD432" s="321"/>
    </row>
    <row r="433" spans="1:30" ht="15.75" customHeight="1">
      <c r="A433" s="83"/>
      <c r="B433" s="83"/>
      <c r="C433" s="83"/>
      <c r="D433" s="84"/>
      <c r="E433" s="84"/>
      <c r="F433" s="84"/>
      <c r="G433" s="83"/>
      <c r="H433" s="84"/>
      <c r="I433" s="84"/>
      <c r="J433" s="84"/>
      <c r="K433" s="84"/>
      <c r="L433" s="84"/>
      <c r="M433" s="84"/>
      <c r="N433" s="84"/>
      <c r="O433" s="84"/>
      <c r="P433" s="85"/>
      <c r="Q433" s="75"/>
      <c r="R433" s="75"/>
      <c r="S433" s="75"/>
      <c r="T433" s="75"/>
      <c r="U433" s="89"/>
      <c r="V433" s="84"/>
      <c r="W433" s="84"/>
      <c r="X433" s="84"/>
      <c r="Y433" s="84"/>
      <c r="Z433" s="84"/>
      <c r="AA433" s="1"/>
      <c r="AB433" s="330"/>
      <c r="AC433" s="321"/>
      <c r="AD433" s="321"/>
    </row>
    <row r="434" spans="1:30" ht="15.75" customHeight="1">
      <c r="A434" s="83"/>
      <c r="B434" s="83"/>
      <c r="C434" s="83"/>
      <c r="D434" s="84"/>
      <c r="E434" s="84"/>
      <c r="F434" s="84"/>
      <c r="G434" s="83"/>
      <c r="H434" s="84"/>
      <c r="I434" s="84"/>
      <c r="J434" s="84"/>
      <c r="K434" s="84"/>
      <c r="L434" s="84"/>
      <c r="M434" s="84"/>
      <c r="N434" s="84"/>
      <c r="O434" s="84"/>
      <c r="P434" s="85"/>
      <c r="Q434" s="75"/>
      <c r="R434" s="75"/>
      <c r="S434" s="75"/>
      <c r="T434" s="75"/>
      <c r="U434" s="89"/>
      <c r="V434" s="84"/>
      <c r="W434" s="84"/>
      <c r="X434" s="84"/>
      <c r="Y434" s="84"/>
      <c r="Z434" s="84"/>
      <c r="AA434" s="1"/>
      <c r="AB434" s="330"/>
      <c r="AC434" s="321"/>
      <c r="AD434" s="321"/>
    </row>
    <row r="435" spans="1:30" ht="15.75" customHeight="1">
      <c r="A435" s="83"/>
      <c r="B435" s="83"/>
      <c r="C435" s="83"/>
      <c r="D435" s="84"/>
      <c r="E435" s="84"/>
      <c r="F435" s="84"/>
      <c r="G435" s="83"/>
      <c r="H435" s="84"/>
      <c r="I435" s="84"/>
      <c r="J435" s="84"/>
      <c r="K435" s="84"/>
      <c r="L435" s="84"/>
      <c r="M435" s="84"/>
      <c r="N435" s="84"/>
      <c r="O435" s="84"/>
      <c r="P435" s="85"/>
      <c r="Q435" s="75"/>
      <c r="R435" s="75"/>
      <c r="S435" s="75"/>
      <c r="T435" s="75"/>
      <c r="U435" s="89"/>
      <c r="V435" s="84"/>
      <c r="W435" s="84"/>
      <c r="X435" s="84"/>
      <c r="Y435" s="84"/>
      <c r="Z435" s="84"/>
      <c r="AA435" s="1"/>
      <c r="AB435" s="330"/>
      <c r="AC435" s="321"/>
      <c r="AD435" s="321"/>
    </row>
    <row r="436" spans="1:30" ht="15.75" customHeight="1">
      <c r="A436" s="83"/>
      <c r="B436" s="83"/>
      <c r="C436" s="83"/>
      <c r="D436" s="84"/>
      <c r="E436" s="84"/>
      <c r="F436" s="84"/>
      <c r="G436" s="83"/>
      <c r="H436" s="84"/>
      <c r="I436" s="84"/>
      <c r="J436" s="84"/>
      <c r="K436" s="84"/>
      <c r="L436" s="84"/>
      <c r="M436" s="84"/>
      <c r="N436" s="84"/>
      <c r="O436" s="84"/>
      <c r="P436" s="85"/>
      <c r="Q436" s="75"/>
      <c r="R436" s="75"/>
      <c r="S436" s="75"/>
      <c r="T436" s="75"/>
      <c r="U436" s="89"/>
      <c r="V436" s="84"/>
      <c r="W436" s="84"/>
      <c r="X436" s="84"/>
      <c r="Y436" s="84"/>
      <c r="Z436" s="84"/>
      <c r="AA436" s="1"/>
      <c r="AB436" s="330"/>
      <c r="AC436" s="321"/>
      <c r="AD436" s="321"/>
    </row>
    <row r="437" spans="1:30" ht="15.75" customHeight="1">
      <c r="A437" s="83"/>
      <c r="B437" s="83"/>
      <c r="C437" s="83"/>
      <c r="D437" s="84"/>
      <c r="E437" s="84"/>
      <c r="F437" s="84"/>
      <c r="G437" s="83"/>
      <c r="H437" s="84"/>
      <c r="I437" s="84"/>
      <c r="J437" s="84"/>
      <c r="K437" s="84"/>
      <c r="L437" s="84"/>
      <c r="M437" s="84"/>
      <c r="N437" s="84"/>
      <c r="O437" s="84"/>
      <c r="P437" s="85"/>
      <c r="Q437" s="75"/>
      <c r="R437" s="75"/>
      <c r="S437" s="75"/>
      <c r="T437" s="75"/>
      <c r="U437" s="89"/>
      <c r="V437" s="84"/>
      <c r="W437" s="84"/>
      <c r="X437" s="84"/>
      <c r="Y437" s="84"/>
      <c r="Z437" s="84"/>
      <c r="AA437" s="1"/>
      <c r="AB437" s="330"/>
      <c r="AC437" s="321"/>
      <c r="AD437" s="321"/>
    </row>
    <row r="438" spans="1:30" ht="15.75" customHeight="1">
      <c r="A438" s="83"/>
      <c r="B438" s="83"/>
      <c r="C438" s="83"/>
      <c r="D438" s="84"/>
      <c r="E438" s="84"/>
      <c r="F438" s="84"/>
      <c r="G438" s="83"/>
      <c r="H438" s="84"/>
      <c r="I438" s="84"/>
      <c r="J438" s="84"/>
      <c r="K438" s="84"/>
      <c r="L438" s="84"/>
      <c r="M438" s="84"/>
      <c r="N438" s="84"/>
      <c r="O438" s="84"/>
      <c r="P438" s="85"/>
      <c r="Q438" s="75"/>
      <c r="R438" s="75"/>
      <c r="S438" s="75"/>
      <c r="T438" s="75"/>
      <c r="U438" s="89"/>
      <c r="V438" s="84"/>
      <c r="W438" s="84"/>
      <c r="X438" s="84"/>
      <c r="Y438" s="84"/>
      <c r="Z438" s="84"/>
      <c r="AA438" s="1"/>
      <c r="AB438" s="330"/>
      <c r="AC438" s="321"/>
      <c r="AD438" s="321"/>
    </row>
    <row r="439" spans="1:30" ht="15.75" customHeight="1">
      <c r="A439" s="83"/>
      <c r="B439" s="83"/>
      <c r="C439" s="83"/>
      <c r="D439" s="84"/>
      <c r="E439" s="84"/>
      <c r="F439" s="84"/>
      <c r="G439" s="83"/>
      <c r="H439" s="84"/>
      <c r="I439" s="84"/>
      <c r="J439" s="84"/>
      <c r="K439" s="84"/>
      <c r="L439" s="84"/>
      <c r="M439" s="84"/>
      <c r="N439" s="84"/>
      <c r="O439" s="84"/>
      <c r="P439" s="85"/>
      <c r="Q439" s="75"/>
      <c r="R439" s="75"/>
      <c r="S439" s="75"/>
      <c r="T439" s="75"/>
      <c r="U439" s="89"/>
      <c r="V439" s="84"/>
      <c r="W439" s="84"/>
      <c r="X439" s="84"/>
      <c r="Y439" s="84"/>
      <c r="Z439" s="84"/>
      <c r="AA439" s="1"/>
      <c r="AB439" s="330"/>
      <c r="AC439" s="321"/>
      <c r="AD439" s="321"/>
    </row>
    <row r="440" spans="1:30" ht="15.75" customHeight="1">
      <c r="A440" s="83"/>
      <c r="B440" s="83"/>
      <c r="C440" s="83"/>
      <c r="D440" s="84"/>
      <c r="E440" s="84"/>
      <c r="F440" s="84"/>
      <c r="G440" s="83"/>
      <c r="H440" s="84"/>
      <c r="I440" s="84"/>
      <c r="J440" s="84"/>
      <c r="K440" s="84"/>
      <c r="L440" s="84"/>
      <c r="M440" s="84"/>
      <c r="N440" s="84"/>
      <c r="O440" s="84"/>
      <c r="P440" s="85"/>
      <c r="Q440" s="75"/>
      <c r="R440" s="75"/>
      <c r="S440" s="75"/>
      <c r="T440" s="75"/>
      <c r="U440" s="89"/>
      <c r="V440" s="84"/>
      <c r="W440" s="84"/>
      <c r="X440" s="84"/>
      <c r="Y440" s="84"/>
      <c r="Z440" s="84"/>
      <c r="AA440" s="1"/>
      <c r="AB440" s="330"/>
      <c r="AC440" s="321"/>
      <c r="AD440" s="321"/>
    </row>
    <row r="441" spans="1:30" ht="15.75" customHeight="1">
      <c r="A441" s="83"/>
      <c r="B441" s="83"/>
      <c r="C441" s="83"/>
      <c r="D441" s="84"/>
      <c r="E441" s="84"/>
      <c r="F441" s="84"/>
      <c r="G441" s="83"/>
      <c r="H441" s="84"/>
      <c r="I441" s="84"/>
      <c r="J441" s="84"/>
      <c r="K441" s="84"/>
      <c r="L441" s="84"/>
      <c r="M441" s="84"/>
      <c r="N441" s="84"/>
      <c r="O441" s="84"/>
      <c r="P441" s="85"/>
      <c r="Q441" s="75"/>
      <c r="R441" s="75"/>
      <c r="S441" s="75"/>
      <c r="T441" s="75"/>
      <c r="U441" s="89"/>
      <c r="V441" s="84"/>
      <c r="W441" s="84"/>
      <c r="X441" s="84"/>
      <c r="Y441" s="84"/>
      <c r="Z441" s="84"/>
      <c r="AA441" s="1"/>
      <c r="AB441" s="330"/>
      <c r="AC441" s="321"/>
      <c r="AD441" s="321"/>
    </row>
    <row r="442" spans="1:30" ht="15.75" customHeight="1">
      <c r="A442" s="83"/>
      <c r="B442" s="83"/>
      <c r="C442" s="83"/>
      <c r="D442" s="84"/>
      <c r="E442" s="84"/>
      <c r="F442" s="84"/>
      <c r="G442" s="83"/>
      <c r="H442" s="84"/>
      <c r="I442" s="84"/>
      <c r="J442" s="84"/>
      <c r="K442" s="84"/>
      <c r="L442" s="84"/>
      <c r="M442" s="84"/>
      <c r="N442" s="84"/>
      <c r="O442" s="84"/>
      <c r="P442" s="85"/>
      <c r="Q442" s="75"/>
      <c r="R442" s="75"/>
      <c r="S442" s="75"/>
      <c r="T442" s="75"/>
      <c r="U442" s="89"/>
      <c r="V442" s="84"/>
      <c r="W442" s="84"/>
      <c r="X442" s="84"/>
      <c r="Y442" s="84"/>
      <c r="Z442" s="84"/>
      <c r="AA442" s="1"/>
      <c r="AB442" s="330"/>
      <c r="AC442" s="321"/>
      <c r="AD442" s="321"/>
    </row>
    <row r="443" spans="1:30" ht="15.75" customHeight="1">
      <c r="A443" s="83"/>
      <c r="B443" s="83"/>
      <c r="C443" s="83"/>
      <c r="D443" s="84"/>
      <c r="E443" s="84"/>
      <c r="F443" s="84"/>
      <c r="G443" s="83"/>
      <c r="H443" s="84"/>
      <c r="I443" s="84"/>
      <c r="J443" s="84"/>
      <c r="K443" s="84"/>
      <c r="L443" s="84"/>
      <c r="M443" s="84"/>
      <c r="N443" s="84"/>
      <c r="O443" s="84"/>
      <c r="P443" s="85"/>
      <c r="Q443" s="75"/>
      <c r="R443" s="75"/>
      <c r="S443" s="75"/>
      <c r="T443" s="75"/>
      <c r="U443" s="89"/>
      <c r="V443" s="84"/>
      <c r="W443" s="84"/>
      <c r="X443" s="84"/>
      <c r="Y443" s="84"/>
      <c r="Z443" s="84"/>
      <c r="AA443" s="1"/>
      <c r="AB443" s="330"/>
      <c r="AC443" s="321"/>
      <c r="AD443" s="321"/>
    </row>
    <row r="444" spans="1:30" ht="15.75" customHeight="1">
      <c r="A444" s="83"/>
      <c r="B444" s="83"/>
      <c r="C444" s="83"/>
      <c r="D444" s="84"/>
      <c r="E444" s="84"/>
      <c r="F444" s="84"/>
      <c r="G444" s="83"/>
      <c r="H444" s="84"/>
      <c r="I444" s="84"/>
      <c r="J444" s="84"/>
      <c r="K444" s="84"/>
      <c r="L444" s="84"/>
      <c r="M444" s="84"/>
      <c r="N444" s="84"/>
      <c r="O444" s="84"/>
      <c r="P444" s="85"/>
      <c r="Q444" s="75"/>
      <c r="R444" s="75"/>
      <c r="S444" s="75"/>
      <c r="T444" s="75"/>
      <c r="U444" s="89"/>
      <c r="V444" s="84"/>
      <c r="W444" s="84"/>
      <c r="X444" s="84"/>
      <c r="Y444" s="84"/>
      <c r="Z444" s="84"/>
      <c r="AA444" s="1"/>
      <c r="AB444" s="330"/>
      <c r="AC444" s="321"/>
      <c r="AD444" s="321"/>
    </row>
    <row r="445" spans="1:30" ht="15.75" customHeight="1">
      <c r="A445" s="83"/>
      <c r="B445" s="83"/>
      <c r="C445" s="83"/>
      <c r="D445" s="84"/>
      <c r="E445" s="84"/>
      <c r="F445" s="84"/>
      <c r="G445" s="83"/>
      <c r="H445" s="84"/>
      <c r="I445" s="84"/>
      <c r="J445" s="84"/>
      <c r="K445" s="84"/>
      <c r="L445" s="84"/>
      <c r="M445" s="84"/>
      <c r="N445" s="84"/>
      <c r="O445" s="84"/>
      <c r="P445" s="85"/>
      <c r="Q445" s="75"/>
      <c r="R445" s="75"/>
      <c r="S445" s="75"/>
      <c r="T445" s="75"/>
      <c r="U445" s="89"/>
      <c r="V445" s="84"/>
      <c r="W445" s="84"/>
      <c r="X445" s="84"/>
      <c r="Y445" s="84"/>
      <c r="Z445" s="84"/>
      <c r="AA445" s="1"/>
      <c r="AB445" s="330"/>
      <c r="AC445" s="321"/>
      <c r="AD445" s="321"/>
    </row>
    <row r="446" spans="1:30" ht="15.75" customHeight="1">
      <c r="A446" s="83"/>
      <c r="B446" s="83"/>
      <c r="C446" s="83"/>
      <c r="D446" s="84"/>
      <c r="E446" s="84"/>
      <c r="F446" s="84"/>
      <c r="G446" s="83"/>
      <c r="H446" s="84"/>
      <c r="I446" s="84"/>
      <c r="J446" s="84"/>
      <c r="K446" s="84"/>
      <c r="L446" s="84"/>
      <c r="M446" s="84"/>
      <c r="N446" s="84"/>
      <c r="O446" s="84"/>
      <c r="P446" s="85"/>
      <c r="Q446" s="75"/>
      <c r="R446" s="75"/>
      <c r="S446" s="75"/>
      <c r="T446" s="75"/>
      <c r="U446" s="89"/>
      <c r="V446" s="84"/>
      <c r="W446" s="84"/>
      <c r="X446" s="84"/>
      <c r="Y446" s="84"/>
      <c r="Z446" s="84"/>
      <c r="AA446" s="1"/>
      <c r="AB446" s="330"/>
      <c r="AC446" s="321"/>
      <c r="AD446" s="321"/>
    </row>
    <row r="447" spans="1:30" ht="15.75" customHeight="1">
      <c r="A447" s="83"/>
      <c r="B447" s="83"/>
      <c r="C447" s="83"/>
      <c r="D447" s="84"/>
      <c r="E447" s="84"/>
      <c r="F447" s="84"/>
      <c r="G447" s="83"/>
      <c r="H447" s="84"/>
      <c r="I447" s="84"/>
      <c r="J447" s="84"/>
      <c r="K447" s="84"/>
      <c r="L447" s="84"/>
      <c r="M447" s="84"/>
      <c r="N447" s="84"/>
      <c r="O447" s="84"/>
      <c r="P447" s="85"/>
      <c r="Q447" s="75"/>
      <c r="R447" s="75"/>
      <c r="S447" s="75"/>
      <c r="T447" s="75"/>
      <c r="U447" s="89"/>
      <c r="V447" s="84"/>
      <c r="W447" s="84"/>
      <c r="X447" s="84"/>
      <c r="Y447" s="84"/>
      <c r="Z447" s="84"/>
      <c r="AA447" s="1"/>
      <c r="AB447" s="330"/>
      <c r="AC447" s="321"/>
      <c r="AD447" s="321"/>
    </row>
    <row r="448" spans="1:30" ht="15.75" customHeight="1">
      <c r="A448" s="83"/>
      <c r="B448" s="83"/>
      <c r="C448" s="83"/>
      <c r="D448" s="84"/>
      <c r="E448" s="84"/>
      <c r="F448" s="84"/>
      <c r="G448" s="83"/>
      <c r="H448" s="84"/>
      <c r="I448" s="84"/>
      <c r="J448" s="84"/>
      <c r="K448" s="84"/>
      <c r="L448" s="84"/>
      <c r="M448" s="84"/>
      <c r="N448" s="84"/>
      <c r="O448" s="84"/>
      <c r="P448" s="85"/>
      <c r="Q448" s="75"/>
      <c r="R448" s="75"/>
      <c r="S448" s="75"/>
      <c r="T448" s="75"/>
      <c r="U448" s="89"/>
      <c r="V448" s="84"/>
      <c r="W448" s="84"/>
      <c r="X448" s="84"/>
      <c r="Y448" s="84"/>
      <c r="Z448" s="84"/>
      <c r="AA448" s="1"/>
      <c r="AB448" s="330"/>
      <c r="AC448" s="321"/>
      <c r="AD448" s="321"/>
    </row>
    <row r="449" spans="1:30" ht="15.75" customHeight="1">
      <c r="A449" s="83"/>
      <c r="B449" s="83"/>
      <c r="C449" s="83"/>
      <c r="D449" s="84"/>
      <c r="E449" s="84"/>
      <c r="F449" s="84"/>
      <c r="G449" s="83"/>
      <c r="H449" s="84"/>
      <c r="I449" s="84"/>
      <c r="J449" s="84"/>
      <c r="K449" s="84"/>
      <c r="L449" s="84"/>
      <c r="M449" s="84"/>
      <c r="N449" s="84"/>
      <c r="O449" s="84"/>
      <c r="P449" s="85"/>
      <c r="Q449" s="75"/>
      <c r="R449" s="75"/>
      <c r="S449" s="75"/>
      <c r="T449" s="75"/>
      <c r="U449" s="89"/>
      <c r="V449" s="84"/>
      <c r="W449" s="84"/>
      <c r="X449" s="84"/>
      <c r="Y449" s="84"/>
      <c r="Z449" s="84"/>
      <c r="AA449" s="1"/>
      <c r="AB449" s="330"/>
      <c r="AC449" s="321"/>
      <c r="AD449" s="321"/>
    </row>
    <row r="450" spans="1:30" ht="15.75" customHeight="1">
      <c r="A450" s="83"/>
      <c r="B450" s="83"/>
      <c r="C450" s="83"/>
      <c r="D450" s="84"/>
      <c r="E450" s="84"/>
      <c r="F450" s="84"/>
      <c r="G450" s="83"/>
      <c r="H450" s="84"/>
      <c r="I450" s="84"/>
      <c r="J450" s="84"/>
      <c r="K450" s="84"/>
      <c r="L450" s="84"/>
      <c r="M450" s="84"/>
      <c r="N450" s="84"/>
      <c r="O450" s="84"/>
      <c r="P450" s="85"/>
      <c r="Q450" s="75"/>
      <c r="R450" s="75"/>
      <c r="S450" s="75"/>
      <c r="T450" s="75"/>
      <c r="U450" s="89"/>
      <c r="V450" s="84"/>
      <c r="W450" s="84"/>
      <c r="X450" s="84"/>
      <c r="Y450" s="84"/>
      <c r="Z450" s="84"/>
      <c r="AA450" s="1"/>
      <c r="AB450" s="330"/>
      <c r="AC450" s="321"/>
      <c r="AD450" s="321"/>
    </row>
    <row r="451" spans="1:30" ht="15.75" customHeight="1">
      <c r="A451" s="83"/>
      <c r="B451" s="83"/>
      <c r="C451" s="83"/>
      <c r="D451" s="84"/>
      <c r="E451" s="84"/>
      <c r="F451" s="84"/>
      <c r="G451" s="83"/>
      <c r="H451" s="84"/>
      <c r="I451" s="84"/>
      <c r="J451" s="84"/>
      <c r="K451" s="84"/>
      <c r="L451" s="84"/>
      <c r="M451" s="84"/>
      <c r="N451" s="84"/>
      <c r="O451" s="84"/>
      <c r="P451" s="85"/>
      <c r="Q451" s="75"/>
      <c r="R451" s="75"/>
      <c r="S451" s="75"/>
      <c r="T451" s="75"/>
      <c r="U451" s="89"/>
      <c r="V451" s="84"/>
      <c r="W451" s="84"/>
      <c r="X451" s="84"/>
      <c r="Y451" s="84"/>
      <c r="Z451" s="84"/>
      <c r="AA451" s="1"/>
      <c r="AB451" s="330"/>
      <c r="AC451" s="321"/>
      <c r="AD451" s="321"/>
    </row>
    <row r="452" spans="1:30" ht="15.75" customHeight="1">
      <c r="A452" s="83"/>
      <c r="B452" s="83"/>
      <c r="C452" s="83"/>
      <c r="D452" s="84"/>
      <c r="E452" s="84"/>
      <c r="F452" s="84"/>
      <c r="G452" s="83"/>
      <c r="H452" s="84"/>
      <c r="I452" s="84"/>
      <c r="J452" s="84"/>
      <c r="K452" s="84"/>
      <c r="L452" s="84"/>
      <c r="M452" s="84"/>
      <c r="N452" s="84"/>
      <c r="O452" s="84"/>
      <c r="P452" s="85"/>
      <c r="Q452" s="75"/>
      <c r="R452" s="75"/>
      <c r="S452" s="75"/>
      <c r="T452" s="75"/>
      <c r="U452" s="89"/>
      <c r="V452" s="84"/>
      <c r="W452" s="84"/>
      <c r="X452" s="84"/>
      <c r="Y452" s="84"/>
      <c r="Z452" s="84"/>
      <c r="AA452" s="1"/>
      <c r="AB452" s="330"/>
      <c r="AC452" s="321"/>
      <c r="AD452" s="321"/>
    </row>
    <row r="453" spans="1:30" ht="15.75" customHeight="1">
      <c r="A453" s="83"/>
      <c r="B453" s="83"/>
      <c r="C453" s="83"/>
      <c r="D453" s="84"/>
      <c r="E453" s="84"/>
      <c r="F453" s="84"/>
      <c r="G453" s="83"/>
      <c r="H453" s="84"/>
      <c r="I453" s="84"/>
      <c r="J453" s="84"/>
      <c r="K453" s="84"/>
      <c r="L453" s="84"/>
      <c r="M453" s="84"/>
      <c r="N453" s="84"/>
      <c r="O453" s="84"/>
      <c r="P453" s="85"/>
      <c r="Q453" s="75"/>
      <c r="R453" s="75"/>
      <c r="S453" s="75"/>
      <c r="T453" s="75"/>
      <c r="U453" s="89"/>
      <c r="V453" s="84"/>
      <c r="W453" s="84"/>
      <c r="X453" s="84"/>
      <c r="Y453" s="84"/>
      <c r="Z453" s="84"/>
      <c r="AA453" s="1"/>
      <c r="AB453" s="330"/>
      <c r="AC453" s="321"/>
      <c r="AD453" s="321"/>
    </row>
    <row r="454" spans="1:30" ht="15.75" customHeight="1">
      <c r="A454" s="83"/>
      <c r="B454" s="83"/>
      <c r="C454" s="83"/>
      <c r="D454" s="84"/>
      <c r="E454" s="84"/>
      <c r="F454" s="84"/>
      <c r="G454" s="83"/>
      <c r="H454" s="84"/>
      <c r="I454" s="84"/>
      <c r="J454" s="84"/>
      <c r="K454" s="84"/>
      <c r="L454" s="84"/>
      <c r="M454" s="84"/>
      <c r="N454" s="84"/>
      <c r="O454" s="84"/>
      <c r="P454" s="85"/>
      <c r="Q454" s="75"/>
      <c r="R454" s="75"/>
      <c r="S454" s="75"/>
      <c r="T454" s="75"/>
      <c r="U454" s="89"/>
      <c r="V454" s="84"/>
      <c r="W454" s="84"/>
      <c r="X454" s="84"/>
      <c r="Y454" s="84"/>
      <c r="Z454" s="84"/>
      <c r="AA454" s="1"/>
      <c r="AB454" s="330"/>
      <c r="AC454" s="321"/>
      <c r="AD454" s="321"/>
    </row>
    <row r="455" spans="1:30" ht="15.75" customHeight="1">
      <c r="A455" s="83"/>
      <c r="B455" s="83"/>
      <c r="C455" s="83"/>
      <c r="D455" s="84"/>
      <c r="E455" s="84"/>
      <c r="F455" s="84"/>
      <c r="G455" s="83"/>
      <c r="H455" s="84"/>
      <c r="I455" s="84"/>
      <c r="J455" s="84"/>
      <c r="K455" s="84"/>
      <c r="L455" s="84"/>
      <c r="M455" s="84"/>
      <c r="N455" s="84"/>
      <c r="O455" s="84"/>
      <c r="P455" s="85"/>
      <c r="Q455" s="75"/>
      <c r="R455" s="75"/>
      <c r="S455" s="75"/>
      <c r="T455" s="75"/>
      <c r="U455" s="89"/>
      <c r="V455" s="84"/>
      <c r="W455" s="84"/>
      <c r="X455" s="84"/>
      <c r="Y455" s="84"/>
      <c r="Z455" s="84"/>
      <c r="AA455" s="1"/>
      <c r="AB455" s="330"/>
      <c r="AC455" s="321"/>
      <c r="AD455" s="321"/>
    </row>
    <row r="456" spans="1:30" ht="15.75" customHeight="1">
      <c r="A456" s="83"/>
      <c r="B456" s="83"/>
      <c r="C456" s="83"/>
      <c r="D456" s="84"/>
      <c r="E456" s="84"/>
      <c r="F456" s="84"/>
      <c r="G456" s="83"/>
      <c r="H456" s="84"/>
      <c r="I456" s="84"/>
      <c r="J456" s="84"/>
      <c r="K456" s="84"/>
      <c r="L456" s="84"/>
      <c r="M456" s="84"/>
      <c r="N456" s="84"/>
      <c r="O456" s="84"/>
      <c r="P456" s="85"/>
      <c r="Q456" s="75"/>
      <c r="R456" s="75"/>
      <c r="S456" s="75"/>
      <c r="T456" s="75"/>
      <c r="U456" s="89"/>
      <c r="V456" s="84"/>
      <c r="W456" s="84"/>
      <c r="X456" s="84"/>
      <c r="Y456" s="84"/>
      <c r="Z456" s="84"/>
      <c r="AA456" s="1"/>
      <c r="AB456" s="330"/>
      <c r="AC456" s="321"/>
      <c r="AD456" s="321"/>
    </row>
    <row r="457" spans="1:30" ht="15.75" customHeight="1">
      <c r="A457" s="83"/>
      <c r="B457" s="83"/>
      <c r="C457" s="83"/>
      <c r="D457" s="84"/>
      <c r="E457" s="84"/>
      <c r="F457" s="84"/>
      <c r="G457" s="83"/>
      <c r="H457" s="84"/>
      <c r="I457" s="84"/>
      <c r="J457" s="84"/>
      <c r="K457" s="84"/>
      <c r="L457" s="84"/>
      <c r="M457" s="84"/>
      <c r="N457" s="84"/>
      <c r="O457" s="84"/>
      <c r="P457" s="85"/>
      <c r="Q457" s="75"/>
      <c r="R457" s="75"/>
      <c r="S457" s="75"/>
      <c r="T457" s="75"/>
      <c r="U457" s="89"/>
      <c r="V457" s="84"/>
      <c r="W457" s="84"/>
      <c r="X457" s="84"/>
      <c r="Y457" s="84"/>
      <c r="Z457" s="84"/>
      <c r="AA457" s="1"/>
      <c r="AB457" s="330"/>
      <c r="AC457" s="321"/>
      <c r="AD457" s="321"/>
    </row>
    <row r="458" spans="1:30" ht="15.75" customHeight="1">
      <c r="A458" s="83"/>
      <c r="B458" s="83"/>
      <c r="C458" s="83"/>
      <c r="D458" s="84"/>
      <c r="E458" s="84"/>
      <c r="F458" s="84"/>
      <c r="G458" s="83"/>
      <c r="H458" s="84"/>
      <c r="I458" s="84"/>
      <c r="J458" s="84"/>
      <c r="K458" s="84"/>
      <c r="L458" s="84"/>
      <c r="M458" s="84"/>
      <c r="N458" s="84"/>
      <c r="O458" s="84"/>
      <c r="P458" s="85"/>
      <c r="Q458" s="75"/>
      <c r="R458" s="75"/>
      <c r="S458" s="75"/>
      <c r="T458" s="75"/>
      <c r="U458" s="89"/>
      <c r="V458" s="84"/>
      <c r="W458" s="84"/>
      <c r="X458" s="84"/>
      <c r="Y458" s="84"/>
      <c r="Z458" s="84"/>
      <c r="AA458" s="1"/>
      <c r="AB458" s="330"/>
      <c r="AC458" s="321"/>
      <c r="AD458" s="321"/>
    </row>
    <row r="459" spans="1:30" ht="15.75" customHeight="1">
      <c r="A459" s="83"/>
      <c r="B459" s="83"/>
      <c r="C459" s="83"/>
      <c r="D459" s="84"/>
      <c r="E459" s="84"/>
      <c r="F459" s="84"/>
      <c r="G459" s="83"/>
      <c r="H459" s="84"/>
      <c r="I459" s="84"/>
      <c r="J459" s="84"/>
      <c r="K459" s="84"/>
      <c r="L459" s="84"/>
      <c r="M459" s="84"/>
      <c r="N459" s="84"/>
      <c r="O459" s="84"/>
      <c r="P459" s="85"/>
      <c r="Q459" s="75"/>
      <c r="R459" s="75"/>
      <c r="S459" s="75"/>
      <c r="T459" s="75"/>
      <c r="U459" s="89"/>
      <c r="V459" s="84"/>
      <c r="W459" s="84"/>
      <c r="X459" s="84"/>
      <c r="Y459" s="84"/>
      <c r="Z459" s="84"/>
      <c r="AA459" s="1"/>
      <c r="AB459" s="330"/>
      <c r="AC459" s="321"/>
      <c r="AD459" s="321"/>
    </row>
    <row r="460" spans="1:30" ht="15.75" customHeight="1">
      <c r="A460" s="83"/>
      <c r="B460" s="83"/>
      <c r="C460" s="83"/>
      <c r="D460" s="84"/>
      <c r="E460" s="84"/>
      <c r="F460" s="84"/>
      <c r="G460" s="83"/>
      <c r="H460" s="84"/>
      <c r="I460" s="84"/>
      <c r="J460" s="84"/>
      <c r="K460" s="84"/>
      <c r="L460" s="84"/>
      <c r="M460" s="84"/>
      <c r="N460" s="84"/>
      <c r="O460" s="84"/>
      <c r="P460" s="85"/>
      <c r="Q460" s="75"/>
      <c r="R460" s="75"/>
      <c r="S460" s="75"/>
      <c r="T460" s="75"/>
      <c r="U460" s="89"/>
      <c r="V460" s="84"/>
      <c r="W460" s="84"/>
      <c r="X460" s="84"/>
      <c r="Y460" s="84"/>
      <c r="Z460" s="84"/>
      <c r="AA460" s="1"/>
      <c r="AB460" s="330"/>
      <c r="AC460" s="321"/>
      <c r="AD460" s="321"/>
    </row>
    <row r="461" spans="1:30" ht="15.75" customHeight="1">
      <c r="A461" s="83"/>
      <c r="B461" s="83"/>
      <c r="C461" s="83"/>
      <c r="D461" s="84"/>
      <c r="E461" s="84"/>
      <c r="F461" s="84"/>
      <c r="G461" s="83"/>
      <c r="H461" s="84"/>
      <c r="I461" s="84"/>
      <c r="J461" s="84"/>
      <c r="K461" s="84"/>
      <c r="L461" s="84"/>
      <c r="M461" s="84"/>
      <c r="N461" s="84"/>
      <c r="O461" s="84"/>
      <c r="P461" s="85"/>
      <c r="Q461" s="75"/>
      <c r="R461" s="75"/>
      <c r="S461" s="75"/>
      <c r="T461" s="75"/>
      <c r="U461" s="89"/>
      <c r="V461" s="84"/>
      <c r="W461" s="84"/>
      <c r="X461" s="84"/>
      <c r="Y461" s="84"/>
      <c r="Z461" s="84"/>
      <c r="AA461" s="1"/>
      <c r="AB461" s="330"/>
      <c r="AC461" s="321"/>
      <c r="AD461" s="321"/>
    </row>
    <row r="462" spans="1:30" ht="15.75" customHeight="1">
      <c r="A462" s="83"/>
      <c r="B462" s="83"/>
      <c r="C462" s="83"/>
      <c r="D462" s="84"/>
      <c r="E462" s="84"/>
      <c r="F462" s="84"/>
      <c r="G462" s="83"/>
      <c r="H462" s="84"/>
      <c r="I462" s="84"/>
      <c r="J462" s="84"/>
      <c r="K462" s="84"/>
      <c r="L462" s="84"/>
      <c r="M462" s="84"/>
      <c r="N462" s="84"/>
      <c r="O462" s="84"/>
      <c r="P462" s="85"/>
      <c r="Q462" s="75"/>
      <c r="R462" s="75"/>
      <c r="S462" s="75"/>
      <c r="T462" s="75"/>
      <c r="U462" s="89"/>
      <c r="V462" s="84"/>
      <c r="W462" s="84"/>
      <c r="X462" s="84"/>
      <c r="Y462" s="84"/>
      <c r="Z462" s="84"/>
      <c r="AA462" s="1"/>
      <c r="AB462" s="330"/>
      <c r="AC462" s="321"/>
      <c r="AD462" s="321"/>
    </row>
    <row r="463" spans="1:30" ht="15.75" customHeight="1">
      <c r="A463" s="83"/>
      <c r="B463" s="83"/>
      <c r="C463" s="83"/>
      <c r="D463" s="84"/>
      <c r="E463" s="84"/>
      <c r="F463" s="84"/>
      <c r="G463" s="83"/>
      <c r="H463" s="84"/>
      <c r="I463" s="84"/>
      <c r="J463" s="84"/>
      <c r="K463" s="84"/>
      <c r="L463" s="84"/>
      <c r="M463" s="84"/>
      <c r="N463" s="84"/>
      <c r="O463" s="84"/>
      <c r="P463" s="85"/>
      <c r="Q463" s="75"/>
      <c r="R463" s="75"/>
      <c r="S463" s="75"/>
      <c r="T463" s="75"/>
      <c r="U463" s="89"/>
      <c r="V463" s="84"/>
      <c r="W463" s="84"/>
      <c r="X463" s="84"/>
      <c r="Y463" s="84"/>
      <c r="Z463" s="84"/>
      <c r="AA463" s="1"/>
      <c r="AB463" s="330"/>
      <c r="AC463" s="321"/>
      <c r="AD463" s="321"/>
    </row>
    <row r="464" spans="1:30" ht="15.75" customHeight="1">
      <c r="A464" s="83"/>
      <c r="B464" s="83"/>
      <c r="C464" s="83"/>
      <c r="D464" s="84"/>
      <c r="E464" s="84"/>
      <c r="F464" s="84"/>
      <c r="G464" s="83"/>
      <c r="H464" s="84"/>
      <c r="I464" s="84"/>
      <c r="J464" s="84"/>
      <c r="K464" s="84"/>
      <c r="L464" s="84"/>
      <c r="M464" s="84"/>
      <c r="N464" s="84"/>
      <c r="O464" s="84"/>
      <c r="P464" s="85"/>
      <c r="Q464" s="75"/>
      <c r="R464" s="75"/>
      <c r="S464" s="75"/>
      <c r="T464" s="75"/>
      <c r="U464" s="89"/>
      <c r="V464" s="84"/>
      <c r="W464" s="84"/>
      <c r="X464" s="84"/>
      <c r="Y464" s="84"/>
      <c r="Z464" s="84"/>
      <c r="AA464" s="1"/>
      <c r="AB464" s="330"/>
      <c r="AC464" s="321"/>
      <c r="AD464" s="321"/>
    </row>
    <row r="465" spans="1:30" ht="15.75" customHeight="1">
      <c r="A465" s="83"/>
      <c r="B465" s="83"/>
      <c r="C465" s="83"/>
      <c r="D465" s="84"/>
      <c r="E465" s="84"/>
      <c r="F465" s="84"/>
      <c r="G465" s="83"/>
      <c r="H465" s="84"/>
      <c r="I465" s="84"/>
      <c r="J465" s="84"/>
      <c r="K465" s="84"/>
      <c r="L465" s="84"/>
      <c r="M465" s="84"/>
      <c r="N465" s="84"/>
      <c r="O465" s="84"/>
      <c r="P465" s="85"/>
      <c r="Q465" s="75"/>
      <c r="R465" s="75"/>
      <c r="S465" s="75"/>
      <c r="T465" s="75"/>
      <c r="U465" s="89"/>
      <c r="V465" s="84"/>
      <c r="W465" s="84"/>
      <c r="X465" s="84"/>
      <c r="Y465" s="84"/>
      <c r="Z465" s="84"/>
      <c r="AA465" s="1"/>
      <c r="AB465" s="330"/>
      <c r="AC465" s="321"/>
      <c r="AD465" s="321"/>
    </row>
    <row r="466" spans="1:30" ht="15.75" customHeight="1">
      <c r="A466" s="83"/>
      <c r="B466" s="83"/>
      <c r="C466" s="83"/>
      <c r="D466" s="84"/>
      <c r="E466" s="84"/>
      <c r="F466" s="84"/>
      <c r="G466" s="83"/>
      <c r="H466" s="84"/>
      <c r="I466" s="84"/>
      <c r="J466" s="84"/>
      <c r="K466" s="84"/>
      <c r="L466" s="84"/>
      <c r="M466" s="84"/>
      <c r="N466" s="84"/>
      <c r="O466" s="84"/>
      <c r="P466" s="85"/>
      <c r="Q466" s="75"/>
      <c r="R466" s="75"/>
      <c r="S466" s="75"/>
      <c r="T466" s="75"/>
      <c r="U466" s="89"/>
      <c r="V466" s="84"/>
      <c r="W466" s="84"/>
      <c r="X466" s="84"/>
      <c r="Y466" s="84"/>
      <c r="Z466" s="84"/>
      <c r="AA466" s="1"/>
      <c r="AB466" s="330"/>
      <c r="AC466" s="321"/>
      <c r="AD466" s="321"/>
    </row>
    <row r="467" spans="1:30" ht="15.75" customHeight="1">
      <c r="A467" s="83"/>
      <c r="B467" s="83"/>
      <c r="C467" s="83"/>
      <c r="D467" s="84"/>
      <c r="E467" s="84"/>
      <c r="F467" s="84"/>
      <c r="G467" s="83"/>
      <c r="H467" s="84"/>
      <c r="I467" s="84"/>
      <c r="J467" s="84"/>
      <c r="K467" s="84"/>
      <c r="L467" s="84"/>
      <c r="M467" s="84"/>
      <c r="N467" s="84"/>
      <c r="O467" s="84"/>
      <c r="P467" s="85"/>
      <c r="Q467" s="75"/>
      <c r="R467" s="75"/>
      <c r="S467" s="75"/>
      <c r="T467" s="75"/>
      <c r="U467" s="89"/>
      <c r="V467" s="84"/>
      <c r="W467" s="84"/>
      <c r="X467" s="84"/>
      <c r="Y467" s="84"/>
      <c r="Z467" s="84"/>
      <c r="AA467" s="1"/>
      <c r="AB467" s="330"/>
      <c r="AC467" s="321"/>
      <c r="AD467" s="321"/>
    </row>
    <row r="468" spans="1:30" ht="15.75" customHeight="1">
      <c r="A468" s="83"/>
      <c r="B468" s="83"/>
      <c r="C468" s="83"/>
      <c r="D468" s="84"/>
      <c r="E468" s="84"/>
      <c r="F468" s="84"/>
      <c r="G468" s="83"/>
      <c r="H468" s="84"/>
      <c r="I468" s="84"/>
      <c r="J468" s="84"/>
      <c r="K468" s="84"/>
      <c r="L468" s="84"/>
      <c r="M468" s="84"/>
      <c r="N468" s="84"/>
      <c r="O468" s="84"/>
      <c r="P468" s="85"/>
      <c r="Q468" s="75"/>
      <c r="R468" s="75"/>
      <c r="S468" s="75"/>
      <c r="T468" s="75"/>
      <c r="U468" s="89"/>
      <c r="V468" s="84"/>
      <c r="W468" s="84"/>
      <c r="X468" s="84"/>
      <c r="Y468" s="84"/>
      <c r="Z468" s="84"/>
      <c r="AA468" s="1"/>
      <c r="AB468" s="330"/>
      <c r="AC468" s="321"/>
      <c r="AD468" s="321"/>
    </row>
    <row r="469" spans="1:30" ht="15.75" customHeight="1">
      <c r="A469" s="83"/>
      <c r="B469" s="83"/>
      <c r="C469" s="83"/>
      <c r="D469" s="84"/>
      <c r="E469" s="84"/>
      <c r="F469" s="84"/>
      <c r="G469" s="83"/>
      <c r="H469" s="84"/>
      <c r="I469" s="84"/>
      <c r="J469" s="84"/>
      <c r="K469" s="84"/>
      <c r="L469" s="84"/>
      <c r="M469" s="84"/>
      <c r="N469" s="84"/>
      <c r="O469" s="84"/>
      <c r="P469" s="85"/>
      <c r="Q469" s="75"/>
      <c r="R469" s="75"/>
      <c r="S469" s="75"/>
      <c r="T469" s="75"/>
      <c r="U469" s="89"/>
      <c r="V469" s="84"/>
      <c r="W469" s="84"/>
      <c r="X469" s="84"/>
      <c r="Y469" s="84"/>
      <c r="Z469" s="84"/>
      <c r="AA469" s="1"/>
      <c r="AB469" s="330"/>
      <c r="AC469" s="321"/>
      <c r="AD469" s="321"/>
    </row>
    <row r="470" spans="1:30" ht="15.75" customHeight="1">
      <c r="A470" s="83"/>
      <c r="B470" s="83"/>
      <c r="C470" s="83"/>
      <c r="D470" s="84"/>
      <c r="E470" s="84"/>
      <c r="F470" s="84"/>
      <c r="G470" s="83"/>
      <c r="H470" s="84"/>
      <c r="I470" s="84"/>
      <c r="J470" s="84"/>
      <c r="K470" s="84"/>
      <c r="L470" s="84"/>
      <c r="M470" s="84"/>
      <c r="N470" s="84"/>
      <c r="O470" s="84"/>
      <c r="P470" s="85"/>
      <c r="Q470" s="75"/>
      <c r="R470" s="75"/>
      <c r="S470" s="75"/>
      <c r="T470" s="75"/>
      <c r="U470" s="89"/>
      <c r="V470" s="84"/>
      <c r="W470" s="84"/>
      <c r="X470" s="84"/>
      <c r="Y470" s="84"/>
      <c r="Z470" s="84"/>
      <c r="AA470" s="1"/>
      <c r="AB470" s="330"/>
      <c r="AC470" s="321"/>
      <c r="AD470" s="321"/>
    </row>
    <row r="471" spans="1:30" ht="15.75" customHeight="1">
      <c r="A471" s="83"/>
      <c r="B471" s="83"/>
      <c r="C471" s="83"/>
      <c r="D471" s="84"/>
      <c r="E471" s="84"/>
      <c r="F471" s="84"/>
      <c r="G471" s="83"/>
      <c r="H471" s="84"/>
      <c r="I471" s="84"/>
      <c r="J471" s="84"/>
      <c r="K471" s="84"/>
      <c r="L471" s="84"/>
      <c r="M471" s="84"/>
      <c r="N471" s="84"/>
      <c r="O471" s="84"/>
      <c r="P471" s="85"/>
      <c r="Q471" s="75"/>
      <c r="R471" s="75"/>
      <c r="S471" s="75"/>
      <c r="T471" s="75"/>
      <c r="U471" s="89"/>
      <c r="V471" s="84"/>
      <c r="W471" s="84"/>
      <c r="X471" s="84"/>
      <c r="Y471" s="84"/>
      <c r="Z471" s="84"/>
      <c r="AA471" s="1"/>
      <c r="AB471" s="330"/>
      <c r="AC471" s="321"/>
      <c r="AD471" s="321"/>
    </row>
    <row r="472" spans="1:30" ht="15.75" customHeight="1">
      <c r="A472" s="83"/>
      <c r="B472" s="83"/>
      <c r="C472" s="83"/>
      <c r="D472" s="84"/>
      <c r="E472" s="84"/>
      <c r="F472" s="84"/>
      <c r="G472" s="83"/>
      <c r="H472" s="84"/>
      <c r="I472" s="84"/>
      <c r="J472" s="84"/>
      <c r="K472" s="84"/>
      <c r="L472" s="84"/>
      <c r="M472" s="84"/>
      <c r="N472" s="84"/>
      <c r="O472" s="84"/>
      <c r="P472" s="85"/>
      <c r="Q472" s="75"/>
      <c r="R472" s="75"/>
      <c r="S472" s="75"/>
      <c r="T472" s="75"/>
      <c r="U472" s="89"/>
      <c r="V472" s="84"/>
      <c r="W472" s="84"/>
      <c r="X472" s="84"/>
      <c r="Y472" s="84"/>
      <c r="Z472" s="84"/>
      <c r="AA472" s="1"/>
      <c r="AB472" s="330"/>
      <c r="AC472" s="321"/>
      <c r="AD472" s="321"/>
    </row>
    <row r="473" spans="1:30" ht="15.75" customHeight="1">
      <c r="A473" s="83"/>
      <c r="B473" s="83"/>
      <c r="C473" s="83"/>
      <c r="D473" s="84"/>
      <c r="E473" s="84"/>
      <c r="F473" s="84"/>
      <c r="G473" s="83"/>
      <c r="H473" s="84"/>
      <c r="I473" s="84"/>
      <c r="J473" s="84"/>
      <c r="K473" s="84"/>
      <c r="L473" s="84"/>
      <c r="M473" s="84"/>
      <c r="N473" s="84"/>
      <c r="O473" s="84"/>
      <c r="P473" s="85"/>
      <c r="Q473" s="75"/>
      <c r="R473" s="75"/>
      <c r="S473" s="75"/>
      <c r="T473" s="75"/>
      <c r="U473" s="89"/>
      <c r="V473" s="84"/>
      <c r="W473" s="84"/>
      <c r="X473" s="84"/>
      <c r="Y473" s="84"/>
      <c r="Z473" s="84"/>
      <c r="AA473" s="1"/>
      <c r="AB473" s="330"/>
      <c r="AC473" s="321"/>
      <c r="AD473" s="321"/>
    </row>
    <row r="474" spans="1:30" ht="15.75" customHeight="1">
      <c r="A474" s="83"/>
      <c r="B474" s="83"/>
      <c r="C474" s="83"/>
      <c r="D474" s="84"/>
      <c r="E474" s="84"/>
      <c r="F474" s="84"/>
      <c r="G474" s="83"/>
      <c r="H474" s="84"/>
      <c r="I474" s="84"/>
      <c r="J474" s="84"/>
      <c r="K474" s="84"/>
      <c r="L474" s="84"/>
      <c r="M474" s="84"/>
      <c r="N474" s="84"/>
      <c r="O474" s="84"/>
      <c r="P474" s="85"/>
      <c r="Q474" s="75"/>
      <c r="R474" s="75"/>
      <c r="S474" s="75"/>
      <c r="T474" s="75"/>
      <c r="U474" s="89"/>
      <c r="V474" s="84"/>
      <c r="W474" s="84"/>
      <c r="X474" s="84"/>
      <c r="Y474" s="84"/>
      <c r="Z474" s="84"/>
      <c r="AA474" s="1"/>
      <c r="AB474" s="330"/>
      <c r="AC474" s="321"/>
      <c r="AD474" s="321"/>
    </row>
    <row r="475" spans="1:30" ht="15.75" customHeight="1">
      <c r="A475" s="83"/>
      <c r="B475" s="83"/>
      <c r="C475" s="83"/>
      <c r="D475" s="84"/>
      <c r="E475" s="84"/>
      <c r="F475" s="84"/>
      <c r="G475" s="83"/>
      <c r="H475" s="84"/>
      <c r="I475" s="84"/>
      <c r="J475" s="84"/>
      <c r="K475" s="84"/>
      <c r="L475" s="84"/>
      <c r="M475" s="84"/>
      <c r="N475" s="84"/>
      <c r="O475" s="84"/>
      <c r="P475" s="85"/>
      <c r="Q475" s="75"/>
      <c r="R475" s="75"/>
      <c r="S475" s="75"/>
      <c r="T475" s="75"/>
      <c r="U475" s="89"/>
      <c r="V475" s="84"/>
      <c r="W475" s="84"/>
      <c r="X475" s="84"/>
      <c r="Y475" s="84"/>
      <c r="Z475" s="84"/>
      <c r="AA475" s="1"/>
      <c r="AB475" s="330"/>
      <c r="AC475" s="321"/>
      <c r="AD475" s="321"/>
    </row>
    <row r="476" spans="1:30" ht="15.75" customHeight="1">
      <c r="A476" s="83"/>
      <c r="B476" s="83"/>
      <c r="C476" s="83"/>
      <c r="D476" s="84"/>
      <c r="E476" s="84"/>
      <c r="F476" s="84"/>
      <c r="G476" s="83"/>
      <c r="H476" s="84"/>
      <c r="I476" s="84"/>
      <c r="J476" s="84"/>
      <c r="K476" s="84"/>
      <c r="L476" s="84"/>
      <c r="M476" s="84"/>
      <c r="N476" s="84"/>
      <c r="O476" s="84"/>
      <c r="P476" s="85"/>
      <c r="Q476" s="75"/>
      <c r="R476" s="75"/>
      <c r="S476" s="75"/>
      <c r="T476" s="75"/>
      <c r="U476" s="89"/>
      <c r="V476" s="84"/>
      <c r="W476" s="84"/>
      <c r="X476" s="84"/>
      <c r="Y476" s="84"/>
      <c r="Z476" s="84"/>
      <c r="AA476" s="1"/>
      <c r="AB476" s="330"/>
      <c r="AC476" s="321"/>
      <c r="AD476" s="321"/>
    </row>
    <row r="477" spans="1:30" ht="15.75" customHeight="1">
      <c r="A477" s="83"/>
      <c r="B477" s="83"/>
      <c r="C477" s="83"/>
      <c r="D477" s="84"/>
      <c r="E477" s="84"/>
      <c r="F477" s="84"/>
      <c r="G477" s="83"/>
      <c r="H477" s="84"/>
      <c r="I477" s="84"/>
      <c r="J477" s="84"/>
      <c r="K477" s="84"/>
      <c r="L477" s="84"/>
      <c r="M477" s="84"/>
      <c r="N477" s="84"/>
      <c r="O477" s="84"/>
      <c r="P477" s="85"/>
      <c r="Q477" s="75"/>
      <c r="R477" s="75"/>
      <c r="S477" s="75"/>
      <c r="T477" s="75"/>
      <c r="U477" s="89"/>
      <c r="V477" s="84"/>
      <c r="W477" s="84"/>
      <c r="X477" s="84"/>
      <c r="Y477" s="84"/>
      <c r="Z477" s="84"/>
      <c r="AA477" s="1"/>
      <c r="AB477" s="330"/>
      <c r="AC477" s="321"/>
      <c r="AD477" s="321"/>
    </row>
    <row r="478" spans="1:30" ht="15.75" customHeight="1">
      <c r="A478" s="83"/>
      <c r="B478" s="83"/>
      <c r="C478" s="83"/>
      <c r="D478" s="84"/>
      <c r="E478" s="84"/>
      <c r="F478" s="84"/>
      <c r="G478" s="83"/>
      <c r="H478" s="84"/>
      <c r="I478" s="84"/>
      <c r="J478" s="84"/>
      <c r="K478" s="84"/>
      <c r="L478" s="84"/>
      <c r="M478" s="84"/>
      <c r="N478" s="84"/>
      <c r="O478" s="84"/>
      <c r="P478" s="85"/>
      <c r="Q478" s="75"/>
      <c r="R478" s="75"/>
      <c r="S478" s="75"/>
      <c r="T478" s="75"/>
      <c r="U478" s="89"/>
      <c r="V478" s="84"/>
      <c r="W478" s="84"/>
      <c r="X478" s="84"/>
      <c r="Y478" s="84"/>
      <c r="Z478" s="84"/>
      <c r="AA478" s="1"/>
      <c r="AB478" s="330"/>
      <c r="AC478" s="321"/>
      <c r="AD478" s="321"/>
    </row>
    <row r="479" spans="1:30" ht="15.75" customHeight="1">
      <c r="A479" s="83"/>
      <c r="B479" s="83"/>
      <c r="C479" s="83"/>
      <c r="D479" s="84"/>
      <c r="E479" s="84"/>
      <c r="F479" s="84"/>
      <c r="G479" s="83"/>
      <c r="H479" s="84"/>
      <c r="I479" s="84"/>
      <c r="J479" s="84"/>
      <c r="K479" s="84"/>
      <c r="L479" s="84"/>
      <c r="M479" s="84"/>
      <c r="N479" s="84"/>
      <c r="O479" s="84"/>
      <c r="P479" s="85"/>
      <c r="Q479" s="75"/>
      <c r="R479" s="75"/>
      <c r="S479" s="75"/>
      <c r="T479" s="75"/>
      <c r="U479" s="89"/>
      <c r="V479" s="84"/>
      <c r="W479" s="84"/>
      <c r="X479" s="84"/>
      <c r="Y479" s="84"/>
      <c r="Z479" s="84"/>
      <c r="AA479" s="1"/>
      <c r="AB479" s="330"/>
      <c r="AC479" s="321"/>
      <c r="AD479" s="321"/>
    </row>
    <row r="480" spans="1:30" ht="15.75" customHeight="1">
      <c r="A480" s="83"/>
      <c r="B480" s="83"/>
      <c r="C480" s="83"/>
      <c r="D480" s="84"/>
      <c r="E480" s="84"/>
      <c r="F480" s="84"/>
      <c r="G480" s="83"/>
      <c r="H480" s="84"/>
      <c r="I480" s="84"/>
      <c r="J480" s="84"/>
      <c r="K480" s="84"/>
      <c r="L480" s="84"/>
      <c r="M480" s="84"/>
      <c r="N480" s="84"/>
      <c r="O480" s="84"/>
      <c r="P480" s="85"/>
      <c r="Q480" s="75"/>
      <c r="R480" s="75"/>
      <c r="S480" s="75"/>
      <c r="T480" s="75"/>
      <c r="U480" s="89"/>
      <c r="V480" s="84"/>
      <c r="W480" s="84"/>
      <c r="X480" s="84"/>
      <c r="Y480" s="84"/>
      <c r="Z480" s="84"/>
      <c r="AA480" s="1"/>
      <c r="AB480" s="330"/>
      <c r="AC480" s="321"/>
      <c r="AD480" s="321"/>
    </row>
    <row r="481" spans="1:30" ht="15.75" customHeight="1">
      <c r="A481" s="83"/>
      <c r="B481" s="83"/>
      <c r="C481" s="83"/>
      <c r="D481" s="84"/>
      <c r="E481" s="84"/>
      <c r="F481" s="84"/>
      <c r="G481" s="83"/>
      <c r="H481" s="84"/>
      <c r="I481" s="84"/>
      <c r="J481" s="84"/>
      <c r="K481" s="84"/>
      <c r="L481" s="84"/>
      <c r="M481" s="84"/>
      <c r="N481" s="84"/>
      <c r="O481" s="84"/>
      <c r="P481" s="85"/>
      <c r="Q481" s="75"/>
      <c r="R481" s="75"/>
      <c r="S481" s="75"/>
      <c r="T481" s="75"/>
      <c r="U481" s="89"/>
      <c r="V481" s="84"/>
      <c r="W481" s="84"/>
      <c r="X481" s="84"/>
      <c r="Y481" s="84"/>
      <c r="Z481" s="84"/>
      <c r="AA481" s="1"/>
      <c r="AB481" s="330"/>
      <c r="AC481" s="321"/>
      <c r="AD481" s="321"/>
    </row>
    <row r="482" spans="1:30" ht="15.75" customHeight="1">
      <c r="A482" s="83"/>
      <c r="B482" s="83"/>
      <c r="C482" s="83"/>
      <c r="D482" s="84"/>
      <c r="E482" s="84"/>
      <c r="F482" s="84"/>
      <c r="G482" s="83"/>
      <c r="H482" s="84"/>
      <c r="I482" s="84"/>
      <c r="J482" s="84"/>
      <c r="K482" s="84"/>
      <c r="L482" s="84"/>
      <c r="M482" s="84"/>
      <c r="N482" s="84"/>
      <c r="O482" s="84"/>
      <c r="P482" s="85"/>
      <c r="Q482" s="75"/>
      <c r="R482" s="75"/>
      <c r="S482" s="75"/>
      <c r="T482" s="75"/>
      <c r="U482" s="89"/>
      <c r="V482" s="84"/>
      <c r="W482" s="84"/>
      <c r="X482" s="84"/>
      <c r="Y482" s="84"/>
      <c r="Z482" s="84"/>
      <c r="AA482" s="1"/>
      <c r="AB482" s="330"/>
      <c r="AC482" s="321"/>
      <c r="AD482" s="321"/>
    </row>
    <row r="483" spans="1:30" ht="15.75" customHeight="1">
      <c r="A483" s="83"/>
      <c r="B483" s="83"/>
      <c r="C483" s="83"/>
      <c r="D483" s="84"/>
      <c r="E483" s="84"/>
      <c r="F483" s="84"/>
      <c r="G483" s="83"/>
      <c r="H483" s="84"/>
      <c r="I483" s="84"/>
      <c r="J483" s="84"/>
      <c r="K483" s="84"/>
      <c r="L483" s="84"/>
      <c r="M483" s="84"/>
      <c r="N483" s="84"/>
      <c r="O483" s="84"/>
      <c r="P483" s="85"/>
      <c r="Q483" s="75"/>
      <c r="R483" s="75"/>
      <c r="S483" s="75"/>
      <c r="T483" s="75"/>
      <c r="U483" s="89"/>
      <c r="V483" s="84"/>
      <c r="W483" s="84"/>
      <c r="X483" s="84"/>
      <c r="Y483" s="84"/>
      <c r="Z483" s="84"/>
      <c r="AA483" s="1"/>
      <c r="AB483" s="330"/>
      <c r="AC483" s="321"/>
      <c r="AD483" s="321"/>
    </row>
    <row r="484" spans="1:30" ht="15.75" customHeight="1">
      <c r="A484" s="83"/>
      <c r="B484" s="83"/>
      <c r="C484" s="83"/>
      <c r="D484" s="84"/>
      <c r="E484" s="84"/>
      <c r="F484" s="84"/>
      <c r="G484" s="83"/>
      <c r="H484" s="84"/>
      <c r="I484" s="84"/>
      <c r="J484" s="84"/>
      <c r="K484" s="84"/>
      <c r="L484" s="84"/>
      <c r="M484" s="84"/>
      <c r="N484" s="84"/>
      <c r="O484" s="84"/>
      <c r="P484" s="85"/>
      <c r="Q484" s="75"/>
      <c r="R484" s="75"/>
      <c r="S484" s="75"/>
      <c r="T484" s="75"/>
      <c r="U484" s="89"/>
      <c r="V484" s="84"/>
      <c r="W484" s="84"/>
      <c r="X484" s="84"/>
      <c r="Y484" s="84"/>
      <c r="Z484" s="84"/>
      <c r="AA484" s="1"/>
      <c r="AB484" s="330"/>
      <c r="AC484" s="321"/>
      <c r="AD484" s="321"/>
    </row>
    <row r="485" spans="1:30" ht="15.75" customHeight="1">
      <c r="A485" s="83"/>
      <c r="B485" s="83"/>
      <c r="C485" s="83"/>
      <c r="D485" s="84"/>
      <c r="E485" s="84"/>
      <c r="F485" s="84"/>
      <c r="G485" s="83"/>
      <c r="H485" s="84"/>
      <c r="I485" s="84"/>
      <c r="J485" s="84"/>
      <c r="K485" s="84"/>
      <c r="L485" s="84"/>
      <c r="M485" s="84"/>
      <c r="N485" s="84"/>
      <c r="O485" s="84"/>
      <c r="P485" s="85"/>
      <c r="Q485" s="75"/>
      <c r="R485" s="75"/>
      <c r="S485" s="75"/>
      <c r="T485" s="75"/>
      <c r="U485" s="89"/>
      <c r="V485" s="84"/>
      <c r="W485" s="84"/>
      <c r="X485" s="84"/>
      <c r="Y485" s="84"/>
      <c r="Z485" s="84"/>
      <c r="AA485" s="1"/>
      <c r="AB485" s="330"/>
      <c r="AC485" s="321"/>
      <c r="AD485" s="321"/>
    </row>
    <row r="486" spans="1:30" ht="15.75" customHeight="1">
      <c r="A486" s="83"/>
      <c r="B486" s="83"/>
      <c r="C486" s="83"/>
      <c r="D486" s="84"/>
      <c r="E486" s="84"/>
      <c r="F486" s="84"/>
      <c r="G486" s="83"/>
      <c r="H486" s="84"/>
      <c r="I486" s="84"/>
      <c r="J486" s="84"/>
      <c r="K486" s="84"/>
      <c r="L486" s="84"/>
      <c r="M486" s="84"/>
      <c r="N486" s="84"/>
      <c r="O486" s="84"/>
      <c r="P486" s="85"/>
      <c r="Q486" s="75"/>
      <c r="R486" s="75"/>
      <c r="S486" s="75"/>
      <c r="T486" s="75"/>
      <c r="U486" s="89"/>
      <c r="V486" s="84"/>
      <c r="W486" s="84"/>
      <c r="X486" s="84"/>
      <c r="Y486" s="84"/>
      <c r="Z486" s="84"/>
      <c r="AA486" s="1"/>
      <c r="AB486" s="330"/>
      <c r="AC486" s="321"/>
      <c r="AD486" s="321"/>
    </row>
    <row r="487" spans="1:30" ht="15.75" customHeight="1">
      <c r="A487" s="83"/>
      <c r="B487" s="83"/>
      <c r="C487" s="83"/>
      <c r="D487" s="84"/>
      <c r="E487" s="84"/>
      <c r="F487" s="84"/>
      <c r="G487" s="83"/>
      <c r="H487" s="84"/>
      <c r="I487" s="84"/>
      <c r="J487" s="84"/>
      <c r="K487" s="84"/>
      <c r="L487" s="84"/>
      <c r="M487" s="84"/>
      <c r="N487" s="84"/>
      <c r="O487" s="84"/>
      <c r="P487" s="85"/>
      <c r="Q487" s="75"/>
      <c r="R487" s="75"/>
      <c r="S487" s="75"/>
      <c r="T487" s="75"/>
      <c r="U487" s="89"/>
      <c r="V487" s="84"/>
      <c r="W487" s="84"/>
      <c r="X487" s="84"/>
      <c r="Y487" s="84"/>
      <c r="Z487" s="84"/>
      <c r="AA487" s="1"/>
      <c r="AB487" s="330"/>
      <c r="AC487" s="321"/>
      <c r="AD487" s="321"/>
    </row>
    <row r="488" spans="1:30" ht="15.75" customHeight="1">
      <c r="A488" s="83"/>
      <c r="B488" s="83"/>
      <c r="C488" s="83"/>
      <c r="D488" s="84"/>
      <c r="E488" s="84"/>
      <c r="F488" s="84"/>
      <c r="G488" s="83"/>
      <c r="H488" s="84"/>
      <c r="I488" s="84"/>
      <c r="J488" s="84"/>
      <c r="K488" s="84"/>
      <c r="L488" s="84"/>
      <c r="M488" s="84"/>
      <c r="N488" s="84"/>
      <c r="O488" s="84"/>
      <c r="P488" s="85"/>
      <c r="Q488" s="75"/>
      <c r="R488" s="75"/>
      <c r="S488" s="75"/>
      <c r="T488" s="75"/>
      <c r="U488" s="89"/>
      <c r="V488" s="84"/>
      <c r="W488" s="84"/>
      <c r="X488" s="84"/>
      <c r="Y488" s="84"/>
      <c r="Z488" s="84"/>
      <c r="AA488" s="1"/>
      <c r="AB488" s="330"/>
      <c r="AC488" s="321"/>
      <c r="AD488" s="321"/>
    </row>
    <row r="489" spans="1:30" ht="15.75" customHeight="1">
      <c r="A489" s="83"/>
      <c r="B489" s="83"/>
      <c r="C489" s="83"/>
      <c r="D489" s="84"/>
      <c r="E489" s="84"/>
      <c r="F489" s="84"/>
      <c r="G489" s="83"/>
      <c r="H489" s="84"/>
      <c r="I489" s="84"/>
      <c r="J489" s="84"/>
      <c r="K489" s="84"/>
      <c r="L489" s="84"/>
      <c r="M489" s="84"/>
      <c r="N489" s="84"/>
      <c r="O489" s="84"/>
      <c r="P489" s="85"/>
      <c r="Q489" s="75"/>
      <c r="R489" s="75"/>
      <c r="S489" s="75"/>
      <c r="T489" s="75"/>
      <c r="U489" s="89"/>
      <c r="V489" s="84"/>
      <c r="W489" s="84"/>
      <c r="X489" s="84"/>
      <c r="Y489" s="84"/>
      <c r="Z489" s="84"/>
      <c r="AA489" s="1"/>
      <c r="AB489" s="330"/>
      <c r="AC489" s="321"/>
      <c r="AD489" s="321"/>
    </row>
    <row r="490" spans="1:30" ht="15.75" customHeight="1">
      <c r="A490" s="83"/>
      <c r="B490" s="83"/>
      <c r="C490" s="83"/>
      <c r="D490" s="84"/>
      <c r="E490" s="84"/>
      <c r="F490" s="84"/>
      <c r="G490" s="83"/>
      <c r="H490" s="84"/>
      <c r="I490" s="84"/>
      <c r="J490" s="84"/>
      <c r="K490" s="84"/>
      <c r="L490" s="84"/>
      <c r="M490" s="84"/>
      <c r="N490" s="84"/>
      <c r="O490" s="84"/>
      <c r="P490" s="85"/>
      <c r="Q490" s="75"/>
      <c r="R490" s="75"/>
      <c r="S490" s="75"/>
      <c r="T490" s="75"/>
      <c r="U490" s="89"/>
      <c r="V490" s="84"/>
      <c r="W490" s="84"/>
      <c r="X490" s="84"/>
      <c r="Y490" s="84"/>
      <c r="Z490" s="84"/>
      <c r="AA490" s="1"/>
      <c r="AB490" s="330"/>
      <c r="AC490" s="321"/>
      <c r="AD490" s="321"/>
    </row>
    <row r="491" spans="1:30" ht="15.75" customHeight="1">
      <c r="A491" s="83"/>
      <c r="B491" s="83"/>
      <c r="C491" s="83"/>
      <c r="D491" s="84"/>
      <c r="E491" s="84"/>
      <c r="F491" s="84"/>
      <c r="G491" s="83"/>
      <c r="H491" s="84"/>
      <c r="I491" s="84"/>
      <c r="J491" s="84"/>
      <c r="K491" s="84"/>
      <c r="L491" s="84"/>
      <c r="M491" s="84"/>
      <c r="N491" s="84"/>
      <c r="O491" s="84"/>
      <c r="P491" s="85"/>
      <c r="Q491" s="75"/>
      <c r="R491" s="75"/>
      <c r="S491" s="75"/>
      <c r="T491" s="75"/>
      <c r="U491" s="89"/>
      <c r="V491" s="84"/>
      <c r="W491" s="84"/>
      <c r="X491" s="84"/>
      <c r="Y491" s="84"/>
      <c r="Z491" s="84"/>
      <c r="AA491" s="1"/>
      <c r="AB491" s="330"/>
      <c r="AC491" s="321"/>
      <c r="AD491" s="321"/>
    </row>
    <row r="492" spans="1:30" ht="15.75" customHeight="1">
      <c r="A492" s="83"/>
      <c r="B492" s="83"/>
      <c r="C492" s="83"/>
      <c r="D492" s="84"/>
      <c r="E492" s="84"/>
      <c r="F492" s="84"/>
      <c r="G492" s="83"/>
      <c r="H492" s="84"/>
      <c r="I492" s="84"/>
      <c r="J492" s="84"/>
      <c r="K492" s="84"/>
      <c r="L492" s="84"/>
      <c r="M492" s="84"/>
      <c r="N492" s="84"/>
      <c r="O492" s="84"/>
      <c r="P492" s="85"/>
      <c r="Q492" s="75"/>
      <c r="R492" s="75"/>
      <c r="S492" s="75"/>
      <c r="T492" s="75"/>
      <c r="U492" s="89"/>
      <c r="V492" s="84"/>
      <c r="W492" s="84"/>
      <c r="X492" s="84"/>
      <c r="Y492" s="84"/>
      <c r="Z492" s="84"/>
      <c r="AA492" s="1"/>
      <c r="AB492" s="330"/>
      <c r="AC492" s="321"/>
      <c r="AD492" s="321"/>
    </row>
    <row r="493" spans="1:30" ht="15.75" customHeight="1">
      <c r="A493" s="83"/>
      <c r="B493" s="83"/>
      <c r="C493" s="83"/>
      <c r="D493" s="84"/>
      <c r="E493" s="84"/>
      <c r="F493" s="84"/>
      <c r="G493" s="83"/>
      <c r="H493" s="84"/>
      <c r="I493" s="84"/>
      <c r="J493" s="84"/>
      <c r="K493" s="84"/>
      <c r="L493" s="84"/>
      <c r="M493" s="84"/>
      <c r="N493" s="84"/>
      <c r="O493" s="84"/>
      <c r="P493" s="85"/>
      <c r="Q493" s="75"/>
      <c r="R493" s="75"/>
      <c r="S493" s="75"/>
      <c r="T493" s="75"/>
      <c r="U493" s="89"/>
      <c r="V493" s="84"/>
      <c r="W493" s="84"/>
      <c r="X493" s="84"/>
      <c r="Y493" s="84"/>
      <c r="Z493" s="84"/>
      <c r="AA493" s="1"/>
      <c r="AB493" s="330"/>
      <c r="AC493" s="321"/>
      <c r="AD493" s="321"/>
    </row>
    <row r="494" spans="1:30" ht="15.75" customHeight="1">
      <c r="A494" s="83"/>
      <c r="B494" s="83"/>
      <c r="C494" s="83"/>
      <c r="D494" s="84"/>
      <c r="E494" s="84"/>
      <c r="F494" s="84"/>
      <c r="G494" s="83"/>
      <c r="H494" s="84"/>
      <c r="I494" s="84"/>
      <c r="J494" s="84"/>
      <c r="K494" s="84"/>
      <c r="L494" s="84"/>
      <c r="M494" s="84"/>
      <c r="N494" s="84"/>
      <c r="O494" s="84"/>
      <c r="P494" s="85"/>
      <c r="Q494" s="75"/>
      <c r="R494" s="75"/>
      <c r="S494" s="75"/>
      <c r="T494" s="75"/>
      <c r="U494" s="89"/>
      <c r="V494" s="84"/>
      <c r="W494" s="84"/>
      <c r="X494" s="84"/>
      <c r="Y494" s="84"/>
      <c r="Z494" s="84"/>
      <c r="AA494" s="1"/>
      <c r="AB494" s="330"/>
      <c r="AC494" s="321"/>
      <c r="AD494" s="321"/>
    </row>
    <row r="495" spans="1:30" ht="15.75" customHeight="1">
      <c r="A495" s="83"/>
      <c r="B495" s="83"/>
      <c r="C495" s="83"/>
      <c r="D495" s="84"/>
      <c r="E495" s="84"/>
      <c r="F495" s="84"/>
      <c r="G495" s="83"/>
      <c r="H495" s="84"/>
      <c r="I495" s="84"/>
      <c r="J495" s="84"/>
      <c r="K495" s="84"/>
      <c r="L495" s="84"/>
      <c r="M495" s="84"/>
      <c r="N495" s="84"/>
      <c r="O495" s="84"/>
      <c r="P495" s="85"/>
      <c r="Q495" s="75"/>
      <c r="R495" s="75"/>
      <c r="S495" s="75"/>
      <c r="T495" s="75"/>
      <c r="U495" s="89"/>
      <c r="V495" s="84"/>
      <c r="W495" s="84"/>
      <c r="X495" s="84"/>
      <c r="Y495" s="84"/>
      <c r="Z495" s="84"/>
      <c r="AA495" s="1"/>
      <c r="AB495" s="330"/>
      <c r="AC495" s="321"/>
      <c r="AD495" s="321"/>
    </row>
    <row r="496" spans="1:30" ht="15.75" customHeight="1">
      <c r="A496" s="83"/>
      <c r="B496" s="83"/>
      <c r="C496" s="83"/>
      <c r="D496" s="84"/>
      <c r="E496" s="84"/>
      <c r="F496" s="84"/>
      <c r="G496" s="83"/>
      <c r="H496" s="84"/>
      <c r="I496" s="84"/>
      <c r="J496" s="84"/>
      <c r="K496" s="84"/>
      <c r="L496" s="84"/>
      <c r="M496" s="84"/>
      <c r="N496" s="84"/>
      <c r="O496" s="84"/>
      <c r="P496" s="85"/>
      <c r="Q496" s="75"/>
      <c r="R496" s="75"/>
      <c r="S496" s="75"/>
      <c r="T496" s="75"/>
      <c r="U496" s="89"/>
      <c r="V496" s="84"/>
      <c r="W496" s="84"/>
      <c r="X496" s="84"/>
      <c r="Y496" s="84"/>
      <c r="Z496" s="84"/>
      <c r="AA496" s="1"/>
      <c r="AB496" s="330"/>
      <c r="AC496" s="321"/>
      <c r="AD496" s="321"/>
    </row>
    <row r="497" spans="1:30" ht="15.75" customHeight="1">
      <c r="A497" s="83"/>
      <c r="B497" s="83"/>
      <c r="C497" s="83"/>
      <c r="D497" s="84"/>
      <c r="E497" s="84"/>
      <c r="F497" s="84"/>
      <c r="G497" s="83"/>
      <c r="H497" s="84"/>
      <c r="I497" s="84"/>
      <c r="J497" s="84"/>
      <c r="K497" s="84"/>
      <c r="L497" s="84"/>
      <c r="M497" s="84"/>
      <c r="N497" s="84"/>
      <c r="O497" s="84"/>
      <c r="P497" s="85"/>
      <c r="Q497" s="75"/>
      <c r="R497" s="75"/>
      <c r="S497" s="75"/>
      <c r="T497" s="75"/>
      <c r="U497" s="89"/>
      <c r="V497" s="84"/>
      <c r="W497" s="84"/>
      <c r="X497" s="84"/>
      <c r="Y497" s="84"/>
      <c r="Z497" s="84"/>
      <c r="AA497" s="1"/>
      <c r="AB497" s="330"/>
      <c r="AC497" s="321"/>
      <c r="AD497" s="321"/>
    </row>
    <row r="498" spans="1:30" ht="15.75" customHeight="1">
      <c r="A498" s="83"/>
      <c r="B498" s="83"/>
      <c r="C498" s="83"/>
      <c r="D498" s="84"/>
      <c r="E498" s="84"/>
      <c r="F498" s="84"/>
      <c r="G498" s="83"/>
      <c r="H498" s="84"/>
      <c r="I498" s="84"/>
      <c r="J498" s="84"/>
      <c r="K498" s="84"/>
      <c r="L498" s="84"/>
      <c r="M498" s="84"/>
      <c r="N498" s="84"/>
      <c r="O498" s="84"/>
      <c r="P498" s="85"/>
      <c r="Q498" s="75"/>
      <c r="R498" s="75"/>
      <c r="S498" s="75"/>
      <c r="T498" s="75"/>
      <c r="U498" s="89"/>
      <c r="V498" s="84"/>
      <c r="W498" s="84"/>
      <c r="X498" s="84"/>
      <c r="Y498" s="84"/>
      <c r="Z498" s="84"/>
      <c r="AA498" s="1"/>
      <c r="AB498" s="330"/>
      <c r="AC498" s="321"/>
      <c r="AD498" s="321"/>
    </row>
    <row r="499" spans="1:30" ht="15.75" customHeight="1">
      <c r="A499" s="83"/>
      <c r="B499" s="83"/>
      <c r="C499" s="83"/>
      <c r="D499" s="84"/>
      <c r="E499" s="84"/>
      <c r="F499" s="84"/>
      <c r="G499" s="83"/>
      <c r="H499" s="84"/>
      <c r="I499" s="84"/>
      <c r="J499" s="84"/>
      <c r="K499" s="84"/>
      <c r="L499" s="84"/>
      <c r="M499" s="84"/>
      <c r="N499" s="84"/>
      <c r="O499" s="84"/>
      <c r="P499" s="85"/>
      <c r="Q499" s="75"/>
      <c r="R499" s="75"/>
      <c r="S499" s="75"/>
      <c r="T499" s="75"/>
      <c r="U499" s="89"/>
      <c r="V499" s="84"/>
      <c r="W499" s="84"/>
      <c r="X499" s="84"/>
      <c r="Y499" s="84"/>
      <c r="Z499" s="84"/>
      <c r="AA499" s="1"/>
      <c r="AB499" s="330"/>
      <c r="AC499" s="321"/>
      <c r="AD499" s="321"/>
    </row>
    <row r="500" spans="1:30" ht="15.75" customHeight="1">
      <c r="A500" s="83"/>
      <c r="B500" s="83"/>
      <c r="C500" s="83"/>
      <c r="D500" s="84"/>
      <c r="E500" s="84"/>
      <c r="F500" s="84"/>
      <c r="G500" s="83"/>
      <c r="H500" s="84"/>
      <c r="I500" s="84"/>
      <c r="J500" s="84"/>
      <c r="K500" s="84"/>
      <c r="L500" s="84"/>
      <c r="M500" s="84"/>
      <c r="N500" s="84"/>
      <c r="O500" s="84"/>
      <c r="P500" s="85"/>
      <c r="Q500" s="75"/>
      <c r="R500" s="75"/>
      <c r="S500" s="75"/>
      <c r="T500" s="75"/>
      <c r="U500" s="89"/>
      <c r="V500" s="84"/>
      <c r="W500" s="84"/>
      <c r="X500" s="84"/>
      <c r="Y500" s="84"/>
      <c r="Z500" s="84"/>
      <c r="AA500" s="1"/>
      <c r="AB500" s="330"/>
      <c r="AC500" s="321"/>
      <c r="AD500" s="321"/>
    </row>
    <row r="501" spans="1:30" ht="15.75" customHeight="1">
      <c r="A501" s="83"/>
      <c r="B501" s="83"/>
      <c r="C501" s="83"/>
      <c r="D501" s="84"/>
      <c r="E501" s="84"/>
      <c r="F501" s="84"/>
      <c r="G501" s="83"/>
      <c r="H501" s="84"/>
      <c r="I501" s="84"/>
      <c r="J501" s="84"/>
      <c r="K501" s="84"/>
      <c r="L501" s="84"/>
      <c r="M501" s="84"/>
      <c r="N501" s="84"/>
      <c r="O501" s="84"/>
      <c r="P501" s="85"/>
      <c r="Q501" s="75"/>
      <c r="R501" s="75"/>
      <c r="S501" s="75"/>
      <c r="T501" s="75"/>
      <c r="U501" s="89"/>
      <c r="V501" s="84"/>
      <c r="W501" s="84"/>
      <c r="X501" s="84"/>
      <c r="Y501" s="84"/>
      <c r="Z501" s="84"/>
      <c r="AA501" s="1"/>
      <c r="AB501" s="330"/>
      <c r="AC501" s="321"/>
      <c r="AD501" s="321"/>
    </row>
    <row r="502" spans="1:30" ht="15.75" customHeight="1">
      <c r="A502" s="83"/>
      <c r="B502" s="83"/>
      <c r="C502" s="83"/>
      <c r="D502" s="84"/>
      <c r="E502" s="84"/>
      <c r="F502" s="84"/>
      <c r="G502" s="83"/>
      <c r="H502" s="84"/>
      <c r="I502" s="84"/>
      <c r="J502" s="84"/>
      <c r="K502" s="84"/>
      <c r="L502" s="84"/>
      <c r="M502" s="84"/>
      <c r="N502" s="84"/>
      <c r="O502" s="84"/>
      <c r="P502" s="85"/>
      <c r="Q502" s="75"/>
      <c r="R502" s="75"/>
      <c r="S502" s="75"/>
      <c r="T502" s="75"/>
      <c r="U502" s="89"/>
      <c r="V502" s="84"/>
      <c r="W502" s="84"/>
      <c r="X502" s="84"/>
      <c r="Y502" s="84"/>
      <c r="Z502" s="84"/>
      <c r="AA502" s="1"/>
      <c r="AB502" s="330"/>
      <c r="AC502" s="321"/>
      <c r="AD502" s="321"/>
    </row>
    <row r="503" spans="1:30" ht="15.75" customHeight="1">
      <c r="A503" s="83"/>
      <c r="B503" s="83"/>
      <c r="C503" s="83"/>
      <c r="D503" s="84"/>
      <c r="E503" s="84"/>
      <c r="F503" s="84"/>
      <c r="G503" s="83"/>
      <c r="H503" s="84"/>
      <c r="I503" s="84"/>
      <c r="J503" s="84"/>
      <c r="K503" s="84"/>
      <c r="L503" s="84"/>
      <c r="M503" s="84"/>
      <c r="N503" s="84"/>
      <c r="O503" s="84"/>
      <c r="P503" s="85"/>
      <c r="Q503" s="75"/>
      <c r="R503" s="75"/>
      <c r="S503" s="75"/>
      <c r="T503" s="75"/>
      <c r="U503" s="89"/>
      <c r="V503" s="84"/>
      <c r="W503" s="84"/>
      <c r="X503" s="84"/>
      <c r="Y503" s="84"/>
      <c r="Z503" s="84"/>
      <c r="AA503" s="1"/>
      <c r="AB503" s="330"/>
      <c r="AC503" s="321"/>
      <c r="AD503" s="321"/>
    </row>
    <row r="504" spans="1:30" ht="15.75" customHeight="1">
      <c r="A504" s="83"/>
      <c r="B504" s="83"/>
      <c r="C504" s="83"/>
      <c r="D504" s="84"/>
      <c r="E504" s="84"/>
      <c r="F504" s="84"/>
      <c r="G504" s="83"/>
      <c r="H504" s="84"/>
      <c r="I504" s="84"/>
      <c r="J504" s="84"/>
      <c r="K504" s="84"/>
      <c r="L504" s="84"/>
      <c r="M504" s="84"/>
      <c r="N504" s="84"/>
      <c r="O504" s="84"/>
      <c r="P504" s="85"/>
      <c r="Q504" s="75"/>
      <c r="R504" s="75"/>
      <c r="S504" s="75"/>
      <c r="T504" s="75"/>
      <c r="U504" s="89"/>
      <c r="V504" s="84"/>
      <c r="W504" s="84"/>
      <c r="X504" s="84"/>
      <c r="Y504" s="84"/>
      <c r="Z504" s="84"/>
      <c r="AA504" s="1"/>
      <c r="AB504" s="330"/>
      <c r="AC504" s="321"/>
      <c r="AD504" s="321"/>
    </row>
    <row r="505" spans="1:30" ht="15.75" customHeight="1">
      <c r="A505" s="83"/>
      <c r="B505" s="83"/>
      <c r="C505" s="83"/>
      <c r="D505" s="84"/>
      <c r="E505" s="84"/>
      <c r="F505" s="84"/>
      <c r="G505" s="83"/>
      <c r="H505" s="84"/>
      <c r="I505" s="84"/>
      <c r="J505" s="84"/>
      <c r="K505" s="84"/>
      <c r="L505" s="84"/>
      <c r="M505" s="84"/>
      <c r="N505" s="84"/>
      <c r="O505" s="84"/>
      <c r="P505" s="85"/>
      <c r="Q505" s="75"/>
      <c r="R505" s="75"/>
      <c r="S505" s="75"/>
      <c r="T505" s="75"/>
      <c r="U505" s="89"/>
      <c r="V505" s="84"/>
      <c r="W505" s="84"/>
      <c r="X505" s="84"/>
      <c r="Y505" s="84"/>
      <c r="Z505" s="84"/>
      <c r="AA505" s="1"/>
      <c r="AB505" s="330"/>
      <c r="AC505" s="321"/>
      <c r="AD505" s="321"/>
    </row>
    <row r="506" spans="1:30" ht="15.75" customHeight="1">
      <c r="A506" s="83"/>
      <c r="B506" s="83"/>
      <c r="C506" s="83"/>
      <c r="D506" s="84"/>
      <c r="E506" s="84"/>
      <c r="F506" s="84"/>
      <c r="G506" s="83"/>
      <c r="H506" s="84"/>
      <c r="I506" s="84"/>
      <c r="J506" s="84"/>
      <c r="K506" s="84"/>
      <c r="L506" s="84"/>
      <c r="M506" s="84"/>
      <c r="N506" s="84"/>
      <c r="O506" s="84"/>
      <c r="P506" s="85"/>
      <c r="Q506" s="75"/>
      <c r="R506" s="75"/>
      <c r="S506" s="75"/>
      <c r="T506" s="75"/>
      <c r="U506" s="89"/>
      <c r="V506" s="84"/>
      <c r="W506" s="84"/>
      <c r="X506" s="84"/>
      <c r="Y506" s="84"/>
      <c r="Z506" s="84"/>
      <c r="AA506" s="1"/>
      <c r="AB506" s="330"/>
      <c r="AC506" s="321"/>
      <c r="AD506" s="321"/>
    </row>
    <row r="507" spans="1:30" ht="15.75" customHeight="1">
      <c r="A507" s="83"/>
      <c r="B507" s="83"/>
      <c r="C507" s="83"/>
      <c r="D507" s="84"/>
      <c r="E507" s="84"/>
      <c r="F507" s="84"/>
      <c r="G507" s="83"/>
      <c r="H507" s="84"/>
      <c r="I507" s="84"/>
      <c r="J507" s="84"/>
      <c r="K507" s="84"/>
      <c r="L507" s="84"/>
      <c r="M507" s="84"/>
      <c r="N507" s="84"/>
      <c r="O507" s="84"/>
      <c r="P507" s="85"/>
      <c r="Q507" s="75"/>
      <c r="R507" s="75"/>
      <c r="S507" s="75"/>
      <c r="T507" s="75"/>
      <c r="U507" s="89"/>
      <c r="V507" s="84"/>
      <c r="W507" s="84"/>
      <c r="X507" s="84"/>
      <c r="Y507" s="84"/>
      <c r="Z507" s="84"/>
      <c r="AA507" s="1"/>
      <c r="AB507" s="330"/>
      <c r="AC507" s="321"/>
      <c r="AD507" s="321"/>
    </row>
    <row r="508" spans="1:30" ht="15.75" customHeight="1">
      <c r="A508" s="83"/>
      <c r="B508" s="83"/>
      <c r="C508" s="83"/>
      <c r="D508" s="84"/>
      <c r="E508" s="84"/>
      <c r="F508" s="84"/>
      <c r="G508" s="83"/>
      <c r="H508" s="84"/>
      <c r="I508" s="84"/>
      <c r="J508" s="84"/>
      <c r="K508" s="84"/>
      <c r="L508" s="84"/>
      <c r="M508" s="84"/>
      <c r="N508" s="84"/>
      <c r="O508" s="84"/>
      <c r="P508" s="85"/>
      <c r="Q508" s="75"/>
      <c r="R508" s="75"/>
      <c r="S508" s="75"/>
      <c r="T508" s="75"/>
      <c r="U508" s="89"/>
      <c r="V508" s="84"/>
      <c r="W508" s="84"/>
      <c r="X508" s="84"/>
      <c r="Y508" s="84"/>
      <c r="Z508" s="84"/>
      <c r="AA508" s="1"/>
      <c r="AB508" s="330"/>
      <c r="AC508" s="321"/>
      <c r="AD508" s="321"/>
    </row>
    <row r="509" spans="1:30" ht="15.75" customHeight="1">
      <c r="A509" s="83"/>
      <c r="B509" s="83"/>
      <c r="C509" s="83"/>
      <c r="D509" s="84"/>
      <c r="E509" s="84"/>
      <c r="F509" s="84"/>
      <c r="G509" s="83"/>
      <c r="H509" s="84"/>
      <c r="I509" s="84"/>
      <c r="J509" s="84"/>
      <c r="K509" s="84"/>
      <c r="L509" s="84"/>
      <c r="M509" s="84"/>
      <c r="N509" s="84"/>
      <c r="O509" s="84"/>
      <c r="P509" s="85"/>
      <c r="Q509" s="75"/>
      <c r="R509" s="75"/>
      <c r="S509" s="75"/>
      <c r="T509" s="75"/>
      <c r="U509" s="89"/>
      <c r="V509" s="84"/>
      <c r="W509" s="84"/>
      <c r="X509" s="84"/>
      <c r="Y509" s="84"/>
      <c r="Z509" s="84"/>
      <c r="AA509" s="1"/>
      <c r="AB509" s="330"/>
      <c r="AC509" s="321"/>
      <c r="AD509" s="321"/>
    </row>
    <row r="510" spans="1:30" ht="15.75" customHeight="1">
      <c r="A510" s="83"/>
      <c r="B510" s="83"/>
      <c r="C510" s="83"/>
      <c r="D510" s="84"/>
      <c r="E510" s="84"/>
      <c r="F510" s="84"/>
      <c r="G510" s="83"/>
      <c r="H510" s="84"/>
      <c r="I510" s="84"/>
      <c r="J510" s="84"/>
      <c r="K510" s="84"/>
      <c r="L510" s="84"/>
      <c r="M510" s="84"/>
      <c r="N510" s="84"/>
      <c r="O510" s="84"/>
      <c r="P510" s="85"/>
      <c r="Q510" s="75"/>
      <c r="R510" s="75"/>
      <c r="S510" s="75"/>
      <c r="T510" s="75"/>
      <c r="U510" s="89"/>
      <c r="V510" s="84"/>
      <c r="W510" s="84"/>
      <c r="X510" s="84"/>
      <c r="Y510" s="84"/>
      <c r="Z510" s="84"/>
      <c r="AA510" s="1"/>
      <c r="AB510" s="330"/>
      <c r="AC510" s="321"/>
      <c r="AD510" s="321"/>
    </row>
    <row r="511" spans="1:30" ht="15.75" customHeight="1">
      <c r="A511" s="83"/>
      <c r="B511" s="83"/>
      <c r="C511" s="83"/>
      <c r="D511" s="84"/>
      <c r="E511" s="84"/>
      <c r="F511" s="84"/>
      <c r="G511" s="83"/>
      <c r="H511" s="84"/>
      <c r="I511" s="84"/>
      <c r="J511" s="84"/>
      <c r="K511" s="84"/>
      <c r="L511" s="84"/>
      <c r="M511" s="84"/>
      <c r="N511" s="84"/>
      <c r="O511" s="84"/>
      <c r="P511" s="85"/>
      <c r="Q511" s="75"/>
      <c r="R511" s="75"/>
      <c r="S511" s="75"/>
      <c r="T511" s="75"/>
      <c r="U511" s="89"/>
      <c r="V511" s="84"/>
      <c r="W511" s="84"/>
      <c r="X511" s="84"/>
      <c r="Y511" s="84"/>
      <c r="Z511" s="84"/>
      <c r="AA511" s="1"/>
      <c r="AB511" s="330"/>
      <c r="AC511" s="321"/>
      <c r="AD511" s="321"/>
    </row>
    <row r="512" spans="1:30" ht="15.75" customHeight="1">
      <c r="A512" s="83"/>
      <c r="B512" s="83"/>
      <c r="C512" s="83"/>
      <c r="D512" s="84"/>
      <c r="E512" s="84"/>
      <c r="F512" s="84"/>
      <c r="G512" s="83"/>
      <c r="H512" s="84"/>
      <c r="I512" s="84"/>
      <c r="J512" s="84"/>
      <c r="K512" s="84"/>
      <c r="L512" s="84"/>
      <c r="M512" s="84"/>
      <c r="N512" s="84"/>
      <c r="O512" s="84"/>
      <c r="P512" s="85"/>
      <c r="Q512" s="75"/>
      <c r="R512" s="75"/>
      <c r="S512" s="75"/>
      <c r="T512" s="75"/>
      <c r="U512" s="89"/>
      <c r="V512" s="84"/>
      <c r="W512" s="84"/>
      <c r="X512" s="84"/>
      <c r="Y512" s="84"/>
      <c r="Z512" s="84"/>
      <c r="AA512" s="1"/>
      <c r="AB512" s="330"/>
      <c r="AC512" s="321"/>
      <c r="AD512" s="321"/>
    </row>
    <row r="513" spans="1:30" ht="15.75" customHeight="1">
      <c r="A513" s="83"/>
      <c r="B513" s="83"/>
      <c r="C513" s="83"/>
      <c r="D513" s="84"/>
      <c r="E513" s="84"/>
      <c r="F513" s="84"/>
      <c r="G513" s="83"/>
      <c r="H513" s="84"/>
      <c r="I513" s="84"/>
      <c r="J513" s="84"/>
      <c r="K513" s="84"/>
      <c r="L513" s="84"/>
      <c r="M513" s="84"/>
      <c r="N513" s="84"/>
      <c r="O513" s="84"/>
      <c r="P513" s="85"/>
      <c r="Q513" s="75"/>
      <c r="R513" s="75"/>
      <c r="S513" s="75"/>
      <c r="T513" s="75"/>
      <c r="U513" s="89"/>
      <c r="V513" s="84"/>
      <c r="W513" s="84"/>
      <c r="X513" s="84"/>
      <c r="Y513" s="84"/>
      <c r="Z513" s="84"/>
      <c r="AA513" s="1"/>
      <c r="AB513" s="330"/>
      <c r="AC513" s="321"/>
      <c r="AD513" s="321"/>
    </row>
    <row r="514" spans="1:30" ht="15.75" customHeight="1">
      <c r="A514" s="83"/>
      <c r="B514" s="83"/>
      <c r="C514" s="83"/>
      <c r="D514" s="84"/>
      <c r="E514" s="84"/>
      <c r="F514" s="84"/>
      <c r="G514" s="83"/>
      <c r="H514" s="84"/>
      <c r="I514" s="84"/>
      <c r="J514" s="84"/>
      <c r="K514" s="84"/>
      <c r="L514" s="84"/>
      <c r="M514" s="84"/>
      <c r="N514" s="84"/>
      <c r="O514" s="84"/>
      <c r="P514" s="85"/>
      <c r="Q514" s="75"/>
      <c r="R514" s="75"/>
      <c r="S514" s="75"/>
      <c r="T514" s="75"/>
      <c r="U514" s="89"/>
      <c r="V514" s="84"/>
      <c r="W514" s="84"/>
      <c r="X514" s="84"/>
      <c r="Y514" s="84"/>
      <c r="Z514" s="84"/>
      <c r="AA514" s="1"/>
      <c r="AB514" s="330"/>
      <c r="AC514" s="321"/>
      <c r="AD514" s="321"/>
    </row>
    <row r="515" spans="1:30" ht="15.75" customHeight="1">
      <c r="A515" s="83"/>
      <c r="B515" s="83"/>
      <c r="C515" s="83"/>
      <c r="D515" s="84"/>
      <c r="E515" s="84"/>
      <c r="F515" s="84"/>
      <c r="G515" s="83"/>
      <c r="H515" s="84"/>
      <c r="I515" s="84"/>
      <c r="J515" s="84"/>
      <c r="K515" s="84"/>
      <c r="L515" s="84"/>
      <c r="M515" s="84"/>
      <c r="N515" s="84"/>
      <c r="O515" s="84"/>
      <c r="P515" s="85"/>
      <c r="Q515" s="75"/>
      <c r="R515" s="75"/>
      <c r="S515" s="75"/>
      <c r="T515" s="75"/>
      <c r="U515" s="89"/>
      <c r="V515" s="84"/>
      <c r="W515" s="84"/>
      <c r="X515" s="84"/>
      <c r="Y515" s="84"/>
      <c r="Z515" s="84"/>
      <c r="AA515" s="1"/>
      <c r="AB515" s="330"/>
      <c r="AC515" s="321"/>
      <c r="AD515" s="321"/>
    </row>
    <row r="516" spans="1:30" ht="15.75" customHeight="1">
      <c r="A516" s="83"/>
      <c r="B516" s="83"/>
      <c r="C516" s="83"/>
      <c r="D516" s="84"/>
      <c r="E516" s="84"/>
      <c r="F516" s="84"/>
      <c r="G516" s="83"/>
      <c r="H516" s="84"/>
      <c r="I516" s="84"/>
      <c r="J516" s="84"/>
      <c r="K516" s="84"/>
      <c r="L516" s="84"/>
      <c r="M516" s="84"/>
      <c r="N516" s="84"/>
      <c r="O516" s="84"/>
      <c r="P516" s="85"/>
      <c r="Q516" s="75"/>
      <c r="R516" s="75"/>
      <c r="S516" s="75"/>
      <c r="T516" s="75"/>
      <c r="U516" s="89"/>
      <c r="V516" s="84"/>
      <c r="W516" s="84"/>
      <c r="X516" s="84"/>
      <c r="Y516" s="84"/>
      <c r="Z516" s="84"/>
      <c r="AA516" s="1"/>
      <c r="AB516" s="330"/>
      <c r="AC516" s="321"/>
      <c r="AD516" s="321"/>
    </row>
    <row r="517" spans="1:30" ht="15.75" customHeight="1">
      <c r="A517" s="83"/>
      <c r="B517" s="83"/>
      <c r="C517" s="83"/>
      <c r="D517" s="84"/>
      <c r="E517" s="84"/>
      <c r="F517" s="84"/>
      <c r="G517" s="83"/>
      <c r="H517" s="84"/>
      <c r="I517" s="84"/>
      <c r="J517" s="84"/>
      <c r="K517" s="84"/>
      <c r="L517" s="84"/>
      <c r="M517" s="84"/>
      <c r="N517" s="84"/>
      <c r="O517" s="84"/>
      <c r="P517" s="85"/>
      <c r="Q517" s="75"/>
      <c r="R517" s="75"/>
      <c r="S517" s="75"/>
      <c r="T517" s="75"/>
      <c r="U517" s="89"/>
      <c r="V517" s="84"/>
      <c r="W517" s="84"/>
      <c r="X517" s="84"/>
      <c r="Y517" s="84"/>
      <c r="Z517" s="84"/>
      <c r="AA517" s="1"/>
      <c r="AB517" s="330"/>
      <c r="AC517" s="321"/>
      <c r="AD517" s="321"/>
    </row>
    <row r="518" spans="1:30" ht="15.75" customHeight="1">
      <c r="A518" s="83"/>
      <c r="B518" s="83"/>
      <c r="C518" s="83"/>
      <c r="D518" s="84"/>
      <c r="E518" s="84"/>
      <c r="F518" s="84"/>
      <c r="G518" s="83"/>
      <c r="H518" s="84"/>
      <c r="I518" s="84"/>
      <c r="J518" s="84"/>
      <c r="K518" s="84"/>
      <c r="L518" s="84"/>
      <c r="M518" s="84"/>
      <c r="N518" s="84"/>
      <c r="O518" s="84"/>
      <c r="P518" s="85"/>
      <c r="Q518" s="75"/>
      <c r="R518" s="75"/>
      <c r="S518" s="75"/>
      <c r="T518" s="75"/>
      <c r="U518" s="89"/>
      <c r="V518" s="84"/>
      <c r="W518" s="84"/>
      <c r="X518" s="84"/>
      <c r="Y518" s="84"/>
      <c r="Z518" s="84"/>
      <c r="AA518" s="1"/>
      <c r="AB518" s="330"/>
      <c r="AC518" s="321"/>
      <c r="AD518" s="321"/>
    </row>
    <row r="519" spans="1:30" ht="15.75" customHeight="1">
      <c r="A519" s="83"/>
      <c r="B519" s="83"/>
      <c r="C519" s="83"/>
      <c r="D519" s="84"/>
      <c r="E519" s="84"/>
      <c r="F519" s="84"/>
      <c r="G519" s="83"/>
      <c r="H519" s="84"/>
      <c r="I519" s="84"/>
      <c r="J519" s="84"/>
      <c r="K519" s="84"/>
      <c r="L519" s="84"/>
      <c r="M519" s="84"/>
      <c r="N519" s="84"/>
      <c r="O519" s="84"/>
      <c r="P519" s="85"/>
      <c r="Q519" s="75"/>
      <c r="R519" s="75"/>
      <c r="S519" s="75"/>
      <c r="T519" s="75"/>
      <c r="U519" s="89"/>
      <c r="V519" s="84"/>
      <c r="W519" s="84"/>
      <c r="X519" s="84"/>
      <c r="Y519" s="84"/>
      <c r="Z519" s="84"/>
      <c r="AA519" s="1"/>
      <c r="AB519" s="330"/>
      <c r="AC519" s="321"/>
      <c r="AD519" s="321"/>
    </row>
    <row r="520" spans="1:30" ht="15.75" customHeight="1">
      <c r="A520" s="83"/>
      <c r="B520" s="83"/>
      <c r="C520" s="83"/>
      <c r="D520" s="84"/>
      <c r="E520" s="84"/>
      <c r="F520" s="84"/>
      <c r="G520" s="83"/>
      <c r="H520" s="84"/>
      <c r="I520" s="84"/>
      <c r="J520" s="84"/>
      <c r="K520" s="84"/>
      <c r="L520" s="84"/>
      <c r="M520" s="84"/>
      <c r="N520" s="84"/>
      <c r="O520" s="84"/>
      <c r="P520" s="85"/>
      <c r="Q520" s="75"/>
      <c r="R520" s="75"/>
      <c r="S520" s="75"/>
      <c r="T520" s="75"/>
      <c r="U520" s="89"/>
      <c r="V520" s="84"/>
      <c r="W520" s="84"/>
      <c r="X520" s="84"/>
      <c r="Y520" s="84"/>
      <c r="Z520" s="84"/>
      <c r="AA520" s="1"/>
      <c r="AB520" s="330"/>
      <c r="AC520" s="321"/>
      <c r="AD520" s="321"/>
    </row>
    <row r="521" spans="1:30" ht="15.75" customHeight="1">
      <c r="A521" s="83"/>
      <c r="B521" s="83"/>
      <c r="C521" s="83"/>
      <c r="D521" s="84"/>
      <c r="E521" s="84"/>
      <c r="F521" s="84"/>
      <c r="G521" s="83"/>
      <c r="H521" s="84"/>
      <c r="I521" s="84"/>
      <c r="J521" s="84"/>
      <c r="K521" s="84"/>
      <c r="L521" s="84"/>
      <c r="M521" s="84"/>
      <c r="N521" s="84"/>
      <c r="O521" s="84"/>
      <c r="P521" s="85"/>
      <c r="Q521" s="75"/>
      <c r="R521" s="75"/>
      <c r="S521" s="75"/>
      <c r="T521" s="75"/>
      <c r="U521" s="89"/>
      <c r="V521" s="84"/>
      <c r="W521" s="84"/>
      <c r="X521" s="84"/>
      <c r="Y521" s="84"/>
      <c r="Z521" s="84"/>
      <c r="AA521" s="1"/>
      <c r="AB521" s="330"/>
      <c r="AC521" s="321"/>
      <c r="AD521" s="321"/>
    </row>
    <row r="522" spans="1:30" ht="15.75" customHeight="1">
      <c r="A522" s="83"/>
      <c r="B522" s="83"/>
      <c r="C522" s="83"/>
      <c r="D522" s="84"/>
      <c r="E522" s="84"/>
      <c r="F522" s="84"/>
      <c r="G522" s="83"/>
      <c r="H522" s="84"/>
      <c r="I522" s="84"/>
      <c r="J522" s="84"/>
      <c r="K522" s="84"/>
      <c r="L522" s="84"/>
      <c r="M522" s="84"/>
      <c r="N522" s="84"/>
      <c r="O522" s="84"/>
      <c r="P522" s="85"/>
      <c r="Q522" s="75"/>
      <c r="R522" s="75"/>
      <c r="S522" s="75"/>
      <c r="T522" s="75"/>
      <c r="U522" s="89"/>
      <c r="V522" s="84"/>
      <c r="W522" s="84"/>
      <c r="X522" s="84"/>
      <c r="Y522" s="84"/>
      <c r="Z522" s="84"/>
      <c r="AA522" s="1"/>
      <c r="AB522" s="330"/>
      <c r="AC522" s="321"/>
      <c r="AD522" s="321"/>
    </row>
    <row r="523" spans="1:30" ht="15.75" customHeight="1">
      <c r="A523" s="83"/>
      <c r="B523" s="83"/>
      <c r="C523" s="83"/>
      <c r="D523" s="84"/>
      <c r="E523" s="84"/>
      <c r="F523" s="84"/>
      <c r="G523" s="83"/>
      <c r="H523" s="84"/>
      <c r="I523" s="84"/>
      <c r="J523" s="84"/>
      <c r="K523" s="84"/>
      <c r="L523" s="84"/>
      <c r="M523" s="84"/>
      <c r="N523" s="84"/>
      <c r="O523" s="84"/>
      <c r="P523" s="85"/>
      <c r="Q523" s="75"/>
      <c r="R523" s="75"/>
      <c r="S523" s="75"/>
      <c r="T523" s="75"/>
      <c r="U523" s="89"/>
      <c r="V523" s="84"/>
      <c r="W523" s="84"/>
      <c r="X523" s="84"/>
      <c r="Y523" s="84"/>
      <c r="Z523" s="84"/>
      <c r="AA523" s="1"/>
      <c r="AB523" s="330"/>
      <c r="AC523" s="321"/>
      <c r="AD523" s="321"/>
    </row>
    <row r="524" spans="1:30" ht="15.75" customHeight="1">
      <c r="A524" s="83"/>
      <c r="B524" s="83"/>
      <c r="C524" s="83"/>
      <c r="D524" s="84"/>
      <c r="E524" s="84"/>
      <c r="F524" s="84"/>
      <c r="G524" s="83"/>
      <c r="H524" s="84"/>
      <c r="I524" s="84"/>
      <c r="J524" s="84"/>
      <c r="K524" s="84"/>
      <c r="L524" s="84"/>
      <c r="M524" s="84"/>
      <c r="N524" s="84"/>
      <c r="O524" s="84"/>
      <c r="P524" s="85"/>
      <c r="Q524" s="75"/>
      <c r="R524" s="75"/>
      <c r="S524" s="75"/>
      <c r="T524" s="75"/>
      <c r="U524" s="89"/>
      <c r="V524" s="84"/>
      <c r="W524" s="84"/>
      <c r="X524" s="84"/>
      <c r="Y524" s="84"/>
      <c r="Z524" s="84"/>
      <c r="AA524" s="1"/>
      <c r="AB524" s="330"/>
      <c r="AC524" s="321"/>
      <c r="AD524" s="321"/>
    </row>
    <row r="525" spans="1:30" ht="15.75" customHeight="1">
      <c r="A525" s="83"/>
      <c r="B525" s="83"/>
      <c r="C525" s="83"/>
      <c r="D525" s="84"/>
      <c r="E525" s="84"/>
      <c r="F525" s="84"/>
      <c r="G525" s="83"/>
      <c r="H525" s="84"/>
      <c r="I525" s="84"/>
      <c r="J525" s="84"/>
      <c r="K525" s="84"/>
      <c r="L525" s="84"/>
      <c r="M525" s="84"/>
      <c r="N525" s="84"/>
      <c r="O525" s="84"/>
      <c r="P525" s="85"/>
      <c r="Q525" s="75"/>
      <c r="R525" s="75"/>
      <c r="S525" s="75"/>
      <c r="T525" s="75"/>
      <c r="U525" s="89"/>
      <c r="V525" s="84"/>
      <c r="W525" s="84"/>
      <c r="X525" s="84"/>
      <c r="Y525" s="84"/>
      <c r="Z525" s="84"/>
      <c r="AA525" s="1"/>
      <c r="AB525" s="330"/>
      <c r="AC525" s="321"/>
      <c r="AD525" s="321"/>
    </row>
    <row r="526" spans="1:30" ht="15.75" customHeight="1">
      <c r="A526" s="83"/>
      <c r="B526" s="83"/>
      <c r="C526" s="83"/>
      <c r="D526" s="84"/>
      <c r="E526" s="84"/>
      <c r="F526" s="84"/>
      <c r="G526" s="83"/>
      <c r="H526" s="84"/>
      <c r="I526" s="84"/>
      <c r="J526" s="84"/>
      <c r="K526" s="84"/>
      <c r="L526" s="84"/>
      <c r="M526" s="84"/>
      <c r="N526" s="84"/>
      <c r="O526" s="84"/>
      <c r="P526" s="85"/>
      <c r="Q526" s="75"/>
      <c r="R526" s="75"/>
      <c r="S526" s="75"/>
      <c r="T526" s="75"/>
      <c r="U526" s="89"/>
      <c r="V526" s="84"/>
      <c r="W526" s="84"/>
      <c r="X526" s="84"/>
      <c r="Y526" s="84"/>
      <c r="Z526" s="84"/>
      <c r="AA526" s="1"/>
      <c r="AB526" s="330"/>
      <c r="AC526" s="321"/>
      <c r="AD526" s="321"/>
    </row>
    <row r="527" spans="1:30" ht="15.75" customHeight="1">
      <c r="A527" s="83"/>
      <c r="B527" s="83"/>
      <c r="C527" s="83"/>
      <c r="D527" s="84"/>
      <c r="E527" s="84"/>
      <c r="F527" s="84"/>
      <c r="G527" s="83"/>
      <c r="H527" s="84"/>
      <c r="I527" s="84"/>
      <c r="J527" s="84"/>
      <c r="K527" s="84"/>
      <c r="L527" s="84"/>
      <c r="M527" s="84"/>
      <c r="N527" s="84"/>
      <c r="O527" s="84"/>
      <c r="P527" s="85"/>
      <c r="Q527" s="75"/>
      <c r="R527" s="75"/>
      <c r="S527" s="75"/>
      <c r="T527" s="75"/>
      <c r="U527" s="89"/>
      <c r="V527" s="84"/>
      <c r="W527" s="84"/>
      <c r="X527" s="84"/>
      <c r="Y527" s="84"/>
      <c r="Z527" s="84"/>
      <c r="AA527" s="1"/>
      <c r="AB527" s="330"/>
      <c r="AC527" s="321"/>
      <c r="AD527" s="321"/>
    </row>
    <row r="528" spans="1:30" ht="15.75" customHeight="1">
      <c r="A528" s="83"/>
      <c r="B528" s="83"/>
      <c r="C528" s="83"/>
      <c r="D528" s="84"/>
      <c r="E528" s="84"/>
      <c r="F528" s="84"/>
      <c r="G528" s="83"/>
      <c r="H528" s="84"/>
      <c r="I528" s="84"/>
      <c r="J528" s="84"/>
      <c r="K528" s="84"/>
      <c r="L528" s="84"/>
      <c r="M528" s="84"/>
      <c r="N528" s="84"/>
      <c r="O528" s="84"/>
      <c r="P528" s="85"/>
      <c r="Q528" s="75"/>
      <c r="R528" s="75"/>
      <c r="S528" s="75"/>
      <c r="T528" s="75"/>
      <c r="U528" s="89"/>
      <c r="V528" s="84"/>
      <c r="W528" s="84"/>
      <c r="X528" s="84"/>
      <c r="Y528" s="84"/>
      <c r="Z528" s="84"/>
      <c r="AA528" s="1"/>
      <c r="AB528" s="330"/>
      <c r="AC528" s="321"/>
      <c r="AD528" s="321"/>
    </row>
    <row r="529" spans="1:30" ht="15.75" customHeight="1">
      <c r="A529" s="83"/>
      <c r="B529" s="83"/>
      <c r="C529" s="83"/>
      <c r="D529" s="84"/>
      <c r="E529" s="84"/>
      <c r="F529" s="84"/>
      <c r="G529" s="83"/>
      <c r="H529" s="84"/>
      <c r="I529" s="84"/>
      <c r="J529" s="84"/>
      <c r="K529" s="84"/>
      <c r="L529" s="84"/>
      <c r="M529" s="84"/>
      <c r="N529" s="84"/>
      <c r="O529" s="84"/>
      <c r="P529" s="85"/>
      <c r="Q529" s="75"/>
      <c r="R529" s="75"/>
      <c r="S529" s="75"/>
      <c r="T529" s="75"/>
      <c r="U529" s="89"/>
      <c r="V529" s="84"/>
      <c r="W529" s="84"/>
      <c r="X529" s="84"/>
      <c r="Y529" s="84"/>
      <c r="Z529" s="84"/>
      <c r="AA529" s="1"/>
      <c r="AB529" s="330"/>
      <c r="AC529" s="321"/>
      <c r="AD529" s="321"/>
    </row>
    <row r="530" spans="1:30" ht="15.75" customHeight="1">
      <c r="A530" s="83"/>
      <c r="B530" s="83"/>
      <c r="C530" s="83"/>
      <c r="D530" s="84"/>
      <c r="E530" s="84"/>
      <c r="F530" s="84"/>
      <c r="G530" s="83"/>
      <c r="H530" s="84"/>
      <c r="I530" s="84"/>
      <c r="J530" s="84"/>
      <c r="K530" s="84"/>
      <c r="L530" s="84"/>
      <c r="M530" s="84"/>
      <c r="N530" s="84"/>
      <c r="O530" s="84"/>
      <c r="P530" s="85"/>
      <c r="Q530" s="75"/>
      <c r="R530" s="75"/>
      <c r="S530" s="75"/>
      <c r="T530" s="75"/>
      <c r="U530" s="89"/>
      <c r="V530" s="84"/>
      <c r="W530" s="84"/>
      <c r="X530" s="84"/>
      <c r="Y530" s="84"/>
      <c r="Z530" s="84"/>
      <c r="AA530" s="1"/>
      <c r="AB530" s="330"/>
      <c r="AC530" s="321"/>
      <c r="AD530" s="321"/>
    </row>
    <row r="531" spans="1:30" ht="15.75" customHeight="1">
      <c r="A531" s="83"/>
      <c r="B531" s="83"/>
      <c r="C531" s="83"/>
      <c r="D531" s="84"/>
      <c r="E531" s="84"/>
      <c r="F531" s="84"/>
      <c r="G531" s="83"/>
      <c r="H531" s="84"/>
      <c r="I531" s="84"/>
      <c r="J531" s="84"/>
      <c r="K531" s="84"/>
      <c r="L531" s="84"/>
      <c r="M531" s="84"/>
      <c r="N531" s="84"/>
      <c r="O531" s="84"/>
      <c r="P531" s="85"/>
      <c r="Q531" s="75"/>
      <c r="R531" s="75"/>
      <c r="S531" s="75"/>
      <c r="T531" s="75"/>
      <c r="U531" s="89"/>
      <c r="V531" s="84"/>
      <c r="W531" s="84"/>
      <c r="X531" s="84"/>
      <c r="Y531" s="84"/>
      <c r="Z531" s="84"/>
      <c r="AA531" s="1"/>
      <c r="AB531" s="330"/>
      <c r="AC531" s="321"/>
      <c r="AD531" s="321"/>
    </row>
    <row r="532" spans="1:30" ht="15.75" customHeight="1">
      <c r="A532" s="83"/>
      <c r="B532" s="83"/>
      <c r="C532" s="83"/>
      <c r="D532" s="84"/>
      <c r="E532" s="84"/>
      <c r="F532" s="84"/>
      <c r="G532" s="83"/>
      <c r="H532" s="84"/>
      <c r="I532" s="84"/>
      <c r="J532" s="84"/>
      <c r="K532" s="84"/>
      <c r="L532" s="84"/>
      <c r="M532" s="84"/>
      <c r="N532" s="84"/>
      <c r="O532" s="84"/>
      <c r="P532" s="85"/>
      <c r="Q532" s="75"/>
      <c r="R532" s="75"/>
      <c r="S532" s="75"/>
      <c r="T532" s="75"/>
      <c r="U532" s="89"/>
      <c r="V532" s="84"/>
      <c r="W532" s="84"/>
      <c r="X532" s="84"/>
      <c r="Y532" s="84"/>
      <c r="Z532" s="84"/>
      <c r="AA532" s="1"/>
      <c r="AB532" s="330"/>
      <c r="AC532" s="321"/>
      <c r="AD532" s="321"/>
    </row>
    <row r="533" spans="1:30" ht="15.75" customHeight="1">
      <c r="A533" s="83"/>
      <c r="B533" s="83"/>
      <c r="C533" s="83"/>
      <c r="D533" s="84"/>
      <c r="E533" s="84"/>
      <c r="F533" s="84"/>
      <c r="G533" s="83"/>
      <c r="H533" s="84"/>
      <c r="I533" s="84"/>
      <c r="J533" s="84"/>
      <c r="K533" s="84"/>
      <c r="L533" s="84"/>
      <c r="M533" s="84"/>
      <c r="N533" s="84"/>
      <c r="O533" s="84"/>
      <c r="P533" s="85"/>
      <c r="Q533" s="75"/>
      <c r="R533" s="75"/>
      <c r="S533" s="75"/>
      <c r="T533" s="75"/>
      <c r="U533" s="89"/>
      <c r="V533" s="84"/>
      <c r="W533" s="84"/>
      <c r="X533" s="84"/>
      <c r="Y533" s="84"/>
      <c r="Z533" s="84"/>
      <c r="AA533" s="1"/>
      <c r="AB533" s="330"/>
      <c r="AC533" s="321"/>
      <c r="AD533" s="321"/>
    </row>
    <row r="534" spans="1:30" ht="15.75" customHeight="1">
      <c r="A534" s="83"/>
      <c r="B534" s="83"/>
      <c r="C534" s="83"/>
      <c r="D534" s="84"/>
      <c r="E534" s="84"/>
      <c r="F534" s="84"/>
      <c r="G534" s="83"/>
      <c r="H534" s="84"/>
      <c r="I534" s="84"/>
      <c r="J534" s="84"/>
      <c r="K534" s="84"/>
      <c r="L534" s="84"/>
      <c r="M534" s="84"/>
      <c r="N534" s="84"/>
      <c r="O534" s="84"/>
      <c r="P534" s="85"/>
      <c r="Q534" s="75"/>
      <c r="R534" s="75"/>
      <c r="S534" s="75"/>
      <c r="T534" s="75"/>
      <c r="U534" s="89"/>
      <c r="V534" s="84"/>
      <c r="W534" s="84"/>
      <c r="X534" s="84"/>
      <c r="Y534" s="84"/>
      <c r="Z534" s="84"/>
      <c r="AA534" s="1"/>
      <c r="AB534" s="330"/>
      <c r="AC534" s="321"/>
      <c r="AD534" s="321"/>
    </row>
    <row r="535" spans="1:30" ht="15.75" customHeight="1">
      <c r="A535" s="83"/>
      <c r="B535" s="83"/>
      <c r="C535" s="83"/>
      <c r="D535" s="84"/>
      <c r="E535" s="84"/>
      <c r="F535" s="84"/>
      <c r="G535" s="83"/>
      <c r="H535" s="84"/>
      <c r="I535" s="84"/>
      <c r="J535" s="84"/>
      <c r="K535" s="84"/>
      <c r="L535" s="84"/>
      <c r="M535" s="84"/>
      <c r="N535" s="84"/>
      <c r="O535" s="84"/>
      <c r="P535" s="85"/>
      <c r="Q535" s="75"/>
      <c r="R535" s="75"/>
      <c r="S535" s="75"/>
      <c r="T535" s="75"/>
      <c r="U535" s="89"/>
      <c r="V535" s="84"/>
      <c r="W535" s="84"/>
      <c r="X535" s="84"/>
      <c r="Y535" s="84"/>
      <c r="Z535" s="84"/>
      <c r="AA535" s="1"/>
      <c r="AB535" s="330"/>
      <c r="AC535" s="321"/>
      <c r="AD535" s="321"/>
    </row>
    <row r="536" spans="1:30" ht="15.75" customHeight="1">
      <c r="A536" s="83"/>
      <c r="B536" s="83"/>
      <c r="C536" s="83"/>
      <c r="D536" s="84"/>
      <c r="E536" s="84"/>
      <c r="F536" s="84"/>
      <c r="G536" s="83"/>
      <c r="H536" s="84"/>
      <c r="I536" s="84"/>
      <c r="J536" s="84"/>
      <c r="K536" s="84"/>
      <c r="L536" s="84"/>
      <c r="M536" s="84"/>
      <c r="N536" s="84"/>
      <c r="O536" s="84"/>
      <c r="P536" s="85"/>
      <c r="Q536" s="75"/>
      <c r="R536" s="75"/>
      <c r="S536" s="75"/>
      <c r="T536" s="75"/>
      <c r="U536" s="89"/>
      <c r="V536" s="84"/>
      <c r="W536" s="84"/>
      <c r="X536" s="84"/>
      <c r="Y536" s="84"/>
      <c r="Z536" s="84"/>
      <c r="AA536" s="1"/>
      <c r="AB536" s="330"/>
      <c r="AC536" s="321"/>
      <c r="AD536" s="321"/>
    </row>
    <row r="537" spans="1:30" ht="15.75" customHeight="1">
      <c r="A537" s="83"/>
      <c r="B537" s="83"/>
      <c r="C537" s="83"/>
      <c r="D537" s="84"/>
      <c r="E537" s="84"/>
      <c r="F537" s="84"/>
      <c r="G537" s="83"/>
      <c r="H537" s="84"/>
      <c r="I537" s="84"/>
      <c r="J537" s="84"/>
      <c r="K537" s="84"/>
      <c r="L537" s="84"/>
      <c r="M537" s="84"/>
      <c r="N537" s="84"/>
      <c r="O537" s="84"/>
      <c r="P537" s="85"/>
      <c r="Q537" s="75"/>
      <c r="R537" s="75"/>
      <c r="S537" s="75"/>
      <c r="T537" s="75"/>
      <c r="U537" s="89"/>
      <c r="V537" s="84"/>
      <c r="W537" s="84"/>
      <c r="X537" s="84"/>
      <c r="Y537" s="84"/>
      <c r="Z537" s="84"/>
      <c r="AA537" s="1"/>
      <c r="AB537" s="330"/>
      <c r="AC537" s="321"/>
      <c r="AD537" s="321"/>
    </row>
    <row r="538" spans="1:30" ht="15.75" customHeight="1">
      <c r="A538" s="83"/>
      <c r="B538" s="83"/>
      <c r="C538" s="83"/>
      <c r="D538" s="84"/>
      <c r="E538" s="84"/>
      <c r="F538" s="84"/>
      <c r="G538" s="83"/>
      <c r="H538" s="84"/>
      <c r="I538" s="84"/>
      <c r="J538" s="84"/>
      <c r="K538" s="84"/>
      <c r="L538" s="84"/>
      <c r="M538" s="84"/>
      <c r="N538" s="84"/>
      <c r="O538" s="84"/>
      <c r="P538" s="85"/>
      <c r="Q538" s="75"/>
      <c r="R538" s="75"/>
      <c r="S538" s="75"/>
      <c r="T538" s="75"/>
      <c r="U538" s="89"/>
      <c r="V538" s="84"/>
      <c r="W538" s="84"/>
      <c r="X538" s="84"/>
      <c r="Y538" s="84"/>
      <c r="Z538" s="84"/>
      <c r="AA538" s="1"/>
      <c r="AB538" s="330"/>
      <c r="AC538" s="321"/>
      <c r="AD538" s="321"/>
    </row>
    <row r="539" spans="1:30" ht="15.75" customHeight="1">
      <c r="A539" s="83"/>
      <c r="B539" s="83"/>
      <c r="C539" s="83"/>
      <c r="D539" s="84"/>
      <c r="E539" s="84"/>
      <c r="F539" s="84"/>
      <c r="G539" s="83"/>
      <c r="H539" s="84"/>
      <c r="I539" s="84"/>
      <c r="J539" s="84"/>
      <c r="K539" s="84"/>
      <c r="L539" s="84"/>
      <c r="M539" s="84"/>
      <c r="N539" s="84"/>
      <c r="O539" s="84"/>
      <c r="P539" s="85"/>
      <c r="Q539" s="75"/>
      <c r="R539" s="75"/>
      <c r="S539" s="75"/>
      <c r="T539" s="75"/>
      <c r="U539" s="89"/>
      <c r="V539" s="84"/>
      <c r="W539" s="84"/>
      <c r="X539" s="84"/>
      <c r="Y539" s="84"/>
      <c r="Z539" s="84"/>
      <c r="AA539" s="1"/>
      <c r="AB539" s="330"/>
      <c r="AC539" s="321"/>
      <c r="AD539" s="321"/>
    </row>
    <row r="540" spans="1:30" ht="15.75" customHeight="1">
      <c r="A540" s="83"/>
      <c r="B540" s="83"/>
      <c r="C540" s="83"/>
      <c r="D540" s="84"/>
      <c r="E540" s="84"/>
      <c r="F540" s="84"/>
      <c r="G540" s="83"/>
      <c r="H540" s="84"/>
      <c r="I540" s="84"/>
      <c r="J540" s="84"/>
      <c r="K540" s="84"/>
      <c r="L540" s="84"/>
      <c r="M540" s="84"/>
      <c r="N540" s="84"/>
      <c r="O540" s="84"/>
      <c r="P540" s="85"/>
      <c r="Q540" s="75"/>
      <c r="R540" s="75"/>
      <c r="S540" s="75"/>
      <c r="T540" s="75"/>
      <c r="U540" s="89"/>
      <c r="V540" s="84"/>
      <c r="W540" s="84"/>
      <c r="X540" s="84"/>
      <c r="Y540" s="84"/>
      <c r="Z540" s="84"/>
      <c r="AA540" s="1"/>
      <c r="AB540" s="330"/>
      <c r="AC540" s="321"/>
      <c r="AD540" s="321"/>
    </row>
    <row r="541" spans="1:30" ht="15.75" customHeight="1">
      <c r="A541" s="83"/>
      <c r="B541" s="83"/>
      <c r="C541" s="83"/>
      <c r="D541" s="84"/>
      <c r="E541" s="84"/>
      <c r="F541" s="84"/>
      <c r="G541" s="83"/>
      <c r="H541" s="84"/>
      <c r="I541" s="84"/>
      <c r="J541" s="84"/>
      <c r="K541" s="84"/>
      <c r="L541" s="84"/>
      <c r="M541" s="84"/>
      <c r="N541" s="84"/>
      <c r="O541" s="84"/>
      <c r="P541" s="85"/>
      <c r="Q541" s="75"/>
      <c r="R541" s="75"/>
      <c r="S541" s="75"/>
      <c r="T541" s="75"/>
      <c r="U541" s="89"/>
      <c r="V541" s="84"/>
      <c r="W541" s="84"/>
      <c r="X541" s="84"/>
      <c r="Y541" s="84"/>
      <c r="Z541" s="84"/>
      <c r="AA541" s="1"/>
      <c r="AB541" s="330"/>
      <c r="AC541" s="321"/>
      <c r="AD541" s="321"/>
    </row>
    <row r="542" spans="1:30" ht="15.75" customHeight="1">
      <c r="A542" s="83"/>
      <c r="B542" s="83"/>
      <c r="C542" s="83"/>
      <c r="D542" s="84"/>
      <c r="E542" s="84"/>
      <c r="F542" s="84"/>
      <c r="G542" s="83"/>
      <c r="H542" s="84"/>
      <c r="I542" s="84"/>
      <c r="J542" s="84"/>
      <c r="K542" s="84"/>
      <c r="L542" s="84"/>
      <c r="M542" s="84"/>
      <c r="N542" s="84"/>
      <c r="O542" s="84"/>
      <c r="P542" s="85"/>
      <c r="Q542" s="75"/>
      <c r="R542" s="75"/>
      <c r="S542" s="75"/>
      <c r="T542" s="75"/>
      <c r="U542" s="89"/>
      <c r="V542" s="84"/>
      <c r="W542" s="84"/>
      <c r="X542" s="84"/>
      <c r="Y542" s="84"/>
      <c r="Z542" s="84"/>
      <c r="AA542" s="1"/>
      <c r="AB542" s="330"/>
      <c r="AC542" s="321"/>
      <c r="AD542" s="321"/>
    </row>
    <row r="543" spans="1:30" ht="15.75" customHeight="1">
      <c r="A543" s="83"/>
      <c r="B543" s="83"/>
      <c r="C543" s="83"/>
      <c r="D543" s="84"/>
      <c r="E543" s="84"/>
      <c r="F543" s="84"/>
      <c r="G543" s="83"/>
      <c r="H543" s="84"/>
      <c r="I543" s="84"/>
      <c r="J543" s="84"/>
      <c r="K543" s="84"/>
      <c r="L543" s="84"/>
      <c r="M543" s="84"/>
      <c r="N543" s="84"/>
      <c r="O543" s="84"/>
      <c r="P543" s="85"/>
      <c r="Q543" s="75"/>
      <c r="R543" s="75"/>
      <c r="S543" s="75"/>
      <c r="T543" s="75"/>
      <c r="U543" s="89"/>
      <c r="V543" s="84"/>
      <c r="W543" s="84"/>
      <c r="X543" s="84"/>
      <c r="Y543" s="84"/>
      <c r="Z543" s="84"/>
      <c r="AA543" s="1"/>
      <c r="AB543" s="330"/>
      <c r="AC543" s="321"/>
      <c r="AD543" s="321"/>
    </row>
    <row r="544" spans="1:30" ht="15.75" customHeight="1">
      <c r="A544" s="83"/>
      <c r="B544" s="83"/>
      <c r="C544" s="83"/>
      <c r="D544" s="84"/>
      <c r="E544" s="84"/>
      <c r="F544" s="84"/>
      <c r="G544" s="83"/>
      <c r="H544" s="84"/>
      <c r="I544" s="84"/>
      <c r="J544" s="84"/>
      <c r="K544" s="84"/>
      <c r="L544" s="84"/>
      <c r="M544" s="84"/>
      <c r="N544" s="84"/>
      <c r="O544" s="84"/>
      <c r="P544" s="85"/>
      <c r="Q544" s="75"/>
      <c r="R544" s="75"/>
      <c r="S544" s="75"/>
      <c r="T544" s="75"/>
      <c r="U544" s="89"/>
      <c r="V544" s="84"/>
      <c r="W544" s="84"/>
      <c r="X544" s="84"/>
      <c r="Y544" s="84"/>
      <c r="Z544" s="84"/>
      <c r="AA544" s="1"/>
      <c r="AB544" s="330"/>
      <c r="AC544" s="321"/>
      <c r="AD544" s="321"/>
    </row>
    <row r="545" spans="1:30" ht="15.75" customHeight="1">
      <c r="A545" s="83"/>
      <c r="B545" s="83"/>
      <c r="C545" s="83"/>
      <c r="D545" s="84"/>
      <c r="E545" s="84"/>
      <c r="F545" s="84"/>
      <c r="G545" s="83"/>
      <c r="H545" s="84"/>
      <c r="I545" s="84"/>
      <c r="J545" s="84"/>
      <c r="K545" s="84"/>
      <c r="L545" s="84"/>
      <c r="M545" s="84"/>
      <c r="N545" s="84"/>
      <c r="O545" s="84"/>
      <c r="P545" s="85"/>
      <c r="Q545" s="75"/>
      <c r="R545" s="75"/>
      <c r="S545" s="75"/>
      <c r="T545" s="75"/>
      <c r="U545" s="89"/>
      <c r="V545" s="84"/>
      <c r="W545" s="84"/>
      <c r="X545" s="84"/>
      <c r="Y545" s="84"/>
      <c r="Z545" s="84"/>
      <c r="AA545" s="1"/>
      <c r="AB545" s="330"/>
      <c r="AC545" s="321"/>
      <c r="AD545" s="321"/>
    </row>
    <row r="546" spans="1:30" ht="15.75" customHeight="1">
      <c r="A546" s="83"/>
      <c r="B546" s="83"/>
      <c r="C546" s="83"/>
      <c r="D546" s="84"/>
      <c r="E546" s="84"/>
      <c r="F546" s="84"/>
      <c r="G546" s="83"/>
      <c r="H546" s="84"/>
      <c r="I546" s="84"/>
      <c r="J546" s="84"/>
      <c r="K546" s="84"/>
      <c r="L546" s="84"/>
      <c r="M546" s="84"/>
      <c r="N546" s="84"/>
      <c r="O546" s="84"/>
      <c r="P546" s="85"/>
      <c r="Q546" s="75"/>
      <c r="R546" s="75"/>
      <c r="S546" s="75"/>
      <c r="T546" s="75"/>
      <c r="U546" s="89"/>
      <c r="V546" s="84"/>
      <c r="W546" s="84"/>
      <c r="X546" s="84"/>
      <c r="Y546" s="84"/>
      <c r="Z546" s="84"/>
      <c r="AA546" s="1"/>
      <c r="AB546" s="330"/>
      <c r="AC546" s="321"/>
      <c r="AD546" s="321"/>
    </row>
    <row r="547" spans="1:30" ht="15.75" customHeight="1">
      <c r="A547" s="83"/>
      <c r="B547" s="83"/>
      <c r="C547" s="83"/>
      <c r="D547" s="84"/>
      <c r="E547" s="84"/>
      <c r="F547" s="84"/>
      <c r="G547" s="83"/>
      <c r="H547" s="84"/>
      <c r="I547" s="84"/>
      <c r="J547" s="84"/>
      <c r="K547" s="84"/>
      <c r="L547" s="84"/>
      <c r="M547" s="84"/>
      <c r="N547" s="84"/>
      <c r="O547" s="84"/>
      <c r="P547" s="85"/>
      <c r="Q547" s="75"/>
      <c r="R547" s="75"/>
      <c r="S547" s="75"/>
      <c r="T547" s="75"/>
      <c r="U547" s="89"/>
      <c r="V547" s="84"/>
      <c r="W547" s="84"/>
      <c r="X547" s="84"/>
      <c r="Y547" s="84"/>
      <c r="Z547" s="84"/>
      <c r="AA547" s="1"/>
      <c r="AB547" s="330"/>
      <c r="AC547" s="321"/>
      <c r="AD547" s="321"/>
    </row>
    <row r="548" spans="1:30" ht="15.75" customHeight="1">
      <c r="A548" s="83"/>
      <c r="B548" s="83"/>
      <c r="C548" s="83"/>
      <c r="D548" s="84"/>
      <c r="E548" s="84"/>
      <c r="F548" s="84"/>
      <c r="G548" s="83"/>
      <c r="H548" s="84"/>
      <c r="I548" s="84"/>
      <c r="J548" s="84"/>
      <c r="K548" s="84"/>
      <c r="L548" s="84"/>
      <c r="M548" s="84"/>
      <c r="N548" s="84"/>
      <c r="O548" s="84"/>
      <c r="P548" s="85"/>
      <c r="Q548" s="75"/>
      <c r="R548" s="75"/>
      <c r="S548" s="75"/>
      <c r="T548" s="75"/>
      <c r="U548" s="89"/>
      <c r="V548" s="84"/>
      <c r="W548" s="84"/>
      <c r="X548" s="84"/>
      <c r="Y548" s="84"/>
      <c r="Z548" s="84"/>
      <c r="AA548" s="1"/>
      <c r="AB548" s="330"/>
      <c r="AC548" s="321"/>
      <c r="AD548" s="321"/>
    </row>
    <row r="549" spans="1:30" ht="15.75" customHeight="1">
      <c r="A549" s="83"/>
      <c r="B549" s="83"/>
      <c r="C549" s="83"/>
      <c r="D549" s="84"/>
      <c r="E549" s="84"/>
      <c r="F549" s="84"/>
      <c r="G549" s="83"/>
      <c r="H549" s="84"/>
      <c r="I549" s="84"/>
      <c r="J549" s="84"/>
      <c r="K549" s="84"/>
      <c r="L549" s="84"/>
      <c r="M549" s="84"/>
      <c r="N549" s="84"/>
      <c r="O549" s="84"/>
      <c r="P549" s="85"/>
      <c r="Q549" s="75"/>
      <c r="R549" s="75"/>
      <c r="S549" s="75"/>
      <c r="T549" s="75"/>
      <c r="U549" s="89"/>
      <c r="V549" s="84"/>
      <c r="W549" s="84"/>
      <c r="X549" s="84"/>
      <c r="Y549" s="84"/>
      <c r="Z549" s="84"/>
      <c r="AA549" s="1"/>
      <c r="AB549" s="330"/>
      <c r="AC549" s="321"/>
      <c r="AD549" s="321"/>
    </row>
    <row r="550" spans="1:30" ht="15.75" customHeight="1">
      <c r="A550" s="83"/>
      <c r="B550" s="83"/>
      <c r="C550" s="83"/>
      <c r="D550" s="84"/>
      <c r="E550" s="84"/>
      <c r="F550" s="84"/>
      <c r="G550" s="83"/>
      <c r="H550" s="84"/>
      <c r="I550" s="84"/>
      <c r="J550" s="84"/>
      <c r="K550" s="84"/>
      <c r="L550" s="84"/>
      <c r="M550" s="84"/>
      <c r="N550" s="84"/>
      <c r="O550" s="84"/>
      <c r="P550" s="85"/>
      <c r="Q550" s="75"/>
      <c r="R550" s="75"/>
      <c r="S550" s="75"/>
      <c r="T550" s="75"/>
      <c r="U550" s="89"/>
      <c r="V550" s="84"/>
      <c r="W550" s="84"/>
      <c r="X550" s="84"/>
      <c r="Y550" s="84"/>
      <c r="Z550" s="84"/>
      <c r="AA550" s="1"/>
      <c r="AB550" s="330"/>
      <c r="AC550" s="321"/>
      <c r="AD550" s="321"/>
    </row>
    <row r="551" spans="1:30" ht="15.75" customHeight="1">
      <c r="A551" s="83"/>
      <c r="B551" s="83"/>
      <c r="C551" s="83"/>
      <c r="D551" s="84"/>
      <c r="E551" s="84"/>
      <c r="F551" s="84"/>
      <c r="G551" s="83"/>
      <c r="H551" s="84"/>
      <c r="I551" s="84"/>
      <c r="J551" s="84"/>
      <c r="K551" s="84"/>
      <c r="L551" s="84"/>
      <c r="M551" s="84"/>
      <c r="N551" s="84"/>
      <c r="O551" s="84"/>
      <c r="P551" s="85"/>
      <c r="Q551" s="75"/>
      <c r="R551" s="75"/>
      <c r="S551" s="75"/>
      <c r="T551" s="75"/>
      <c r="U551" s="89"/>
      <c r="V551" s="84"/>
      <c r="W551" s="84"/>
      <c r="X551" s="84"/>
      <c r="Y551" s="84"/>
      <c r="Z551" s="84"/>
      <c r="AA551" s="1"/>
      <c r="AB551" s="330"/>
      <c r="AC551" s="321"/>
      <c r="AD551" s="321"/>
    </row>
    <row r="552" spans="1:30" ht="15.75" customHeight="1">
      <c r="A552" s="83"/>
      <c r="B552" s="83"/>
      <c r="C552" s="83"/>
      <c r="D552" s="84"/>
      <c r="E552" s="84"/>
      <c r="F552" s="84"/>
      <c r="G552" s="83"/>
      <c r="H552" s="84"/>
      <c r="I552" s="84"/>
      <c r="J552" s="84"/>
      <c r="K552" s="84"/>
      <c r="L552" s="84"/>
      <c r="M552" s="84"/>
      <c r="N552" s="84"/>
      <c r="O552" s="84"/>
      <c r="P552" s="85"/>
      <c r="Q552" s="75"/>
      <c r="R552" s="75"/>
      <c r="S552" s="75"/>
      <c r="T552" s="75"/>
      <c r="U552" s="89"/>
      <c r="V552" s="84"/>
      <c r="W552" s="84"/>
      <c r="X552" s="84"/>
      <c r="Y552" s="84"/>
      <c r="Z552" s="84"/>
      <c r="AA552" s="1"/>
      <c r="AB552" s="330"/>
      <c r="AC552" s="321"/>
      <c r="AD552" s="321"/>
    </row>
    <row r="553" spans="1:30" ht="15.75" customHeight="1">
      <c r="A553" s="83"/>
      <c r="B553" s="83"/>
      <c r="C553" s="83"/>
      <c r="D553" s="84"/>
      <c r="E553" s="84"/>
      <c r="F553" s="84"/>
      <c r="G553" s="83"/>
      <c r="H553" s="84"/>
      <c r="I553" s="84"/>
      <c r="J553" s="84"/>
      <c r="K553" s="84"/>
      <c r="L553" s="84"/>
      <c r="M553" s="84"/>
      <c r="N553" s="84"/>
      <c r="O553" s="84"/>
      <c r="P553" s="85"/>
      <c r="Q553" s="75"/>
      <c r="R553" s="75"/>
      <c r="S553" s="75"/>
      <c r="T553" s="75"/>
      <c r="U553" s="89"/>
      <c r="V553" s="84"/>
      <c r="W553" s="84"/>
      <c r="X553" s="84"/>
      <c r="Y553" s="84"/>
      <c r="Z553" s="84"/>
      <c r="AA553" s="1"/>
      <c r="AB553" s="330"/>
      <c r="AC553" s="321"/>
      <c r="AD553" s="321"/>
    </row>
    <row r="554" spans="1:30" ht="15.75" customHeight="1">
      <c r="A554" s="83"/>
      <c r="B554" s="83"/>
      <c r="C554" s="83"/>
      <c r="D554" s="84"/>
      <c r="E554" s="84"/>
      <c r="F554" s="84"/>
      <c r="G554" s="83"/>
      <c r="H554" s="84"/>
      <c r="I554" s="84"/>
      <c r="J554" s="84"/>
      <c r="K554" s="84"/>
      <c r="L554" s="84"/>
      <c r="M554" s="84"/>
      <c r="N554" s="84"/>
      <c r="O554" s="84"/>
      <c r="P554" s="85"/>
      <c r="Q554" s="75"/>
      <c r="R554" s="75"/>
      <c r="S554" s="75"/>
      <c r="T554" s="75"/>
      <c r="U554" s="89"/>
      <c r="V554" s="84"/>
      <c r="W554" s="84"/>
      <c r="X554" s="84"/>
      <c r="Y554" s="84"/>
      <c r="Z554" s="84"/>
      <c r="AA554" s="1"/>
      <c r="AB554" s="330"/>
      <c r="AC554" s="321"/>
      <c r="AD554" s="321"/>
    </row>
    <row r="555" spans="1:30" ht="15.75" customHeight="1">
      <c r="A555" s="83"/>
      <c r="B555" s="83"/>
      <c r="C555" s="83"/>
      <c r="D555" s="84"/>
      <c r="E555" s="84"/>
      <c r="F555" s="84"/>
      <c r="G555" s="83"/>
      <c r="H555" s="84"/>
      <c r="I555" s="84"/>
      <c r="J555" s="84"/>
      <c r="K555" s="84"/>
      <c r="L555" s="84"/>
      <c r="M555" s="84"/>
      <c r="N555" s="84"/>
      <c r="O555" s="84"/>
      <c r="P555" s="85"/>
      <c r="Q555" s="75"/>
      <c r="R555" s="75"/>
      <c r="S555" s="75"/>
      <c r="T555" s="75"/>
      <c r="U555" s="89"/>
      <c r="V555" s="84"/>
      <c r="W555" s="84"/>
      <c r="X555" s="84"/>
      <c r="Y555" s="84"/>
      <c r="Z555" s="84"/>
      <c r="AA555" s="1"/>
      <c r="AB555" s="330"/>
      <c r="AC555" s="321"/>
      <c r="AD555" s="321"/>
    </row>
    <row r="556" spans="1:30" ht="15.75" customHeight="1">
      <c r="A556" s="83"/>
      <c r="B556" s="83"/>
      <c r="C556" s="83"/>
      <c r="D556" s="84"/>
      <c r="E556" s="84"/>
      <c r="F556" s="84"/>
      <c r="G556" s="83"/>
      <c r="H556" s="84"/>
      <c r="I556" s="84"/>
      <c r="J556" s="84"/>
      <c r="K556" s="84"/>
      <c r="L556" s="84"/>
      <c r="M556" s="84"/>
      <c r="N556" s="84"/>
      <c r="O556" s="84"/>
      <c r="P556" s="85"/>
      <c r="Q556" s="75"/>
      <c r="R556" s="75"/>
      <c r="S556" s="75"/>
      <c r="T556" s="75"/>
      <c r="U556" s="89"/>
      <c r="V556" s="84"/>
      <c r="W556" s="84"/>
      <c r="X556" s="84"/>
      <c r="Y556" s="84"/>
      <c r="Z556" s="84"/>
      <c r="AA556" s="1"/>
      <c r="AB556" s="330"/>
      <c r="AC556" s="321"/>
      <c r="AD556" s="321"/>
    </row>
    <row r="557" spans="1:30" ht="15.75" customHeight="1">
      <c r="A557" s="83"/>
      <c r="B557" s="83"/>
      <c r="C557" s="83"/>
      <c r="D557" s="84"/>
      <c r="E557" s="84"/>
      <c r="F557" s="84"/>
      <c r="G557" s="83"/>
      <c r="H557" s="84"/>
      <c r="I557" s="84"/>
      <c r="J557" s="84"/>
      <c r="K557" s="84"/>
      <c r="L557" s="84"/>
      <c r="M557" s="84"/>
      <c r="N557" s="84"/>
      <c r="O557" s="84"/>
      <c r="P557" s="85"/>
      <c r="Q557" s="75"/>
      <c r="R557" s="75"/>
      <c r="S557" s="75"/>
      <c r="T557" s="75"/>
      <c r="U557" s="89"/>
      <c r="V557" s="84"/>
      <c r="W557" s="84"/>
      <c r="X557" s="84"/>
      <c r="Y557" s="84"/>
      <c r="Z557" s="84"/>
      <c r="AA557" s="1"/>
      <c r="AB557" s="330"/>
      <c r="AC557" s="321"/>
      <c r="AD557" s="321"/>
    </row>
    <row r="558" spans="1:30" ht="15.75" customHeight="1">
      <c r="A558" s="83"/>
      <c r="B558" s="83"/>
      <c r="C558" s="83"/>
      <c r="D558" s="84"/>
      <c r="E558" s="84"/>
      <c r="F558" s="84"/>
      <c r="G558" s="83"/>
      <c r="H558" s="84"/>
      <c r="I558" s="84"/>
      <c r="J558" s="84"/>
      <c r="K558" s="84"/>
      <c r="L558" s="84"/>
      <c r="M558" s="84"/>
      <c r="N558" s="84"/>
      <c r="O558" s="84"/>
      <c r="P558" s="85"/>
      <c r="Q558" s="75"/>
      <c r="R558" s="75"/>
      <c r="S558" s="75"/>
      <c r="T558" s="75"/>
      <c r="U558" s="89"/>
      <c r="V558" s="84"/>
      <c r="W558" s="84"/>
      <c r="X558" s="84"/>
      <c r="Y558" s="84"/>
      <c r="Z558" s="84"/>
      <c r="AA558" s="1"/>
      <c r="AB558" s="330"/>
      <c r="AC558" s="321"/>
      <c r="AD558" s="321"/>
    </row>
    <row r="559" spans="1:30" ht="15.75" customHeight="1">
      <c r="A559" s="83"/>
      <c r="B559" s="83"/>
      <c r="C559" s="83"/>
      <c r="D559" s="84"/>
      <c r="E559" s="84"/>
      <c r="F559" s="84"/>
      <c r="G559" s="83"/>
      <c r="H559" s="84"/>
      <c r="I559" s="84"/>
      <c r="J559" s="84"/>
      <c r="K559" s="84"/>
      <c r="L559" s="84"/>
      <c r="M559" s="84"/>
      <c r="N559" s="84"/>
      <c r="O559" s="84"/>
      <c r="P559" s="85"/>
      <c r="Q559" s="75"/>
      <c r="R559" s="75"/>
      <c r="S559" s="75"/>
      <c r="T559" s="75"/>
      <c r="U559" s="89"/>
      <c r="V559" s="84"/>
      <c r="W559" s="84"/>
      <c r="X559" s="84"/>
      <c r="Y559" s="84"/>
      <c r="Z559" s="84"/>
      <c r="AA559" s="1"/>
      <c r="AB559" s="330"/>
      <c r="AC559" s="321"/>
      <c r="AD559" s="321"/>
    </row>
    <row r="560" spans="1:30" ht="15.75" customHeight="1">
      <c r="A560" s="83"/>
      <c r="B560" s="83"/>
      <c r="C560" s="83"/>
      <c r="D560" s="84"/>
      <c r="E560" s="84"/>
      <c r="F560" s="84"/>
      <c r="G560" s="83"/>
      <c r="H560" s="84"/>
      <c r="I560" s="84"/>
      <c r="J560" s="84"/>
      <c r="K560" s="84"/>
      <c r="L560" s="84"/>
      <c r="M560" s="84"/>
      <c r="N560" s="84"/>
      <c r="O560" s="84"/>
      <c r="P560" s="85"/>
      <c r="Q560" s="75"/>
      <c r="R560" s="75"/>
      <c r="S560" s="75"/>
      <c r="T560" s="75"/>
      <c r="U560" s="89"/>
      <c r="V560" s="84"/>
      <c r="W560" s="84"/>
      <c r="X560" s="84"/>
      <c r="Y560" s="84"/>
      <c r="Z560" s="84"/>
      <c r="AA560" s="1"/>
      <c r="AB560" s="330"/>
      <c r="AC560" s="321"/>
      <c r="AD560" s="321"/>
    </row>
    <row r="561" spans="1:30" ht="15.75" customHeight="1">
      <c r="A561" s="83"/>
      <c r="B561" s="83"/>
      <c r="C561" s="83"/>
      <c r="D561" s="84"/>
      <c r="E561" s="84"/>
      <c r="F561" s="84"/>
      <c r="G561" s="83"/>
      <c r="H561" s="84"/>
      <c r="I561" s="84"/>
      <c r="J561" s="84"/>
      <c r="K561" s="84"/>
      <c r="L561" s="84"/>
      <c r="M561" s="84"/>
      <c r="N561" s="84"/>
      <c r="O561" s="84"/>
      <c r="P561" s="85"/>
      <c r="Q561" s="75"/>
      <c r="R561" s="75"/>
      <c r="S561" s="75"/>
      <c r="T561" s="75"/>
      <c r="U561" s="89"/>
      <c r="V561" s="84"/>
      <c r="W561" s="84"/>
      <c r="X561" s="84"/>
      <c r="Y561" s="84"/>
      <c r="Z561" s="84"/>
      <c r="AA561" s="1"/>
      <c r="AB561" s="330"/>
      <c r="AC561" s="321"/>
      <c r="AD561" s="321"/>
    </row>
    <row r="562" spans="1:30" ht="15.75" customHeight="1">
      <c r="A562" s="83"/>
      <c r="B562" s="83"/>
      <c r="C562" s="83"/>
      <c r="D562" s="84"/>
      <c r="E562" s="84"/>
      <c r="F562" s="84"/>
      <c r="G562" s="83"/>
      <c r="H562" s="84"/>
      <c r="I562" s="84"/>
      <c r="J562" s="84"/>
      <c r="K562" s="84"/>
      <c r="L562" s="84"/>
      <c r="M562" s="84"/>
      <c r="N562" s="84"/>
      <c r="O562" s="84"/>
      <c r="P562" s="85"/>
      <c r="Q562" s="75"/>
      <c r="R562" s="75"/>
      <c r="S562" s="75"/>
      <c r="T562" s="75"/>
      <c r="U562" s="89"/>
      <c r="V562" s="84"/>
      <c r="W562" s="84"/>
      <c r="X562" s="84"/>
      <c r="Y562" s="84"/>
      <c r="Z562" s="84"/>
      <c r="AA562" s="1"/>
      <c r="AB562" s="330"/>
      <c r="AC562" s="321"/>
      <c r="AD562" s="321"/>
    </row>
    <row r="563" spans="1:30" ht="15.75" customHeight="1">
      <c r="A563" s="83"/>
      <c r="B563" s="83"/>
      <c r="C563" s="83"/>
      <c r="D563" s="84"/>
      <c r="E563" s="84"/>
      <c r="F563" s="84"/>
      <c r="G563" s="83"/>
      <c r="H563" s="84"/>
      <c r="I563" s="84"/>
      <c r="J563" s="84"/>
      <c r="K563" s="84"/>
      <c r="L563" s="84"/>
      <c r="M563" s="84"/>
      <c r="N563" s="84"/>
      <c r="O563" s="84"/>
      <c r="P563" s="85"/>
      <c r="Q563" s="75"/>
      <c r="R563" s="75"/>
      <c r="S563" s="75"/>
      <c r="T563" s="75"/>
      <c r="U563" s="89"/>
      <c r="V563" s="84"/>
      <c r="W563" s="84"/>
      <c r="X563" s="84"/>
      <c r="Y563" s="84"/>
      <c r="Z563" s="84"/>
      <c r="AA563" s="1"/>
      <c r="AB563" s="330"/>
      <c r="AC563" s="321"/>
      <c r="AD563" s="321"/>
    </row>
    <row r="564" spans="1:30" ht="15.75" customHeight="1">
      <c r="A564" s="83"/>
      <c r="B564" s="83"/>
      <c r="C564" s="83"/>
      <c r="D564" s="84"/>
      <c r="E564" s="84"/>
      <c r="F564" s="84"/>
      <c r="G564" s="83"/>
      <c r="H564" s="84"/>
      <c r="I564" s="84"/>
      <c r="J564" s="84"/>
      <c r="K564" s="84"/>
      <c r="L564" s="84"/>
      <c r="M564" s="84"/>
      <c r="N564" s="84"/>
      <c r="O564" s="84"/>
      <c r="P564" s="85"/>
      <c r="Q564" s="75"/>
      <c r="R564" s="75"/>
      <c r="S564" s="75"/>
      <c r="T564" s="75"/>
      <c r="U564" s="89"/>
      <c r="V564" s="84"/>
      <c r="W564" s="84"/>
      <c r="X564" s="84"/>
      <c r="Y564" s="84"/>
      <c r="Z564" s="84"/>
      <c r="AA564" s="1"/>
      <c r="AB564" s="330"/>
      <c r="AC564" s="321"/>
      <c r="AD564" s="321"/>
    </row>
    <row r="565" spans="1:30" ht="15.75" customHeight="1">
      <c r="A565" s="83"/>
      <c r="B565" s="83"/>
      <c r="C565" s="83"/>
      <c r="D565" s="84"/>
      <c r="E565" s="84"/>
      <c r="F565" s="84"/>
      <c r="G565" s="83"/>
      <c r="H565" s="84"/>
      <c r="I565" s="84"/>
      <c r="J565" s="84"/>
      <c r="K565" s="84"/>
      <c r="L565" s="84"/>
      <c r="M565" s="84"/>
      <c r="N565" s="84"/>
      <c r="O565" s="84"/>
      <c r="P565" s="85"/>
      <c r="Q565" s="75"/>
      <c r="R565" s="75"/>
      <c r="S565" s="75"/>
      <c r="T565" s="75"/>
      <c r="U565" s="89"/>
      <c r="V565" s="84"/>
      <c r="W565" s="84"/>
      <c r="X565" s="84"/>
      <c r="Y565" s="84"/>
      <c r="Z565" s="84"/>
      <c r="AA565" s="1"/>
      <c r="AB565" s="330"/>
      <c r="AC565" s="321"/>
      <c r="AD565" s="321"/>
    </row>
    <row r="566" spans="1:30" ht="15.75" customHeight="1">
      <c r="A566" s="83"/>
      <c r="B566" s="83"/>
      <c r="C566" s="83"/>
      <c r="D566" s="84"/>
      <c r="E566" s="84"/>
      <c r="F566" s="84"/>
      <c r="G566" s="83"/>
      <c r="H566" s="84"/>
      <c r="I566" s="84"/>
      <c r="J566" s="84"/>
      <c r="K566" s="84"/>
      <c r="L566" s="84"/>
      <c r="M566" s="84"/>
      <c r="N566" s="84"/>
      <c r="O566" s="84"/>
      <c r="P566" s="85"/>
      <c r="Q566" s="75"/>
      <c r="R566" s="75"/>
      <c r="S566" s="75"/>
      <c r="T566" s="75"/>
      <c r="U566" s="89"/>
      <c r="V566" s="84"/>
      <c r="W566" s="84"/>
      <c r="X566" s="84"/>
      <c r="Y566" s="84"/>
      <c r="Z566" s="84"/>
      <c r="AA566" s="1"/>
      <c r="AB566" s="330"/>
      <c r="AC566" s="321"/>
      <c r="AD566" s="321"/>
    </row>
    <row r="567" spans="1:30" ht="15.75" customHeight="1">
      <c r="A567" s="83"/>
      <c r="B567" s="83"/>
      <c r="C567" s="83"/>
      <c r="D567" s="84"/>
      <c r="E567" s="84"/>
      <c r="F567" s="84"/>
      <c r="G567" s="83"/>
      <c r="H567" s="84"/>
      <c r="I567" s="84"/>
      <c r="J567" s="84"/>
      <c r="K567" s="84"/>
      <c r="L567" s="84"/>
      <c r="M567" s="84"/>
      <c r="N567" s="84"/>
      <c r="O567" s="84"/>
      <c r="P567" s="85"/>
      <c r="Q567" s="75"/>
      <c r="R567" s="75"/>
      <c r="S567" s="75"/>
      <c r="T567" s="75"/>
      <c r="U567" s="89"/>
      <c r="V567" s="84"/>
      <c r="W567" s="84"/>
      <c r="X567" s="84"/>
      <c r="Y567" s="84"/>
      <c r="Z567" s="84"/>
      <c r="AA567" s="1"/>
      <c r="AB567" s="330"/>
      <c r="AC567" s="321"/>
      <c r="AD567" s="321"/>
    </row>
    <row r="568" spans="1:30" ht="15.75" customHeight="1">
      <c r="A568" s="83"/>
      <c r="B568" s="83"/>
      <c r="C568" s="83"/>
      <c r="D568" s="84"/>
      <c r="E568" s="84"/>
      <c r="F568" s="84"/>
      <c r="G568" s="83"/>
      <c r="H568" s="84"/>
      <c r="I568" s="84"/>
      <c r="J568" s="84"/>
      <c r="K568" s="84"/>
      <c r="L568" s="84"/>
      <c r="M568" s="84"/>
      <c r="N568" s="84"/>
      <c r="O568" s="84"/>
      <c r="P568" s="85"/>
      <c r="Q568" s="75"/>
      <c r="R568" s="75"/>
      <c r="S568" s="75"/>
      <c r="T568" s="75"/>
      <c r="U568" s="89"/>
      <c r="V568" s="84"/>
      <c r="W568" s="84"/>
      <c r="X568" s="84"/>
      <c r="Y568" s="84"/>
      <c r="Z568" s="84"/>
      <c r="AA568" s="1"/>
      <c r="AB568" s="330"/>
      <c r="AC568" s="321"/>
      <c r="AD568" s="321"/>
    </row>
    <row r="569" spans="1:30" ht="15.75" customHeight="1">
      <c r="A569" s="83"/>
      <c r="B569" s="83"/>
      <c r="C569" s="83"/>
      <c r="D569" s="84"/>
      <c r="E569" s="84"/>
      <c r="F569" s="84"/>
      <c r="G569" s="83"/>
      <c r="H569" s="84"/>
      <c r="I569" s="84"/>
      <c r="J569" s="84"/>
      <c r="K569" s="84"/>
      <c r="L569" s="84"/>
      <c r="M569" s="84"/>
      <c r="N569" s="84"/>
      <c r="O569" s="84"/>
      <c r="P569" s="85"/>
      <c r="Q569" s="75"/>
      <c r="R569" s="75"/>
      <c r="S569" s="75"/>
      <c r="T569" s="75"/>
      <c r="U569" s="89"/>
      <c r="V569" s="84"/>
      <c r="W569" s="84"/>
      <c r="X569" s="84"/>
      <c r="Y569" s="84"/>
      <c r="Z569" s="84"/>
      <c r="AA569" s="1"/>
      <c r="AB569" s="330"/>
      <c r="AC569" s="321"/>
      <c r="AD569" s="321"/>
    </row>
    <row r="570" spans="1:30" ht="15.75" customHeight="1">
      <c r="A570" s="83"/>
      <c r="B570" s="83"/>
      <c r="C570" s="83"/>
      <c r="D570" s="84"/>
      <c r="E570" s="84"/>
      <c r="F570" s="84"/>
      <c r="G570" s="83"/>
      <c r="H570" s="84"/>
      <c r="I570" s="84"/>
      <c r="J570" s="84"/>
      <c r="K570" s="84"/>
      <c r="L570" s="84"/>
      <c r="M570" s="84"/>
      <c r="N570" s="84"/>
      <c r="O570" s="84"/>
      <c r="P570" s="85"/>
      <c r="Q570" s="75"/>
      <c r="R570" s="75"/>
      <c r="S570" s="75"/>
      <c r="T570" s="75"/>
      <c r="U570" s="89"/>
      <c r="V570" s="84"/>
      <c r="W570" s="84"/>
      <c r="X570" s="84"/>
      <c r="Y570" s="84"/>
      <c r="Z570" s="84"/>
      <c r="AA570" s="1"/>
      <c r="AB570" s="330"/>
      <c r="AC570" s="321"/>
      <c r="AD570" s="321"/>
    </row>
    <row r="571" spans="1:30" ht="15.75" customHeight="1">
      <c r="A571" s="83"/>
      <c r="B571" s="83"/>
      <c r="C571" s="83"/>
      <c r="D571" s="84"/>
      <c r="E571" s="84"/>
      <c r="F571" s="84"/>
      <c r="G571" s="83"/>
      <c r="H571" s="84"/>
      <c r="I571" s="84"/>
      <c r="J571" s="84"/>
      <c r="K571" s="84"/>
      <c r="L571" s="84"/>
      <c r="M571" s="84"/>
      <c r="N571" s="84"/>
      <c r="O571" s="84"/>
      <c r="P571" s="85"/>
      <c r="Q571" s="75"/>
      <c r="R571" s="75"/>
      <c r="S571" s="75"/>
      <c r="T571" s="75"/>
      <c r="U571" s="89"/>
      <c r="V571" s="84"/>
      <c r="W571" s="84"/>
      <c r="X571" s="84"/>
      <c r="Y571" s="84"/>
      <c r="Z571" s="84"/>
      <c r="AA571" s="1"/>
      <c r="AB571" s="330"/>
      <c r="AC571" s="321"/>
      <c r="AD571" s="321"/>
    </row>
    <row r="572" spans="1:30" ht="15.75" customHeight="1">
      <c r="A572" s="83"/>
      <c r="B572" s="83"/>
      <c r="C572" s="83"/>
      <c r="D572" s="84"/>
      <c r="E572" s="84"/>
      <c r="F572" s="84"/>
      <c r="G572" s="83"/>
      <c r="H572" s="84"/>
      <c r="I572" s="84"/>
      <c r="J572" s="84"/>
      <c r="K572" s="84"/>
      <c r="L572" s="84"/>
      <c r="M572" s="84"/>
      <c r="N572" s="84"/>
      <c r="O572" s="84"/>
      <c r="P572" s="85"/>
      <c r="Q572" s="75"/>
      <c r="R572" s="75"/>
      <c r="S572" s="75"/>
      <c r="T572" s="75"/>
      <c r="U572" s="89"/>
      <c r="V572" s="84"/>
      <c r="W572" s="84"/>
      <c r="X572" s="84"/>
      <c r="Y572" s="84"/>
      <c r="Z572" s="84"/>
      <c r="AA572" s="1"/>
      <c r="AB572" s="330"/>
      <c r="AC572" s="321"/>
      <c r="AD572" s="321"/>
    </row>
    <row r="573" spans="1:30" ht="15.75" customHeight="1">
      <c r="A573" s="83"/>
      <c r="B573" s="83"/>
      <c r="C573" s="83"/>
      <c r="D573" s="84"/>
      <c r="E573" s="84"/>
      <c r="F573" s="84"/>
      <c r="G573" s="83"/>
      <c r="H573" s="84"/>
      <c r="I573" s="84"/>
      <c r="J573" s="84"/>
      <c r="K573" s="84"/>
      <c r="L573" s="84"/>
      <c r="M573" s="84"/>
      <c r="N573" s="84"/>
      <c r="O573" s="84"/>
      <c r="P573" s="85"/>
      <c r="Q573" s="75"/>
      <c r="R573" s="75"/>
      <c r="S573" s="75"/>
      <c r="T573" s="75"/>
      <c r="U573" s="89"/>
      <c r="V573" s="84"/>
      <c r="W573" s="84"/>
      <c r="X573" s="84"/>
      <c r="Y573" s="84"/>
      <c r="Z573" s="84"/>
      <c r="AA573" s="1"/>
      <c r="AB573" s="330"/>
      <c r="AC573" s="321"/>
      <c r="AD573" s="321"/>
    </row>
    <row r="574" spans="1:30" ht="15.75" customHeight="1">
      <c r="A574" s="83"/>
      <c r="B574" s="83"/>
      <c r="C574" s="83"/>
      <c r="D574" s="84"/>
      <c r="E574" s="84"/>
      <c r="F574" s="84"/>
      <c r="G574" s="83"/>
      <c r="H574" s="84"/>
      <c r="I574" s="84"/>
      <c r="J574" s="84"/>
      <c r="K574" s="84"/>
      <c r="L574" s="84"/>
      <c r="M574" s="84"/>
      <c r="N574" s="84"/>
      <c r="O574" s="84"/>
      <c r="P574" s="85"/>
      <c r="Q574" s="75"/>
      <c r="R574" s="75"/>
      <c r="S574" s="75"/>
      <c r="T574" s="75"/>
      <c r="U574" s="89"/>
      <c r="V574" s="84"/>
      <c r="W574" s="84"/>
      <c r="X574" s="84"/>
      <c r="Y574" s="84"/>
      <c r="Z574" s="84"/>
      <c r="AA574" s="1"/>
      <c r="AB574" s="330"/>
      <c r="AC574" s="321"/>
      <c r="AD574" s="321"/>
    </row>
    <row r="575" spans="1:30" ht="15.75" customHeight="1">
      <c r="A575" s="83"/>
      <c r="B575" s="83"/>
      <c r="C575" s="83"/>
      <c r="D575" s="84"/>
      <c r="E575" s="84"/>
      <c r="F575" s="84"/>
      <c r="G575" s="83"/>
      <c r="H575" s="84"/>
      <c r="I575" s="84"/>
      <c r="J575" s="84"/>
      <c r="K575" s="84"/>
      <c r="L575" s="84"/>
      <c r="M575" s="84"/>
      <c r="N575" s="84"/>
      <c r="O575" s="84"/>
      <c r="P575" s="85"/>
      <c r="Q575" s="75"/>
      <c r="R575" s="75"/>
      <c r="S575" s="75"/>
      <c r="T575" s="75"/>
      <c r="U575" s="89"/>
      <c r="V575" s="84"/>
      <c r="W575" s="84"/>
      <c r="X575" s="84"/>
      <c r="Y575" s="84"/>
      <c r="Z575" s="84"/>
      <c r="AA575" s="1"/>
      <c r="AB575" s="330"/>
      <c r="AC575" s="321"/>
      <c r="AD575" s="321"/>
    </row>
    <row r="576" spans="1:30" ht="15.75" customHeight="1">
      <c r="A576" s="83"/>
      <c r="B576" s="83"/>
      <c r="C576" s="83"/>
      <c r="D576" s="84"/>
      <c r="E576" s="84"/>
      <c r="F576" s="84"/>
      <c r="G576" s="83"/>
      <c r="H576" s="84"/>
      <c r="I576" s="84"/>
      <c r="J576" s="84"/>
      <c r="K576" s="84"/>
      <c r="L576" s="84"/>
      <c r="M576" s="84"/>
      <c r="N576" s="84"/>
      <c r="O576" s="84"/>
      <c r="P576" s="85"/>
      <c r="Q576" s="75"/>
      <c r="R576" s="75"/>
      <c r="S576" s="75"/>
      <c r="T576" s="75"/>
      <c r="U576" s="89"/>
      <c r="V576" s="84"/>
      <c r="W576" s="84"/>
      <c r="X576" s="84"/>
      <c r="Y576" s="84"/>
      <c r="Z576" s="84"/>
      <c r="AA576" s="1"/>
      <c r="AB576" s="330"/>
      <c r="AC576" s="321"/>
      <c r="AD576" s="321"/>
    </row>
    <row r="577" spans="1:30" ht="15.75" customHeight="1">
      <c r="A577" s="83"/>
      <c r="B577" s="83"/>
      <c r="C577" s="83"/>
      <c r="D577" s="84"/>
      <c r="E577" s="84"/>
      <c r="F577" s="84"/>
      <c r="G577" s="83"/>
      <c r="H577" s="84"/>
      <c r="I577" s="84"/>
      <c r="J577" s="84"/>
      <c r="K577" s="84"/>
      <c r="L577" s="84"/>
      <c r="M577" s="84"/>
      <c r="N577" s="84"/>
      <c r="O577" s="84"/>
      <c r="P577" s="85"/>
      <c r="Q577" s="75"/>
      <c r="R577" s="75"/>
      <c r="S577" s="75"/>
      <c r="T577" s="75"/>
      <c r="U577" s="89"/>
      <c r="V577" s="84"/>
      <c r="W577" s="84"/>
      <c r="X577" s="84"/>
      <c r="Y577" s="84"/>
      <c r="Z577" s="84"/>
      <c r="AA577" s="1"/>
      <c r="AB577" s="330"/>
      <c r="AC577" s="321"/>
      <c r="AD577" s="321"/>
    </row>
    <row r="578" spans="1:30" ht="15.75" customHeight="1">
      <c r="A578" s="83"/>
      <c r="B578" s="83"/>
      <c r="C578" s="83"/>
      <c r="D578" s="84"/>
      <c r="E578" s="84"/>
      <c r="F578" s="84"/>
      <c r="G578" s="83"/>
      <c r="H578" s="84"/>
      <c r="I578" s="84"/>
      <c r="J578" s="84"/>
      <c r="K578" s="84"/>
      <c r="L578" s="84"/>
      <c r="M578" s="84"/>
      <c r="N578" s="84"/>
      <c r="O578" s="84"/>
      <c r="P578" s="85"/>
      <c r="Q578" s="75"/>
      <c r="R578" s="75"/>
      <c r="S578" s="75"/>
      <c r="T578" s="75"/>
      <c r="U578" s="89"/>
      <c r="V578" s="84"/>
      <c r="W578" s="84"/>
      <c r="X578" s="84"/>
      <c r="Y578" s="84"/>
      <c r="Z578" s="84"/>
      <c r="AA578" s="1"/>
      <c r="AB578" s="330"/>
      <c r="AC578" s="321"/>
      <c r="AD578" s="321"/>
    </row>
    <row r="579" spans="1:30" ht="15.75" customHeight="1">
      <c r="A579" s="83"/>
      <c r="B579" s="83"/>
      <c r="C579" s="83"/>
      <c r="D579" s="84"/>
      <c r="E579" s="84"/>
      <c r="F579" s="84"/>
      <c r="G579" s="83"/>
      <c r="H579" s="84"/>
      <c r="I579" s="84"/>
      <c r="J579" s="84"/>
      <c r="K579" s="84"/>
      <c r="L579" s="84"/>
      <c r="M579" s="84"/>
      <c r="N579" s="84"/>
      <c r="O579" s="84"/>
      <c r="P579" s="85"/>
      <c r="Q579" s="75"/>
      <c r="R579" s="75"/>
      <c r="S579" s="75"/>
      <c r="T579" s="75"/>
      <c r="U579" s="89"/>
      <c r="V579" s="84"/>
      <c r="W579" s="84"/>
      <c r="X579" s="84"/>
      <c r="Y579" s="84"/>
      <c r="Z579" s="84"/>
      <c r="AA579" s="1"/>
      <c r="AB579" s="330"/>
      <c r="AC579" s="321"/>
      <c r="AD579" s="321"/>
    </row>
    <row r="580" spans="1:30" ht="15.75" customHeight="1">
      <c r="A580" s="83"/>
      <c r="B580" s="83"/>
      <c r="C580" s="83"/>
      <c r="D580" s="84"/>
      <c r="E580" s="84"/>
      <c r="F580" s="84"/>
      <c r="G580" s="83"/>
      <c r="H580" s="84"/>
      <c r="I580" s="84"/>
      <c r="J580" s="84"/>
      <c r="K580" s="84"/>
      <c r="L580" s="84"/>
      <c r="M580" s="84"/>
      <c r="N580" s="84"/>
      <c r="O580" s="84"/>
      <c r="P580" s="85"/>
      <c r="Q580" s="75"/>
      <c r="R580" s="75"/>
      <c r="S580" s="75"/>
      <c r="T580" s="75"/>
      <c r="U580" s="89"/>
      <c r="V580" s="84"/>
      <c r="W580" s="84"/>
      <c r="X580" s="84"/>
      <c r="Y580" s="84"/>
      <c r="Z580" s="84"/>
      <c r="AA580" s="1"/>
      <c r="AB580" s="330"/>
      <c r="AC580" s="321"/>
      <c r="AD580" s="321"/>
    </row>
    <row r="581" spans="1:30" ht="15.75" customHeight="1">
      <c r="A581" s="83"/>
      <c r="B581" s="83"/>
      <c r="C581" s="83"/>
      <c r="D581" s="84"/>
      <c r="E581" s="84"/>
      <c r="F581" s="84"/>
      <c r="G581" s="83"/>
      <c r="H581" s="84"/>
      <c r="I581" s="84"/>
      <c r="J581" s="84"/>
      <c r="K581" s="84"/>
      <c r="L581" s="84"/>
      <c r="M581" s="84"/>
      <c r="N581" s="84"/>
      <c r="O581" s="84"/>
      <c r="P581" s="85"/>
      <c r="Q581" s="75"/>
      <c r="R581" s="75"/>
      <c r="S581" s="75"/>
      <c r="T581" s="75"/>
      <c r="U581" s="89"/>
      <c r="V581" s="84"/>
      <c r="W581" s="84"/>
      <c r="X581" s="84"/>
      <c r="Y581" s="84"/>
      <c r="Z581" s="84"/>
      <c r="AA581" s="1"/>
      <c r="AB581" s="330"/>
      <c r="AC581" s="321"/>
      <c r="AD581" s="321"/>
    </row>
    <row r="582" spans="1:30" ht="15.75" customHeight="1">
      <c r="A582" s="83"/>
      <c r="B582" s="83"/>
      <c r="C582" s="83"/>
      <c r="D582" s="84"/>
      <c r="E582" s="84"/>
      <c r="F582" s="84"/>
      <c r="G582" s="83"/>
      <c r="H582" s="84"/>
      <c r="I582" s="84"/>
      <c r="J582" s="84"/>
      <c r="K582" s="84"/>
      <c r="L582" s="84"/>
      <c r="M582" s="84"/>
      <c r="N582" s="84"/>
      <c r="O582" s="84"/>
      <c r="P582" s="85"/>
      <c r="Q582" s="75"/>
      <c r="R582" s="75"/>
      <c r="S582" s="75"/>
      <c r="T582" s="75"/>
      <c r="U582" s="89"/>
      <c r="V582" s="84"/>
      <c r="W582" s="84"/>
      <c r="X582" s="84"/>
      <c r="Y582" s="84"/>
      <c r="Z582" s="84"/>
      <c r="AA582" s="1"/>
      <c r="AB582" s="330"/>
      <c r="AC582" s="321"/>
      <c r="AD582" s="321"/>
    </row>
    <row r="583" spans="1:30" ht="15.75" customHeight="1">
      <c r="A583" s="83"/>
      <c r="B583" s="83"/>
      <c r="C583" s="83"/>
      <c r="D583" s="84"/>
      <c r="E583" s="84"/>
      <c r="F583" s="84"/>
      <c r="G583" s="83"/>
      <c r="H583" s="84"/>
      <c r="I583" s="84"/>
      <c r="J583" s="84"/>
      <c r="K583" s="84"/>
      <c r="L583" s="84"/>
      <c r="M583" s="84"/>
      <c r="N583" s="84"/>
      <c r="O583" s="84"/>
      <c r="P583" s="85"/>
      <c r="Q583" s="75"/>
      <c r="R583" s="75"/>
      <c r="S583" s="75"/>
      <c r="T583" s="75"/>
      <c r="U583" s="89"/>
      <c r="V583" s="84"/>
      <c r="W583" s="84"/>
      <c r="X583" s="84"/>
      <c r="Y583" s="84"/>
      <c r="Z583" s="84"/>
      <c r="AA583" s="1"/>
      <c r="AB583" s="330"/>
      <c r="AC583" s="321"/>
      <c r="AD583" s="321"/>
    </row>
    <row r="584" spans="1:30" ht="15.75" customHeight="1">
      <c r="A584" s="83"/>
      <c r="B584" s="83"/>
      <c r="C584" s="83"/>
      <c r="D584" s="84"/>
      <c r="E584" s="84"/>
      <c r="F584" s="84"/>
      <c r="G584" s="83"/>
      <c r="H584" s="84"/>
      <c r="I584" s="84"/>
      <c r="J584" s="84"/>
      <c r="K584" s="84"/>
      <c r="L584" s="84"/>
      <c r="M584" s="84"/>
      <c r="N584" s="84"/>
      <c r="O584" s="84"/>
      <c r="P584" s="85"/>
      <c r="Q584" s="75"/>
      <c r="R584" s="75"/>
      <c r="S584" s="75"/>
      <c r="T584" s="75"/>
      <c r="U584" s="89"/>
      <c r="V584" s="84"/>
      <c r="W584" s="84"/>
      <c r="X584" s="84"/>
      <c r="Y584" s="84"/>
      <c r="Z584" s="84"/>
      <c r="AA584" s="1"/>
      <c r="AB584" s="330"/>
      <c r="AC584" s="321"/>
      <c r="AD584" s="321"/>
    </row>
    <row r="585" spans="1:30" ht="15.75" customHeight="1">
      <c r="A585" s="83"/>
      <c r="B585" s="83"/>
      <c r="C585" s="83"/>
      <c r="D585" s="84"/>
      <c r="E585" s="84"/>
      <c r="F585" s="84"/>
      <c r="G585" s="83"/>
      <c r="H585" s="84"/>
      <c r="I585" s="84"/>
      <c r="J585" s="84"/>
      <c r="K585" s="84"/>
      <c r="L585" s="84"/>
      <c r="M585" s="84"/>
      <c r="N585" s="84"/>
      <c r="O585" s="84"/>
      <c r="P585" s="85"/>
      <c r="Q585" s="75"/>
      <c r="R585" s="75"/>
      <c r="S585" s="75"/>
      <c r="T585" s="75"/>
      <c r="U585" s="89"/>
      <c r="V585" s="84"/>
      <c r="W585" s="84"/>
      <c r="X585" s="84"/>
      <c r="Y585" s="84"/>
      <c r="Z585" s="84"/>
      <c r="AA585" s="1"/>
      <c r="AB585" s="330"/>
      <c r="AC585" s="321"/>
      <c r="AD585" s="321"/>
    </row>
    <row r="586" spans="1:30" ht="15.75" customHeight="1">
      <c r="A586" s="83"/>
      <c r="B586" s="83"/>
      <c r="C586" s="83"/>
      <c r="D586" s="84"/>
      <c r="E586" s="84"/>
      <c r="F586" s="84"/>
      <c r="G586" s="83"/>
      <c r="H586" s="84"/>
      <c r="I586" s="84"/>
      <c r="J586" s="84"/>
      <c r="K586" s="84"/>
      <c r="L586" s="84"/>
      <c r="M586" s="84"/>
      <c r="N586" s="84"/>
      <c r="O586" s="84"/>
      <c r="P586" s="85"/>
      <c r="Q586" s="75"/>
      <c r="R586" s="75"/>
      <c r="S586" s="75"/>
      <c r="T586" s="75"/>
      <c r="U586" s="89"/>
      <c r="V586" s="84"/>
      <c r="W586" s="84"/>
      <c r="X586" s="84"/>
      <c r="Y586" s="84"/>
      <c r="Z586" s="84"/>
      <c r="AA586" s="1"/>
      <c r="AB586" s="330"/>
      <c r="AC586" s="321"/>
      <c r="AD586" s="321"/>
    </row>
    <row r="587" spans="1:30" ht="15.75" customHeight="1">
      <c r="A587" s="83"/>
      <c r="B587" s="83"/>
      <c r="C587" s="83"/>
      <c r="D587" s="84"/>
      <c r="E587" s="84"/>
      <c r="F587" s="84"/>
      <c r="G587" s="83"/>
      <c r="H587" s="84"/>
      <c r="I587" s="84"/>
      <c r="J587" s="84"/>
      <c r="K587" s="84"/>
      <c r="L587" s="84"/>
      <c r="M587" s="84"/>
      <c r="N587" s="84"/>
      <c r="O587" s="84"/>
      <c r="P587" s="85"/>
      <c r="Q587" s="75"/>
      <c r="R587" s="75"/>
      <c r="S587" s="75"/>
      <c r="T587" s="75"/>
      <c r="U587" s="89"/>
      <c r="V587" s="84"/>
      <c r="W587" s="84"/>
      <c r="X587" s="84"/>
      <c r="Y587" s="84"/>
      <c r="Z587" s="84"/>
      <c r="AA587" s="1"/>
      <c r="AB587" s="330"/>
      <c r="AC587" s="321"/>
      <c r="AD587" s="321"/>
    </row>
    <row r="588" spans="1:30" ht="15.75" customHeight="1">
      <c r="A588" s="83"/>
      <c r="B588" s="83"/>
      <c r="C588" s="83"/>
      <c r="D588" s="84"/>
      <c r="E588" s="84"/>
      <c r="F588" s="84"/>
      <c r="G588" s="83"/>
      <c r="H588" s="84"/>
      <c r="I588" s="84"/>
      <c r="J588" s="84"/>
      <c r="K588" s="84"/>
      <c r="L588" s="84"/>
      <c r="M588" s="84"/>
      <c r="N588" s="84"/>
      <c r="O588" s="84"/>
      <c r="P588" s="85"/>
      <c r="Q588" s="75"/>
      <c r="R588" s="75"/>
      <c r="S588" s="75"/>
      <c r="T588" s="75"/>
      <c r="U588" s="89"/>
      <c r="V588" s="84"/>
      <c r="W588" s="84"/>
      <c r="X588" s="84"/>
      <c r="Y588" s="84"/>
      <c r="Z588" s="84"/>
      <c r="AA588" s="1"/>
      <c r="AB588" s="330"/>
      <c r="AC588" s="321"/>
      <c r="AD588" s="321"/>
    </row>
    <row r="589" spans="1:30" ht="15.75" customHeight="1">
      <c r="A589" s="83"/>
      <c r="B589" s="83"/>
      <c r="C589" s="83"/>
      <c r="D589" s="84"/>
      <c r="E589" s="84"/>
      <c r="F589" s="84"/>
      <c r="G589" s="83"/>
      <c r="H589" s="84"/>
      <c r="I589" s="84"/>
      <c r="J589" s="84"/>
      <c r="K589" s="84"/>
      <c r="L589" s="84"/>
      <c r="M589" s="84"/>
      <c r="N589" s="84"/>
      <c r="O589" s="84"/>
      <c r="P589" s="85"/>
      <c r="Q589" s="75"/>
      <c r="R589" s="75"/>
      <c r="S589" s="75"/>
      <c r="T589" s="75"/>
      <c r="U589" s="89"/>
      <c r="V589" s="84"/>
      <c r="W589" s="84"/>
      <c r="X589" s="84"/>
      <c r="Y589" s="84"/>
      <c r="Z589" s="84"/>
      <c r="AA589" s="1"/>
      <c r="AB589" s="330"/>
      <c r="AC589" s="321"/>
      <c r="AD589" s="321"/>
    </row>
    <row r="590" spans="1:30" ht="15.75" customHeight="1">
      <c r="A590" s="83"/>
      <c r="B590" s="83"/>
      <c r="C590" s="83"/>
      <c r="D590" s="84"/>
      <c r="E590" s="84"/>
      <c r="F590" s="84"/>
      <c r="G590" s="83"/>
      <c r="H590" s="84"/>
      <c r="I590" s="84"/>
      <c r="J590" s="84"/>
      <c r="K590" s="84"/>
      <c r="L590" s="84"/>
      <c r="M590" s="84"/>
      <c r="N590" s="84"/>
      <c r="O590" s="84"/>
      <c r="P590" s="85"/>
      <c r="Q590" s="75"/>
      <c r="R590" s="75"/>
      <c r="S590" s="75"/>
      <c r="T590" s="75"/>
      <c r="U590" s="89"/>
      <c r="V590" s="84"/>
      <c r="W590" s="84"/>
      <c r="X590" s="84"/>
      <c r="Y590" s="84"/>
      <c r="Z590" s="84"/>
      <c r="AA590" s="1"/>
      <c r="AB590" s="330"/>
      <c r="AC590" s="321"/>
      <c r="AD590" s="321"/>
    </row>
    <row r="591" spans="1:30" ht="15.75" customHeight="1">
      <c r="A591" s="83"/>
      <c r="B591" s="83"/>
      <c r="C591" s="83"/>
      <c r="D591" s="84"/>
      <c r="E591" s="84"/>
      <c r="F591" s="84"/>
      <c r="G591" s="83"/>
      <c r="H591" s="84"/>
      <c r="I591" s="84"/>
      <c r="J591" s="84"/>
      <c r="K591" s="84"/>
      <c r="L591" s="84"/>
      <c r="M591" s="84"/>
      <c r="N591" s="84"/>
      <c r="O591" s="84"/>
      <c r="P591" s="85"/>
      <c r="Q591" s="75"/>
      <c r="R591" s="75"/>
      <c r="S591" s="75"/>
      <c r="T591" s="75"/>
      <c r="U591" s="89"/>
      <c r="V591" s="84"/>
      <c r="W591" s="84"/>
      <c r="X591" s="84"/>
      <c r="Y591" s="84"/>
      <c r="Z591" s="84"/>
      <c r="AA591" s="1"/>
      <c r="AB591" s="330"/>
      <c r="AC591" s="321"/>
      <c r="AD591" s="321"/>
    </row>
    <row r="592" spans="1:30" ht="15.75" customHeight="1">
      <c r="A592" s="83"/>
      <c r="B592" s="83"/>
      <c r="C592" s="83"/>
      <c r="D592" s="84"/>
      <c r="E592" s="84"/>
      <c r="F592" s="84"/>
      <c r="G592" s="83"/>
      <c r="H592" s="84"/>
      <c r="I592" s="84"/>
      <c r="J592" s="84"/>
      <c r="K592" s="84"/>
      <c r="L592" s="84"/>
      <c r="M592" s="84"/>
      <c r="N592" s="84"/>
      <c r="O592" s="84"/>
      <c r="P592" s="85"/>
      <c r="Q592" s="75"/>
      <c r="R592" s="75"/>
      <c r="S592" s="75"/>
      <c r="T592" s="75"/>
      <c r="U592" s="89"/>
      <c r="V592" s="84"/>
      <c r="W592" s="84"/>
      <c r="X592" s="84"/>
      <c r="Y592" s="84"/>
      <c r="Z592" s="84"/>
      <c r="AA592" s="1"/>
      <c r="AB592" s="330"/>
      <c r="AC592" s="321"/>
      <c r="AD592" s="321"/>
    </row>
    <row r="593" spans="1:30" ht="15.75" customHeight="1">
      <c r="A593" s="83"/>
      <c r="B593" s="83"/>
      <c r="C593" s="83"/>
      <c r="D593" s="84"/>
      <c r="E593" s="84"/>
      <c r="F593" s="84"/>
      <c r="G593" s="83"/>
      <c r="H593" s="84"/>
      <c r="I593" s="84"/>
      <c r="J593" s="84"/>
      <c r="K593" s="84"/>
      <c r="L593" s="84"/>
      <c r="M593" s="84"/>
      <c r="N593" s="84"/>
      <c r="O593" s="84"/>
      <c r="P593" s="85"/>
      <c r="Q593" s="75"/>
      <c r="R593" s="75"/>
      <c r="S593" s="75"/>
      <c r="T593" s="75"/>
      <c r="U593" s="89"/>
      <c r="V593" s="84"/>
      <c r="W593" s="84"/>
      <c r="X593" s="84"/>
      <c r="Y593" s="84"/>
      <c r="Z593" s="84"/>
      <c r="AA593" s="1"/>
      <c r="AB593" s="330"/>
      <c r="AC593" s="321"/>
      <c r="AD593" s="321"/>
    </row>
    <row r="594" spans="1:30" ht="15.75" customHeight="1">
      <c r="A594" s="83"/>
      <c r="B594" s="83"/>
      <c r="C594" s="83"/>
      <c r="D594" s="84"/>
      <c r="E594" s="84"/>
      <c r="F594" s="84"/>
      <c r="G594" s="83"/>
      <c r="H594" s="84"/>
      <c r="I594" s="84"/>
      <c r="J594" s="84"/>
      <c r="K594" s="84"/>
      <c r="L594" s="84"/>
      <c r="M594" s="84"/>
      <c r="N594" s="84"/>
      <c r="O594" s="84"/>
      <c r="P594" s="85"/>
      <c r="Q594" s="75"/>
      <c r="R594" s="75"/>
      <c r="S594" s="75"/>
      <c r="T594" s="75"/>
      <c r="U594" s="89"/>
      <c r="V594" s="84"/>
      <c r="W594" s="84"/>
      <c r="X594" s="84"/>
      <c r="Y594" s="84"/>
      <c r="Z594" s="84"/>
      <c r="AA594" s="1"/>
      <c r="AB594" s="330"/>
      <c r="AC594" s="321"/>
      <c r="AD594" s="321"/>
    </row>
    <row r="595" spans="1:30" ht="15.75" customHeight="1">
      <c r="A595" s="83"/>
      <c r="B595" s="83"/>
      <c r="C595" s="83"/>
      <c r="D595" s="84"/>
      <c r="E595" s="84"/>
      <c r="F595" s="84"/>
      <c r="G595" s="83"/>
      <c r="H595" s="84"/>
      <c r="I595" s="84"/>
      <c r="J595" s="84"/>
      <c r="K595" s="84"/>
      <c r="L595" s="84"/>
      <c r="M595" s="84"/>
      <c r="N595" s="84"/>
      <c r="O595" s="84"/>
      <c r="P595" s="85"/>
      <c r="Q595" s="75"/>
      <c r="R595" s="75"/>
      <c r="S595" s="75"/>
      <c r="T595" s="75"/>
      <c r="U595" s="89"/>
      <c r="V595" s="84"/>
      <c r="W595" s="84"/>
      <c r="X595" s="84"/>
      <c r="Y595" s="84"/>
      <c r="Z595" s="84"/>
      <c r="AA595" s="1"/>
      <c r="AB595" s="330"/>
      <c r="AC595" s="321"/>
      <c r="AD595" s="321"/>
    </row>
    <row r="596" spans="1:30" ht="15.75" customHeight="1">
      <c r="A596" s="83"/>
      <c r="B596" s="83"/>
      <c r="C596" s="83"/>
      <c r="D596" s="84"/>
      <c r="E596" s="84"/>
      <c r="F596" s="84"/>
      <c r="G596" s="83"/>
      <c r="H596" s="84"/>
      <c r="I596" s="84"/>
      <c r="J596" s="84"/>
      <c r="K596" s="84"/>
      <c r="L596" s="84"/>
      <c r="M596" s="84"/>
      <c r="N596" s="84"/>
      <c r="O596" s="84"/>
      <c r="P596" s="85"/>
      <c r="Q596" s="75"/>
      <c r="R596" s="75"/>
      <c r="S596" s="75"/>
      <c r="T596" s="75"/>
      <c r="U596" s="89"/>
      <c r="V596" s="84"/>
      <c r="W596" s="84"/>
      <c r="X596" s="84"/>
      <c r="Y596" s="84"/>
      <c r="Z596" s="84"/>
      <c r="AA596" s="1"/>
      <c r="AB596" s="330"/>
      <c r="AC596" s="321"/>
      <c r="AD596" s="321"/>
    </row>
    <row r="597" spans="1:30" ht="15.75" customHeight="1">
      <c r="A597" s="83"/>
      <c r="B597" s="83"/>
      <c r="C597" s="83"/>
      <c r="D597" s="84"/>
      <c r="E597" s="84"/>
      <c r="F597" s="84"/>
      <c r="G597" s="83"/>
      <c r="H597" s="84"/>
      <c r="I597" s="84"/>
      <c r="J597" s="84"/>
      <c r="K597" s="84"/>
      <c r="L597" s="84"/>
      <c r="M597" s="84"/>
      <c r="N597" s="84"/>
      <c r="O597" s="84"/>
      <c r="P597" s="85"/>
      <c r="Q597" s="75"/>
      <c r="R597" s="75"/>
      <c r="S597" s="75"/>
      <c r="T597" s="75"/>
      <c r="U597" s="89"/>
      <c r="V597" s="84"/>
      <c r="W597" s="84"/>
      <c r="X597" s="84"/>
      <c r="Y597" s="84"/>
      <c r="Z597" s="84"/>
      <c r="AA597" s="1"/>
      <c r="AB597" s="330"/>
      <c r="AC597" s="321"/>
      <c r="AD597" s="321"/>
    </row>
    <row r="598" spans="1:30" ht="15.75" customHeight="1">
      <c r="A598" s="83"/>
      <c r="B598" s="83"/>
      <c r="C598" s="83"/>
      <c r="D598" s="84"/>
      <c r="E598" s="84"/>
      <c r="F598" s="84"/>
      <c r="G598" s="83"/>
      <c r="H598" s="84"/>
      <c r="I598" s="84"/>
      <c r="J598" s="84"/>
      <c r="K598" s="84"/>
      <c r="L598" s="84"/>
      <c r="M598" s="84"/>
      <c r="N598" s="84"/>
      <c r="O598" s="84"/>
      <c r="P598" s="85"/>
      <c r="Q598" s="75"/>
      <c r="R598" s="75"/>
      <c r="S598" s="75"/>
      <c r="T598" s="75"/>
      <c r="U598" s="89"/>
      <c r="V598" s="84"/>
      <c r="W598" s="84"/>
      <c r="X598" s="84"/>
      <c r="Y598" s="84"/>
      <c r="Z598" s="84"/>
      <c r="AA598" s="1"/>
      <c r="AB598" s="330"/>
      <c r="AC598" s="321"/>
      <c r="AD598" s="321"/>
    </row>
    <row r="599" spans="1:30" ht="15.75" customHeight="1">
      <c r="A599" s="83"/>
      <c r="B599" s="83"/>
      <c r="C599" s="83"/>
      <c r="D599" s="84"/>
      <c r="E599" s="84"/>
      <c r="F599" s="84"/>
      <c r="G599" s="83"/>
      <c r="H599" s="84"/>
      <c r="I599" s="84"/>
      <c r="J599" s="84"/>
      <c r="K599" s="84"/>
      <c r="L599" s="84"/>
      <c r="M599" s="84"/>
      <c r="N599" s="84"/>
      <c r="O599" s="84"/>
      <c r="P599" s="85"/>
      <c r="Q599" s="75"/>
      <c r="R599" s="75"/>
      <c r="S599" s="75"/>
      <c r="T599" s="75"/>
      <c r="U599" s="89"/>
      <c r="V599" s="84"/>
      <c r="W599" s="84"/>
      <c r="X599" s="84"/>
      <c r="Y599" s="84"/>
      <c r="Z599" s="84"/>
      <c r="AA599" s="1"/>
      <c r="AB599" s="330"/>
      <c r="AC599" s="321"/>
      <c r="AD599" s="321"/>
    </row>
    <row r="600" spans="1:30" ht="15.75" customHeight="1">
      <c r="A600" s="83"/>
      <c r="B600" s="83"/>
      <c r="C600" s="83"/>
      <c r="D600" s="84"/>
      <c r="E600" s="84"/>
      <c r="F600" s="84"/>
      <c r="G600" s="83"/>
      <c r="H600" s="84"/>
      <c r="I600" s="84"/>
      <c r="J600" s="84"/>
      <c r="K600" s="84"/>
      <c r="L600" s="84"/>
      <c r="M600" s="84"/>
      <c r="N600" s="84"/>
      <c r="O600" s="84"/>
      <c r="P600" s="85"/>
      <c r="Q600" s="75"/>
      <c r="R600" s="75"/>
      <c r="S600" s="75"/>
      <c r="T600" s="75"/>
      <c r="U600" s="89"/>
      <c r="V600" s="84"/>
      <c r="W600" s="84"/>
      <c r="X600" s="84"/>
      <c r="Y600" s="84"/>
      <c r="Z600" s="84"/>
      <c r="AA600" s="1"/>
      <c r="AB600" s="330"/>
      <c r="AC600" s="321"/>
      <c r="AD600" s="321"/>
    </row>
    <row r="601" spans="1:30" ht="15.75" customHeight="1">
      <c r="A601" s="83"/>
      <c r="B601" s="83"/>
      <c r="C601" s="83"/>
      <c r="D601" s="84"/>
      <c r="E601" s="84"/>
      <c r="F601" s="84"/>
      <c r="G601" s="83"/>
      <c r="H601" s="84"/>
      <c r="I601" s="84"/>
      <c r="J601" s="84"/>
      <c r="K601" s="84"/>
      <c r="L601" s="84"/>
      <c r="M601" s="84"/>
      <c r="N601" s="84"/>
      <c r="O601" s="84"/>
      <c r="P601" s="85"/>
      <c r="Q601" s="75"/>
      <c r="R601" s="75"/>
      <c r="S601" s="75"/>
      <c r="T601" s="75"/>
      <c r="U601" s="89"/>
      <c r="V601" s="84"/>
      <c r="W601" s="84"/>
      <c r="X601" s="84"/>
      <c r="Y601" s="84"/>
      <c r="Z601" s="84"/>
      <c r="AA601" s="1"/>
      <c r="AB601" s="330"/>
      <c r="AC601" s="321"/>
      <c r="AD601" s="321"/>
    </row>
    <row r="602" spans="1:30" ht="15.75" customHeight="1">
      <c r="A602" s="83"/>
      <c r="B602" s="83"/>
      <c r="C602" s="83"/>
      <c r="D602" s="84"/>
      <c r="E602" s="84"/>
      <c r="F602" s="84"/>
      <c r="G602" s="83"/>
      <c r="H602" s="84"/>
      <c r="I602" s="84"/>
      <c r="J602" s="84"/>
      <c r="K602" s="84"/>
      <c r="L602" s="84"/>
      <c r="M602" s="84"/>
      <c r="N602" s="84"/>
      <c r="O602" s="84"/>
      <c r="P602" s="85"/>
      <c r="Q602" s="75"/>
      <c r="R602" s="75"/>
      <c r="S602" s="75"/>
      <c r="T602" s="75"/>
      <c r="U602" s="89"/>
      <c r="V602" s="84"/>
      <c r="W602" s="84"/>
      <c r="X602" s="84"/>
      <c r="Y602" s="84"/>
      <c r="Z602" s="84"/>
      <c r="AA602" s="1"/>
      <c r="AB602" s="330"/>
      <c r="AC602" s="321"/>
      <c r="AD602" s="321"/>
    </row>
    <row r="603" spans="1:30" ht="15.75" customHeight="1">
      <c r="A603" s="83"/>
      <c r="B603" s="83"/>
      <c r="C603" s="83"/>
      <c r="D603" s="84"/>
      <c r="E603" s="84"/>
      <c r="F603" s="84"/>
      <c r="G603" s="83"/>
      <c r="H603" s="84"/>
      <c r="I603" s="84"/>
      <c r="J603" s="84"/>
      <c r="K603" s="84"/>
      <c r="L603" s="84"/>
      <c r="M603" s="84"/>
      <c r="N603" s="84"/>
      <c r="O603" s="84"/>
      <c r="P603" s="85"/>
      <c r="Q603" s="75"/>
      <c r="R603" s="75"/>
      <c r="S603" s="75"/>
      <c r="T603" s="75"/>
      <c r="U603" s="89"/>
      <c r="V603" s="84"/>
      <c r="W603" s="84"/>
      <c r="X603" s="84"/>
      <c r="Y603" s="84"/>
      <c r="Z603" s="84"/>
      <c r="AA603" s="1"/>
      <c r="AB603" s="330"/>
      <c r="AC603" s="321"/>
      <c r="AD603" s="321"/>
    </row>
    <row r="604" spans="1:30" ht="15.75" customHeight="1">
      <c r="A604" s="83"/>
      <c r="B604" s="83"/>
      <c r="C604" s="83"/>
      <c r="D604" s="84"/>
      <c r="E604" s="84"/>
      <c r="F604" s="84"/>
      <c r="G604" s="83"/>
      <c r="H604" s="84"/>
      <c r="I604" s="84"/>
      <c r="J604" s="84"/>
      <c r="K604" s="84"/>
      <c r="L604" s="84"/>
      <c r="M604" s="84"/>
      <c r="N604" s="84"/>
      <c r="O604" s="84"/>
      <c r="P604" s="85"/>
      <c r="Q604" s="75"/>
      <c r="R604" s="75"/>
      <c r="S604" s="75"/>
      <c r="T604" s="75"/>
      <c r="U604" s="89"/>
      <c r="V604" s="84"/>
      <c r="W604" s="84"/>
      <c r="X604" s="84"/>
      <c r="Y604" s="84"/>
      <c r="Z604" s="84"/>
      <c r="AA604" s="1"/>
      <c r="AB604" s="330"/>
      <c r="AC604" s="321"/>
      <c r="AD604" s="321"/>
    </row>
    <row r="605" spans="1:30" ht="15.75" customHeight="1">
      <c r="A605" s="83"/>
      <c r="B605" s="83"/>
      <c r="C605" s="83"/>
      <c r="D605" s="84"/>
      <c r="E605" s="84"/>
      <c r="F605" s="84"/>
      <c r="G605" s="83"/>
      <c r="H605" s="84"/>
      <c r="I605" s="84"/>
      <c r="J605" s="84"/>
      <c r="K605" s="84"/>
      <c r="L605" s="84"/>
      <c r="M605" s="84"/>
      <c r="N605" s="84"/>
      <c r="O605" s="84"/>
      <c r="P605" s="85"/>
      <c r="Q605" s="75"/>
      <c r="R605" s="75"/>
      <c r="S605" s="75"/>
      <c r="T605" s="75"/>
      <c r="U605" s="89"/>
      <c r="V605" s="84"/>
      <c r="W605" s="84"/>
      <c r="X605" s="84"/>
      <c r="Y605" s="84"/>
      <c r="Z605" s="84"/>
      <c r="AA605" s="1"/>
      <c r="AB605" s="330"/>
      <c r="AC605" s="321"/>
      <c r="AD605" s="321"/>
    </row>
    <row r="606" spans="1:30" ht="15.75" customHeight="1">
      <c r="A606" s="83"/>
      <c r="B606" s="83"/>
      <c r="C606" s="83"/>
      <c r="D606" s="84"/>
      <c r="E606" s="84"/>
      <c r="F606" s="84"/>
      <c r="G606" s="83"/>
      <c r="H606" s="84"/>
      <c r="I606" s="84"/>
      <c r="J606" s="84"/>
      <c r="K606" s="84"/>
      <c r="L606" s="84"/>
      <c r="M606" s="84"/>
      <c r="N606" s="84"/>
      <c r="O606" s="84"/>
      <c r="P606" s="85"/>
      <c r="Q606" s="75"/>
      <c r="R606" s="75"/>
      <c r="S606" s="75"/>
      <c r="T606" s="75"/>
      <c r="U606" s="89"/>
      <c r="V606" s="84"/>
      <c r="W606" s="84"/>
      <c r="X606" s="84"/>
      <c r="Y606" s="84"/>
      <c r="Z606" s="84"/>
      <c r="AA606" s="1"/>
      <c r="AB606" s="330"/>
      <c r="AC606" s="321"/>
      <c r="AD606" s="321"/>
    </row>
    <row r="607" spans="1:30" ht="15.75" customHeight="1">
      <c r="A607" s="83"/>
      <c r="B607" s="83"/>
      <c r="C607" s="83"/>
      <c r="D607" s="84"/>
      <c r="E607" s="84"/>
      <c r="F607" s="84"/>
      <c r="G607" s="83"/>
      <c r="H607" s="84"/>
      <c r="I607" s="84"/>
      <c r="J607" s="84"/>
      <c r="K607" s="84"/>
      <c r="L607" s="84"/>
      <c r="M607" s="84"/>
      <c r="N607" s="84"/>
      <c r="O607" s="84"/>
      <c r="P607" s="85"/>
      <c r="Q607" s="75"/>
      <c r="R607" s="75"/>
      <c r="S607" s="75"/>
      <c r="T607" s="75"/>
      <c r="U607" s="89"/>
      <c r="V607" s="84"/>
      <c r="W607" s="84"/>
      <c r="X607" s="84"/>
      <c r="Y607" s="84"/>
      <c r="Z607" s="84"/>
      <c r="AA607" s="1"/>
      <c r="AB607" s="330"/>
      <c r="AC607" s="321"/>
      <c r="AD607" s="321"/>
    </row>
    <row r="608" spans="1:30" ht="15.75" customHeight="1">
      <c r="A608" s="83"/>
      <c r="B608" s="83"/>
      <c r="C608" s="83"/>
      <c r="D608" s="84"/>
      <c r="E608" s="84"/>
      <c r="F608" s="84"/>
      <c r="G608" s="83"/>
      <c r="H608" s="84"/>
      <c r="I608" s="84"/>
      <c r="J608" s="84"/>
      <c r="K608" s="84"/>
      <c r="L608" s="84"/>
      <c r="M608" s="84"/>
      <c r="N608" s="84"/>
      <c r="O608" s="84"/>
      <c r="P608" s="85"/>
      <c r="Q608" s="75"/>
      <c r="R608" s="75"/>
      <c r="S608" s="75"/>
      <c r="T608" s="75"/>
      <c r="U608" s="89"/>
      <c r="V608" s="84"/>
      <c r="W608" s="84"/>
      <c r="X608" s="84"/>
      <c r="Y608" s="84"/>
      <c r="Z608" s="84"/>
      <c r="AA608" s="1"/>
      <c r="AB608" s="330"/>
      <c r="AC608" s="321"/>
      <c r="AD608" s="321"/>
    </row>
    <row r="609" spans="1:30" ht="15.75" customHeight="1">
      <c r="A609" s="83"/>
      <c r="B609" s="83"/>
      <c r="C609" s="83"/>
      <c r="D609" s="84"/>
      <c r="E609" s="84"/>
      <c r="F609" s="84"/>
      <c r="G609" s="83"/>
      <c r="H609" s="84"/>
      <c r="I609" s="84"/>
      <c r="J609" s="84"/>
      <c r="K609" s="84"/>
      <c r="L609" s="84"/>
      <c r="M609" s="84"/>
      <c r="N609" s="84"/>
      <c r="O609" s="84"/>
      <c r="P609" s="85"/>
      <c r="Q609" s="75"/>
      <c r="R609" s="75"/>
      <c r="S609" s="75"/>
      <c r="T609" s="75"/>
      <c r="U609" s="89"/>
      <c r="V609" s="84"/>
      <c r="W609" s="84"/>
      <c r="X609" s="84"/>
      <c r="Y609" s="84"/>
      <c r="Z609" s="84"/>
      <c r="AA609" s="1"/>
      <c r="AB609" s="330"/>
      <c r="AC609" s="321"/>
      <c r="AD609" s="321"/>
    </row>
    <row r="610" spans="1:30" ht="15.75" customHeight="1">
      <c r="A610" s="83"/>
      <c r="B610" s="83"/>
      <c r="C610" s="83"/>
      <c r="D610" s="84"/>
      <c r="E610" s="84"/>
      <c r="F610" s="84"/>
      <c r="G610" s="83"/>
      <c r="H610" s="84"/>
      <c r="I610" s="84"/>
      <c r="J610" s="84"/>
      <c r="K610" s="84"/>
      <c r="L610" s="84"/>
      <c r="M610" s="84"/>
      <c r="N610" s="84"/>
      <c r="O610" s="84"/>
      <c r="P610" s="85"/>
      <c r="Q610" s="75"/>
      <c r="R610" s="75"/>
      <c r="S610" s="75"/>
      <c r="T610" s="75"/>
      <c r="U610" s="89"/>
      <c r="V610" s="84"/>
      <c r="W610" s="84"/>
      <c r="X610" s="84"/>
      <c r="Y610" s="84"/>
      <c r="Z610" s="84"/>
      <c r="AA610" s="1"/>
      <c r="AB610" s="330"/>
      <c r="AC610" s="321"/>
      <c r="AD610" s="321"/>
    </row>
    <row r="611" spans="1:30" ht="15.75" customHeight="1">
      <c r="A611" s="83"/>
      <c r="B611" s="83"/>
      <c r="C611" s="83"/>
      <c r="D611" s="84"/>
      <c r="E611" s="84"/>
      <c r="F611" s="84"/>
      <c r="G611" s="83"/>
      <c r="H611" s="84"/>
      <c r="I611" s="84"/>
      <c r="J611" s="84"/>
      <c r="K611" s="84"/>
      <c r="L611" s="84"/>
      <c r="M611" s="84"/>
      <c r="N611" s="84"/>
      <c r="O611" s="84"/>
      <c r="P611" s="85"/>
      <c r="Q611" s="75"/>
      <c r="R611" s="75"/>
      <c r="S611" s="75"/>
      <c r="T611" s="75"/>
      <c r="U611" s="89"/>
      <c r="V611" s="84"/>
      <c r="W611" s="84"/>
      <c r="X611" s="84"/>
      <c r="Y611" s="84"/>
      <c r="Z611" s="84"/>
      <c r="AA611" s="1"/>
      <c r="AB611" s="330"/>
      <c r="AC611" s="321"/>
      <c r="AD611" s="321"/>
    </row>
    <row r="612" spans="1:30" ht="15.75" customHeight="1">
      <c r="A612" s="83"/>
      <c r="B612" s="83"/>
      <c r="C612" s="83"/>
      <c r="D612" s="84"/>
      <c r="E612" s="84"/>
      <c r="F612" s="84"/>
      <c r="G612" s="83"/>
      <c r="H612" s="84"/>
      <c r="I612" s="84"/>
      <c r="J612" s="84"/>
      <c r="K612" s="84"/>
      <c r="L612" s="84"/>
      <c r="M612" s="84"/>
      <c r="N612" s="84"/>
      <c r="O612" s="84"/>
      <c r="P612" s="85"/>
      <c r="Q612" s="75"/>
      <c r="R612" s="75"/>
      <c r="S612" s="75"/>
      <c r="T612" s="75"/>
      <c r="U612" s="89"/>
      <c r="V612" s="84"/>
      <c r="W612" s="84"/>
      <c r="X612" s="84"/>
      <c r="Y612" s="84"/>
      <c r="Z612" s="84"/>
      <c r="AA612" s="1"/>
      <c r="AB612" s="330"/>
      <c r="AC612" s="321"/>
      <c r="AD612" s="321"/>
    </row>
    <row r="613" spans="1:30" ht="15.75" customHeight="1">
      <c r="A613" s="83"/>
      <c r="B613" s="83"/>
      <c r="C613" s="83"/>
      <c r="D613" s="84"/>
      <c r="E613" s="84"/>
      <c r="F613" s="84"/>
      <c r="G613" s="83"/>
      <c r="H613" s="84"/>
      <c r="I613" s="84"/>
      <c r="J613" s="84"/>
      <c r="K613" s="84"/>
      <c r="L613" s="84"/>
      <c r="M613" s="84"/>
      <c r="N613" s="84"/>
      <c r="O613" s="84"/>
      <c r="P613" s="85"/>
      <c r="Q613" s="75"/>
      <c r="R613" s="75"/>
      <c r="S613" s="75"/>
      <c r="T613" s="75"/>
      <c r="U613" s="89"/>
      <c r="V613" s="84"/>
      <c r="W613" s="84"/>
      <c r="X613" s="84"/>
      <c r="Y613" s="84"/>
      <c r="Z613" s="84"/>
      <c r="AA613" s="1"/>
      <c r="AB613" s="330"/>
      <c r="AC613" s="321"/>
      <c r="AD613" s="321"/>
    </row>
    <row r="614" spans="1:30" ht="15.75" customHeight="1">
      <c r="A614" s="83"/>
      <c r="B614" s="83"/>
      <c r="C614" s="83"/>
      <c r="D614" s="84"/>
      <c r="E614" s="84"/>
      <c r="F614" s="84"/>
      <c r="G614" s="83"/>
      <c r="H614" s="84"/>
      <c r="I614" s="84"/>
      <c r="J614" s="84"/>
      <c r="K614" s="84"/>
      <c r="L614" s="84"/>
      <c r="M614" s="84"/>
      <c r="N614" s="84"/>
      <c r="O614" s="84"/>
      <c r="P614" s="85"/>
      <c r="Q614" s="75"/>
      <c r="R614" s="75"/>
      <c r="S614" s="75"/>
      <c r="T614" s="75"/>
      <c r="U614" s="89"/>
      <c r="V614" s="84"/>
      <c r="W614" s="84"/>
      <c r="X614" s="84"/>
      <c r="Y614" s="84"/>
      <c r="Z614" s="84"/>
      <c r="AA614" s="1"/>
      <c r="AB614" s="330"/>
      <c r="AC614" s="321"/>
      <c r="AD614" s="321"/>
    </row>
    <row r="615" spans="1:30" ht="15.75" customHeight="1">
      <c r="A615" s="83"/>
      <c r="B615" s="83"/>
      <c r="C615" s="83"/>
      <c r="D615" s="84"/>
      <c r="E615" s="84"/>
      <c r="F615" s="84"/>
      <c r="G615" s="83"/>
      <c r="H615" s="84"/>
      <c r="I615" s="84"/>
      <c r="J615" s="84"/>
      <c r="K615" s="84"/>
      <c r="L615" s="84"/>
      <c r="M615" s="84"/>
      <c r="N615" s="84"/>
      <c r="O615" s="84"/>
      <c r="P615" s="85"/>
      <c r="Q615" s="75"/>
      <c r="R615" s="75"/>
      <c r="S615" s="75"/>
      <c r="T615" s="75"/>
      <c r="U615" s="89"/>
      <c r="V615" s="84"/>
      <c r="W615" s="84"/>
      <c r="X615" s="84"/>
      <c r="Y615" s="84"/>
      <c r="Z615" s="84"/>
      <c r="AA615" s="1"/>
      <c r="AB615" s="330"/>
      <c r="AC615" s="321"/>
      <c r="AD615" s="321"/>
    </row>
    <row r="616" spans="1:30" ht="15.75" customHeight="1">
      <c r="A616" s="83"/>
      <c r="B616" s="83"/>
      <c r="C616" s="83"/>
      <c r="D616" s="84"/>
      <c r="E616" s="84"/>
      <c r="F616" s="84"/>
      <c r="G616" s="83"/>
      <c r="H616" s="84"/>
      <c r="I616" s="84"/>
      <c r="J616" s="84"/>
      <c r="K616" s="84"/>
      <c r="L616" s="84"/>
      <c r="M616" s="84"/>
      <c r="N616" s="84"/>
      <c r="O616" s="84"/>
      <c r="P616" s="85"/>
      <c r="Q616" s="75"/>
      <c r="R616" s="75"/>
      <c r="S616" s="75"/>
      <c r="T616" s="75"/>
      <c r="U616" s="89"/>
      <c r="V616" s="84"/>
      <c r="W616" s="84"/>
      <c r="X616" s="84"/>
      <c r="Y616" s="84"/>
      <c r="Z616" s="84"/>
      <c r="AA616" s="1"/>
      <c r="AB616" s="330"/>
      <c r="AC616" s="321"/>
      <c r="AD616" s="321"/>
    </row>
    <row r="617" spans="1:30" ht="15.75" customHeight="1">
      <c r="A617" s="83"/>
      <c r="B617" s="83"/>
      <c r="C617" s="83"/>
      <c r="D617" s="84"/>
      <c r="E617" s="84"/>
      <c r="F617" s="84"/>
      <c r="G617" s="83"/>
      <c r="H617" s="84"/>
      <c r="I617" s="84"/>
      <c r="J617" s="84"/>
      <c r="K617" s="84"/>
      <c r="L617" s="84"/>
      <c r="M617" s="84"/>
      <c r="N617" s="84"/>
      <c r="O617" s="84"/>
      <c r="P617" s="85"/>
      <c r="Q617" s="75"/>
      <c r="R617" s="75"/>
      <c r="S617" s="75"/>
      <c r="T617" s="75"/>
      <c r="U617" s="89"/>
      <c r="V617" s="84"/>
      <c r="W617" s="84"/>
      <c r="X617" s="84"/>
      <c r="Y617" s="84"/>
      <c r="Z617" s="84"/>
      <c r="AA617" s="1"/>
      <c r="AB617" s="330"/>
      <c r="AC617" s="321"/>
      <c r="AD617" s="321"/>
    </row>
    <row r="618" spans="1:30" ht="15.75" customHeight="1">
      <c r="A618" s="83"/>
      <c r="B618" s="83"/>
      <c r="C618" s="83"/>
      <c r="D618" s="84"/>
      <c r="E618" s="84"/>
      <c r="F618" s="84"/>
      <c r="G618" s="83"/>
      <c r="H618" s="84"/>
      <c r="I618" s="84"/>
      <c r="J618" s="84"/>
      <c r="K618" s="84"/>
      <c r="L618" s="84"/>
      <c r="M618" s="84"/>
      <c r="N618" s="84"/>
      <c r="O618" s="84"/>
      <c r="P618" s="85"/>
      <c r="Q618" s="75"/>
      <c r="R618" s="75"/>
      <c r="S618" s="75"/>
      <c r="T618" s="75"/>
      <c r="U618" s="89"/>
      <c r="V618" s="84"/>
      <c r="W618" s="84"/>
      <c r="X618" s="84"/>
      <c r="Y618" s="84"/>
      <c r="Z618" s="84"/>
      <c r="AA618" s="1"/>
      <c r="AB618" s="330"/>
      <c r="AC618" s="321"/>
      <c r="AD618" s="321"/>
    </row>
    <row r="619" spans="1:30" ht="15.75" customHeight="1">
      <c r="A619" s="83"/>
      <c r="B619" s="83"/>
      <c r="C619" s="83"/>
      <c r="D619" s="84"/>
      <c r="E619" s="84"/>
      <c r="F619" s="84"/>
      <c r="G619" s="83"/>
      <c r="H619" s="84"/>
      <c r="I619" s="84"/>
      <c r="J619" s="84"/>
      <c r="K619" s="84"/>
      <c r="L619" s="84"/>
      <c r="M619" s="84"/>
      <c r="N619" s="84"/>
      <c r="O619" s="84"/>
      <c r="P619" s="85"/>
      <c r="Q619" s="75"/>
      <c r="R619" s="75"/>
      <c r="S619" s="75"/>
      <c r="T619" s="75"/>
      <c r="U619" s="89"/>
      <c r="V619" s="84"/>
      <c r="W619" s="84"/>
      <c r="X619" s="84"/>
      <c r="Y619" s="84"/>
      <c r="Z619" s="84"/>
      <c r="AA619" s="1"/>
      <c r="AB619" s="330"/>
      <c r="AC619" s="321"/>
      <c r="AD619" s="321"/>
    </row>
    <row r="620" spans="1:30" ht="15.75" customHeight="1">
      <c r="A620" s="83"/>
      <c r="B620" s="83"/>
      <c r="C620" s="83"/>
      <c r="D620" s="84"/>
      <c r="E620" s="84"/>
      <c r="F620" s="84"/>
      <c r="G620" s="83"/>
      <c r="H620" s="84"/>
      <c r="I620" s="84"/>
      <c r="J620" s="84"/>
      <c r="K620" s="84"/>
      <c r="L620" s="84"/>
      <c r="M620" s="84"/>
      <c r="N620" s="84"/>
      <c r="O620" s="84"/>
      <c r="P620" s="85"/>
      <c r="Q620" s="75"/>
      <c r="R620" s="75"/>
      <c r="S620" s="75"/>
      <c r="T620" s="75"/>
      <c r="U620" s="89"/>
      <c r="V620" s="84"/>
      <c r="W620" s="84"/>
      <c r="X620" s="84"/>
      <c r="Y620" s="84"/>
      <c r="Z620" s="84"/>
      <c r="AA620" s="1"/>
      <c r="AB620" s="330"/>
      <c r="AC620" s="321"/>
      <c r="AD620" s="321"/>
    </row>
    <row r="621" spans="1:30" ht="15.75" customHeight="1">
      <c r="A621" s="83"/>
      <c r="B621" s="83"/>
      <c r="C621" s="83"/>
      <c r="D621" s="84"/>
      <c r="E621" s="84"/>
      <c r="F621" s="84"/>
      <c r="G621" s="83"/>
      <c r="H621" s="84"/>
      <c r="I621" s="84"/>
      <c r="J621" s="84"/>
      <c r="K621" s="84"/>
      <c r="L621" s="84"/>
      <c r="M621" s="84"/>
      <c r="N621" s="84"/>
      <c r="O621" s="84"/>
      <c r="P621" s="85"/>
      <c r="Q621" s="75"/>
      <c r="R621" s="75"/>
      <c r="S621" s="75"/>
      <c r="T621" s="75"/>
      <c r="U621" s="89"/>
      <c r="V621" s="84"/>
      <c r="W621" s="84"/>
      <c r="X621" s="84"/>
      <c r="Y621" s="84"/>
      <c r="Z621" s="84"/>
      <c r="AA621" s="1"/>
      <c r="AB621" s="330"/>
      <c r="AC621" s="321"/>
      <c r="AD621" s="321"/>
    </row>
    <row r="622" spans="1:30" ht="15.75" customHeight="1">
      <c r="A622" s="83"/>
      <c r="B622" s="83"/>
      <c r="C622" s="83"/>
      <c r="D622" s="84"/>
      <c r="E622" s="84"/>
      <c r="F622" s="84"/>
      <c r="G622" s="83"/>
      <c r="H622" s="84"/>
      <c r="I622" s="84"/>
      <c r="J622" s="84"/>
      <c r="K622" s="84"/>
      <c r="L622" s="84"/>
      <c r="M622" s="84"/>
      <c r="N622" s="84"/>
      <c r="O622" s="84"/>
      <c r="P622" s="85"/>
      <c r="Q622" s="75"/>
      <c r="R622" s="75"/>
      <c r="S622" s="75"/>
      <c r="T622" s="75"/>
      <c r="U622" s="89"/>
      <c r="V622" s="84"/>
      <c r="W622" s="84"/>
      <c r="X622" s="84"/>
      <c r="Y622" s="84"/>
      <c r="Z622" s="84"/>
      <c r="AA622" s="1"/>
      <c r="AB622" s="330"/>
      <c r="AC622" s="321"/>
      <c r="AD622" s="321"/>
    </row>
    <row r="623" spans="1:30" ht="15.75" customHeight="1">
      <c r="A623" s="83"/>
      <c r="B623" s="83"/>
      <c r="C623" s="83"/>
      <c r="D623" s="84"/>
      <c r="E623" s="84"/>
      <c r="F623" s="84"/>
      <c r="G623" s="83"/>
      <c r="H623" s="84"/>
      <c r="I623" s="84"/>
      <c r="J623" s="84"/>
      <c r="K623" s="84"/>
      <c r="L623" s="84"/>
      <c r="M623" s="84"/>
      <c r="N623" s="84"/>
      <c r="O623" s="84"/>
      <c r="P623" s="85"/>
      <c r="Q623" s="75"/>
      <c r="R623" s="75"/>
      <c r="S623" s="75"/>
      <c r="T623" s="75"/>
      <c r="U623" s="89"/>
      <c r="V623" s="84"/>
      <c r="W623" s="84"/>
      <c r="X623" s="84"/>
      <c r="Y623" s="84"/>
      <c r="Z623" s="84"/>
      <c r="AA623" s="1"/>
      <c r="AB623" s="330"/>
      <c r="AC623" s="321"/>
      <c r="AD623" s="321"/>
    </row>
    <row r="624" spans="1:30" ht="15.75" customHeight="1">
      <c r="A624" s="83"/>
      <c r="B624" s="83"/>
      <c r="C624" s="83"/>
      <c r="D624" s="84"/>
      <c r="E624" s="84"/>
      <c r="F624" s="84"/>
      <c r="G624" s="83"/>
      <c r="H624" s="84"/>
      <c r="I624" s="84"/>
      <c r="J624" s="84"/>
      <c r="K624" s="84"/>
      <c r="L624" s="84"/>
      <c r="M624" s="84"/>
      <c r="N624" s="84"/>
      <c r="O624" s="84"/>
      <c r="P624" s="85"/>
      <c r="Q624" s="75"/>
      <c r="R624" s="75"/>
      <c r="S624" s="75"/>
      <c r="T624" s="75"/>
      <c r="U624" s="89"/>
      <c r="V624" s="84"/>
      <c r="W624" s="84"/>
      <c r="X624" s="84"/>
      <c r="Y624" s="84"/>
      <c r="Z624" s="84"/>
      <c r="AA624" s="1"/>
      <c r="AB624" s="330"/>
      <c r="AC624" s="321"/>
      <c r="AD624" s="321"/>
    </row>
    <row r="625" spans="1:30" ht="15.75" customHeight="1">
      <c r="A625" s="83"/>
      <c r="B625" s="83"/>
      <c r="C625" s="83"/>
      <c r="D625" s="84"/>
      <c r="E625" s="84"/>
      <c r="F625" s="84"/>
      <c r="G625" s="83"/>
      <c r="H625" s="84"/>
      <c r="I625" s="84"/>
      <c r="J625" s="84"/>
      <c r="K625" s="84"/>
      <c r="L625" s="84"/>
      <c r="M625" s="84"/>
      <c r="N625" s="84"/>
      <c r="O625" s="84"/>
      <c r="P625" s="85"/>
      <c r="Q625" s="75"/>
      <c r="R625" s="75"/>
      <c r="S625" s="75"/>
      <c r="T625" s="75"/>
      <c r="U625" s="89"/>
      <c r="V625" s="84"/>
      <c r="W625" s="84"/>
      <c r="X625" s="84"/>
      <c r="Y625" s="84"/>
      <c r="Z625" s="84"/>
      <c r="AA625" s="1"/>
      <c r="AB625" s="330"/>
      <c r="AC625" s="321"/>
      <c r="AD625" s="321"/>
    </row>
    <row r="626" spans="1:30" ht="15.75" customHeight="1">
      <c r="A626" s="83"/>
      <c r="B626" s="83"/>
      <c r="C626" s="83"/>
      <c r="D626" s="84"/>
      <c r="E626" s="84"/>
      <c r="F626" s="84"/>
      <c r="G626" s="83"/>
      <c r="H626" s="84"/>
      <c r="I626" s="84"/>
      <c r="J626" s="84"/>
      <c r="K626" s="84"/>
      <c r="L626" s="84"/>
      <c r="M626" s="84"/>
      <c r="N626" s="84"/>
      <c r="O626" s="84"/>
      <c r="P626" s="85"/>
      <c r="Q626" s="75"/>
      <c r="R626" s="75"/>
      <c r="S626" s="75"/>
      <c r="T626" s="75"/>
      <c r="U626" s="89"/>
      <c r="V626" s="84"/>
      <c r="W626" s="84"/>
      <c r="X626" s="84"/>
      <c r="Y626" s="84"/>
      <c r="Z626" s="84"/>
      <c r="AA626" s="1"/>
      <c r="AB626" s="330"/>
      <c r="AC626" s="321"/>
      <c r="AD626" s="321"/>
    </row>
    <row r="627" spans="1:30" ht="15.75" customHeight="1">
      <c r="A627" s="83"/>
      <c r="B627" s="83"/>
      <c r="C627" s="83"/>
      <c r="D627" s="84"/>
      <c r="E627" s="84"/>
      <c r="F627" s="84"/>
      <c r="G627" s="83"/>
      <c r="H627" s="84"/>
      <c r="I627" s="84"/>
      <c r="J627" s="84"/>
      <c r="K627" s="84"/>
      <c r="L627" s="84"/>
      <c r="M627" s="84"/>
      <c r="N627" s="84"/>
      <c r="O627" s="84"/>
      <c r="P627" s="85"/>
      <c r="Q627" s="75"/>
      <c r="R627" s="75"/>
      <c r="S627" s="75"/>
      <c r="T627" s="75"/>
      <c r="U627" s="89"/>
      <c r="V627" s="84"/>
      <c r="W627" s="84"/>
      <c r="X627" s="84"/>
      <c r="Y627" s="84"/>
      <c r="Z627" s="84"/>
      <c r="AA627" s="1"/>
      <c r="AB627" s="330"/>
      <c r="AC627" s="321"/>
      <c r="AD627" s="321"/>
    </row>
    <row r="628" spans="1:30" ht="15.75" customHeight="1">
      <c r="A628" s="83"/>
      <c r="B628" s="83"/>
      <c r="C628" s="83"/>
      <c r="D628" s="84"/>
      <c r="E628" s="84"/>
      <c r="F628" s="84"/>
      <c r="G628" s="83"/>
      <c r="H628" s="84"/>
      <c r="I628" s="84"/>
      <c r="J628" s="84"/>
      <c r="K628" s="84"/>
      <c r="L628" s="84"/>
      <c r="M628" s="84"/>
      <c r="N628" s="84"/>
      <c r="O628" s="84"/>
      <c r="P628" s="85"/>
      <c r="Q628" s="75"/>
      <c r="R628" s="75"/>
      <c r="S628" s="75"/>
      <c r="T628" s="75"/>
      <c r="U628" s="89"/>
      <c r="V628" s="84"/>
      <c r="W628" s="84"/>
      <c r="X628" s="84"/>
      <c r="Y628" s="84"/>
      <c r="Z628" s="84"/>
      <c r="AA628" s="1"/>
      <c r="AB628" s="330"/>
      <c r="AC628" s="321"/>
      <c r="AD628" s="321"/>
    </row>
    <row r="629" spans="1:30" ht="15.75" customHeight="1">
      <c r="A629" s="83"/>
      <c r="B629" s="83"/>
      <c r="C629" s="83"/>
      <c r="D629" s="84"/>
      <c r="E629" s="84"/>
      <c r="F629" s="84"/>
      <c r="G629" s="83"/>
      <c r="H629" s="84"/>
      <c r="I629" s="84"/>
      <c r="J629" s="84"/>
      <c r="K629" s="84"/>
      <c r="L629" s="84"/>
      <c r="M629" s="84"/>
      <c r="N629" s="84"/>
      <c r="O629" s="84"/>
      <c r="P629" s="85"/>
      <c r="Q629" s="75"/>
      <c r="R629" s="75"/>
      <c r="S629" s="75"/>
      <c r="T629" s="75"/>
      <c r="U629" s="89"/>
      <c r="V629" s="84"/>
      <c r="W629" s="84"/>
      <c r="X629" s="84"/>
      <c r="Y629" s="84"/>
      <c r="Z629" s="84"/>
      <c r="AA629" s="1"/>
      <c r="AB629" s="330"/>
      <c r="AC629" s="321"/>
      <c r="AD629" s="321"/>
    </row>
    <row r="630" spans="1:30" ht="15.75" customHeight="1">
      <c r="A630" s="83"/>
      <c r="B630" s="83"/>
      <c r="C630" s="83"/>
      <c r="D630" s="84"/>
      <c r="E630" s="84"/>
      <c r="F630" s="84"/>
      <c r="G630" s="83"/>
      <c r="H630" s="84"/>
      <c r="I630" s="84"/>
      <c r="J630" s="84"/>
      <c r="K630" s="84"/>
      <c r="L630" s="84"/>
      <c r="M630" s="84"/>
      <c r="N630" s="84"/>
      <c r="O630" s="84"/>
      <c r="P630" s="85"/>
      <c r="Q630" s="75"/>
      <c r="R630" s="75"/>
      <c r="S630" s="75"/>
      <c r="T630" s="75"/>
      <c r="U630" s="89"/>
      <c r="V630" s="84"/>
      <c r="W630" s="84"/>
      <c r="X630" s="84"/>
      <c r="Y630" s="84"/>
      <c r="Z630" s="84"/>
      <c r="AA630" s="1"/>
      <c r="AB630" s="330"/>
      <c r="AC630" s="321"/>
      <c r="AD630" s="321"/>
    </row>
    <row r="631" spans="1:30" ht="15.75" customHeight="1">
      <c r="A631" s="83"/>
      <c r="B631" s="83"/>
      <c r="C631" s="83"/>
      <c r="D631" s="84"/>
      <c r="E631" s="84"/>
      <c r="F631" s="84"/>
      <c r="G631" s="83"/>
      <c r="H631" s="84"/>
      <c r="I631" s="84"/>
      <c r="J631" s="84"/>
      <c r="K631" s="84"/>
      <c r="L631" s="84"/>
      <c r="M631" s="84"/>
      <c r="N631" s="84"/>
      <c r="O631" s="84"/>
      <c r="P631" s="85"/>
      <c r="Q631" s="75"/>
      <c r="R631" s="75"/>
      <c r="S631" s="75"/>
      <c r="T631" s="75"/>
      <c r="U631" s="89"/>
      <c r="V631" s="84"/>
      <c r="W631" s="84"/>
      <c r="X631" s="84"/>
      <c r="Y631" s="84"/>
      <c r="Z631" s="84"/>
      <c r="AA631" s="1"/>
      <c r="AB631" s="330"/>
      <c r="AC631" s="321"/>
      <c r="AD631" s="321"/>
    </row>
    <row r="632" spans="1:30" ht="15.75" customHeight="1">
      <c r="A632" s="83"/>
      <c r="B632" s="83"/>
      <c r="C632" s="83"/>
      <c r="D632" s="84"/>
      <c r="E632" s="84"/>
      <c r="F632" s="84"/>
      <c r="G632" s="83"/>
      <c r="H632" s="84"/>
      <c r="I632" s="84"/>
      <c r="J632" s="84"/>
      <c r="K632" s="84"/>
      <c r="L632" s="84"/>
      <c r="M632" s="84"/>
      <c r="N632" s="84"/>
      <c r="O632" s="84"/>
      <c r="P632" s="85"/>
      <c r="Q632" s="75"/>
      <c r="R632" s="75"/>
      <c r="S632" s="75"/>
      <c r="T632" s="75"/>
      <c r="U632" s="89"/>
      <c r="V632" s="84"/>
      <c r="W632" s="84"/>
      <c r="X632" s="84"/>
      <c r="Y632" s="84"/>
      <c r="Z632" s="84"/>
      <c r="AA632" s="1"/>
      <c r="AB632" s="330"/>
      <c r="AC632" s="321"/>
      <c r="AD632" s="321"/>
    </row>
    <row r="633" spans="1:30" ht="15.75" customHeight="1">
      <c r="A633" s="83"/>
      <c r="B633" s="83"/>
      <c r="C633" s="83"/>
      <c r="D633" s="84"/>
      <c r="E633" s="84"/>
      <c r="F633" s="84"/>
      <c r="G633" s="83"/>
      <c r="H633" s="84"/>
      <c r="I633" s="84"/>
      <c r="J633" s="84"/>
      <c r="K633" s="84"/>
      <c r="L633" s="84"/>
      <c r="M633" s="84"/>
      <c r="N633" s="84"/>
      <c r="O633" s="84"/>
      <c r="P633" s="85"/>
      <c r="Q633" s="75"/>
      <c r="R633" s="75"/>
      <c r="S633" s="75"/>
      <c r="T633" s="75"/>
      <c r="U633" s="89"/>
      <c r="V633" s="84"/>
      <c r="W633" s="84"/>
      <c r="X633" s="84"/>
      <c r="Y633" s="84"/>
      <c r="Z633" s="84"/>
      <c r="AA633" s="1"/>
      <c r="AB633" s="330"/>
      <c r="AC633" s="321"/>
      <c r="AD633" s="321"/>
    </row>
    <row r="634" spans="1:30" ht="15.75" customHeight="1">
      <c r="A634" s="83"/>
      <c r="B634" s="83"/>
      <c r="C634" s="83"/>
      <c r="D634" s="84"/>
      <c r="E634" s="84"/>
      <c r="F634" s="84"/>
      <c r="G634" s="83"/>
      <c r="H634" s="84"/>
      <c r="I634" s="84"/>
      <c r="J634" s="84"/>
      <c r="K634" s="84"/>
      <c r="L634" s="84"/>
      <c r="M634" s="84"/>
      <c r="N634" s="84"/>
      <c r="O634" s="84"/>
      <c r="P634" s="85"/>
      <c r="Q634" s="75"/>
      <c r="R634" s="75"/>
      <c r="S634" s="75"/>
      <c r="T634" s="75"/>
      <c r="U634" s="89"/>
      <c r="V634" s="84"/>
      <c r="W634" s="84"/>
      <c r="X634" s="84"/>
      <c r="Y634" s="84"/>
      <c r="Z634" s="84"/>
      <c r="AA634" s="1"/>
      <c r="AB634" s="330"/>
      <c r="AC634" s="321"/>
      <c r="AD634" s="321"/>
    </row>
    <row r="635" spans="1:30" ht="15.75" customHeight="1">
      <c r="A635" s="83"/>
      <c r="B635" s="83"/>
      <c r="C635" s="83"/>
      <c r="D635" s="84"/>
      <c r="E635" s="84"/>
      <c r="F635" s="84"/>
      <c r="G635" s="83"/>
      <c r="H635" s="84"/>
      <c r="I635" s="84"/>
      <c r="J635" s="84"/>
      <c r="K635" s="84"/>
      <c r="L635" s="84"/>
      <c r="M635" s="84"/>
      <c r="N635" s="84"/>
      <c r="O635" s="84"/>
      <c r="P635" s="85"/>
      <c r="Q635" s="75"/>
      <c r="R635" s="75"/>
      <c r="S635" s="75"/>
      <c r="T635" s="75"/>
      <c r="U635" s="89"/>
      <c r="V635" s="84"/>
      <c r="W635" s="84"/>
      <c r="X635" s="84"/>
      <c r="Y635" s="84"/>
      <c r="Z635" s="84"/>
      <c r="AA635" s="1"/>
      <c r="AB635" s="330"/>
      <c r="AC635" s="321"/>
      <c r="AD635" s="321"/>
    </row>
    <row r="636" spans="1:30" ht="15.75" customHeight="1">
      <c r="A636" s="83"/>
      <c r="B636" s="83"/>
      <c r="C636" s="83"/>
      <c r="D636" s="84"/>
      <c r="E636" s="84"/>
      <c r="F636" s="84"/>
      <c r="G636" s="83"/>
      <c r="H636" s="84"/>
      <c r="I636" s="84"/>
      <c r="J636" s="84"/>
      <c r="K636" s="84"/>
      <c r="L636" s="84"/>
      <c r="M636" s="84"/>
      <c r="N636" s="84"/>
      <c r="O636" s="84"/>
      <c r="P636" s="85"/>
      <c r="Q636" s="75"/>
      <c r="R636" s="75"/>
      <c r="S636" s="75"/>
      <c r="T636" s="75"/>
      <c r="U636" s="89"/>
      <c r="V636" s="84"/>
      <c r="W636" s="84"/>
      <c r="X636" s="84"/>
      <c r="Y636" s="84"/>
      <c r="Z636" s="84"/>
      <c r="AA636" s="1"/>
      <c r="AB636" s="330"/>
      <c r="AC636" s="321"/>
      <c r="AD636" s="321"/>
    </row>
    <row r="637" spans="1:30" ht="15.75" customHeight="1">
      <c r="A637" s="83"/>
      <c r="B637" s="83"/>
      <c r="C637" s="83"/>
      <c r="D637" s="84"/>
      <c r="E637" s="84"/>
      <c r="F637" s="84"/>
      <c r="G637" s="83"/>
      <c r="H637" s="84"/>
      <c r="I637" s="84"/>
      <c r="J637" s="84"/>
      <c r="K637" s="84"/>
      <c r="L637" s="84"/>
      <c r="M637" s="84"/>
      <c r="N637" s="84"/>
      <c r="O637" s="84"/>
      <c r="P637" s="85"/>
      <c r="Q637" s="75"/>
      <c r="R637" s="75"/>
      <c r="S637" s="75"/>
      <c r="T637" s="75"/>
      <c r="U637" s="89"/>
      <c r="V637" s="84"/>
      <c r="W637" s="84"/>
      <c r="X637" s="84"/>
      <c r="Y637" s="84"/>
      <c r="Z637" s="84"/>
      <c r="AA637" s="1"/>
      <c r="AB637" s="330"/>
      <c r="AC637" s="321"/>
      <c r="AD637" s="321"/>
    </row>
    <row r="638" spans="1:30" ht="15.75" customHeight="1">
      <c r="A638" s="83"/>
      <c r="B638" s="83"/>
      <c r="C638" s="83"/>
      <c r="D638" s="84"/>
      <c r="E638" s="84"/>
      <c r="F638" s="84"/>
      <c r="G638" s="83"/>
      <c r="H638" s="84"/>
      <c r="I638" s="84"/>
      <c r="J638" s="84"/>
      <c r="K638" s="84"/>
      <c r="L638" s="84"/>
      <c r="M638" s="84"/>
      <c r="N638" s="84"/>
      <c r="O638" s="84"/>
      <c r="P638" s="85"/>
      <c r="Q638" s="75"/>
      <c r="R638" s="75"/>
      <c r="S638" s="75"/>
      <c r="T638" s="75"/>
      <c r="U638" s="89"/>
      <c r="V638" s="84"/>
      <c r="W638" s="84"/>
      <c r="X638" s="84"/>
      <c r="Y638" s="84"/>
      <c r="Z638" s="84"/>
      <c r="AA638" s="1"/>
      <c r="AB638" s="330"/>
      <c r="AC638" s="321"/>
      <c r="AD638" s="321"/>
    </row>
    <row r="639" spans="1:30" ht="15.75" customHeight="1">
      <c r="A639" s="83"/>
      <c r="B639" s="83"/>
      <c r="C639" s="83"/>
      <c r="D639" s="84"/>
      <c r="E639" s="84"/>
      <c r="F639" s="84"/>
      <c r="G639" s="83"/>
      <c r="H639" s="84"/>
      <c r="I639" s="84"/>
      <c r="J639" s="84"/>
      <c r="K639" s="84"/>
      <c r="L639" s="84"/>
      <c r="M639" s="84"/>
      <c r="N639" s="84"/>
      <c r="O639" s="84"/>
      <c r="P639" s="85"/>
      <c r="Q639" s="75"/>
      <c r="R639" s="75"/>
      <c r="S639" s="75"/>
      <c r="T639" s="75"/>
      <c r="U639" s="89"/>
      <c r="V639" s="84"/>
      <c r="W639" s="84"/>
      <c r="X639" s="84"/>
      <c r="Y639" s="84"/>
      <c r="Z639" s="84"/>
      <c r="AA639" s="1"/>
      <c r="AB639" s="330"/>
      <c r="AC639" s="321"/>
      <c r="AD639" s="321"/>
    </row>
    <row r="640" spans="1:30" ht="15.75" customHeight="1">
      <c r="A640" s="83"/>
      <c r="B640" s="83"/>
      <c r="C640" s="83"/>
      <c r="D640" s="84"/>
      <c r="E640" s="84"/>
      <c r="F640" s="84"/>
      <c r="G640" s="83"/>
      <c r="H640" s="84"/>
      <c r="I640" s="84"/>
      <c r="J640" s="84"/>
      <c r="K640" s="84"/>
      <c r="L640" s="84"/>
      <c r="M640" s="84"/>
      <c r="N640" s="84"/>
      <c r="O640" s="84"/>
      <c r="P640" s="85"/>
      <c r="Q640" s="75"/>
      <c r="R640" s="75"/>
      <c r="S640" s="75"/>
      <c r="T640" s="75"/>
      <c r="U640" s="89"/>
      <c r="V640" s="84"/>
      <c r="W640" s="84"/>
      <c r="X640" s="84"/>
      <c r="Y640" s="84"/>
      <c r="Z640" s="84"/>
      <c r="AA640" s="1"/>
      <c r="AB640" s="330"/>
      <c r="AC640" s="321"/>
      <c r="AD640" s="321"/>
    </row>
    <row r="641" spans="1:30" ht="15.75" customHeight="1">
      <c r="A641" s="83"/>
      <c r="B641" s="83"/>
      <c r="C641" s="83"/>
      <c r="D641" s="84"/>
      <c r="E641" s="84"/>
      <c r="F641" s="84"/>
      <c r="G641" s="83"/>
      <c r="H641" s="84"/>
      <c r="I641" s="84"/>
      <c r="J641" s="84"/>
      <c r="K641" s="84"/>
      <c r="L641" s="84"/>
      <c r="M641" s="84"/>
      <c r="N641" s="84"/>
      <c r="O641" s="84"/>
      <c r="P641" s="85"/>
      <c r="Q641" s="75"/>
      <c r="R641" s="75"/>
      <c r="S641" s="75"/>
      <c r="T641" s="75"/>
      <c r="U641" s="89"/>
      <c r="V641" s="84"/>
      <c r="W641" s="84"/>
      <c r="X641" s="84"/>
      <c r="Y641" s="84"/>
      <c r="Z641" s="84"/>
      <c r="AA641" s="1"/>
      <c r="AB641" s="330"/>
      <c r="AC641" s="321"/>
      <c r="AD641" s="321"/>
    </row>
    <row r="642" spans="1:30" ht="15.75" customHeight="1">
      <c r="A642" s="83"/>
      <c r="B642" s="83"/>
      <c r="C642" s="83"/>
      <c r="D642" s="84"/>
      <c r="E642" s="84"/>
      <c r="F642" s="84"/>
      <c r="G642" s="83"/>
      <c r="H642" s="84"/>
      <c r="I642" s="84"/>
      <c r="J642" s="84"/>
      <c r="K642" s="84"/>
      <c r="L642" s="84"/>
      <c r="M642" s="84"/>
      <c r="N642" s="84"/>
      <c r="O642" s="84"/>
      <c r="P642" s="85"/>
      <c r="Q642" s="75"/>
      <c r="R642" s="75"/>
      <c r="S642" s="75"/>
      <c r="T642" s="75"/>
      <c r="U642" s="89"/>
      <c r="V642" s="84"/>
      <c r="W642" s="84"/>
      <c r="X642" s="84"/>
      <c r="Y642" s="84"/>
      <c r="Z642" s="84"/>
      <c r="AA642" s="1"/>
      <c r="AB642" s="330"/>
      <c r="AC642" s="321"/>
      <c r="AD642" s="321"/>
    </row>
    <row r="643" spans="1:30" ht="15.75" customHeight="1">
      <c r="A643" s="83"/>
      <c r="B643" s="83"/>
      <c r="C643" s="83"/>
      <c r="D643" s="84"/>
      <c r="E643" s="84"/>
      <c r="F643" s="84"/>
      <c r="G643" s="83"/>
      <c r="H643" s="84"/>
      <c r="I643" s="84"/>
      <c r="J643" s="84"/>
      <c r="K643" s="84"/>
      <c r="L643" s="84"/>
      <c r="M643" s="84"/>
      <c r="N643" s="84"/>
      <c r="O643" s="84"/>
      <c r="P643" s="85"/>
      <c r="Q643" s="75"/>
      <c r="R643" s="75"/>
      <c r="S643" s="75"/>
      <c r="T643" s="75"/>
      <c r="U643" s="89"/>
      <c r="V643" s="84"/>
      <c r="W643" s="84"/>
      <c r="X643" s="84"/>
      <c r="Y643" s="84"/>
      <c r="Z643" s="84"/>
      <c r="AA643" s="1"/>
      <c r="AB643" s="330"/>
      <c r="AC643" s="321"/>
      <c r="AD643" s="321"/>
    </row>
    <row r="644" spans="1:30" ht="15.75" customHeight="1">
      <c r="A644" s="83"/>
      <c r="B644" s="83"/>
      <c r="C644" s="83"/>
      <c r="D644" s="84"/>
      <c r="E644" s="84"/>
      <c r="F644" s="84"/>
      <c r="G644" s="83"/>
      <c r="H644" s="84"/>
      <c r="I644" s="84"/>
      <c r="J644" s="84"/>
      <c r="K644" s="84"/>
      <c r="L644" s="84"/>
      <c r="M644" s="84"/>
      <c r="N644" s="84"/>
      <c r="O644" s="84"/>
      <c r="P644" s="85"/>
      <c r="Q644" s="75"/>
      <c r="R644" s="75"/>
      <c r="S644" s="75"/>
      <c r="T644" s="75"/>
      <c r="U644" s="89"/>
      <c r="V644" s="84"/>
      <c r="W644" s="84"/>
      <c r="X644" s="84"/>
      <c r="Y644" s="84"/>
      <c r="Z644" s="84"/>
      <c r="AA644" s="1"/>
      <c r="AB644" s="330"/>
      <c r="AC644" s="321"/>
      <c r="AD644" s="321"/>
    </row>
    <row r="645" spans="1:30" ht="15.75" customHeight="1">
      <c r="A645" s="83"/>
      <c r="B645" s="83"/>
      <c r="C645" s="83"/>
      <c r="D645" s="84"/>
      <c r="E645" s="84"/>
      <c r="F645" s="84"/>
      <c r="G645" s="83"/>
      <c r="H645" s="84"/>
      <c r="I645" s="84"/>
      <c r="J645" s="84"/>
      <c r="K645" s="84"/>
      <c r="L645" s="84"/>
      <c r="M645" s="84"/>
      <c r="N645" s="84"/>
      <c r="O645" s="84"/>
      <c r="P645" s="85"/>
      <c r="Q645" s="75"/>
      <c r="R645" s="75"/>
      <c r="S645" s="75"/>
      <c r="T645" s="75"/>
      <c r="U645" s="89"/>
      <c r="V645" s="84"/>
      <c r="W645" s="84"/>
      <c r="X645" s="84"/>
      <c r="Y645" s="84"/>
      <c r="Z645" s="84"/>
      <c r="AA645" s="1"/>
      <c r="AB645" s="330"/>
      <c r="AC645" s="321"/>
      <c r="AD645" s="321"/>
    </row>
    <row r="646" spans="1:30" ht="15.75" customHeight="1">
      <c r="A646" s="83"/>
      <c r="B646" s="83"/>
      <c r="C646" s="83"/>
      <c r="D646" s="84"/>
      <c r="E646" s="84"/>
      <c r="F646" s="84"/>
      <c r="G646" s="83"/>
      <c r="H646" s="84"/>
      <c r="I646" s="84"/>
      <c r="J646" s="84"/>
      <c r="K646" s="84"/>
      <c r="L646" s="84"/>
      <c r="M646" s="84"/>
      <c r="N646" s="84"/>
      <c r="O646" s="84"/>
      <c r="P646" s="85"/>
      <c r="Q646" s="75"/>
      <c r="R646" s="75"/>
      <c r="S646" s="75"/>
      <c r="T646" s="75"/>
      <c r="U646" s="89"/>
      <c r="V646" s="84"/>
      <c r="W646" s="84"/>
      <c r="X646" s="84"/>
      <c r="Y646" s="84"/>
      <c r="Z646" s="84"/>
      <c r="AA646" s="1"/>
      <c r="AB646" s="330"/>
      <c r="AC646" s="321"/>
      <c r="AD646" s="321"/>
    </row>
    <row r="647" spans="1:30" ht="15.75" customHeight="1">
      <c r="A647" s="83"/>
      <c r="B647" s="83"/>
      <c r="C647" s="83"/>
      <c r="D647" s="84"/>
      <c r="E647" s="84"/>
      <c r="F647" s="84"/>
      <c r="G647" s="83"/>
      <c r="H647" s="84"/>
      <c r="I647" s="84"/>
      <c r="J647" s="84"/>
      <c r="K647" s="84"/>
      <c r="L647" s="84"/>
      <c r="M647" s="84"/>
      <c r="N647" s="84"/>
      <c r="O647" s="84"/>
      <c r="P647" s="85"/>
      <c r="Q647" s="75"/>
      <c r="R647" s="75"/>
      <c r="S647" s="75"/>
      <c r="T647" s="75"/>
      <c r="U647" s="89"/>
      <c r="V647" s="84"/>
      <c r="W647" s="84"/>
      <c r="X647" s="84"/>
      <c r="Y647" s="84"/>
      <c r="Z647" s="84"/>
      <c r="AA647" s="1"/>
      <c r="AB647" s="330"/>
      <c r="AC647" s="321"/>
      <c r="AD647" s="321"/>
    </row>
    <row r="648" spans="1:30" ht="15.75" customHeight="1">
      <c r="A648" s="83"/>
      <c r="B648" s="83"/>
      <c r="C648" s="83"/>
      <c r="D648" s="84"/>
      <c r="E648" s="84"/>
      <c r="F648" s="84"/>
      <c r="G648" s="83"/>
      <c r="H648" s="84"/>
      <c r="I648" s="84"/>
      <c r="J648" s="84"/>
      <c r="K648" s="84"/>
      <c r="L648" s="84"/>
      <c r="M648" s="84"/>
      <c r="N648" s="84"/>
      <c r="O648" s="84"/>
      <c r="P648" s="85"/>
      <c r="Q648" s="75"/>
      <c r="R648" s="75"/>
      <c r="S648" s="75"/>
      <c r="T648" s="75"/>
      <c r="U648" s="89"/>
      <c r="V648" s="84"/>
      <c r="W648" s="84"/>
      <c r="X648" s="84"/>
      <c r="Y648" s="84"/>
      <c r="Z648" s="84"/>
      <c r="AA648" s="1"/>
      <c r="AB648" s="330"/>
      <c r="AC648" s="321"/>
      <c r="AD648" s="321"/>
    </row>
    <row r="649" spans="1:30" ht="15.75" customHeight="1">
      <c r="A649" s="83"/>
      <c r="B649" s="83"/>
      <c r="C649" s="83"/>
      <c r="D649" s="84"/>
      <c r="E649" s="84"/>
      <c r="F649" s="84"/>
      <c r="G649" s="83"/>
      <c r="H649" s="84"/>
      <c r="I649" s="84"/>
      <c r="J649" s="84"/>
      <c r="K649" s="84"/>
      <c r="L649" s="84"/>
      <c r="M649" s="84"/>
      <c r="N649" s="84"/>
      <c r="O649" s="84"/>
      <c r="P649" s="85"/>
      <c r="Q649" s="75"/>
      <c r="R649" s="75"/>
      <c r="S649" s="75"/>
      <c r="T649" s="75"/>
      <c r="U649" s="89"/>
      <c r="V649" s="84"/>
      <c r="W649" s="84"/>
      <c r="X649" s="84"/>
      <c r="Y649" s="84"/>
      <c r="Z649" s="84"/>
      <c r="AA649" s="1"/>
      <c r="AB649" s="330"/>
      <c r="AC649" s="321"/>
      <c r="AD649" s="321"/>
    </row>
    <row r="650" spans="1:30" ht="15.75" customHeight="1">
      <c r="A650" s="83"/>
      <c r="B650" s="83"/>
      <c r="C650" s="83"/>
      <c r="D650" s="84"/>
      <c r="E650" s="84"/>
      <c r="F650" s="84"/>
      <c r="G650" s="83"/>
      <c r="H650" s="84"/>
      <c r="I650" s="84"/>
      <c r="J650" s="84"/>
      <c r="K650" s="84"/>
      <c r="L650" s="84"/>
      <c r="M650" s="84"/>
      <c r="N650" s="84"/>
      <c r="O650" s="84"/>
      <c r="P650" s="85"/>
      <c r="Q650" s="75"/>
      <c r="R650" s="75"/>
      <c r="S650" s="75"/>
      <c r="T650" s="75"/>
      <c r="U650" s="89"/>
      <c r="V650" s="84"/>
      <c r="W650" s="84"/>
      <c r="X650" s="84"/>
      <c r="Y650" s="84"/>
      <c r="Z650" s="84"/>
      <c r="AA650" s="1"/>
      <c r="AB650" s="330"/>
      <c r="AC650" s="321"/>
      <c r="AD650" s="321"/>
    </row>
    <row r="651" spans="1:30" ht="15.75" customHeight="1">
      <c r="A651" s="83"/>
      <c r="B651" s="83"/>
      <c r="C651" s="83"/>
      <c r="D651" s="84"/>
      <c r="E651" s="84"/>
      <c r="F651" s="84"/>
      <c r="G651" s="83"/>
      <c r="H651" s="84"/>
      <c r="I651" s="84"/>
      <c r="J651" s="84"/>
      <c r="K651" s="84"/>
      <c r="L651" s="84"/>
      <c r="M651" s="84"/>
      <c r="N651" s="84"/>
      <c r="O651" s="84"/>
      <c r="P651" s="85"/>
      <c r="Q651" s="75"/>
      <c r="R651" s="75"/>
      <c r="S651" s="75"/>
      <c r="T651" s="75"/>
      <c r="U651" s="89"/>
      <c r="V651" s="84"/>
      <c r="W651" s="84"/>
      <c r="X651" s="84"/>
      <c r="Y651" s="84"/>
      <c r="Z651" s="84"/>
      <c r="AA651" s="1"/>
      <c r="AB651" s="330"/>
      <c r="AC651" s="321"/>
      <c r="AD651" s="321"/>
    </row>
    <row r="652" spans="1:30" ht="15.75" customHeight="1">
      <c r="A652" s="83"/>
      <c r="B652" s="83"/>
      <c r="C652" s="83"/>
      <c r="D652" s="84"/>
      <c r="E652" s="84"/>
      <c r="F652" s="84"/>
      <c r="G652" s="83"/>
      <c r="H652" s="84"/>
      <c r="I652" s="84"/>
      <c r="J652" s="84"/>
      <c r="K652" s="84"/>
      <c r="L652" s="84"/>
      <c r="M652" s="84"/>
      <c r="N652" s="84"/>
      <c r="O652" s="84"/>
      <c r="P652" s="85"/>
      <c r="Q652" s="75"/>
      <c r="R652" s="75"/>
      <c r="S652" s="75"/>
      <c r="T652" s="75"/>
      <c r="U652" s="89"/>
      <c r="V652" s="84"/>
      <c r="W652" s="84"/>
      <c r="X652" s="84"/>
      <c r="Y652" s="84"/>
      <c r="Z652" s="84"/>
      <c r="AA652" s="1"/>
      <c r="AB652" s="330"/>
      <c r="AC652" s="321"/>
      <c r="AD652" s="321"/>
    </row>
    <row r="653" spans="1:30" ht="15.75" customHeight="1">
      <c r="A653" s="83"/>
      <c r="B653" s="83"/>
      <c r="C653" s="83"/>
      <c r="D653" s="84"/>
      <c r="E653" s="84"/>
      <c r="F653" s="84"/>
      <c r="G653" s="83"/>
      <c r="H653" s="84"/>
      <c r="I653" s="84"/>
      <c r="J653" s="84"/>
      <c r="K653" s="84"/>
      <c r="L653" s="84"/>
      <c r="M653" s="84"/>
      <c r="N653" s="84"/>
      <c r="O653" s="84"/>
      <c r="P653" s="85"/>
      <c r="Q653" s="75"/>
      <c r="R653" s="75"/>
      <c r="S653" s="75"/>
      <c r="T653" s="75"/>
      <c r="U653" s="89"/>
      <c r="V653" s="84"/>
      <c r="W653" s="84"/>
      <c r="X653" s="84"/>
      <c r="Y653" s="84"/>
      <c r="Z653" s="84"/>
      <c r="AA653" s="1"/>
      <c r="AB653" s="330"/>
      <c r="AC653" s="321"/>
      <c r="AD653" s="321"/>
    </row>
    <row r="654" spans="1:30" ht="15.75" customHeight="1">
      <c r="A654" s="83"/>
      <c r="B654" s="83"/>
      <c r="C654" s="83"/>
      <c r="D654" s="84"/>
      <c r="E654" s="84"/>
      <c r="F654" s="84"/>
      <c r="G654" s="83"/>
      <c r="H654" s="84"/>
      <c r="I654" s="84"/>
      <c r="J654" s="84"/>
      <c r="K654" s="84"/>
      <c r="L654" s="84"/>
      <c r="M654" s="84"/>
      <c r="N654" s="84"/>
      <c r="O654" s="84"/>
      <c r="P654" s="85"/>
      <c r="Q654" s="75"/>
      <c r="R654" s="75"/>
      <c r="S654" s="75"/>
      <c r="T654" s="75"/>
      <c r="U654" s="89"/>
      <c r="V654" s="84"/>
      <c r="W654" s="84"/>
      <c r="X654" s="84"/>
      <c r="Y654" s="84"/>
      <c r="Z654" s="84"/>
      <c r="AA654" s="1"/>
      <c r="AB654" s="330"/>
      <c r="AC654" s="321"/>
      <c r="AD654" s="321"/>
    </row>
    <row r="655" spans="1:30" ht="15.75" customHeight="1">
      <c r="A655" s="83"/>
      <c r="B655" s="83"/>
      <c r="C655" s="83"/>
      <c r="D655" s="84"/>
      <c r="E655" s="84"/>
      <c r="F655" s="84"/>
      <c r="G655" s="83"/>
      <c r="H655" s="84"/>
      <c r="I655" s="84"/>
      <c r="J655" s="84"/>
      <c r="K655" s="84"/>
      <c r="L655" s="84"/>
      <c r="M655" s="84"/>
      <c r="N655" s="84"/>
      <c r="O655" s="84"/>
      <c r="P655" s="85"/>
      <c r="Q655" s="75"/>
      <c r="R655" s="75"/>
      <c r="S655" s="75"/>
      <c r="T655" s="75"/>
      <c r="U655" s="89"/>
      <c r="V655" s="84"/>
      <c r="W655" s="84"/>
      <c r="X655" s="84"/>
      <c r="Y655" s="84"/>
      <c r="Z655" s="84"/>
      <c r="AA655" s="1"/>
      <c r="AB655" s="330"/>
      <c r="AC655" s="321"/>
      <c r="AD655" s="321"/>
    </row>
    <row r="656" spans="1:30" ht="15.75" customHeight="1">
      <c r="A656" s="83"/>
      <c r="B656" s="83"/>
      <c r="C656" s="83"/>
      <c r="D656" s="84"/>
      <c r="E656" s="84"/>
      <c r="F656" s="84"/>
      <c r="G656" s="83"/>
      <c r="H656" s="84"/>
      <c r="I656" s="84"/>
      <c r="J656" s="84"/>
      <c r="K656" s="84"/>
      <c r="L656" s="84"/>
      <c r="M656" s="84"/>
      <c r="N656" s="84"/>
      <c r="O656" s="84"/>
      <c r="P656" s="85"/>
      <c r="Q656" s="75"/>
      <c r="R656" s="75"/>
      <c r="S656" s="75"/>
      <c r="T656" s="75"/>
      <c r="U656" s="89"/>
      <c r="V656" s="84"/>
      <c r="W656" s="84"/>
      <c r="X656" s="84"/>
      <c r="Y656" s="84"/>
      <c r="Z656" s="84"/>
      <c r="AA656" s="1"/>
      <c r="AB656" s="330"/>
      <c r="AC656" s="321"/>
      <c r="AD656" s="321"/>
    </row>
    <row r="657" spans="1:30" ht="15.75" customHeight="1">
      <c r="A657" s="83"/>
      <c r="B657" s="83"/>
      <c r="C657" s="83"/>
      <c r="D657" s="84"/>
      <c r="E657" s="84"/>
      <c r="F657" s="84"/>
      <c r="G657" s="83"/>
      <c r="H657" s="84"/>
      <c r="I657" s="84"/>
      <c r="J657" s="84"/>
      <c r="K657" s="84"/>
      <c r="L657" s="84"/>
      <c r="M657" s="84"/>
      <c r="N657" s="84"/>
      <c r="O657" s="84"/>
      <c r="P657" s="85"/>
      <c r="Q657" s="75"/>
      <c r="R657" s="75"/>
      <c r="S657" s="75"/>
      <c r="T657" s="75"/>
      <c r="U657" s="89"/>
      <c r="V657" s="84"/>
      <c r="W657" s="84"/>
      <c r="X657" s="84"/>
      <c r="Y657" s="84"/>
      <c r="Z657" s="84"/>
      <c r="AA657" s="1"/>
      <c r="AB657" s="330"/>
      <c r="AC657" s="321"/>
      <c r="AD657" s="321"/>
    </row>
    <row r="658" spans="1:30" ht="15.75" customHeight="1">
      <c r="A658" s="83"/>
      <c r="B658" s="83"/>
      <c r="C658" s="83"/>
      <c r="D658" s="84"/>
      <c r="E658" s="84"/>
      <c r="F658" s="84"/>
      <c r="G658" s="83"/>
      <c r="H658" s="84"/>
      <c r="I658" s="84"/>
      <c r="J658" s="84"/>
      <c r="K658" s="84"/>
      <c r="L658" s="84"/>
      <c r="M658" s="84"/>
      <c r="N658" s="84"/>
      <c r="O658" s="84"/>
      <c r="P658" s="85"/>
      <c r="Q658" s="75"/>
      <c r="R658" s="75"/>
      <c r="S658" s="75"/>
      <c r="T658" s="75"/>
      <c r="U658" s="89"/>
      <c r="V658" s="84"/>
      <c r="W658" s="84"/>
      <c r="X658" s="84"/>
      <c r="Y658" s="84"/>
      <c r="Z658" s="84"/>
      <c r="AA658" s="1"/>
      <c r="AB658" s="330"/>
      <c r="AC658" s="321"/>
      <c r="AD658" s="321"/>
    </row>
    <row r="659" spans="1:30" ht="15.75" customHeight="1">
      <c r="A659" s="83"/>
      <c r="B659" s="83"/>
      <c r="C659" s="83"/>
      <c r="D659" s="84"/>
      <c r="E659" s="84"/>
      <c r="F659" s="84"/>
      <c r="G659" s="83"/>
      <c r="H659" s="84"/>
      <c r="I659" s="84"/>
      <c r="J659" s="84"/>
      <c r="K659" s="84"/>
      <c r="L659" s="84"/>
      <c r="M659" s="84"/>
      <c r="N659" s="84"/>
      <c r="O659" s="84"/>
      <c r="P659" s="85"/>
      <c r="Q659" s="75"/>
      <c r="R659" s="75"/>
      <c r="S659" s="75"/>
      <c r="T659" s="75"/>
      <c r="U659" s="89"/>
      <c r="V659" s="84"/>
      <c r="W659" s="84"/>
      <c r="X659" s="84"/>
      <c r="Y659" s="84"/>
      <c r="Z659" s="84"/>
      <c r="AA659" s="1"/>
      <c r="AB659" s="330"/>
      <c r="AC659" s="321"/>
      <c r="AD659" s="321"/>
    </row>
    <row r="660" spans="1:30" ht="15.75" customHeight="1">
      <c r="A660" s="83"/>
      <c r="B660" s="83"/>
      <c r="C660" s="83"/>
      <c r="D660" s="84"/>
      <c r="E660" s="84"/>
      <c r="F660" s="84"/>
      <c r="G660" s="83"/>
      <c r="H660" s="84"/>
      <c r="I660" s="84"/>
      <c r="J660" s="84"/>
      <c r="K660" s="84"/>
      <c r="L660" s="84"/>
      <c r="M660" s="84"/>
      <c r="N660" s="84"/>
      <c r="O660" s="84"/>
      <c r="P660" s="85"/>
      <c r="Q660" s="75"/>
      <c r="R660" s="75"/>
      <c r="S660" s="75"/>
      <c r="T660" s="75"/>
      <c r="U660" s="89"/>
      <c r="V660" s="84"/>
      <c r="W660" s="84"/>
      <c r="X660" s="84"/>
      <c r="Y660" s="84"/>
      <c r="Z660" s="84"/>
      <c r="AA660" s="1"/>
      <c r="AB660" s="330"/>
      <c r="AC660" s="321"/>
      <c r="AD660" s="321"/>
    </row>
    <row r="661" spans="1:30" ht="15.75" customHeight="1">
      <c r="A661" s="83"/>
      <c r="B661" s="83"/>
      <c r="C661" s="83"/>
      <c r="D661" s="84"/>
      <c r="E661" s="84"/>
      <c r="F661" s="84"/>
      <c r="G661" s="83"/>
      <c r="H661" s="84"/>
      <c r="I661" s="84"/>
      <c r="J661" s="84"/>
      <c r="K661" s="84"/>
      <c r="L661" s="84"/>
      <c r="M661" s="84"/>
      <c r="N661" s="84"/>
      <c r="O661" s="84"/>
      <c r="P661" s="85"/>
      <c r="Q661" s="75"/>
      <c r="R661" s="75"/>
      <c r="S661" s="75"/>
      <c r="T661" s="75"/>
      <c r="U661" s="89"/>
      <c r="V661" s="84"/>
      <c r="W661" s="84"/>
      <c r="X661" s="84"/>
      <c r="Y661" s="84"/>
      <c r="Z661" s="84"/>
      <c r="AA661" s="1"/>
      <c r="AB661" s="330"/>
      <c r="AC661" s="321"/>
      <c r="AD661" s="321"/>
    </row>
    <row r="662" spans="1:30" ht="15.75" customHeight="1">
      <c r="A662" s="83"/>
      <c r="B662" s="83"/>
      <c r="C662" s="83"/>
      <c r="D662" s="84"/>
      <c r="E662" s="84"/>
      <c r="F662" s="84"/>
      <c r="G662" s="83"/>
      <c r="H662" s="84"/>
      <c r="I662" s="84"/>
      <c r="J662" s="84"/>
      <c r="K662" s="84"/>
      <c r="L662" s="84"/>
      <c r="M662" s="84"/>
      <c r="N662" s="84"/>
      <c r="O662" s="84"/>
      <c r="P662" s="85"/>
      <c r="Q662" s="75"/>
      <c r="R662" s="75"/>
      <c r="S662" s="75"/>
      <c r="T662" s="75"/>
      <c r="U662" s="89"/>
      <c r="V662" s="84"/>
      <c r="W662" s="84"/>
      <c r="X662" s="84"/>
      <c r="Y662" s="84"/>
      <c r="Z662" s="84"/>
      <c r="AA662" s="1"/>
      <c r="AB662" s="330"/>
      <c r="AC662" s="321"/>
      <c r="AD662" s="321"/>
    </row>
    <row r="663" spans="1:30" ht="15.75" customHeight="1">
      <c r="A663" s="83"/>
      <c r="B663" s="83"/>
      <c r="C663" s="83"/>
      <c r="D663" s="84"/>
      <c r="E663" s="84"/>
      <c r="F663" s="84"/>
      <c r="G663" s="83"/>
      <c r="H663" s="84"/>
      <c r="I663" s="84"/>
      <c r="J663" s="84"/>
      <c r="K663" s="84"/>
      <c r="L663" s="84"/>
      <c r="M663" s="84"/>
      <c r="N663" s="84"/>
      <c r="O663" s="84"/>
      <c r="P663" s="85"/>
      <c r="Q663" s="75"/>
      <c r="R663" s="75"/>
      <c r="S663" s="75"/>
      <c r="T663" s="75"/>
      <c r="U663" s="89"/>
      <c r="V663" s="84"/>
      <c r="W663" s="84"/>
      <c r="X663" s="84"/>
      <c r="Y663" s="84"/>
      <c r="Z663" s="84"/>
      <c r="AA663" s="1"/>
      <c r="AB663" s="330"/>
      <c r="AC663" s="321"/>
      <c r="AD663" s="321"/>
    </row>
    <row r="664" spans="1:30" ht="15.75" customHeight="1">
      <c r="A664" s="83"/>
      <c r="B664" s="83"/>
      <c r="C664" s="83"/>
      <c r="D664" s="84"/>
      <c r="E664" s="84"/>
      <c r="F664" s="84"/>
      <c r="G664" s="83"/>
      <c r="H664" s="84"/>
      <c r="I664" s="84"/>
      <c r="J664" s="84"/>
      <c r="K664" s="84"/>
      <c r="L664" s="84"/>
      <c r="M664" s="84"/>
      <c r="N664" s="84"/>
      <c r="O664" s="84"/>
      <c r="P664" s="85"/>
      <c r="Q664" s="75"/>
      <c r="R664" s="75"/>
      <c r="S664" s="75"/>
      <c r="T664" s="75"/>
      <c r="U664" s="89"/>
      <c r="V664" s="84"/>
      <c r="W664" s="84"/>
      <c r="X664" s="84"/>
      <c r="Y664" s="84"/>
      <c r="Z664" s="84"/>
      <c r="AA664" s="1"/>
      <c r="AB664" s="330"/>
      <c r="AC664" s="321"/>
      <c r="AD664" s="321"/>
    </row>
    <row r="665" spans="1:30" ht="15.75" customHeight="1">
      <c r="A665" s="83"/>
      <c r="B665" s="83"/>
      <c r="C665" s="83"/>
      <c r="D665" s="84"/>
      <c r="E665" s="84"/>
      <c r="F665" s="84"/>
      <c r="G665" s="83"/>
      <c r="H665" s="84"/>
      <c r="I665" s="84"/>
      <c r="J665" s="84"/>
      <c r="K665" s="84"/>
      <c r="L665" s="84"/>
      <c r="M665" s="84"/>
      <c r="N665" s="84"/>
      <c r="O665" s="84"/>
      <c r="P665" s="85"/>
      <c r="Q665" s="75"/>
      <c r="R665" s="75"/>
      <c r="S665" s="75"/>
      <c r="T665" s="75"/>
      <c r="U665" s="89"/>
      <c r="V665" s="84"/>
      <c r="W665" s="84"/>
      <c r="X665" s="84"/>
      <c r="Y665" s="84"/>
      <c r="Z665" s="84"/>
      <c r="AA665" s="1"/>
      <c r="AB665" s="330"/>
      <c r="AC665" s="321"/>
      <c r="AD665" s="321"/>
    </row>
    <row r="666" spans="1:30" ht="15.75" customHeight="1">
      <c r="A666" s="83"/>
      <c r="B666" s="83"/>
      <c r="C666" s="83"/>
      <c r="D666" s="84"/>
      <c r="E666" s="84"/>
      <c r="F666" s="84"/>
      <c r="G666" s="83"/>
      <c r="H666" s="84"/>
      <c r="I666" s="84"/>
      <c r="J666" s="84"/>
      <c r="K666" s="84"/>
      <c r="L666" s="84"/>
      <c r="M666" s="84"/>
      <c r="N666" s="84"/>
      <c r="O666" s="84"/>
      <c r="P666" s="85"/>
      <c r="Q666" s="75"/>
      <c r="R666" s="75"/>
      <c r="S666" s="75"/>
      <c r="T666" s="75"/>
      <c r="U666" s="89"/>
      <c r="V666" s="84"/>
      <c r="W666" s="84"/>
      <c r="X666" s="84"/>
      <c r="Y666" s="84"/>
      <c r="Z666" s="84"/>
      <c r="AA666" s="1"/>
      <c r="AB666" s="330"/>
      <c r="AC666" s="321"/>
      <c r="AD666" s="321"/>
    </row>
    <row r="667" spans="1:30" ht="15.75" customHeight="1">
      <c r="A667" s="83"/>
      <c r="B667" s="83"/>
      <c r="C667" s="83"/>
      <c r="D667" s="84"/>
      <c r="E667" s="84"/>
      <c r="F667" s="84"/>
      <c r="G667" s="83"/>
      <c r="H667" s="84"/>
      <c r="I667" s="84"/>
      <c r="J667" s="84"/>
      <c r="K667" s="84"/>
      <c r="L667" s="84"/>
      <c r="M667" s="84"/>
      <c r="N667" s="84"/>
      <c r="O667" s="84"/>
      <c r="P667" s="85"/>
      <c r="Q667" s="75"/>
      <c r="R667" s="75"/>
      <c r="S667" s="75"/>
      <c r="T667" s="75"/>
      <c r="U667" s="89"/>
      <c r="V667" s="84"/>
      <c r="W667" s="84"/>
      <c r="X667" s="84"/>
      <c r="Y667" s="84"/>
      <c r="Z667" s="84"/>
      <c r="AA667" s="1"/>
      <c r="AB667" s="330"/>
      <c r="AC667" s="321"/>
      <c r="AD667" s="321"/>
    </row>
    <row r="668" spans="1:30" ht="15.75" customHeight="1">
      <c r="A668" s="83"/>
      <c r="B668" s="83"/>
      <c r="C668" s="83"/>
      <c r="D668" s="84"/>
      <c r="E668" s="84"/>
      <c r="F668" s="84"/>
      <c r="G668" s="83"/>
      <c r="H668" s="84"/>
      <c r="I668" s="84"/>
      <c r="J668" s="84"/>
      <c r="K668" s="84"/>
      <c r="L668" s="84"/>
      <c r="M668" s="84"/>
      <c r="N668" s="84"/>
      <c r="O668" s="84"/>
      <c r="P668" s="85"/>
      <c r="Q668" s="75"/>
      <c r="R668" s="75"/>
      <c r="S668" s="75"/>
      <c r="T668" s="75"/>
      <c r="U668" s="89"/>
      <c r="V668" s="84"/>
      <c r="W668" s="84"/>
      <c r="X668" s="84"/>
      <c r="Y668" s="84"/>
      <c r="Z668" s="84"/>
      <c r="AA668" s="1"/>
      <c r="AB668" s="330"/>
      <c r="AC668" s="321"/>
      <c r="AD668" s="321"/>
    </row>
    <row r="669" spans="1:30" ht="15.75" customHeight="1">
      <c r="A669" s="83"/>
      <c r="B669" s="83"/>
      <c r="C669" s="83"/>
      <c r="D669" s="84"/>
      <c r="E669" s="84"/>
      <c r="F669" s="84"/>
      <c r="G669" s="83"/>
      <c r="H669" s="84"/>
      <c r="I669" s="84"/>
      <c r="J669" s="84"/>
      <c r="K669" s="84"/>
      <c r="L669" s="84"/>
      <c r="M669" s="84"/>
      <c r="N669" s="84"/>
      <c r="O669" s="84"/>
      <c r="P669" s="85"/>
      <c r="Q669" s="75"/>
      <c r="R669" s="75"/>
      <c r="S669" s="75"/>
      <c r="T669" s="75"/>
      <c r="U669" s="89"/>
      <c r="V669" s="84"/>
      <c r="W669" s="84"/>
      <c r="X669" s="84"/>
      <c r="Y669" s="84"/>
      <c r="Z669" s="84"/>
      <c r="AA669" s="1"/>
      <c r="AB669" s="330"/>
      <c r="AC669" s="321"/>
      <c r="AD669" s="321"/>
    </row>
    <row r="670" spans="1:30" ht="15.75" customHeight="1">
      <c r="A670" s="83"/>
      <c r="B670" s="83"/>
      <c r="C670" s="83"/>
      <c r="D670" s="84"/>
      <c r="E670" s="84"/>
      <c r="F670" s="84"/>
      <c r="G670" s="83"/>
      <c r="H670" s="84"/>
      <c r="I670" s="84"/>
      <c r="J670" s="84"/>
      <c r="K670" s="84"/>
      <c r="L670" s="84"/>
      <c r="M670" s="84"/>
      <c r="N670" s="84"/>
      <c r="O670" s="84"/>
      <c r="P670" s="85"/>
      <c r="Q670" s="75"/>
      <c r="R670" s="75"/>
      <c r="S670" s="75"/>
      <c r="T670" s="75"/>
      <c r="U670" s="89"/>
      <c r="V670" s="84"/>
      <c r="W670" s="84"/>
      <c r="X670" s="84"/>
      <c r="Y670" s="84"/>
      <c r="Z670" s="84"/>
      <c r="AA670" s="1"/>
      <c r="AB670" s="330"/>
      <c r="AC670" s="321"/>
      <c r="AD670" s="321"/>
    </row>
    <row r="671" spans="1:30" ht="15.75" customHeight="1">
      <c r="A671" s="83"/>
      <c r="B671" s="83"/>
      <c r="C671" s="83"/>
      <c r="D671" s="84"/>
      <c r="E671" s="84"/>
      <c r="F671" s="84"/>
      <c r="G671" s="83"/>
      <c r="H671" s="84"/>
      <c r="I671" s="84"/>
      <c r="J671" s="84"/>
      <c r="K671" s="84"/>
      <c r="L671" s="84"/>
      <c r="M671" s="84"/>
      <c r="N671" s="84"/>
      <c r="O671" s="84"/>
      <c r="P671" s="85"/>
      <c r="Q671" s="75"/>
      <c r="R671" s="75"/>
      <c r="S671" s="75"/>
      <c r="T671" s="75"/>
      <c r="U671" s="89"/>
      <c r="V671" s="84"/>
      <c r="W671" s="84"/>
      <c r="X671" s="84"/>
      <c r="Y671" s="84"/>
      <c r="Z671" s="84"/>
      <c r="AA671" s="1"/>
      <c r="AB671" s="330"/>
      <c r="AC671" s="321"/>
      <c r="AD671" s="321"/>
    </row>
    <row r="672" spans="1:30" ht="15.75" customHeight="1">
      <c r="A672" s="83"/>
      <c r="B672" s="83"/>
      <c r="C672" s="83"/>
      <c r="D672" s="84"/>
      <c r="E672" s="84"/>
      <c r="F672" s="84"/>
      <c r="G672" s="83"/>
      <c r="H672" s="84"/>
      <c r="I672" s="84"/>
      <c r="J672" s="84"/>
      <c r="K672" s="84"/>
      <c r="L672" s="84"/>
      <c r="M672" s="84"/>
      <c r="N672" s="84"/>
      <c r="O672" s="84"/>
      <c r="P672" s="85"/>
      <c r="Q672" s="75"/>
      <c r="R672" s="75"/>
      <c r="S672" s="75"/>
      <c r="T672" s="75"/>
      <c r="U672" s="89"/>
      <c r="V672" s="84"/>
      <c r="W672" s="84"/>
      <c r="X672" s="84"/>
      <c r="Y672" s="84"/>
      <c r="Z672" s="84"/>
      <c r="AA672" s="1"/>
      <c r="AB672" s="330"/>
      <c r="AC672" s="321"/>
      <c r="AD672" s="321"/>
    </row>
    <row r="673" spans="1:30" ht="15.75" customHeight="1">
      <c r="A673" s="83"/>
      <c r="B673" s="83"/>
      <c r="C673" s="83"/>
      <c r="D673" s="84"/>
      <c r="E673" s="84"/>
      <c r="F673" s="84"/>
      <c r="G673" s="83"/>
      <c r="H673" s="84"/>
      <c r="I673" s="84"/>
      <c r="J673" s="84"/>
      <c r="K673" s="84"/>
      <c r="L673" s="84"/>
      <c r="M673" s="84"/>
      <c r="N673" s="84"/>
      <c r="O673" s="84"/>
      <c r="P673" s="85"/>
      <c r="Q673" s="75"/>
      <c r="R673" s="75"/>
      <c r="S673" s="75"/>
      <c r="T673" s="75"/>
      <c r="U673" s="89"/>
      <c r="V673" s="84"/>
      <c r="W673" s="84"/>
      <c r="X673" s="84"/>
      <c r="Y673" s="84"/>
      <c r="Z673" s="84"/>
      <c r="AA673" s="1"/>
      <c r="AB673" s="330"/>
      <c r="AC673" s="321"/>
      <c r="AD673" s="321"/>
    </row>
    <row r="674" spans="1:30" ht="15.75" customHeight="1">
      <c r="A674" s="83"/>
      <c r="B674" s="83"/>
      <c r="C674" s="83"/>
      <c r="D674" s="84"/>
      <c r="E674" s="84"/>
      <c r="F674" s="84"/>
      <c r="G674" s="83"/>
      <c r="H674" s="84"/>
      <c r="I674" s="84"/>
      <c r="J674" s="84"/>
      <c r="K674" s="84"/>
      <c r="L674" s="84"/>
      <c r="M674" s="84"/>
      <c r="N674" s="84"/>
      <c r="O674" s="84"/>
      <c r="P674" s="85"/>
      <c r="Q674" s="75"/>
      <c r="R674" s="75"/>
      <c r="S674" s="75"/>
      <c r="T674" s="75"/>
      <c r="U674" s="89"/>
      <c r="V674" s="84"/>
      <c r="W674" s="84"/>
      <c r="X674" s="84"/>
      <c r="Y674" s="84"/>
      <c r="Z674" s="84"/>
      <c r="AA674" s="1"/>
      <c r="AB674" s="330"/>
      <c r="AC674" s="321"/>
      <c r="AD674" s="321"/>
    </row>
    <row r="675" spans="1:30" ht="15.75" customHeight="1">
      <c r="A675" s="83"/>
      <c r="B675" s="83"/>
      <c r="C675" s="83"/>
      <c r="D675" s="84"/>
      <c r="E675" s="84"/>
      <c r="F675" s="84"/>
      <c r="G675" s="83"/>
      <c r="H675" s="84"/>
      <c r="I675" s="84"/>
      <c r="J675" s="84"/>
      <c r="K675" s="84"/>
      <c r="L675" s="84"/>
      <c r="M675" s="84"/>
      <c r="N675" s="84"/>
      <c r="O675" s="84"/>
      <c r="P675" s="85"/>
      <c r="Q675" s="75"/>
      <c r="R675" s="75"/>
      <c r="S675" s="75"/>
      <c r="T675" s="75"/>
      <c r="U675" s="89"/>
      <c r="V675" s="84"/>
      <c r="W675" s="84"/>
      <c r="X675" s="84"/>
      <c r="Y675" s="84"/>
      <c r="Z675" s="84"/>
      <c r="AA675" s="1"/>
      <c r="AB675" s="330"/>
      <c r="AC675" s="321"/>
      <c r="AD675" s="321"/>
    </row>
    <row r="676" spans="1:30" ht="15.75" customHeight="1">
      <c r="A676" s="83"/>
      <c r="B676" s="83"/>
      <c r="C676" s="83"/>
      <c r="D676" s="84"/>
      <c r="E676" s="84"/>
      <c r="F676" s="84"/>
      <c r="G676" s="83"/>
      <c r="H676" s="84"/>
      <c r="I676" s="84"/>
      <c r="J676" s="84"/>
      <c r="K676" s="84"/>
      <c r="L676" s="84"/>
      <c r="M676" s="84"/>
      <c r="N676" s="84"/>
      <c r="O676" s="84"/>
      <c r="P676" s="85"/>
      <c r="Q676" s="75"/>
      <c r="R676" s="75"/>
      <c r="S676" s="75"/>
      <c r="T676" s="75"/>
      <c r="U676" s="89"/>
      <c r="V676" s="84"/>
      <c r="W676" s="84"/>
      <c r="X676" s="84"/>
      <c r="Y676" s="84"/>
      <c r="Z676" s="84"/>
      <c r="AA676" s="1"/>
      <c r="AB676" s="330"/>
      <c r="AC676" s="321"/>
      <c r="AD676" s="321"/>
    </row>
    <row r="677" spans="1:30" ht="15.75" customHeight="1">
      <c r="A677" s="83"/>
      <c r="B677" s="83"/>
      <c r="C677" s="83"/>
      <c r="D677" s="84"/>
      <c r="E677" s="84"/>
      <c r="F677" s="84"/>
      <c r="G677" s="83"/>
      <c r="H677" s="84"/>
      <c r="I677" s="84"/>
      <c r="J677" s="84"/>
      <c r="K677" s="84"/>
      <c r="L677" s="84"/>
      <c r="M677" s="84"/>
      <c r="N677" s="84"/>
      <c r="O677" s="84"/>
      <c r="P677" s="85"/>
      <c r="Q677" s="75"/>
      <c r="R677" s="75"/>
      <c r="S677" s="75"/>
      <c r="T677" s="75"/>
      <c r="U677" s="89"/>
      <c r="V677" s="84"/>
      <c r="W677" s="84"/>
      <c r="X677" s="84"/>
      <c r="Y677" s="84"/>
      <c r="Z677" s="84"/>
      <c r="AA677" s="1"/>
      <c r="AB677" s="330"/>
      <c r="AC677" s="321"/>
      <c r="AD677" s="321"/>
    </row>
    <row r="678" spans="1:30" ht="15.75" customHeight="1">
      <c r="A678" s="83"/>
      <c r="B678" s="83"/>
      <c r="C678" s="83"/>
      <c r="D678" s="84"/>
      <c r="E678" s="84"/>
      <c r="F678" s="84"/>
      <c r="G678" s="83"/>
      <c r="H678" s="84"/>
      <c r="I678" s="84"/>
      <c r="J678" s="84"/>
      <c r="K678" s="84"/>
      <c r="L678" s="84"/>
      <c r="M678" s="84"/>
      <c r="N678" s="84"/>
      <c r="O678" s="84"/>
      <c r="P678" s="85"/>
      <c r="Q678" s="75"/>
      <c r="R678" s="75"/>
      <c r="S678" s="75"/>
      <c r="T678" s="75"/>
      <c r="U678" s="89"/>
      <c r="V678" s="84"/>
      <c r="W678" s="84"/>
      <c r="X678" s="84"/>
      <c r="Y678" s="84"/>
      <c r="Z678" s="84"/>
      <c r="AA678" s="1"/>
      <c r="AB678" s="330"/>
      <c r="AC678" s="321"/>
      <c r="AD678" s="321"/>
    </row>
    <row r="679" spans="1:30" ht="15.75" customHeight="1">
      <c r="A679" s="83"/>
      <c r="B679" s="83"/>
      <c r="C679" s="83"/>
      <c r="D679" s="84"/>
      <c r="E679" s="84"/>
      <c r="F679" s="84"/>
      <c r="G679" s="83"/>
      <c r="H679" s="84"/>
      <c r="I679" s="84"/>
      <c r="J679" s="84"/>
      <c r="K679" s="84"/>
      <c r="L679" s="84"/>
      <c r="M679" s="84"/>
      <c r="N679" s="84"/>
      <c r="O679" s="84"/>
      <c r="P679" s="85"/>
      <c r="Q679" s="75"/>
      <c r="R679" s="75"/>
      <c r="S679" s="75"/>
      <c r="T679" s="75"/>
      <c r="U679" s="89"/>
      <c r="V679" s="84"/>
      <c r="W679" s="84"/>
      <c r="X679" s="84"/>
      <c r="Y679" s="84"/>
      <c r="Z679" s="84"/>
      <c r="AA679" s="1"/>
      <c r="AB679" s="330"/>
      <c r="AC679" s="321"/>
      <c r="AD679" s="321"/>
    </row>
    <row r="680" spans="1:30" ht="15.75" customHeight="1">
      <c r="A680" s="83"/>
      <c r="B680" s="83"/>
      <c r="C680" s="83"/>
      <c r="D680" s="84"/>
      <c r="E680" s="84"/>
      <c r="F680" s="84"/>
      <c r="G680" s="83"/>
      <c r="H680" s="84"/>
      <c r="I680" s="84"/>
      <c r="J680" s="84"/>
      <c r="K680" s="84"/>
      <c r="L680" s="84"/>
      <c r="M680" s="84"/>
      <c r="N680" s="84"/>
      <c r="O680" s="84"/>
      <c r="P680" s="85"/>
      <c r="Q680" s="75"/>
      <c r="R680" s="75"/>
      <c r="S680" s="75"/>
      <c r="T680" s="75"/>
      <c r="U680" s="89"/>
      <c r="V680" s="84"/>
      <c r="W680" s="84"/>
      <c r="X680" s="84"/>
      <c r="Y680" s="84"/>
      <c r="Z680" s="84"/>
      <c r="AA680" s="1"/>
      <c r="AB680" s="330"/>
      <c r="AC680" s="321"/>
      <c r="AD680" s="321"/>
    </row>
    <row r="681" spans="1:30" ht="15.75" customHeight="1">
      <c r="A681" s="83"/>
      <c r="B681" s="83"/>
      <c r="C681" s="83"/>
      <c r="D681" s="84"/>
      <c r="E681" s="84"/>
      <c r="F681" s="84"/>
      <c r="G681" s="83"/>
      <c r="H681" s="84"/>
      <c r="I681" s="84"/>
      <c r="J681" s="84"/>
      <c r="K681" s="84"/>
      <c r="L681" s="84"/>
      <c r="M681" s="84"/>
      <c r="N681" s="84"/>
      <c r="O681" s="84"/>
      <c r="P681" s="85"/>
      <c r="Q681" s="75"/>
      <c r="R681" s="75"/>
      <c r="S681" s="75"/>
      <c r="T681" s="75"/>
      <c r="U681" s="89"/>
      <c r="V681" s="84"/>
      <c r="W681" s="84"/>
      <c r="X681" s="84"/>
      <c r="Y681" s="84"/>
      <c r="Z681" s="84"/>
      <c r="AA681" s="1"/>
      <c r="AB681" s="330"/>
      <c r="AC681" s="321"/>
      <c r="AD681" s="321"/>
    </row>
    <row r="682" spans="1:30" ht="15.75" customHeight="1">
      <c r="A682" s="83"/>
      <c r="B682" s="83"/>
      <c r="C682" s="83"/>
      <c r="D682" s="84"/>
      <c r="E682" s="84"/>
      <c r="F682" s="84"/>
      <c r="G682" s="83"/>
      <c r="H682" s="84"/>
      <c r="I682" s="84"/>
      <c r="J682" s="84"/>
      <c r="K682" s="84"/>
      <c r="L682" s="84"/>
      <c r="M682" s="84"/>
      <c r="N682" s="84"/>
      <c r="O682" s="84"/>
      <c r="P682" s="85"/>
      <c r="Q682" s="75"/>
      <c r="R682" s="75"/>
      <c r="S682" s="75"/>
      <c r="T682" s="75"/>
      <c r="U682" s="89"/>
      <c r="V682" s="84"/>
      <c r="W682" s="84"/>
      <c r="X682" s="84"/>
      <c r="Y682" s="84"/>
      <c r="Z682" s="84"/>
      <c r="AA682" s="1"/>
      <c r="AB682" s="330"/>
      <c r="AC682" s="321"/>
      <c r="AD682" s="321"/>
    </row>
    <row r="683" spans="1:30" ht="15.75" customHeight="1">
      <c r="A683" s="83"/>
      <c r="B683" s="83"/>
      <c r="C683" s="83"/>
      <c r="D683" s="84"/>
      <c r="E683" s="84"/>
      <c r="F683" s="84"/>
      <c r="G683" s="83"/>
      <c r="H683" s="84"/>
      <c r="I683" s="84"/>
      <c r="J683" s="84"/>
      <c r="K683" s="84"/>
      <c r="L683" s="84"/>
      <c r="M683" s="84"/>
      <c r="N683" s="84"/>
      <c r="O683" s="84"/>
      <c r="P683" s="85"/>
      <c r="Q683" s="75"/>
      <c r="R683" s="75"/>
      <c r="S683" s="75"/>
      <c r="T683" s="75"/>
      <c r="U683" s="89"/>
      <c r="V683" s="84"/>
      <c r="W683" s="84"/>
      <c r="X683" s="84"/>
      <c r="Y683" s="84"/>
      <c r="Z683" s="84"/>
      <c r="AA683" s="1"/>
      <c r="AB683" s="330"/>
      <c r="AC683" s="321"/>
      <c r="AD683" s="321"/>
    </row>
    <row r="684" spans="1:30" ht="15.75" customHeight="1">
      <c r="A684" s="83"/>
      <c r="B684" s="83"/>
      <c r="C684" s="83"/>
      <c r="D684" s="84"/>
      <c r="E684" s="84"/>
      <c r="F684" s="84"/>
      <c r="G684" s="83"/>
      <c r="H684" s="84"/>
      <c r="I684" s="84"/>
      <c r="J684" s="84"/>
      <c r="K684" s="84"/>
      <c r="L684" s="84"/>
      <c r="M684" s="84"/>
      <c r="N684" s="84"/>
      <c r="O684" s="84"/>
      <c r="P684" s="85"/>
      <c r="Q684" s="75"/>
      <c r="R684" s="75"/>
      <c r="S684" s="75"/>
      <c r="T684" s="75"/>
      <c r="U684" s="89"/>
      <c r="V684" s="84"/>
      <c r="W684" s="84"/>
      <c r="X684" s="84"/>
      <c r="Y684" s="84"/>
      <c r="Z684" s="84"/>
      <c r="AA684" s="1"/>
      <c r="AB684" s="330"/>
      <c r="AC684" s="321"/>
      <c r="AD684" s="321"/>
    </row>
    <row r="685" spans="1:30" ht="15.75" customHeight="1">
      <c r="A685" s="83"/>
      <c r="B685" s="83"/>
      <c r="C685" s="83"/>
      <c r="D685" s="84"/>
      <c r="E685" s="84"/>
      <c r="F685" s="84"/>
      <c r="G685" s="83"/>
      <c r="H685" s="84"/>
      <c r="I685" s="84"/>
      <c r="J685" s="84"/>
      <c r="K685" s="84"/>
      <c r="L685" s="84"/>
      <c r="M685" s="84"/>
      <c r="N685" s="84"/>
      <c r="O685" s="84"/>
      <c r="P685" s="85"/>
      <c r="Q685" s="75"/>
      <c r="R685" s="75"/>
      <c r="S685" s="75"/>
      <c r="T685" s="75"/>
      <c r="U685" s="89"/>
      <c r="V685" s="84"/>
      <c r="W685" s="84"/>
      <c r="X685" s="84"/>
      <c r="Y685" s="84"/>
      <c r="Z685" s="84"/>
      <c r="AA685" s="1"/>
      <c r="AB685" s="330"/>
      <c r="AC685" s="321"/>
      <c r="AD685" s="321"/>
    </row>
    <row r="686" spans="1:30" ht="15.75" customHeight="1">
      <c r="A686" s="83"/>
      <c r="B686" s="83"/>
      <c r="C686" s="83"/>
      <c r="D686" s="84"/>
      <c r="E686" s="84"/>
      <c r="F686" s="84"/>
      <c r="G686" s="83"/>
      <c r="H686" s="84"/>
      <c r="I686" s="84"/>
      <c r="J686" s="84"/>
      <c r="K686" s="84"/>
      <c r="L686" s="84"/>
      <c r="M686" s="84"/>
      <c r="N686" s="84"/>
      <c r="O686" s="84"/>
      <c r="P686" s="85"/>
      <c r="Q686" s="75"/>
      <c r="R686" s="75"/>
      <c r="S686" s="75"/>
      <c r="T686" s="75"/>
      <c r="U686" s="89"/>
      <c r="V686" s="84"/>
      <c r="W686" s="84"/>
      <c r="X686" s="84"/>
      <c r="Y686" s="84"/>
      <c r="Z686" s="84"/>
      <c r="AA686" s="1"/>
      <c r="AB686" s="330"/>
      <c r="AC686" s="321"/>
      <c r="AD686" s="321"/>
    </row>
    <row r="687" spans="1:30" ht="15.75" customHeight="1">
      <c r="A687" s="83"/>
      <c r="B687" s="83"/>
      <c r="C687" s="83"/>
      <c r="D687" s="84"/>
      <c r="E687" s="84"/>
      <c r="F687" s="84"/>
      <c r="G687" s="83"/>
      <c r="H687" s="84"/>
      <c r="I687" s="84"/>
      <c r="J687" s="84"/>
      <c r="K687" s="84"/>
      <c r="L687" s="84"/>
      <c r="M687" s="84"/>
      <c r="N687" s="84"/>
      <c r="O687" s="84"/>
      <c r="P687" s="85"/>
      <c r="Q687" s="75"/>
      <c r="R687" s="75"/>
      <c r="S687" s="75"/>
      <c r="T687" s="75"/>
      <c r="U687" s="89"/>
      <c r="V687" s="84"/>
      <c r="W687" s="84"/>
      <c r="X687" s="84"/>
      <c r="Y687" s="84"/>
      <c r="Z687" s="84"/>
      <c r="AA687" s="1"/>
      <c r="AB687" s="330"/>
      <c r="AC687" s="321"/>
      <c r="AD687" s="321"/>
    </row>
    <row r="688" spans="1:30" ht="15.75" customHeight="1">
      <c r="A688" s="83"/>
      <c r="B688" s="83"/>
      <c r="C688" s="83"/>
      <c r="D688" s="84"/>
      <c r="E688" s="84"/>
      <c r="F688" s="84"/>
      <c r="G688" s="83"/>
      <c r="H688" s="84"/>
      <c r="I688" s="84"/>
      <c r="J688" s="84"/>
      <c r="K688" s="84"/>
      <c r="L688" s="84"/>
      <c r="M688" s="84"/>
      <c r="N688" s="84"/>
      <c r="O688" s="84"/>
      <c r="P688" s="85"/>
      <c r="Q688" s="75"/>
      <c r="R688" s="75"/>
      <c r="S688" s="75"/>
      <c r="T688" s="75"/>
      <c r="U688" s="89"/>
      <c r="V688" s="84"/>
      <c r="W688" s="84"/>
      <c r="X688" s="84"/>
      <c r="Y688" s="84"/>
      <c r="Z688" s="84"/>
      <c r="AA688" s="1"/>
      <c r="AB688" s="330"/>
      <c r="AC688" s="321"/>
      <c r="AD688" s="321"/>
    </row>
    <row r="689" spans="1:30" ht="15.75" customHeight="1">
      <c r="A689" s="83"/>
      <c r="B689" s="83"/>
      <c r="C689" s="83"/>
      <c r="D689" s="84"/>
      <c r="E689" s="84"/>
      <c r="F689" s="84"/>
      <c r="G689" s="83"/>
      <c r="H689" s="84"/>
      <c r="I689" s="84"/>
      <c r="J689" s="84"/>
      <c r="K689" s="84"/>
      <c r="L689" s="84"/>
      <c r="M689" s="84"/>
      <c r="N689" s="84"/>
      <c r="O689" s="84"/>
      <c r="P689" s="85"/>
      <c r="Q689" s="75"/>
      <c r="R689" s="75"/>
      <c r="S689" s="75"/>
      <c r="T689" s="75"/>
      <c r="U689" s="89"/>
      <c r="V689" s="84"/>
      <c r="W689" s="84"/>
      <c r="X689" s="84"/>
      <c r="Y689" s="84"/>
      <c r="Z689" s="84"/>
      <c r="AA689" s="1"/>
      <c r="AB689" s="330"/>
      <c r="AC689" s="321"/>
      <c r="AD689" s="321"/>
    </row>
    <row r="690" spans="1:30" ht="15.75" customHeight="1">
      <c r="A690" s="83"/>
      <c r="B690" s="83"/>
      <c r="C690" s="83"/>
      <c r="D690" s="84"/>
      <c r="E690" s="84"/>
      <c r="F690" s="84"/>
      <c r="G690" s="83"/>
      <c r="H690" s="84"/>
      <c r="I690" s="84"/>
      <c r="J690" s="84"/>
      <c r="K690" s="84"/>
      <c r="L690" s="84"/>
      <c r="M690" s="84"/>
      <c r="N690" s="84"/>
      <c r="O690" s="84"/>
      <c r="P690" s="85"/>
      <c r="Q690" s="75"/>
      <c r="R690" s="75"/>
      <c r="S690" s="75"/>
      <c r="T690" s="75"/>
      <c r="U690" s="89"/>
      <c r="V690" s="84"/>
      <c r="W690" s="84"/>
      <c r="X690" s="84"/>
      <c r="Y690" s="84"/>
      <c r="Z690" s="84"/>
      <c r="AA690" s="1"/>
      <c r="AB690" s="330"/>
      <c r="AC690" s="321"/>
      <c r="AD690" s="321"/>
    </row>
    <row r="691" spans="1:30" ht="15.75" customHeight="1">
      <c r="A691" s="83"/>
      <c r="B691" s="83"/>
      <c r="C691" s="83"/>
      <c r="D691" s="84"/>
      <c r="E691" s="84"/>
      <c r="F691" s="84"/>
      <c r="G691" s="83"/>
      <c r="H691" s="84"/>
      <c r="I691" s="84"/>
      <c r="J691" s="84"/>
      <c r="K691" s="84"/>
      <c r="L691" s="84"/>
      <c r="M691" s="84"/>
      <c r="N691" s="84"/>
      <c r="O691" s="84"/>
      <c r="P691" s="85"/>
      <c r="Q691" s="75"/>
      <c r="R691" s="75"/>
      <c r="S691" s="75"/>
      <c r="T691" s="75"/>
      <c r="U691" s="89"/>
      <c r="V691" s="84"/>
      <c r="W691" s="84"/>
      <c r="X691" s="84"/>
      <c r="Y691" s="84"/>
      <c r="Z691" s="84"/>
      <c r="AA691" s="1"/>
      <c r="AB691" s="330"/>
      <c r="AC691" s="321"/>
      <c r="AD691" s="321"/>
    </row>
    <row r="692" spans="1:30" ht="15.75" customHeight="1">
      <c r="A692" s="83"/>
      <c r="B692" s="83"/>
      <c r="C692" s="83"/>
      <c r="D692" s="84"/>
      <c r="E692" s="84"/>
      <c r="F692" s="84"/>
      <c r="G692" s="83"/>
      <c r="H692" s="84"/>
      <c r="I692" s="84"/>
      <c r="J692" s="84"/>
      <c r="K692" s="84"/>
      <c r="L692" s="84"/>
      <c r="M692" s="84"/>
      <c r="N692" s="84"/>
      <c r="O692" s="84"/>
      <c r="P692" s="85"/>
      <c r="Q692" s="75"/>
      <c r="R692" s="75"/>
      <c r="S692" s="75"/>
      <c r="T692" s="75"/>
      <c r="U692" s="89"/>
      <c r="V692" s="84"/>
      <c r="W692" s="84"/>
      <c r="X692" s="84"/>
      <c r="Y692" s="84"/>
      <c r="Z692" s="84"/>
      <c r="AA692" s="1"/>
      <c r="AB692" s="330"/>
      <c r="AC692" s="321"/>
      <c r="AD692" s="321"/>
    </row>
    <row r="693" spans="1:30" ht="15.75" customHeight="1">
      <c r="A693" s="83"/>
      <c r="B693" s="83"/>
      <c r="C693" s="83"/>
      <c r="D693" s="84"/>
      <c r="E693" s="84"/>
      <c r="F693" s="84"/>
      <c r="G693" s="83"/>
      <c r="H693" s="84"/>
      <c r="I693" s="84"/>
      <c r="J693" s="84"/>
      <c r="K693" s="84"/>
      <c r="L693" s="84"/>
      <c r="M693" s="84"/>
      <c r="N693" s="84"/>
      <c r="O693" s="84"/>
      <c r="P693" s="85"/>
      <c r="Q693" s="75"/>
      <c r="R693" s="75"/>
      <c r="S693" s="75"/>
      <c r="T693" s="75"/>
      <c r="U693" s="89"/>
      <c r="V693" s="84"/>
      <c r="W693" s="84"/>
      <c r="X693" s="84"/>
      <c r="Y693" s="84"/>
      <c r="Z693" s="84"/>
      <c r="AA693" s="1"/>
      <c r="AB693" s="330"/>
      <c r="AC693" s="321"/>
      <c r="AD693" s="321"/>
    </row>
    <row r="694" spans="1:30" ht="15.75" customHeight="1">
      <c r="A694" s="83"/>
      <c r="B694" s="83"/>
      <c r="C694" s="83"/>
      <c r="D694" s="84"/>
      <c r="E694" s="84"/>
      <c r="F694" s="84"/>
      <c r="G694" s="83"/>
      <c r="H694" s="84"/>
      <c r="I694" s="84"/>
      <c r="J694" s="84"/>
      <c r="K694" s="84"/>
      <c r="L694" s="84"/>
      <c r="M694" s="84"/>
      <c r="N694" s="84"/>
      <c r="O694" s="84"/>
      <c r="P694" s="85"/>
      <c r="Q694" s="75"/>
      <c r="R694" s="75"/>
      <c r="S694" s="75"/>
      <c r="T694" s="75"/>
      <c r="U694" s="89"/>
      <c r="V694" s="84"/>
      <c r="W694" s="84"/>
      <c r="X694" s="84"/>
      <c r="Y694" s="84"/>
      <c r="Z694" s="84"/>
      <c r="AA694" s="1"/>
      <c r="AB694" s="330"/>
      <c r="AC694" s="321"/>
      <c r="AD694" s="321"/>
    </row>
    <row r="695" spans="1:30" ht="15.75" customHeight="1">
      <c r="A695" s="83"/>
      <c r="B695" s="83"/>
      <c r="C695" s="83"/>
      <c r="D695" s="84"/>
      <c r="E695" s="84"/>
      <c r="F695" s="84"/>
      <c r="G695" s="83"/>
      <c r="H695" s="84"/>
      <c r="I695" s="84"/>
      <c r="J695" s="84"/>
      <c r="K695" s="84"/>
      <c r="L695" s="84"/>
      <c r="M695" s="84"/>
      <c r="N695" s="84"/>
      <c r="O695" s="84"/>
      <c r="P695" s="85"/>
      <c r="Q695" s="75"/>
      <c r="R695" s="75"/>
      <c r="S695" s="75"/>
      <c r="T695" s="75"/>
      <c r="U695" s="89"/>
      <c r="V695" s="84"/>
      <c r="W695" s="84"/>
      <c r="X695" s="84"/>
      <c r="Y695" s="84"/>
      <c r="Z695" s="84"/>
      <c r="AA695" s="1"/>
      <c r="AB695" s="330"/>
      <c r="AC695" s="321"/>
      <c r="AD695" s="321"/>
    </row>
    <row r="696" spans="1:30" ht="15.75" customHeight="1">
      <c r="A696" s="83"/>
      <c r="B696" s="83"/>
      <c r="C696" s="83"/>
      <c r="D696" s="84"/>
      <c r="E696" s="84"/>
      <c r="F696" s="84"/>
      <c r="G696" s="83"/>
      <c r="H696" s="84"/>
      <c r="I696" s="84"/>
      <c r="J696" s="84"/>
      <c r="K696" s="84"/>
      <c r="L696" s="84"/>
      <c r="M696" s="84"/>
      <c r="N696" s="84"/>
      <c r="O696" s="84"/>
      <c r="P696" s="85"/>
      <c r="Q696" s="75"/>
      <c r="R696" s="75"/>
      <c r="S696" s="75"/>
      <c r="T696" s="75"/>
      <c r="U696" s="89"/>
      <c r="V696" s="84"/>
      <c r="W696" s="84"/>
      <c r="X696" s="84"/>
      <c r="Y696" s="84"/>
      <c r="Z696" s="84"/>
      <c r="AA696" s="1"/>
      <c r="AB696" s="330"/>
      <c r="AC696" s="321"/>
      <c r="AD696" s="321"/>
    </row>
    <row r="697" spans="1:30" ht="15.75" customHeight="1">
      <c r="A697" s="83"/>
      <c r="B697" s="83"/>
      <c r="C697" s="83"/>
      <c r="D697" s="84"/>
      <c r="E697" s="84"/>
      <c r="F697" s="84"/>
      <c r="G697" s="83"/>
      <c r="H697" s="84"/>
      <c r="I697" s="84"/>
      <c r="J697" s="84"/>
      <c r="K697" s="84"/>
      <c r="L697" s="84"/>
      <c r="M697" s="84"/>
      <c r="N697" s="84"/>
      <c r="O697" s="84"/>
      <c r="P697" s="85"/>
      <c r="Q697" s="75"/>
      <c r="R697" s="75"/>
      <c r="S697" s="75"/>
      <c r="T697" s="75"/>
      <c r="U697" s="89"/>
      <c r="V697" s="84"/>
      <c r="W697" s="84"/>
      <c r="X697" s="84"/>
      <c r="Y697" s="84"/>
      <c r="Z697" s="84"/>
      <c r="AA697" s="1"/>
      <c r="AB697" s="330"/>
      <c r="AC697" s="321"/>
      <c r="AD697" s="321"/>
    </row>
    <row r="698" spans="1:30" ht="15.75" customHeight="1">
      <c r="A698" s="83"/>
      <c r="B698" s="83"/>
      <c r="C698" s="83"/>
      <c r="D698" s="84"/>
      <c r="E698" s="84"/>
      <c r="F698" s="84"/>
      <c r="G698" s="83"/>
      <c r="H698" s="84"/>
      <c r="I698" s="84"/>
      <c r="J698" s="84"/>
      <c r="K698" s="84"/>
      <c r="L698" s="84"/>
      <c r="M698" s="84"/>
      <c r="N698" s="84"/>
      <c r="O698" s="84"/>
      <c r="P698" s="85"/>
      <c r="Q698" s="75"/>
      <c r="R698" s="75"/>
      <c r="S698" s="75"/>
      <c r="T698" s="75"/>
      <c r="U698" s="89"/>
      <c r="V698" s="84"/>
      <c r="W698" s="84"/>
      <c r="X698" s="84"/>
      <c r="Y698" s="84"/>
      <c r="Z698" s="84"/>
      <c r="AA698" s="1"/>
      <c r="AB698" s="330"/>
      <c r="AC698" s="321"/>
      <c r="AD698" s="321"/>
    </row>
    <row r="699" spans="1:30" ht="15.75" customHeight="1">
      <c r="A699" s="83"/>
      <c r="B699" s="83"/>
      <c r="C699" s="83"/>
      <c r="D699" s="84"/>
      <c r="E699" s="84"/>
      <c r="F699" s="84"/>
      <c r="G699" s="83"/>
      <c r="H699" s="84"/>
      <c r="I699" s="84"/>
      <c r="J699" s="84"/>
      <c r="K699" s="84"/>
      <c r="L699" s="84"/>
      <c r="M699" s="84"/>
      <c r="N699" s="84"/>
      <c r="O699" s="84"/>
      <c r="P699" s="85"/>
      <c r="Q699" s="75"/>
      <c r="R699" s="75"/>
      <c r="S699" s="75"/>
      <c r="T699" s="75"/>
      <c r="U699" s="89"/>
      <c r="V699" s="84"/>
      <c r="W699" s="84"/>
      <c r="X699" s="84"/>
      <c r="Y699" s="84"/>
      <c r="Z699" s="84"/>
      <c r="AA699" s="1"/>
      <c r="AB699" s="330"/>
      <c r="AC699" s="321"/>
      <c r="AD699" s="321"/>
    </row>
    <row r="700" spans="1:30" ht="15.75" customHeight="1">
      <c r="A700" s="83"/>
      <c r="B700" s="83"/>
      <c r="C700" s="83"/>
      <c r="D700" s="84"/>
      <c r="E700" s="84"/>
      <c r="F700" s="84"/>
      <c r="G700" s="83"/>
      <c r="H700" s="84"/>
      <c r="I700" s="84"/>
      <c r="J700" s="84"/>
      <c r="K700" s="84"/>
      <c r="L700" s="84"/>
      <c r="M700" s="84"/>
      <c r="N700" s="84"/>
      <c r="O700" s="84"/>
      <c r="P700" s="85"/>
      <c r="Q700" s="75"/>
      <c r="R700" s="75"/>
      <c r="S700" s="75"/>
      <c r="T700" s="75"/>
      <c r="U700" s="89"/>
      <c r="V700" s="84"/>
      <c r="W700" s="84"/>
      <c r="X700" s="84"/>
      <c r="Y700" s="84"/>
      <c r="Z700" s="84"/>
      <c r="AA700" s="1"/>
      <c r="AB700" s="330"/>
      <c r="AC700" s="321"/>
      <c r="AD700" s="321"/>
    </row>
    <row r="701" spans="1:30" ht="15.75" customHeight="1">
      <c r="A701" s="83"/>
      <c r="B701" s="83"/>
      <c r="C701" s="83"/>
      <c r="D701" s="84"/>
      <c r="E701" s="84"/>
      <c r="F701" s="84"/>
      <c r="G701" s="83"/>
      <c r="H701" s="84"/>
      <c r="I701" s="84"/>
      <c r="J701" s="84"/>
      <c r="K701" s="84"/>
      <c r="L701" s="84"/>
      <c r="M701" s="84"/>
      <c r="N701" s="84"/>
      <c r="O701" s="84"/>
      <c r="P701" s="85"/>
      <c r="Q701" s="75"/>
      <c r="R701" s="75"/>
      <c r="S701" s="75"/>
      <c r="T701" s="75"/>
      <c r="U701" s="89"/>
      <c r="V701" s="84"/>
      <c r="W701" s="84"/>
      <c r="X701" s="84"/>
      <c r="Y701" s="84"/>
      <c r="Z701" s="84"/>
      <c r="AA701" s="1"/>
      <c r="AB701" s="330"/>
      <c r="AC701" s="321"/>
      <c r="AD701" s="321"/>
    </row>
    <row r="702" spans="1:30" ht="15.75" customHeight="1">
      <c r="A702" s="83"/>
      <c r="B702" s="83"/>
      <c r="C702" s="83"/>
      <c r="D702" s="84"/>
      <c r="E702" s="84"/>
      <c r="F702" s="84"/>
      <c r="G702" s="83"/>
      <c r="H702" s="84"/>
      <c r="I702" s="84"/>
      <c r="J702" s="84"/>
      <c r="K702" s="84"/>
      <c r="L702" s="84"/>
      <c r="M702" s="84"/>
      <c r="N702" s="84"/>
      <c r="O702" s="84"/>
      <c r="P702" s="85"/>
      <c r="Q702" s="75"/>
      <c r="R702" s="75"/>
      <c r="S702" s="75"/>
      <c r="T702" s="75"/>
      <c r="U702" s="89"/>
      <c r="V702" s="84"/>
      <c r="W702" s="84"/>
      <c r="X702" s="84"/>
      <c r="Y702" s="84"/>
      <c r="Z702" s="84"/>
      <c r="AA702" s="1"/>
      <c r="AB702" s="330"/>
      <c r="AC702" s="321"/>
      <c r="AD702" s="321"/>
    </row>
    <row r="703" spans="1:30" ht="15.75" customHeight="1">
      <c r="A703" s="83"/>
      <c r="B703" s="83"/>
      <c r="C703" s="83"/>
      <c r="D703" s="84"/>
      <c r="E703" s="84"/>
      <c r="F703" s="84"/>
      <c r="G703" s="83"/>
      <c r="H703" s="84"/>
      <c r="I703" s="84"/>
      <c r="J703" s="84"/>
      <c r="K703" s="84"/>
      <c r="L703" s="84"/>
      <c r="M703" s="84"/>
      <c r="N703" s="84"/>
      <c r="O703" s="84"/>
      <c r="P703" s="85"/>
      <c r="Q703" s="75"/>
      <c r="R703" s="75"/>
      <c r="S703" s="75"/>
      <c r="T703" s="75"/>
      <c r="U703" s="89"/>
      <c r="V703" s="84"/>
      <c r="W703" s="84"/>
      <c r="X703" s="84"/>
      <c r="Y703" s="84"/>
      <c r="Z703" s="84"/>
      <c r="AA703" s="1"/>
      <c r="AB703" s="330"/>
      <c r="AC703" s="321"/>
      <c r="AD703" s="321"/>
    </row>
    <row r="704" spans="1:30" ht="15.75" customHeight="1">
      <c r="A704" s="83"/>
      <c r="B704" s="83"/>
      <c r="C704" s="83"/>
      <c r="D704" s="84"/>
      <c r="E704" s="84"/>
      <c r="F704" s="84"/>
      <c r="G704" s="83"/>
      <c r="H704" s="84"/>
      <c r="I704" s="84"/>
      <c r="J704" s="84"/>
      <c r="K704" s="84"/>
      <c r="L704" s="84"/>
      <c r="M704" s="84"/>
      <c r="N704" s="84"/>
      <c r="O704" s="84"/>
      <c r="P704" s="85"/>
      <c r="Q704" s="75"/>
      <c r="R704" s="75"/>
      <c r="S704" s="75"/>
      <c r="T704" s="75"/>
      <c r="U704" s="89"/>
      <c r="V704" s="84"/>
      <c r="W704" s="84"/>
      <c r="X704" s="84"/>
      <c r="Y704" s="84"/>
      <c r="Z704" s="84"/>
      <c r="AA704" s="1"/>
      <c r="AB704" s="330"/>
      <c r="AC704" s="321"/>
      <c r="AD704" s="321"/>
    </row>
    <row r="705" spans="1:30" ht="15.75" customHeight="1">
      <c r="A705" s="83"/>
      <c r="B705" s="83"/>
      <c r="C705" s="83"/>
      <c r="D705" s="84"/>
      <c r="E705" s="84"/>
      <c r="F705" s="84"/>
      <c r="G705" s="83"/>
      <c r="H705" s="84"/>
      <c r="I705" s="84"/>
      <c r="J705" s="84"/>
      <c r="K705" s="84"/>
      <c r="L705" s="84"/>
      <c r="M705" s="84"/>
      <c r="N705" s="84"/>
      <c r="O705" s="84"/>
      <c r="P705" s="85"/>
      <c r="Q705" s="75"/>
      <c r="R705" s="75"/>
      <c r="S705" s="75"/>
      <c r="T705" s="75"/>
      <c r="U705" s="89"/>
      <c r="V705" s="84"/>
      <c r="W705" s="84"/>
      <c r="X705" s="84"/>
      <c r="Y705" s="84"/>
      <c r="Z705" s="84"/>
      <c r="AA705" s="1"/>
      <c r="AB705" s="330"/>
      <c r="AC705" s="321"/>
      <c r="AD705" s="321"/>
    </row>
    <row r="706" spans="1:30" ht="15.75" customHeight="1">
      <c r="A706" s="83"/>
      <c r="B706" s="83"/>
      <c r="C706" s="83"/>
      <c r="D706" s="84"/>
      <c r="E706" s="84"/>
      <c r="F706" s="84"/>
      <c r="G706" s="83"/>
      <c r="H706" s="84"/>
      <c r="I706" s="84"/>
      <c r="J706" s="84"/>
      <c r="K706" s="84"/>
      <c r="L706" s="84"/>
      <c r="M706" s="84"/>
      <c r="N706" s="84"/>
      <c r="O706" s="84"/>
      <c r="P706" s="85"/>
      <c r="Q706" s="75"/>
      <c r="R706" s="75"/>
      <c r="S706" s="75"/>
      <c r="T706" s="75"/>
      <c r="U706" s="89"/>
      <c r="V706" s="84"/>
      <c r="W706" s="84"/>
      <c r="X706" s="84"/>
      <c r="Y706" s="84"/>
      <c r="Z706" s="84"/>
      <c r="AA706" s="1"/>
      <c r="AB706" s="330"/>
      <c r="AC706" s="321"/>
      <c r="AD706" s="321"/>
    </row>
    <row r="707" spans="1:30" ht="15.75" customHeight="1">
      <c r="A707" s="83"/>
      <c r="B707" s="83"/>
      <c r="C707" s="83"/>
      <c r="D707" s="84"/>
      <c r="E707" s="84"/>
      <c r="F707" s="84"/>
      <c r="G707" s="83"/>
      <c r="H707" s="84"/>
      <c r="I707" s="84"/>
      <c r="J707" s="84"/>
      <c r="K707" s="84"/>
      <c r="L707" s="84"/>
      <c r="M707" s="84"/>
      <c r="N707" s="84"/>
      <c r="O707" s="84"/>
      <c r="P707" s="85"/>
      <c r="Q707" s="75"/>
      <c r="R707" s="75"/>
      <c r="S707" s="75"/>
      <c r="T707" s="75"/>
      <c r="U707" s="89"/>
      <c r="V707" s="84"/>
      <c r="W707" s="84"/>
      <c r="X707" s="84"/>
      <c r="Y707" s="84"/>
      <c r="Z707" s="84"/>
      <c r="AA707" s="1"/>
      <c r="AB707" s="330"/>
      <c r="AC707" s="321"/>
      <c r="AD707" s="321"/>
    </row>
    <row r="708" spans="1:30" ht="15.75" customHeight="1">
      <c r="A708" s="83"/>
      <c r="B708" s="83"/>
      <c r="C708" s="83"/>
      <c r="D708" s="84"/>
      <c r="E708" s="84"/>
      <c r="F708" s="84"/>
      <c r="G708" s="83"/>
      <c r="H708" s="84"/>
      <c r="I708" s="84"/>
      <c r="J708" s="84"/>
      <c r="K708" s="84"/>
      <c r="L708" s="84"/>
      <c r="M708" s="84"/>
      <c r="N708" s="84"/>
      <c r="O708" s="84"/>
      <c r="P708" s="85"/>
      <c r="Q708" s="75"/>
      <c r="R708" s="75"/>
      <c r="S708" s="75"/>
      <c r="T708" s="75"/>
      <c r="U708" s="89"/>
      <c r="V708" s="84"/>
      <c r="W708" s="84"/>
      <c r="X708" s="84"/>
      <c r="Y708" s="84"/>
      <c r="Z708" s="84"/>
      <c r="AA708" s="1"/>
      <c r="AB708" s="330"/>
      <c r="AC708" s="321"/>
      <c r="AD708" s="321"/>
    </row>
    <row r="709" spans="1:30" ht="15.75" customHeight="1">
      <c r="A709" s="83"/>
      <c r="B709" s="83"/>
      <c r="C709" s="83"/>
      <c r="D709" s="84"/>
      <c r="E709" s="84"/>
      <c r="F709" s="84"/>
      <c r="G709" s="83"/>
      <c r="H709" s="84"/>
      <c r="I709" s="84"/>
      <c r="J709" s="84"/>
      <c r="K709" s="84"/>
      <c r="L709" s="84"/>
      <c r="M709" s="84"/>
      <c r="N709" s="84"/>
      <c r="O709" s="84"/>
      <c r="P709" s="85"/>
      <c r="Q709" s="75"/>
      <c r="R709" s="75"/>
      <c r="S709" s="75"/>
      <c r="T709" s="75"/>
      <c r="U709" s="89"/>
      <c r="V709" s="84"/>
      <c r="W709" s="84"/>
      <c r="X709" s="84"/>
      <c r="Y709" s="84"/>
      <c r="Z709" s="84"/>
      <c r="AA709" s="1"/>
      <c r="AB709" s="330"/>
      <c r="AC709" s="321"/>
      <c r="AD709" s="321"/>
    </row>
    <row r="710" spans="1:30" ht="15.75" customHeight="1">
      <c r="A710" s="83"/>
      <c r="B710" s="83"/>
      <c r="C710" s="83"/>
      <c r="D710" s="84"/>
      <c r="E710" s="84"/>
      <c r="F710" s="84"/>
      <c r="G710" s="83"/>
      <c r="H710" s="84"/>
      <c r="I710" s="84"/>
      <c r="J710" s="84"/>
      <c r="K710" s="84"/>
      <c r="L710" s="84"/>
      <c r="M710" s="84"/>
      <c r="N710" s="84"/>
      <c r="O710" s="84"/>
      <c r="P710" s="85"/>
      <c r="Q710" s="75"/>
      <c r="R710" s="75"/>
      <c r="S710" s="75"/>
      <c r="T710" s="75"/>
      <c r="U710" s="89"/>
      <c r="V710" s="84"/>
      <c r="W710" s="84"/>
      <c r="X710" s="84"/>
      <c r="Y710" s="84"/>
      <c r="Z710" s="84"/>
      <c r="AA710" s="1"/>
      <c r="AB710" s="330"/>
      <c r="AC710" s="321"/>
      <c r="AD710" s="321"/>
    </row>
    <row r="711" spans="1:30" ht="15.75" customHeight="1">
      <c r="A711" s="83"/>
      <c r="B711" s="83"/>
      <c r="C711" s="83"/>
      <c r="D711" s="84"/>
      <c r="E711" s="84"/>
      <c r="F711" s="84"/>
      <c r="G711" s="83"/>
      <c r="H711" s="84"/>
      <c r="I711" s="84"/>
      <c r="J711" s="84"/>
      <c r="K711" s="84"/>
      <c r="L711" s="84"/>
      <c r="M711" s="84"/>
      <c r="N711" s="84"/>
      <c r="O711" s="84"/>
      <c r="P711" s="85"/>
      <c r="Q711" s="75"/>
      <c r="R711" s="75"/>
      <c r="S711" s="75"/>
      <c r="T711" s="75"/>
      <c r="U711" s="89"/>
      <c r="V711" s="84"/>
      <c r="W711" s="84"/>
      <c r="X711" s="84"/>
      <c r="Y711" s="84"/>
      <c r="Z711" s="84"/>
      <c r="AA711" s="1"/>
      <c r="AB711" s="330"/>
      <c r="AC711" s="321"/>
      <c r="AD711" s="321"/>
    </row>
    <row r="712" spans="1:30" ht="15.75" customHeight="1">
      <c r="A712" s="83"/>
      <c r="B712" s="83"/>
      <c r="C712" s="83"/>
      <c r="D712" s="84"/>
      <c r="E712" s="84"/>
      <c r="F712" s="84"/>
      <c r="G712" s="83"/>
      <c r="H712" s="84"/>
      <c r="I712" s="84"/>
      <c r="J712" s="84"/>
      <c r="K712" s="84"/>
      <c r="L712" s="84"/>
      <c r="M712" s="84"/>
      <c r="N712" s="84"/>
      <c r="O712" s="84"/>
      <c r="P712" s="85"/>
      <c r="Q712" s="75"/>
      <c r="R712" s="75"/>
      <c r="S712" s="75"/>
      <c r="T712" s="75"/>
      <c r="U712" s="89"/>
      <c r="V712" s="84"/>
      <c r="W712" s="84"/>
      <c r="X712" s="84"/>
      <c r="Y712" s="84"/>
      <c r="Z712" s="84"/>
      <c r="AA712" s="1"/>
      <c r="AB712" s="330"/>
      <c r="AC712" s="321"/>
      <c r="AD712" s="321"/>
    </row>
    <row r="713" spans="1:30" ht="15.75" customHeight="1">
      <c r="A713" s="83"/>
      <c r="B713" s="83"/>
      <c r="C713" s="83"/>
      <c r="D713" s="84"/>
      <c r="E713" s="84"/>
      <c r="F713" s="84"/>
      <c r="G713" s="83"/>
      <c r="H713" s="84"/>
      <c r="I713" s="84"/>
      <c r="J713" s="84"/>
      <c r="K713" s="84"/>
      <c r="L713" s="84"/>
      <c r="M713" s="84"/>
      <c r="N713" s="84"/>
      <c r="O713" s="84"/>
      <c r="P713" s="85"/>
      <c r="Q713" s="75"/>
      <c r="R713" s="75"/>
      <c r="S713" s="75"/>
      <c r="T713" s="75"/>
      <c r="U713" s="89"/>
      <c r="V713" s="84"/>
      <c r="W713" s="84"/>
      <c r="X713" s="84"/>
      <c r="Y713" s="84"/>
      <c r="Z713" s="84"/>
      <c r="AA713" s="1"/>
      <c r="AB713" s="330"/>
      <c r="AC713" s="321"/>
      <c r="AD713" s="321"/>
    </row>
    <row r="714" spans="1:30" ht="15.75" customHeight="1">
      <c r="A714" s="83"/>
      <c r="B714" s="83"/>
      <c r="C714" s="83"/>
      <c r="D714" s="84"/>
      <c r="E714" s="84"/>
      <c r="F714" s="84"/>
      <c r="G714" s="83"/>
      <c r="H714" s="84"/>
      <c r="I714" s="84"/>
      <c r="J714" s="84"/>
      <c r="K714" s="84"/>
      <c r="L714" s="84"/>
      <c r="M714" s="84"/>
      <c r="N714" s="84"/>
      <c r="O714" s="84"/>
      <c r="P714" s="85"/>
      <c r="Q714" s="75"/>
      <c r="R714" s="75"/>
      <c r="S714" s="75"/>
      <c r="T714" s="75"/>
      <c r="U714" s="89"/>
      <c r="V714" s="84"/>
      <c r="W714" s="84"/>
      <c r="X714" s="84"/>
      <c r="Y714" s="84"/>
      <c r="Z714" s="84"/>
      <c r="AA714" s="1"/>
      <c r="AB714" s="330"/>
      <c r="AC714" s="321"/>
      <c r="AD714" s="321"/>
    </row>
    <row r="715" spans="1:30" ht="15.75" customHeight="1">
      <c r="A715" s="83"/>
      <c r="B715" s="83"/>
      <c r="C715" s="83"/>
      <c r="D715" s="84"/>
      <c r="E715" s="84"/>
      <c r="F715" s="84"/>
      <c r="G715" s="83"/>
      <c r="H715" s="84"/>
      <c r="I715" s="84"/>
      <c r="J715" s="84"/>
      <c r="K715" s="84"/>
      <c r="L715" s="84"/>
      <c r="M715" s="84"/>
      <c r="N715" s="84"/>
      <c r="O715" s="84"/>
      <c r="P715" s="85"/>
      <c r="Q715" s="75"/>
      <c r="R715" s="75"/>
      <c r="S715" s="75"/>
      <c r="T715" s="75"/>
      <c r="U715" s="89"/>
      <c r="V715" s="84"/>
      <c r="W715" s="84"/>
      <c r="X715" s="84"/>
      <c r="Y715" s="84"/>
      <c r="Z715" s="84"/>
      <c r="AA715" s="1"/>
      <c r="AB715" s="330"/>
      <c r="AC715" s="321"/>
      <c r="AD715" s="321"/>
    </row>
    <row r="716" spans="1:30" ht="15.75" customHeight="1">
      <c r="A716" s="83"/>
      <c r="B716" s="83"/>
      <c r="C716" s="83"/>
      <c r="D716" s="84"/>
      <c r="E716" s="84"/>
      <c r="F716" s="84"/>
      <c r="G716" s="83"/>
      <c r="H716" s="84"/>
      <c r="I716" s="84"/>
      <c r="J716" s="84"/>
      <c r="K716" s="84"/>
      <c r="L716" s="84"/>
      <c r="M716" s="84"/>
      <c r="N716" s="84"/>
      <c r="O716" s="84"/>
      <c r="P716" s="85"/>
      <c r="Q716" s="75"/>
      <c r="R716" s="75"/>
      <c r="S716" s="75"/>
      <c r="T716" s="75"/>
      <c r="U716" s="89"/>
      <c r="V716" s="84"/>
      <c r="W716" s="84"/>
      <c r="X716" s="84"/>
      <c r="Y716" s="84"/>
      <c r="Z716" s="84"/>
      <c r="AA716" s="1"/>
      <c r="AB716" s="330"/>
      <c r="AC716" s="321"/>
      <c r="AD716" s="321"/>
    </row>
    <row r="717" spans="1:30" ht="15.75" customHeight="1">
      <c r="A717" s="83"/>
      <c r="B717" s="83"/>
      <c r="C717" s="83"/>
      <c r="D717" s="84"/>
      <c r="E717" s="84"/>
      <c r="F717" s="84"/>
      <c r="G717" s="83"/>
      <c r="H717" s="84"/>
      <c r="I717" s="84"/>
      <c r="J717" s="84"/>
      <c r="K717" s="84"/>
      <c r="L717" s="84"/>
      <c r="M717" s="84"/>
      <c r="N717" s="84"/>
      <c r="O717" s="84"/>
      <c r="P717" s="85"/>
      <c r="Q717" s="75"/>
      <c r="R717" s="75"/>
      <c r="S717" s="75"/>
      <c r="T717" s="75"/>
      <c r="U717" s="89"/>
      <c r="V717" s="84"/>
      <c r="W717" s="84"/>
      <c r="X717" s="84"/>
      <c r="Y717" s="84"/>
      <c r="Z717" s="84"/>
      <c r="AA717" s="1"/>
      <c r="AB717" s="330"/>
      <c r="AC717" s="321"/>
      <c r="AD717" s="321"/>
    </row>
    <row r="718" spans="1:30" ht="15.75" customHeight="1">
      <c r="A718" s="83"/>
      <c r="B718" s="83"/>
      <c r="C718" s="83"/>
      <c r="D718" s="84"/>
      <c r="E718" s="84"/>
      <c r="F718" s="84"/>
      <c r="G718" s="83"/>
      <c r="H718" s="84"/>
      <c r="I718" s="84"/>
      <c r="J718" s="84"/>
      <c r="K718" s="84"/>
      <c r="L718" s="84"/>
      <c r="M718" s="84"/>
      <c r="N718" s="84"/>
      <c r="O718" s="84"/>
      <c r="P718" s="85"/>
      <c r="Q718" s="75"/>
      <c r="R718" s="75"/>
      <c r="S718" s="75"/>
      <c r="T718" s="75"/>
      <c r="U718" s="89"/>
      <c r="V718" s="84"/>
      <c r="W718" s="84"/>
      <c r="X718" s="84"/>
      <c r="Y718" s="84"/>
      <c r="Z718" s="84"/>
      <c r="AA718" s="1"/>
      <c r="AB718" s="330"/>
      <c r="AC718" s="321"/>
      <c r="AD718" s="321"/>
    </row>
    <row r="719" spans="1:30" ht="15.75" customHeight="1">
      <c r="A719" s="83"/>
      <c r="B719" s="83"/>
      <c r="C719" s="83"/>
      <c r="D719" s="84"/>
      <c r="E719" s="84"/>
      <c r="F719" s="84"/>
      <c r="G719" s="83"/>
      <c r="H719" s="84"/>
      <c r="I719" s="84"/>
      <c r="J719" s="84"/>
      <c r="K719" s="84"/>
      <c r="L719" s="84"/>
      <c r="M719" s="84"/>
      <c r="N719" s="84"/>
      <c r="O719" s="84"/>
      <c r="P719" s="85"/>
      <c r="Q719" s="75"/>
      <c r="R719" s="75"/>
      <c r="S719" s="75"/>
      <c r="T719" s="75"/>
      <c r="U719" s="89"/>
      <c r="V719" s="84"/>
      <c r="W719" s="84"/>
      <c r="X719" s="84"/>
      <c r="Y719" s="84"/>
      <c r="Z719" s="84"/>
      <c r="AA719" s="1"/>
      <c r="AB719" s="330"/>
      <c r="AC719" s="321"/>
      <c r="AD719" s="321"/>
    </row>
    <row r="720" spans="1:30" ht="15.75" customHeight="1">
      <c r="A720" s="83"/>
      <c r="B720" s="83"/>
      <c r="C720" s="83"/>
      <c r="D720" s="84"/>
      <c r="E720" s="84"/>
      <c r="F720" s="84"/>
      <c r="G720" s="83"/>
      <c r="H720" s="84"/>
      <c r="I720" s="84"/>
      <c r="J720" s="84"/>
      <c r="K720" s="84"/>
      <c r="L720" s="84"/>
      <c r="M720" s="84"/>
      <c r="N720" s="84"/>
      <c r="O720" s="84"/>
      <c r="P720" s="85"/>
      <c r="Q720" s="75"/>
      <c r="R720" s="75"/>
      <c r="S720" s="75"/>
      <c r="T720" s="75"/>
      <c r="U720" s="89"/>
      <c r="V720" s="84"/>
      <c r="W720" s="84"/>
      <c r="X720" s="84"/>
      <c r="Y720" s="84"/>
      <c r="Z720" s="84"/>
      <c r="AA720" s="1"/>
      <c r="AB720" s="330"/>
      <c r="AC720" s="321"/>
      <c r="AD720" s="321"/>
    </row>
    <row r="721" spans="1:30" ht="15.75" customHeight="1">
      <c r="A721" s="83"/>
      <c r="B721" s="83"/>
      <c r="C721" s="83"/>
      <c r="D721" s="84"/>
      <c r="E721" s="84"/>
      <c r="F721" s="84"/>
      <c r="G721" s="83"/>
      <c r="H721" s="84"/>
      <c r="I721" s="84"/>
      <c r="J721" s="84"/>
      <c r="K721" s="84"/>
      <c r="L721" s="84"/>
      <c r="M721" s="84"/>
      <c r="N721" s="84"/>
      <c r="O721" s="84"/>
      <c r="P721" s="85"/>
      <c r="Q721" s="75"/>
      <c r="R721" s="75"/>
      <c r="S721" s="75"/>
      <c r="T721" s="75"/>
      <c r="U721" s="89"/>
      <c r="V721" s="84"/>
      <c r="W721" s="84"/>
      <c r="X721" s="84"/>
      <c r="Y721" s="84"/>
      <c r="Z721" s="84"/>
      <c r="AA721" s="1"/>
      <c r="AB721" s="330"/>
      <c r="AC721" s="321"/>
      <c r="AD721" s="321"/>
    </row>
    <row r="722" spans="1:30" ht="15.75" customHeight="1">
      <c r="A722" s="83"/>
      <c r="B722" s="83"/>
      <c r="C722" s="83"/>
      <c r="D722" s="84"/>
      <c r="E722" s="84"/>
      <c r="F722" s="84"/>
      <c r="G722" s="83"/>
      <c r="H722" s="84"/>
      <c r="I722" s="84"/>
      <c r="J722" s="84"/>
      <c r="K722" s="84"/>
      <c r="L722" s="84"/>
      <c r="M722" s="84"/>
      <c r="N722" s="84"/>
      <c r="O722" s="84"/>
      <c r="P722" s="85"/>
      <c r="Q722" s="75"/>
      <c r="R722" s="75"/>
      <c r="S722" s="75"/>
      <c r="T722" s="75"/>
      <c r="U722" s="89"/>
      <c r="V722" s="84"/>
      <c r="W722" s="84"/>
      <c r="X722" s="84"/>
      <c r="Y722" s="84"/>
      <c r="Z722" s="84"/>
      <c r="AA722" s="1"/>
      <c r="AB722" s="330"/>
      <c r="AC722" s="321"/>
      <c r="AD722" s="321"/>
    </row>
    <row r="723" spans="1:30" ht="15.75" customHeight="1">
      <c r="A723" s="83"/>
      <c r="B723" s="83"/>
      <c r="C723" s="83"/>
      <c r="D723" s="84"/>
      <c r="E723" s="84"/>
      <c r="F723" s="84"/>
      <c r="G723" s="83"/>
      <c r="H723" s="84"/>
      <c r="I723" s="84"/>
      <c r="J723" s="84"/>
      <c r="K723" s="84"/>
      <c r="L723" s="84"/>
      <c r="M723" s="84"/>
      <c r="N723" s="84"/>
      <c r="O723" s="84"/>
      <c r="P723" s="85"/>
      <c r="Q723" s="75"/>
      <c r="R723" s="75"/>
      <c r="S723" s="75"/>
      <c r="T723" s="75"/>
      <c r="U723" s="89"/>
      <c r="V723" s="84"/>
      <c r="W723" s="84"/>
      <c r="X723" s="84"/>
      <c r="Y723" s="84"/>
      <c r="Z723" s="84"/>
      <c r="AA723" s="1"/>
      <c r="AB723" s="330"/>
      <c r="AC723" s="321"/>
      <c r="AD723" s="321"/>
    </row>
    <row r="724" spans="1:30" ht="15.75" customHeight="1">
      <c r="A724" s="83"/>
      <c r="B724" s="83"/>
      <c r="C724" s="83"/>
      <c r="D724" s="84"/>
      <c r="E724" s="84"/>
      <c r="F724" s="84"/>
      <c r="G724" s="83"/>
      <c r="H724" s="84"/>
      <c r="I724" s="84"/>
      <c r="J724" s="84"/>
      <c r="K724" s="84"/>
      <c r="L724" s="84"/>
      <c r="M724" s="84"/>
      <c r="N724" s="84"/>
      <c r="O724" s="84"/>
      <c r="P724" s="85"/>
      <c r="Q724" s="75"/>
      <c r="R724" s="75"/>
      <c r="S724" s="75"/>
      <c r="T724" s="75"/>
      <c r="U724" s="89"/>
      <c r="V724" s="84"/>
      <c r="W724" s="84"/>
      <c r="X724" s="84"/>
      <c r="Y724" s="84"/>
      <c r="Z724" s="84"/>
      <c r="AA724" s="1"/>
      <c r="AB724" s="330"/>
      <c r="AC724" s="321"/>
      <c r="AD724" s="321"/>
    </row>
    <row r="725" spans="1:30" ht="15.75" customHeight="1">
      <c r="A725" s="83"/>
      <c r="B725" s="83"/>
      <c r="C725" s="83"/>
      <c r="D725" s="84"/>
      <c r="E725" s="84"/>
      <c r="F725" s="84"/>
      <c r="G725" s="83"/>
      <c r="H725" s="84"/>
      <c r="I725" s="84"/>
      <c r="J725" s="84"/>
      <c r="K725" s="84"/>
      <c r="L725" s="84"/>
      <c r="M725" s="84"/>
      <c r="N725" s="84"/>
      <c r="O725" s="84"/>
      <c r="P725" s="85"/>
      <c r="Q725" s="75"/>
      <c r="R725" s="75"/>
      <c r="S725" s="75"/>
      <c r="T725" s="75"/>
      <c r="U725" s="89"/>
      <c r="V725" s="84"/>
      <c r="W725" s="84"/>
      <c r="X725" s="84"/>
      <c r="Y725" s="84"/>
      <c r="Z725" s="84"/>
      <c r="AA725" s="1"/>
      <c r="AB725" s="330"/>
      <c r="AC725" s="321"/>
      <c r="AD725" s="321"/>
    </row>
    <row r="726" spans="1:30" ht="15.75" customHeight="1">
      <c r="A726" s="83"/>
      <c r="B726" s="83"/>
      <c r="C726" s="83"/>
      <c r="D726" s="84"/>
      <c r="E726" s="84"/>
      <c r="F726" s="84"/>
      <c r="G726" s="83"/>
      <c r="H726" s="84"/>
      <c r="I726" s="84"/>
      <c r="J726" s="84"/>
      <c r="K726" s="84"/>
      <c r="L726" s="84"/>
      <c r="M726" s="84"/>
      <c r="N726" s="84"/>
      <c r="O726" s="84"/>
      <c r="P726" s="85"/>
      <c r="Q726" s="75"/>
      <c r="R726" s="75"/>
      <c r="S726" s="75"/>
      <c r="T726" s="75"/>
      <c r="U726" s="89"/>
      <c r="V726" s="84"/>
      <c r="W726" s="84"/>
      <c r="X726" s="84"/>
      <c r="Y726" s="84"/>
      <c r="Z726" s="84"/>
      <c r="AA726" s="1"/>
      <c r="AB726" s="330"/>
      <c r="AC726" s="321"/>
      <c r="AD726" s="321"/>
    </row>
    <row r="727" spans="1:30" ht="15.75" customHeight="1">
      <c r="A727" s="83"/>
      <c r="B727" s="83"/>
      <c r="C727" s="83"/>
      <c r="D727" s="84"/>
      <c r="E727" s="84"/>
      <c r="F727" s="84"/>
      <c r="G727" s="83"/>
      <c r="H727" s="84"/>
      <c r="I727" s="84"/>
      <c r="J727" s="84"/>
      <c r="K727" s="84"/>
      <c r="L727" s="84"/>
      <c r="M727" s="84"/>
      <c r="N727" s="84"/>
      <c r="O727" s="84"/>
      <c r="P727" s="85"/>
      <c r="Q727" s="75"/>
      <c r="R727" s="75"/>
      <c r="S727" s="75"/>
      <c r="T727" s="75"/>
      <c r="U727" s="89"/>
      <c r="V727" s="84"/>
      <c r="W727" s="84"/>
      <c r="X727" s="84"/>
      <c r="Y727" s="84"/>
      <c r="Z727" s="84"/>
      <c r="AA727" s="1"/>
      <c r="AB727" s="330"/>
      <c r="AC727" s="321"/>
      <c r="AD727" s="321"/>
    </row>
    <row r="728" spans="1:30" ht="15.75" customHeight="1">
      <c r="A728" s="83"/>
      <c r="B728" s="83"/>
      <c r="C728" s="83"/>
      <c r="D728" s="84"/>
      <c r="E728" s="84"/>
      <c r="F728" s="84"/>
      <c r="G728" s="83"/>
      <c r="H728" s="84"/>
      <c r="I728" s="84"/>
      <c r="J728" s="84"/>
      <c r="K728" s="84"/>
      <c r="L728" s="84"/>
      <c r="M728" s="84"/>
      <c r="N728" s="84"/>
      <c r="O728" s="84"/>
      <c r="P728" s="85"/>
      <c r="Q728" s="75"/>
      <c r="R728" s="75"/>
      <c r="S728" s="75"/>
      <c r="T728" s="75"/>
      <c r="U728" s="89"/>
      <c r="V728" s="84"/>
      <c r="W728" s="84"/>
      <c r="X728" s="84"/>
      <c r="Y728" s="84"/>
      <c r="Z728" s="84"/>
      <c r="AA728" s="1"/>
      <c r="AB728" s="330"/>
      <c r="AC728" s="321"/>
      <c r="AD728" s="321"/>
    </row>
    <row r="729" spans="1:30" ht="15.75" customHeight="1">
      <c r="A729" s="83"/>
      <c r="B729" s="83"/>
      <c r="C729" s="83"/>
      <c r="D729" s="84"/>
      <c r="E729" s="84"/>
      <c r="F729" s="84"/>
      <c r="G729" s="83"/>
      <c r="H729" s="84"/>
      <c r="I729" s="84"/>
      <c r="J729" s="84"/>
      <c r="K729" s="84"/>
      <c r="L729" s="84"/>
      <c r="M729" s="84"/>
      <c r="N729" s="84"/>
      <c r="O729" s="84"/>
      <c r="P729" s="85"/>
      <c r="Q729" s="75"/>
      <c r="R729" s="75"/>
      <c r="S729" s="75"/>
      <c r="T729" s="75"/>
      <c r="U729" s="89"/>
      <c r="V729" s="84"/>
      <c r="W729" s="84"/>
      <c r="X729" s="84"/>
      <c r="Y729" s="84"/>
      <c r="Z729" s="84"/>
      <c r="AA729" s="1"/>
      <c r="AB729" s="330"/>
      <c r="AC729" s="321"/>
      <c r="AD729" s="321"/>
    </row>
    <row r="730" spans="1:30" ht="15.75" customHeight="1">
      <c r="A730" s="83"/>
      <c r="B730" s="83"/>
      <c r="C730" s="83"/>
      <c r="D730" s="84"/>
      <c r="E730" s="84"/>
      <c r="F730" s="84"/>
      <c r="G730" s="83"/>
      <c r="H730" s="84"/>
      <c r="I730" s="84"/>
      <c r="J730" s="84"/>
      <c r="K730" s="84"/>
      <c r="L730" s="84"/>
      <c r="M730" s="84"/>
      <c r="N730" s="84"/>
      <c r="O730" s="84"/>
      <c r="P730" s="85"/>
      <c r="Q730" s="75"/>
      <c r="R730" s="75"/>
      <c r="S730" s="75"/>
      <c r="T730" s="75"/>
      <c r="U730" s="89"/>
      <c r="V730" s="84"/>
      <c r="W730" s="84"/>
      <c r="X730" s="84"/>
      <c r="Y730" s="84"/>
      <c r="Z730" s="84"/>
      <c r="AA730" s="1"/>
      <c r="AB730" s="330"/>
      <c r="AC730" s="321"/>
      <c r="AD730" s="321"/>
    </row>
    <row r="731" spans="1:30" ht="15.75" customHeight="1">
      <c r="A731" s="83"/>
      <c r="B731" s="83"/>
      <c r="C731" s="83"/>
      <c r="D731" s="84"/>
      <c r="E731" s="84"/>
      <c r="F731" s="84"/>
      <c r="G731" s="83"/>
      <c r="H731" s="84"/>
      <c r="I731" s="84"/>
      <c r="J731" s="84"/>
      <c r="K731" s="84"/>
      <c r="L731" s="84"/>
      <c r="M731" s="84"/>
      <c r="N731" s="84"/>
      <c r="O731" s="84"/>
      <c r="P731" s="85"/>
      <c r="Q731" s="75"/>
      <c r="R731" s="75"/>
      <c r="S731" s="75"/>
      <c r="T731" s="75"/>
      <c r="U731" s="89"/>
      <c r="V731" s="84"/>
      <c r="W731" s="84"/>
      <c r="X731" s="84"/>
      <c r="Y731" s="84"/>
      <c r="Z731" s="84"/>
      <c r="AA731" s="1"/>
      <c r="AB731" s="330"/>
      <c r="AC731" s="321"/>
      <c r="AD731" s="321"/>
    </row>
    <row r="732" spans="1:30" ht="15.75" customHeight="1">
      <c r="A732" s="83"/>
      <c r="B732" s="83"/>
      <c r="C732" s="83"/>
      <c r="D732" s="84"/>
      <c r="E732" s="84"/>
      <c r="F732" s="84"/>
      <c r="G732" s="83"/>
      <c r="H732" s="84"/>
      <c r="I732" s="84"/>
      <c r="J732" s="84"/>
      <c r="K732" s="84"/>
      <c r="L732" s="84"/>
      <c r="M732" s="84"/>
      <c r="N732" s="84"/>
      <c r="O732" s="84"/>
      <c r="P732" s="85"/>
      <c r="Q732" s="75"/>
      <c r="R732" s="75"/>
      <c r="S732" s="75"/>
      <c r="T732" s="75"/>
      <c r="U732" s="89"/>
      <c r="V732" s="84"/>
      <c r="W732" s="84"/>
      <c r="X732" s="84"/>
      <c r="Y732" s="84"/>
      <c r="Z732" s="84"/>
      <c r="AA732" s="1"/>
      <c r="AB732" s="330"/>
      <c r="AC732" s="321"/>
      <c r="AD732" s="321"/>
    </row>
    <row r="733" spans="1:30" ht="15.75" customHeight="1">
      <c r="A733" s="83"/>
      <c r="B733" s="83"/>
      <c r="C733" s="83"/>
      <c r="D733" s="84"/>
      <c r="E733" s="84"/>
      <c r="F733" s="84"/>
      <c r="G733" s="83"/>
      <c r="H733" s="84"/>
      <c r="I733" s="84"/>
      <c r="J733" s="84"/>
      <c r="K733" s="84"/>
      <c r="L733" s="84"/>
      <c r="M733" s="84"/>
      <c r="N733" s="84"/>
      <c r="O733" s="84"/>
      <c r="P733" s="85"/>
      <c r="Q733" s="75"/>
      <c r="R733" s="75"/>
      <c r="S733" s="75"/>
      <c r="T733" s="75"/>
      <c r="U733" s="89"/>
      <c r="V733" s="84"/>
      <c r="W733" s="84"/>
      <c r="X733" s="84"/>
      <c r="Y733" s="84"/>
      <c r="Z733" s="84"/>
      <c r="AA733" s="1"/>
      <c r="AB733" s="330"/>
      <c r="AC733" s="321"/>
      <c r="AD733" s="321"/>
    </row>
    <row r="734" spans="1:30" ht="15.75" customHeight="1">
      <c r="A734" s="83"/>
      <c r="B734" s="83"/>
      <c r="C734" s="83"/>
      <c r="D734" s="84"/>
      <c r="E734" s="84"/>
      <c r="F734" s="84"/>
      <c r="G734" s="83"/>
      <c r="H734" s="84"/>
      <c r="I734" s="84"/>
      <c r="J734" s="84"/>
      <c r="K734" s="84"/>
      <c r="L734" s="84"/>
      <c r="M734" s="84"/>
      <c r="N734" s="84"/>
      <c r="O734" s="84"/>
      <c r="P734" s="85"/>
      <c r="Q734" s="75"/>
      <c r="R734" s="75"/>
      <c r="S734" s="75"/>
      <c r="T734" s="75"/>
      <c r="U734" s="89"/>
      <c r="V734" s="84"/>
      <c r="W734" s="84"/>
      <c r="X734" s="84"/>
      <c r="Y734" s="84"/>
      <c r="Z734" s="84"/>
      <c r="AA734" s="1"/>
      <c r="AB734" s="330"/>
      <c r="AC734" s="321"/>
      <c r="AD734" s="321"/>
    </row>
    <row r="735" spans="1:30" ht="15.75" customHeight="1">
      <c r="A735" s="83"/>
      <c r="B735" s="83"/>
      <c r="C735" s="83"/>
      <c r="D735" s="84"/>
      <c r="E735" s="84"/>
      <c r="F735" s="84"/>
      <c r="G735" s="83"/>
      <c r="H735" s="84"/>
      <c r="I735" s="84"/>
      <c r="J735" s="84"/>
      <c r="K735" s="84"/>
      <c r="L735" s="84"/>
      <c r="M735" s="84"/>
      <c r="N735" s="84"/>
      <c r="O735" s="84"/>
      <c r="P735" s="85"/>
      <c r="Q735" s="75"/>
      <c r="R735" s="75"/>
      <c r="S735" s="75"/>
      <c r="T735" s="75"/>
      <c r="U735" s="89"/>
      <c r="V735" s="84"/>
      <c r="W735" s="84"/>
      <c r="X735" s="84"/>
      <c r="Y735" s="84"/>
      <c r="Z735" s="84"/>
      <c r="AA735" s="1"/>
      <c r="AB735" s="330"/>
      <c r="AC735" s="321"/>
      <c r="AD735" s="321"/>
    </row>
    <row r="736" spans="1:30" ht="15.75" customHeight="1">
      <c r="A736" s="83"/>
      <c r="B736" s="83"/>
      <c r="C736" s="83"/>
      <c r="D736" s="84"/>
      <c r="E736" s="84"/>
      <c r="F736" s="84"/>
      <c r="G736" s="83"/>
      <c r="H736" s="84"/>
      <c r="I736" s="84"/>
      <c r="J736" s="84"/>
      <c r="K736" s="84"/>
      <c r="L736" s="84"/>
      <c r="M736" s="84"/>
      <c r="N736" s="84"/>
      <c r="O736" s="84"/>
      <c r="P736" s="85"/>
      <c r="Q736" s="75"/>
      <c r="R736" s="75"/>
      <c r="S736" s="75"/>
      <c r="T736" s="75"/>
      <c r="U736" s="89"/>
      <c r="V736" s="84"/>
      <c r="W736" s="84"/>
      <c r="X736" s="84"/>
      <c r="Y736" s="84"/>
      <c r="Z736" s="84"/>
      <c r="AA736" s="1"/>
      <c r="AB736" s="330"/>
      <c r="AC736" s="321"/>
      <c r="AD736" s="321"/>
    </row>
    <row r="737" spans="1:30" ht="15.75" customHeight="1">
      <c r="A737" s="83"/>
      <c r="B737" s="83"/>
      <c r="C737" s="83"/>
      <c r="D737" s="84"/>
      <c r="E737" s="84"/>
      <c r="F737" s="84"/>
      <c r="G737" s="83"/>
      <c r="H737" s="84"/>
      <c r="I737" s="84"/>
      <c r="J737" s="84"/>
      <c r="K737" s="84"/>
      <c r="L737" s="84"/>
      <c r="M737" s="84"/>
      <c r="N737" s="84"/>
      <c r="O737" s="84"/>
      <c r="P737" s="85"/>
      <c r="Q737" s="75"/>
      <c r="R737" s="75"/>
      <c r="S737" s="75"/>
      <c r="T737" s="75"/>
      <c r="U737" s="89"/>
      <c r="V737" s="84"/>
      <c r="W737" s="84"/>
      <c r="X737" s="84"/>
      <c r="Y737" s="84"/>
      <c r="Z737" s="84"/>
      <c r="AA737" s="1"/>
      <c r="AB737" s="330"/>
      <c r="AC737" s="321"/>
      <c r="AD737" s="321"/>
    </row>
    <row r="738" spans="1:30" ht="15.75" customHeight="1">
      <c r="A738" s="83"/>
      <c r="B738" s="83"/>
      <c r="C738" s="83"/>
      <c r="D738" s="84"/>
      <c r="E738" s="84"/>
      <c r="F738" s="84"/>
      <c r="G738" s="83"/>
      <c r="H738" s="84"/>
      <c r="I738" s="84"/>
      <c r="J738" s="84"/>
      <c r="K738" s="84"/>
      <c r="L738" s="84"/>
      <c r="M738" s="84"/>
      <c r="N738" s="84"/>
      <c r="O738" s="84"/>
      <c r="P738" s="85"/>
      <c r="Q738" s="75"/>
      <c r="R738" s="75"/>
      <c r="S738" s="75"/>
      <c r="T738" s="75"/>
      <c r="U738" s="89"/>
      <c r="V738" s="84"/>
      <c r="W738" s="84"/>
      <c r="X738" s="84"/>
      <c r="Y738" s="84"/>
      <c r="Z738" s="84"/>
      <c r="AA738" s="1"/>
      <c r="AB738" s="330"/>
      <c r="AC738" s="321"/>
      <c r="AD738" s="321"/>
    </row>
    <row r="739" spans="1:30" ht="15.75" customHeight="1">
      <c r="A739" s="83"/>
      <c r="B739" s="83"/>
      <c r="C739" s="83"/>
      <c r="D739" s="84"/>
      <c r="E739" s="84"/>
      <c r="F739" s="84"/>
      <c r="G739" s="83"/>
      <c r="H739" s="84"/>
      <c r="I739" s="84"/>
      <c r="J739" s="84"/>
      <c r="K739" s="84"/>
      <c r="L739" s="84"/>
      <c r="M739" s="84"/>
      <c r="N739" s="84"/>
      <c r="O739" s="84"/>
      <c r="P739" s="85"/>
      <c r="Q739" s="75"/>
      <c r="R739" s="75"/>
      <c r="S739" s="75"/>
      <c r="T739" s="75"/>
      <c r="U739" s="89"/>
      <c r="V739" s="84"/>
      <c r="W739" s="84"/>
      <c r="X739" s="84"/>
      <c r="Y739" s="84"/>
      <c r="Z739" s="84"/>
      <c r="AA739" s="1"/>
      <c r="AB739" s="330"/>
      <c r="AC739" s="321"/>
      <c r="AD739" s="321"/>
    </row>
    <row r="740" spans="1:30" ht="15.75" customHeight="1">
      <c r="A740" s="83"/>
      <c r="B740" s="83"/>
      <c r="C740" s="83"/>
      <c r="D740" s="84"/>
      <c r="E740" s="84"/>
      <c r="F740" s="84"/>
      <c r="G740" s="83"/>
      <c r="H740" s="84"/>
      <c r="I740" s="84"/>
      <c r="J740" s="84"/>
      <c r="K740" s="84"/>
      <c r="L740" s="84"/>
      <c r="M740" s="84"/>
      <c r="N740" s="84"/>
      <c r="O740" s="84"/>
      <c r="P740" s="85"/>
      <c r="Q740" s="75"/>
      <c r="R740" s="75"/>
      <c r="S740" s="75"/>
      <c r="T740" s="75"/>
      <c r="U740" s="89"/>
      <c r="V740" s="84"/>
      <c r="W740" s="84"/>
      <c r="X740" s="84"/>
      <c r="Y740" s="84"/>
      <c r="Z740" s="84"/>
      <c r="AA740" s="1"/>
      <c r="AB740" s="330"/>
      <c r="AC740" s="321"/>
      <c r="AD740" s="321"/>
    </row>
    <row r="741" spans="1:30" ht="15.75" customHeight="1">
      <c r="A741" s="83"/>
      <c r="B741" s="83"/>
      <c r="C741" s="83"/>
      <c r="D741" s="84"/>
      <c r="E741" s="84"/>
      <c r="F741" s="84"/>
      <c r="G741" s="83"/>
      <c r="H741" s="84"/>
      <c r="I741" s="84"/>
      <c r="J741" s="84"/>
      <c r="K741" s="84"/>
      <c r="L741" s="84"/>
      <c r="M741" s="84"/>
      <c r="N741" s="84"/>
      <c r="O741" s="84"/>
      <c r="P741" s="85"/>
      <c r="Q741" s="75"/>
      <c r="R741" s="75"/>
      <c r="S741" s="75"/>
      <c r="T741" s="75"/>
      <c r="U741" s="89"/>
      <c r="V741" s="84"/>
      <c r="W741" s="84"/>
      <c r="X741" s="84"/>
      <c r="Y741" s="84"/>
      <c r="Z741" s="84"/>
      <c r="AA741" s="1"/>
      <c r="AB741" s="330"/>
      <c r="AC741" s="321"/>
      <c r="AD741" s="321"/>
    </row>
    <row r="742" spans="1:30" ht="15.75" customHeight="1">
      <c r="A742" s="83"/>
      <c r="B742" s="83"/>
      <c r="C742" s="83"/>
      <c r="D742" s="84"/>
      <c r="E742" s="84"/>
      <c r="F742" s="84"/>
      <c r="G742" s="83"/>
      <c r="H742" s="84"/>
      <c r="I742" s="84"/>
      <c r="J742" s="84"/>
      <c r="K742" s="84"/>
      <c r="L742" s="84"/>
      <c r="M742" s="84"/>
      <c r="N742" s="84"/>
      <c r="O742" s="84"/>
      <c r="P742" s="85"/>
      <c r="Q742" s="75"/>
      <c r="R742" s="75"/>
      <c r="S742" s="75"/>
      <c r="T742" s="75"/>
      <c r="U742" s="89"/>
      <c r="V742" s="84"/>
      <c r="W742" s="84"/>
      <c r="X742" s="84"/>
      <c r="Y742" s="84"/>
      <c r="Z742" s="84"/>
      <c r="AA742" s="1"/>
      <c r="AB742" s="330"/>
      <c r="AC742" s="321"/>
      <c r="AD742" s="321"/>
    </row>
    <row r="743" spans="1:30" ht="15.75" customHeight="1">
      <c r="A743" s="83"/>
      <c r="B743" s="83"/>
      <c r="C743" s="83"/>
      <c r="D743" s="84"/>
      <c r="E743" s="84"/>
      <c r="F743" s="84"/>
      <c r="G743" s="83"/>
      <c r="H743" s="84"/>
      <c r="I743" s="84"/>
      <c r="J743" s="84"/>
      <c r="K743" s="84"/>
      <c r="L743" s="84"/>
      <c r="M743" s="84"/>
      <c r="N743" s="84"/>
      <c r="O743" s="84"/>
      <c r="P743" s="85"/>
      <c r="Q743" s="75"/>
      <c r="R743" s="75"/>
      <c r="S743" s="75"/>
      <c r="T743" s="75"/>
      <c r="U743" s="89"/>
      <c r="V743" s="84"/>
      <c r="W743" s="84"/>
      <c r="X743" s="84"/>
      <c r="Y743" s="84"/>
      <c r="Z743" s="84"/>
      <c r="AA743" s="1"/>
      <c r="AB743" s="330"/>
      <c r="AC743" s="321"/>
      <c r="AD743" s="321"/>
    </row>
    <row r="744" spans="1:30" ht="15.75" customHeight="1">
      <c r="A744" s="83"/>
      <c r="B744" s="83"/>
      <c r="C744" s="83"/>
      <c r="D744" s="84"/>
      <c r="E744" s="84"/>
      <c r="F744" s="84"/>
      <c r="G744" s="83"/>
      <c r="H744" s="84"/>
      <c r="I744" s="84"/>
      <c r="J744" s="84"/>
      <c r="K744" s="84"/>
      <c r="L744" s="84"/>
      <c r="M744" s="84"/>
      <c r="N744" s="84"/>
      <c r="O744" s="84"/>
      <c r="P744" s="85"/>
      <c r="Q744" s="75"/>
      <c r="R744" s="75"/>
      <c r="S744" s="75"/>
      <c r="T744" s="75"/>
      <c r="U744" s="89"/>
      <c r="V744" s="84"/>
      <c r="W744" s="84"/>
      <c r="X744" s="84"/>
      <c r="Y744" s="84"/>
      <c r="Z744" s="84"/>
      <c r="AA744" s="1"/>
      <c r="AB744" s="330"/>
      <c r="AC744" s="321"/>
      <c r="AD744" s="321"/>
    </row>
    <row r="745" spans="1:30" ht="15.75" customHeight="1">
      <c r="A745" s="83"/>
      <c r="B745" s="83"/>
      <c r="C745" s="83"/>
      <c r="D745" s="84"/>
      <c r="E745" s="84"/>
      <c r="F745" s="84"/>
      <c r="G745" s="83"/>
      <c r="H745" s="84"/>
      <c r="I745" s="84"/>
      <c r="J745" s="84"/>
      <c r="K745" s="84"/>
      <c r="L745" s="84"/>
      <c r="M745" s="84"/>
      <c r="N745" s="84"/>
      <c r="O745" s="84"/>
      <c r="P745" s="85"/>
      <c r="Q745" s="75"/>
      <c r="R745" s="75"/>
      <c r="S745" s="75"/>
      <c r="T745" s="75"/>
      <c r="U745" s="89"/>
      <c r="V745" s="84"/>
      <c r="W745" s="84"/>
      <c r="X745" s="84"/>
      <c r="Y745" s="84"/>
      <c r="Z745" s="84"/>
      <c r="AA745" s="1"/>
      <c r="AB745" s="330"/>
      <c r="AC745" s="321"/>
      <c r="AD745" s="321"/>
    </row>
    <row r="746" spans="1:30" ht="15.75" customHeight="1">
      <c r="A746" s="83"/>
      <c r="B746" s="83"/>
      <c r="C746" s="83"/>
      <c r="D746" s="84"/>
      <c r="E746" s="84"/>
      <c r="F746" s="84"/>
      <c r="G746" s="83"/>
      <c r="H746" s="84"/>
      <c r="I746" s="84"/>
      <c r="J746" s="84"/>
      <c r="K746" s="84"/>
      <c r="L746" s="84"/>
      <c r="M746" s="84"/>
      <c r="N746" s="84"/>
      <c r="O746" s="84"/>
      <c r="P746" s="85"/>
      <c r="Q746" s="75"/>
      <c r="R746" s="75"/>
      <c r="S746" s="75"/>
      <c r="T746" s="75"/>
      <c r="U746" s="89"/>
      <c r="V746" s="84"/>
      <c r="W746" s="84"/>
      <c r="X746" s="84"/>
      <c r="Y746" s="84"/>
      <c r="Z746" s="84"/>
      <c r="AA746" s="1"/>
      <c r="AB746" s="330"/>
      <c r="AC746" s="321"/>
      <c r="AD746" s="321"/>
    </row>
    <row r="747" spans="1:30" ht="15.75" customHeight="1">
      <c r="A747" s="83"/>
      <c r="B747" s="83"/>
      <c r="C747" s="83"/>
      <c r="D747" s="84"/>
      <c r="E747" s="84"/>
      <c r="F747" s="84"/>
      <c r="G747" s="83"/>
      <c r="H747" s="84"/>
      <c r="I747" s="84"/>
      <c r="J747" s="84"/>
      <c r="K747" s="84"/>
      <c r="L747" s="84"/>
      <c r="M747" s="84"/>
      <c r="N747" s="84"/>
      <c r="O747" s="84"/>
      <c r="P747" s="85"/>
      <c r="Q747" s="75"/>
      <c r="R747" s="75"/>
      <c r="S747" s="75"/>
      <c r="T747" s="75"/>
      <c r="U747" s="89"/>
      <c r="V747" s="84"/>
      <c r="W747" s="84"/>
      <c r="X747" s="84"/>
      <c r="Y747" s="84"/>
      <c r="Z747" s="84"/>
      <c r="AA747" s="1"/>
      <c r="AB747" s="330"/>
      <c r="AC747" s="321"/>
      <c r="AD747" s="321"/>
    </row>
    <row r="748" spans="1:30" ht="15.75" customHeight="1">
      <c r="A748" s="83"/>
      <c r="B748" s="83"/>
      <c r="C748" s="83"/>
      <c r="D748" s="84"/>
      <c r="E748" s="84"/>
      <c r="F748" s="84"/>
      <c r="G748" s="83"/>
      <c r="H748" s="84"/>
      <c r="I748" s="84"/>
      <c r="J748" s="84"/>
      <c r="K748" s="84"/>
      <c r="L748" s="84"/>
      <c r="M748" s="84"/>
      <c r="N748" s="84"/>
      <c r="O748" s="84"/>
      <c r="P748" s="85"/>
      <c r="Q748" s="75"/>
      <c r="R748" s="75"/>
      <c r="S748" s="75"/>
      <c r="T748" s="75"/>
      <c r="U748" s="89"/>
      <c r="V748" s="84"/>
      <c r="W748" s="84"/>
      <c r="X748" s="84"/>
      <c r="Y748" s="84"/>
      <c r="Z748" s="84"/>
      <c r="AA748" s="1"/>
      <c r="AB748" s="330"/>
      <c r="AC748" s="321"/>
      <c r="AD748" s="321"/>
    </row>
    <row r="749" spans="1:30" ht="15.75" customHeight="1">
      <c r="A749" s="83"/>
      <c r="B749" s="83"/>
      <c r="C749" s="83"/>
      <c r="D749" s="84"/>
      <c r="E749" s="84"/>
      <c r="F749" s="84"/>
      <c r="G749" s="83"/>
      <c r="H749" s="84"/>
      <c r="I749" s="84"/>
      <c r="J749" s="84"/>
      <c r="K749" s="84"/>
      <c r="L749" s="84"/>
      <c r="M749" s="84"/>
      <c r="N749" s="84"/>
      <c r="O749" s="84"/>
      <c r="P749" s="85"/>
      <c r="Q749" s="75"/>
      <c r="R749" s="75"/>
      <c r="S749" s="75"/>
      <c r="T749" s="75"/>
      <c r="U749" s="89"/>
      <c r="V749" s="84"/>
      <c r="W749" s="84"/>
      <c r="X749" s="84"/>
      <c r="Y749" s="84"/>
      <c r="Z749" s="84"/>
      <c r="AA749" s="1"/>
      <c r="AB749" s="330"/>
      <c r="AC749" s="321"/>
      <c r="AD749" s="321"/>
    </row>
    <row r="750" spans="1:30" ht="15.75" customHeight="1">
      <c r="A750" s="83"/>
      <c r="B750" s="83"/>
      <c r="C750" s="83"/>
      <c r="D750" s="84"/>
      <c r="E750" s="84"/>
      <c r="F750" s="84"/>
      <c r="G750" s="83"/>
      <c r="H750" s="84"/>
      <c r="I750" s="84"/>
      <c r="J750" s="84"/>
      <c r="K750" s="84"/>
      <c r="L750" s="84"/>
      <c r="M750" s="84"/>
      <c r="N750" s="84"/>
      <c r="O750" s="84"/>
      <c r="P750" s="85"/>
      <c r="Q750" s="75"/>
      <c r="R750" s="75"/>
      <c r="S750" s="75"/>
      <c r="T750" s="75"/>
      <c r="U750" s="89"/>
      <c r="V750" s="84"/>
      <c r="W750" s="84"/>
      <c r="X750" s="84"/>
      <c r="Y750" s="84"/>
      <c r="Z750" s="84"/>
      <c r="AA750" s="1"/>
      <c r="AB750" s="330"/>
      <c r="AC750" s="321"/>
      <c r="AD750" s="321"/>
    </row>
    <row r="751" spans="1:30" ht="15.75" customHeight="1">
      <c r="A751" s="83"/>
      <c r="B751" s="83"/>
      <c r="C751" s="83"/>
      <c r="D751" s="84"/>
      <c r="E751" s="84"/>
      <c r="F751" s="84"/>
      <c r="G751" s="83"/>
      <c r="H751" s="84"/>
      <c r="I751" s="84"/>
      <c r="J751" s="84"/>
      <c r="K751" s="84"/>
      <c r="L751" s="84"/>
      <c r="M751" s="84"/>
      <c r="N751" s="84"/>
      <c r="O751" s="84"/>
      <c r="P751" s="85"/>
      <c r="Q751" s="75"/>
      <c r="R751" s="75"/>
      <c r="S751" s="75"/>
      <c r="T751" s="75"/>
      <c r="U751" s="89"/>
      <c r="V751" s="84"/>
      <c r="W751" s="84"/>
      <c r="X751" s="84"/>
      <c r="Y751" s="84"/>
      <c r="Z751" s="84"/>
      <c r="AA751" s="1"/>
      <c r="AB751" s="330"/>
      <c r="AC751" s="321"/>
      <c r="AD751" s="321"/>
    </row>
    <row r="752" spans="1:30" ht="15.75" customHeight="1">
      <c r="A752" s="83"/>
      <c r="B752" s="83"/>
      <c r="C752" s="83"/>
      <c r="D752" s="84"/>
      <c r="E752" s="84"/>
      <c r="F752" s="84"/>
      <c r="G752" s="83"/>
      <c r="H752" s="84"/>
      <c r="I752" s="84"/>
      <c r="J752" s="84"/>
      <c r="K752" s="84"/>
      <c r="L752" s="84"/>
      <c r="M752" s="84"/>
      <c r="N752" s="84"/>
      <c r="O752" s="84"/>
      <c r="P752" s="85"/>
      <c r="Q752" s="75"/>
      <c r="R752" s="75"/>
      <c r="S752" s="75"/>
      <c r="T752" s="75"/>
      <c r="U752" s="89"/>
      <c r="V752" s="84"/>
      <c r="W752" s="84"/>
      <c r="X752" s="84"/>
      <c r="Y752" s="84"/>
      <c r="Z752" s="84"/>
      <c r="AA752" s="1"/>
      <c r="AB752" s="330"/>
      <c r="AC752" s="321"/>
      <c r="AD752" s="321"/>
    </row>
    <row r="753" spans="1:30" ht="15.75" customHeight="1">
      <c r="A753" s="83"/>
      <c r="B753" s="83"/>
      <c r="C753" s="83"/>
      <c r="D753" s="84"/>
      <c r="E753" s="84"/>
      <c r="F753" s="84"/>
      <c r="G753" s="83"/>
      <c r="H753" s="84"/>
      <c r="I753" s="84"/>
      <c r="J753" s="84"/>
      <c r="K753" s="84"/>
      <c r="L753" s="84"/>
      <c r="M753" s="84"/>
      <c r="N753" s="84"/>
      <c r="O753" s="84"/>
      <c r="P753" s="85"/>
      <c r="Q753" s="75"/>
      <c r="R753" s="75"/>
      <c r="S753" s="75"/>
      <c r="T753" s="75"/>
      <c r="U753" s="89"/>
      <c r="V753" s="84"/>
      <c r="W753" s="84"/>
      <c r="X753" s="84"/>
      <c r="Y753" s="84"/>
      <c r="Z753" s="84"/>
      <c r="AA753" s="1"/>
      <c r="AB753" s="330"/>
      <c r="AC753" s="321"/>
      <c r="AD753" s="321"/>
    </row>
    <row r="754" spans="1:30" ht="15.75" customHeight="1">
      <c r="A754" s="83"/>
      <c r="B754" s="83"/>
      <c r="C754" s="83"/>
      <c r="D754" s="84"/>
      <c r="E754" s="84"/>
      <c r="F754" s="84"/>
      <c r="G754" s="83"/>
      <c r="H754" s="84"/>
      <c r="I754" s="84"/>
      <c r="J754" s="84"/>
      <c r="K754" s="84"/>
      <c r="L754" s="84"/>
      <c r="M754" s="84"/>
      <c r="N754" s="84"/>
      <c r="O754" s="84"/>
      <c r="P754" s="85"/>
      <c r="Q754" s="75"/>
      <c r="R754" s="75"/>
      <c r="S754" s="75"/>
      <c r="T754" s="75"/>
      <c r="U754" s="89"/>
      <c r="V754" s="84"/>
      <c r="W754" s="84"/>
      <c r="X754" s="84"/>
      <c r="Y754" s="84"/>
      <c r="Z754" s="84"/>
      <c r="AA754" s="1"/>
      <c r="AB754" s="330"/>
      <c r="AC754" s="321"/>
      <c r="AD754" s="321"/>
    </row>
    <row r="755" spans="1:30" ht="15.75" customHeight="1">
      <c r="A755" s="83"/>
      <c r="B755" s="83"/>
      <c r="C755" s="83"/>
      <c r="D755" s="84"/>
      <c r="E755" s="84"/>
      <c r="F755" s="84"/>
      <c r="G755" s="83"/>
      <c r="H755" s="84"/>
      <c r="I755" s="84"/>
      <c r="J755" s="84"/>
      <c r="K755" s="84"/>
      <c r="L755" s="84"/>
      <c r="M755" s="84"/>
      <c r="N755" s="84"/>
      <c r="O755" s="84"/>
      <c r="P755" s="85"/>
      <c r="Q755" s="75"/>
      <c r="R755" s="75"/>
      <c r="S755" s="75"/>
      <c r="T755" s="75"/>
      <c r="U755" s="89"/>
      <c r="V755" s="84"/>
      <c r="W755" s="84"/>
      <c r="X755" s="84"/>
      <c r="Y755" s="84"/>
      <c r="Z755" s="84"/>
      <c r="AA755" s="1"/>
      <c r="AB755" s="330"/>
      <c r="AC755" s="321"/>
      <c r="AD755" s="321"/>
    </row>
    <row r="756" spans="1:30" ht="15.75" customHeight="1">
      <c r="A756" s="83"/>
      <c r="B756" s="83"/>
      <c r="C756" s="83"/>
      <c r="D756" s="84"/>
      <c r="E756" s="84"/>
      <c r="F756" s="84"/>
      <c r="G756" s="83"/>
      <c r="H756" s="84"/>
      <c r="I756" s="84"/>
      <c r="J756" s="84"/>
      <c r="K756" s="84"/>
      <c r="L756" s="84"/>
      <c r="M756" s="84"/>
      <c r="N756" s="84"/>
      <c r="O756" s="84"/>
      <c r="P756" s="85"/>
      <c r="Q756" s="75"/>
      <c r="R756" s="75"/>
      <c r="S756" s="75"/>
      <c r="T756" s="75"/>
      <c r="U756" s="89"/>
      <c r="V756" s="84"/>
      <c r="W756" s="84"/>
      <c r="X756" s="84"/>
      <c r="Y756" s="84"/>
      <c r="Z756" s="84"/>
      <c r="AA756" s="1"/>
      <c r="AB756" s="330"/>
      <c r="AC756" s="321"/>
      <c r="AD756" s="321"/>
    </row>
    <row r="757" spans="1:30" ht="15.75" customHeight="1">
      <c r="A757" s="83"/>
      <c r="B757" s="83"/>
      <c r="C757" s="83"/>
      <c r="D757" s="84"/>
      <c r="E757" s="84"/>
      <c r="F757" s="84"/>
      <c r="G757" s="83"/>
      <c r="H757" s="84"/>
      <c r="I757" s="84"/>
      <c r="J757" s="84"/>
      <c r="K757" s="84"/>
      <c r="L757" s="84"/>
      <c r="M757" s="84"/>
      <c r="N757" s="84"/>
      <c r="O757" s="84"/>
      <c r="P757" s="85"/>
      <c r="Q757" s="75"/>
      <c r="R757" s="75"/>
      <c r="S757" s="75"/>
      <c r="T757" s="75"/>
      <c r="U757" s="89"/>
      <c r="V757" s="84"/>
      <c r="W757" s="84"/>
      <c r="X757" s="84"/>
      <c r="Y757" s="84"/>
      <c r="Z757" s="84"/>
      <c r="AA757" s="1"/>
      <c r="AB757" s="330"/>
      <c r="AC757" s="321"/>
      <c r="AD757" s="321"/>
    </row>
    <row r="758" spans="1:30" ht="15.75" customHeight="1">
      <c r="A758" s="83"/>
      <c r="B758" s="83"/>
      <c r="C758" s="83"/>
      <c r="D758" s="84"/>
      <c r="E758" s="84"/>
      <c r="F758" s="84"/>
      <c r="G758" s="83"/>
      <c r="H758" s="84"/>
      <c r="I758" s="84"/>
      <c r="J758" s="84"/>
      <c r="K758" s="84"/>
      <c r="L758" s="84"/>
      <c r="M758" s="84"/>
      <c r="N758" s="84"/>
      <c r="O758" s="84"/>
      <c r="P758" s="85"/>
      <c r="Q758" s="75"/>
      <c r="R758" s="75"/>
      <c r="S758" s="75"/>
      <c r="T758" s="75"/>
      <c r="U758" s="89"/>
      <c r="V758" s="84"/>
      <c r="W758" s="84"/>
      <c r="X758" s="84"/>
      <c r="Y758" s="84"/>
      <c r="Z758" s="84"/>
      <c r="AA758" s="1"/>
      <c r="AB758" s="330"/>
      <c r="AC758" s="321"/>
      <c r="AD758" s="321"/>
    </row>
    <row r="759" spans="1:30" ht="15.75" customHeight="1">
      <c r="A759" s="83"/>
      <c r="B759" s="83"/>
      <c r="C759" s="83"/>
      <c r="D759" s="84"/>
      <c r="E759" s="84"/>
      <c r="F759" s="84"/>
      <c r="G759" s="83"/>
      <c r="H759" s="84"/>
      <c r="I759" s="84"/>
      <c r="J759" s="84"/>
      <c r="K759" s="84"/>
      <c r="L759" s="84"/>
      <c r="M759" s="84"/>
      <c r="N759" s="84"/>
      <c r="O759" s="84"/>
      <c r="P759" s="85"/>
      <c r="Q759" s="75"/>
      <c r="R759" s="75"/>
      <c r="S759" s="75"/>
      <c r="T759" s="75"/>
      <c r="U759" s="89"/>
      <c r="V759" s="84"/>
      <c r="W759" s="84"/>
      <c r="X759" s="84"/>
      <c r="Y759" s="84"/>
      <c r="Z759" s="84"/>
      <c r="AA759" s="1"/>
      <c r="AB759" s="330"/>
      <c r="AC759" s="321"/>
      <c r="AD759" s="321"/>
    </row>
    <row r="760" spans="1:30" ht="15.75" customHeight="1">
      <c r="A760" s="83"/>
      <c r="B760" s="83"/>
      <c r="C760" s="83"/>
      <c r="D760" s="84"/>
      <c r="E760" s="84"/>
      <c r="F760" s="84"/>
      <c r="G760" s="83"/>
      <c r="H760" s="84"/>
      <c r="I760" s="84"/>
      <c r="J760" s="84"/>
      <c r="K760" s="84"/>
      <c r="L760" s="84"/>
      <c r="M760" s="84"/>
      <c r="N760" s="84"/>
      <c r="O760" s="84"/>
      <c r="P760" s="85"/>
      <c r="Q760" s="75"/>
      <c r="R760" s="75"/>
      <c r="S760" s="75"/>
      <c r="T760" s="75"/>
      <c r="U760" s="89"/>
      <c r="V760" s="84"/>
      <c r="W760" s="84"/>
      <c r="X760" s="84"/>
      <c r="Y760" s="84"/>
      <c r="Z760" s="84"/>
      <c r="AA760" s="1"/>
      <c r="AB760" s="330"/>
      <c r="AC760" s="321"/>
      <c r="AD760" s="321"/>
    </row>
    <row r="761" spans="1:30" ht="15.75" customHeight="1">
      <c r="A761" s="83"/>
      <c r="B761" s="83"/>
      <c r="C761" s="83"/>
      <c r="D761" s="84"/>
      <c r="E761" s="84"/>
      <c r="F761" s="84"/>
      <c r="G761" s="83"/>
      <c r="H761" s="84"/>
      <c r="I761" s="84"/>
      <c r="J761" s="84"/>
      <c r="K761" s="84"/>
      <c r="L761" s="84"/>
      <c r="M761" s="84"/>
      <c r="N761" s="84"/>
      <c r="O761" s="84"/>
      <c r="P761" s="85"/>
      <c r="Q761" s="75"/>
      <c r="R761" s="75"/>
      <c r="S761" s="75"/>
      <c r="T761" s="75"/>
      <c r="U761" s="89"/>
      <c r="V761" s="84"/>
      <c r="W761" s="84"/>
      <c r="X761" s="84"/>
      <c r="Y761" s="84"/>
      <c r="Z761" s="84"/>
      <c r="AA761" s="1"/>
      <c r="AB761" s="330"/>
      <c r="AC761" s="321"/>
      <c r="AD761" s="321"/>
    </row>
    <row r="762" spans="1:30" ht="15.75" customHeight="1">
      <c r="A762" s="83"/>
      <c r="B762" s="83"/>
      <c r="C762" s="83"/>
      <c r="D762" s="84"/>
      <c r="E762" s="84"/>
      <c r="F762" s="84"/>
      <c r="G762" s="83"/>
      <c r="H762" s="84"/>
      <c r="I762" s="84"/>
      <c r="J762" s="84"/>
      <c r="K762" s="84"/>
      <c r="L762" s="84"/>
      <c r="M762" s="84"/>
      <c r="N762" s="84"/>
      <c r="O762" s="84"/>
      <c r="P762" s="85"/>
      <c r="Q762" s="75"/>
      <c r="R762" s="75"/>
      <c r="S762" s="75"/>
      <c r="T762" s="75"/>
      <c r="U762" s="89"/>
      <c r="V762" s="84"/>
      <c r="W762" s="84"/>
      <c r="X762" s="84"/>
      <c r="Y762" s="84"/>
      <c r="Z762" s="84"/>
      <c r="AA762" s="1"/>
      <c r="AB762" s="330"/>
      <c r="AC762" s="321"/>
      <c r="AD762" s="321"/>
    </row>
    <row r="763" spans="1:30" ht="15.75" customHeight="1">
      <c r="A763" s="83"/>
      <c r="B763" s="83"/>
      <c r="C763" s="83"/>
      <c r="D763" s="84"/>
      <c r="E763" s="84"/>
      <c r="F763" s="84"/>
      <c r="G763" s="83"/>
      <c r="H763" s="84"/>
      <c r="I763" s="84"/>
      <c r="J763" s="84"/>
      <c r="K763" s="84"/>
      <c r="L763" s="84"/>
      <c r="M763" s="84"/>
      <c r="N763" s="84"/>
      <c r="O763" s="84"/>
      <c r="P763" s="85"/>
      <c r="Q763" s="75"/>
      <c r="R763" s="75"/>
      <c r="S763" s="75"/>
      <c r="T763" s="75"/>
      <c r="U763" s="89"/>
      <c r="V763" s="84"/>
      <c r="W763" s="84"/>
      <c r="X763" s="84"/>
      <c r="Y763" s="84"/>
      <c r="Z763" s="84"/>
      <c r="AA763" s="1"/>
      <c r="AB763" s="330"/>
      <c r="AC763" s="321"/>
      <c r="AD763" s="321"/>
    </row>
    <row r="764" spans="1:30" ht="15.75" customHeight="1">
      <c r="A764" s="83"/>
      <c r="B764" s="83"/>
      <c r="C764" s="83"/>
      <c r="D764" s="84"/>
      <c r="E764" s="84"/>
      <c r="F764" s="84"/>
      <c r="G764" s="83"/>
      <c r="H764" s="84"/>
      <c r="I764" s="84"/>
      <c r="J764" s="84"/>
      <c r="K764" s="84"/>
      <c r="L764" s="84"/>
      <c r="M764" s="84"/>
      <c r="N764" s="84"/>
      <c r="O764" s="84"/>
      <c r="P764" s="85"/>
      <c r="Q764" s="75"/>
      <c r="R764" s="75"/>
      <c r="S764" s="75"/>
      <c r="T764" s="75"/>
      <c r="U764" s="89"/>
      <c r="V764" s="84"/>
      <c r="W764" s="84"/>
      <c r="X764" s="84"/>
      <c r="Y764" s="84"/>
      <c r="Z764" s="84"/>
      <c r="AA764" s="1"/>
      <c r="AB764" s="330"/>
      <c r="AC764" s="321"/>
      <c r="AD764" s="321"/>
    </row>
    <row r="765" spans="1:30" ht="15.75" customHeight="1">
      <c r="A765" s="83"/>
      <c r="B765" s="83"/>
      <c r="C765" s="83"/>
      <c r="D765" s="84"/>
      <c r="E765" s="84"/>
      <c r="F765" s="84"/>
      <c r="G765" s="83"/>
      <c r="H765" s="84"/>
      <c r="I765" s="84"/>
      <c r="J765" s="84"/>
      <c r="K765" s="84"/>
      <c r="L765" s="84"/>
      <c r="M765" s="84"/>
      <c r="N765" s="84"/>
      <c r="O765" s="84"/>
      <c r="P765" s="85"/>
      <c r="Q765" s="75"/>
      <c r="R765" s="75"/>
      <c r="S765" s="75"/>
      <c r="T765" s="75"/>
      <c r="U765" s="89"/>
      <c r="V765" s="84"/>
      <c r="W765" s="84"/>
      <c r="X765" s="84"/>
      <c r="Y765" s="84"/>
      <c r="Z765" s="84"/>
      <c r="AA765" s="1"/>
      <c r="AB765" s="330"/>
      <c r="AC765" s="321"/>
      <c r="AD765" s="321"/>
    </row>
    <row r="766" spans="1:30" ht="15.75" customHeight="1">
      <c r="A766" s="83"/>
      <c r="B766" s="83"/>
      <c r="C766" s="83"/>
      <c r="D766" s="84"/>
      <c r="E766" s="84"/>
      <c r="F766" s="84"/>
      <c r="G766" s="83"/>
      <c r="H766" s="84"/>
      <c r="I766" s="84"/>
      <c r="J766" s="84"/>
      <c r="K766" s="84"/>
      <c r="L766" s="84"/>
      <c r="M766" s="84"/>
      <c r="N766" s="84"/>
      <c r="O766" s="84"/>
      <c r="P766" s="85"/>
      <c r="Q766" s="75"/>
      <c r="R766" s="75"/>
      <c r="S766" s="75"/>
      <c r="T766" s="75"/>
      <c r="U766" s="89"/>
      <c r="V766" s="84"/>
      <c r="W766" s="84"/>
      <c r="X766" s="84"/>
      <c r="Y766" s="84"/>
      <c r="Z766" s="84"/>
      <c r="AA766" s="1"/>
      <c r="AB766" s="330"/>
      <c r="AC766" s="321"/>
      <c r="AD766" s="321"/>
    </row>
    <row r="767" spans="1:30" ht="15.75" customHeight="1">
      <c r="A767" s="83"/>
      <c r="B767" s="83"/>
      <c r="C767" s="83"/>
      <c r="D767" s="84"/>
      <c r="E767" s="84"/>
      <c r="F767" s="84"/>
      <c r="G767" s="83"/>
      <c r="H767" s="84"/>
      <c r="I767" s="84"/>
      <c r="J767" s="84"/>
      <c r="K767" s="84"/>
      <c r="L767" s="84"/>
      <c r="M767" s="84"/>
      <c r="N767" s="84"/>
      <c r="O767" s="84"/>
      <c r="P767" s="85"/>
      <c r="Q767" s="75"/>
      <c r="R767" s="75"/>
      <c r="S767" s="75"/>
      <c r="T767" s="75"/>
      <c r="U767" s="89"/>
      <c r="V767" s="84"/>
      <c r="W767" s="84"/>
      <c r="X767" s="84"/>
      <c r="Y767" s="84"/>
      <c r="Z767" s="84"/>
      <c r="AA767" s="1"/>
      <c r="AB767" s="330"/>
      <c r="AC767" s="321"/>
      <c r="AD767" s="321"/>
    </row>
    <row r="768" spans="1:30" ht="15.75" customHeight="1">
      <c r="A768" s="83"/>
      <c r="B768" s="83"/>
      <c r="C768" s="83"/>
      <c r="D768" s="84"/>
      <c r="E768" s="84"/>
      <c r="F768" s="84"/>
      <c r="G768" s="83"/>
      <c r="H768" s="84"/>
      <c r="I768" s="84"/>
      <c r="J768" s="84"/>
      <c r="K768" s="84"/>
      <c r="L768" s="84"/>
      <c r="M768" s="84"/>
      <c r="N768" s="84"/>
      <c r="O768" s="84"/>
      <c r="P768" s="85"/>
      <c r="Q768" s="75"/>
      <c r="R768" s="75"/>
      <c r="S768" s="75"/>
      <c r="T768" s="75"/>
      <c r="U768" s="89"/>
      <c r="V768" s="84"/>
      <c r="W768" s="84"/>
      <c r="X768" s="84"/>
      <c r="Y768" s="84"/>
      <c r="Z768" s="84"/>
      <c r="AA768" s="1"/>
      <c r="AB768" s="330"/>
      <c r="AC768" s="321"/>
      <c r="AD768" s="321"/>
    </row>
    <row r="769" spans="1:30" ht="15.75" customHeight="1">
      <c r="A769" s="83"/>
      <c r="B769" s="83"/>
      <c r="C769" s="83"/>
      <c r="D769" s="84"/>
      <c r="E769" s="84"/>
      <c r="F769" s="84"/>
      <c r="G769" s="83"/>
      <c r="H769" s="84"/>
      <c r="I769" s="84"/>
      <c r="J769" s="84"/>
      <c r="K769" s="84"/>
      <c r="L769" s="84"/>
      <c r="M769" s="84"/>
      <c r="N769" s="84"/>
      <c r="O769" s="84"/>
      <c r="P769" s="85"/>
      <c r="Q769" s="75"/>
      <c r="R769" s="75"/>
      <c r="S769" s="75"/>
      <c r="T769" s="75"/>
      <c r="U769" s="89"/>
      <c r="V769" s="84"/>
      <c r="W769" s="84"/>
      <c r="X769" s="84"/>
      <c r="Y769" s="84"/>
      <c r="Z769" s="84"/>
      <c r="AA769" s="1"/>
      <c r="AB769" s="330"/>
      <c r="AC769" s="321"/>
      <c r="AD769" s="321"/>
    </row>
    <row r="770" spans="1:30" ht="15.75" customHeight="1">
      <c r="A770" s="83"/>
      <c r="B770" s="83"/>
      <c r="C770" s="83"/>
      <c r="D770" s="84"/>
      <c r="E770" s="84"/>
      <c r="F770" s="84"/>
      <c r="G770" s="83"/>
      <c r="H770" s="84"/>
      <c r="I770" s="84"/>
      <c r="J770" s="84"/>
      <c r="K770" s="84"/>
      <c r="L770" s="84"/>
      <c r="M770" s="84"/>
      <c r="N770" s="84"/>
      <c r="O770" s="84"/>
      <c r="P770" s="85"/>
      <c r="Q770" s="75"/>
      <c r="R770" s="75"/>
      <c r="S770" s="75"/>
      <c r="T770" s="75"/>
      <c r="U770" s="89"/>
      <c r="V770" s="84"/>
      <c r="W770" s="84"/>
      <c r="X770" s="84"/>
      <c r="Y770" s="84"/>
      <c r="Z770" s="84"/>
      <c r="AA770" s="1"/>
      <c r="AB770" s="330"/>
      <c r="AC770" s="321"/>
      <c r="AD770" s="321"/>
    </row>
    <row r="771" spans="1:30" ht="15.75" customHeight="1">
      <c r="A771" s="83"/>
      <c r="B771" s="83"/>
      <c r="C771" s="83"/>
      <c r="D771" s="84"/>
      <c r="E771" s="84"/>
      <c r="F771" s="84"/>
      <c r="G771" s="83"/>
      <c r="H771" s="84"/>
      <c r="I771" s="84"/>
      <c r="J771" s="84"/>
      <c r="K771" s="84"/>
      <c r="L771" s="84"/>
      <c r="M771" s="84"/>
      <c r="N771" s="84"/>
      <c r="O771" s="84"/>
      <c r="P771" s="85"/>
      <c r="Q771" s="75"/>
      <c r="R771" s="75"/>
      <c r="S771" s="75"/>
      <c r="T771" s="75"/>
      <c r="U771" s="89"/>
      <c r="V771" s="84"/>
      <c r="W771" s="84"/>
      <c r="X771" s="84"/>
      <c r="Y771" s="84"/>
      <c r="Z771" s="84"/>
      <c r="AA771" s="1"/>
      <c r="AB771" s="330"/>
      <c r="AC771" s="321"/>
      <c r="AD771" s="321"/>
    </row>
    <row r="772" spans="1:30" ht="15.75" customHeight="1">
      <c r="A772" s="83"/>
      <c r="B772" s="83"/>
      <c r="C772" s="83"/>
      <c r="D772" s="84"/>
      <c r="E772" s="84"/>
      <c r="F772" s="84"/>
      <c r="G772" s="83"/>
      <c r="H772" s="84"/>
      <c r="I772" s="84"/>
      <c r="J772" s="84"/>
      <c r="K772" s="84"/>
      <c r="L772" s="84"/>
      <c r="M772" s="84"/>
      <c r="N772" s="84"/>
      <c r="O772" s="84"/>
      <c r="P772" s="85"/>
      <c r="Q772" s="75"/>
      <c r="R772" s="75"/>
      <c r="S772" s="75"/>
      <c r="T772" s="75"/>
      <c r="U772" s="89"/>
      <c r="V772" s="84"/>
      <c r="W772" s="84"/>
      <c r="X772" s="84"/>
      <c r="Y772" s="84"/>
      <c r="Z772" s="84"/>
      <c r="AA772" s="1"/>
      <c r="AB772" s="330"/>
      <c r="AC772" s="321"/>
      <c r="AD772" s="321"/>
    </row>
    <row r="773" spans="1:30" ht="15.75" customHeight="1">
      <c r="A773" s="83"/>
      <c r="B773" s="83"/>
      <c r="C773" s="83"/>
      <c r="D773" s="84"/>
      <c r="E773" s="84"/>
      <c r="F773" s="84"/>
      <c r="G773" s="83"/>
      <c r="H773" s="84"/>
      <c r="I773" s="84"/>
      <c r="J773" s="84"/>
      <c r="K773" s="84"/>
      <c r="L773" s="84"/>
      <c r="M773" s="84"/>
      <c r="N773" s="84"/>
      <c r="O773" s="84"/>
      <c r="P773" s="85"/>
      <c r="Q773" s="75"/>
      <c r="R773" s="75"/>
      <c r="S773" s="75"/>
      <c r="T773" s="75"/>
      <c r="U773" s="89"/>
      <c r="V773" s="84"/>
      <c r="W773" s="84"/>
      <c r="X773" s="84"/>
      <c r="Y773" s="84"/>
      <c r="Z773" s="84"/>
      <c r="AA773" s="1"/>
      <c r="AB773" s="330"/>
      <c r="AC773" s="321"/>
      <c r="AD773" s="321"/>
    </row>
    <row r="774" spans="1:30" ht="15.75" customHeight="1">
      <c r="A774" s="83"/>
      <c r="B774" s="83"/>
      <c r="C774" s="83"/>
      <c r="D774" s="84"/>
      <c r="E774" s="84"/>
      <c r="F774" s="84"/>
      <c r="G774" s="83"/>
      <c r="H774" s="84"/>
      <c r="I774" s="84"/>
      <c r="J774" s="84"/>
      <c r="K774" s="84"/>
      <c r="L774" s="84"/>
      <c r="M774" s="84"/>
      <c r="N774" s="84"/>
      <c r="O774" s="84"/>
      <c r="P774" s="85"/>
      <c r="Q774" s="75"/>
      <c r="R774" s="75"/>
      <c r="S774" s="75"/>
      <c r="T774" s="75"/>
      <c r="U774" s="89"/>
      <c r="V774" s="84"/>
      <c r="W774" s="84"/>
      <c r="X774" s="84"/>
      <c r="Y774" s="84"/>
      <c r="Z774" s="84"/>
      <c r="AA774" s="1"/>
      <c r="AB774" s="330"/>
      <c r="AC774" s="321"/>
      <c r="AD774" s="321"/>
    </row>
    <row r="775" spans="1:30" ht="15.75" customHeight="1">
      <c r="A775" s="83"/>
      <c r="B775" s="83"/>
      <c r="C775" s="83"/>
      <c r="D775" s="84"/>
      <c r="E775" s="84"/>
      <c r="F775" s="84"/>
      <c r="G775" s="83"/>
      <c r="H775" s="84"/>
      <c r="I775" s="84"/>
      <c r="J775" s="84"/>
      <c r="K775" s="84"/>
      <c r="L775" s="84"/>
      <c r="M775" s="84"/>
      <c r="N775" s="84"/>
      <c r="O775" s="84"/>
      <c r="P775" s="85"/>
      <c r="Q775" s="75"/>
      <c r="R775" s="75"/>
      <c r="S775" s="75"/>
      <c r="T775" s="75"/>
      <c r="U775" s="89"/>
      <c r="V775" s="84"/>
      <c r="W775" s="84"/>
      <c r="X775" s="84"/>
      <c r="Y775" s="84"/>
      <c r="Z775" s="84"/>
      <c r="AA775" s="1"/>
      <c r="AB775" s="330"/>
      <c r="AC775" s="321"/>
      <c r="AD775" s="321"/>
    </row>
    <row r="776" spans="1:30" ht="15.75" customHeight="1">
      <c r="A776" s="83"/>
      <c r="B776" s="83"/>
      <c r="C776" s="83"/>
      <c r="D776" s="84"/>
      <c r="E776" s="84"/>
      <c r="F776" s="84"/>
      <c r="G776" s="83"/>
      <c r="H776" s="84"/>
      <c r="I776" s="84"/>
      <c r="J776" s="84"/>
      <c r="K776" s="84"/>
      <c r="L776" s="84"/>
      <c r="M776" s="84"/>
      <c r="N776" s="84"/>
      <c r="O776" s="84"/>
      <c r="P776" s="85"/>
      <c r="Q776" s="75"/>
      <c r="R776" s="75"/>
      <c r="S776" s="75"/>
      <c r="T776" s="75"/>
      <c r="U776" s="89"/>
      <c r="V776" s="84"/>
      <c r="W776" s="84"/>
      <c r="X776" s="84"/>
      <c r="Y776" s="84"/>
      <c r="Z776" s="84"/>
      <c r="AA776" s="1"/>
      <c r="AB776" s="330"/>
      <c r="AC776" s="321"/>
      <c r="AD776" s="321"/>
    </row>
    <row r="777" spans="1:30" ht="15.75" customHeight="1">
      <c r="A777" s="83"/>
      <c r="B777" s="83"/>
      <c r="C777" s="83"/>
      <c r="D777" s="84"/>
      <c r="E777" s="84"/>
      <c r="F777" s="84"/>
      <c r="G777" s="83"/>
      <c r="H777" s="84"/>
      <c r="I777" s="84"/>
      <c r="J777" s="84"/>
      <c r="K777" s="84"/>
      <c r="L777" s="84"/>
      <c r="M777" s="84"/>
      <c r="N777" s="84"/>
      <c r="O777" s="84"/>
      <c r="P777" s="85"/>
      <c r="Q777" s="75"/>
      <c r="R777" s="75"/>
      <c r="S777" s="75"/>
      <c r="T777" s="75"/>
      <c r="U777" s="89"/>
      <c r="V777" s="84"/>
      <c r="W777" s="84"/>
      <c r="X777" s="84"/>
      <c r="Y777" s="84"/>
      <c r="Z777" s="84"/>
      <c r="AA777" s="1"/>
      <c r="AB777" s="330"/>
      <c r="AC777" s="321"/>
      <c r="AD777" s="321"/>
    </row>
    <row r="778" spans="1:30" ht="15.75" customHeight="1">
      <c r="A778" s="83"/>
      <c r="B778" s="83"/>
      <c r="C778" s="83"/>
      <c r="D778" s="84"/>
      <c r="E778" s="84"/>
      <c r="F778" s="84"/>
      <c r="G778" s="83"/>
      <c r="H778" s="84"/>
      <c r="I778" s="84"/>
      <c r="J778" s="84"/>
      <c r="K778" s="84"/>
      <c r="L778" s="84"/>
      <c r="M778" s="84"/>
      <c r="N778" s="84"/>
      <c r="O778" s="84"/>
      <c r="P778" s="85"/>
      <c r="Q778" s="75"/>
      <c r="R778" s="75"/>
      <c r="S778" s="75"/>
      <c r="T778" s="75"/>
      <c r="U778" s="89"/>
      <c r="V778" s="84"/>
      <c r="W778" s="84"/>
      <c r="X778" s="84"/>
      <c r="Y778" s="84"/>
      <c r="Z778" s="84"/>
      <c r="AA778" s="1"/>
      <c r="AB778" s="330"/>
      <c r="AC778" s="321"/>
      <c r="AD778" s="321"/>
    </row>
    <row r="779" spans="1:30" ht="15.75" customHeight="1">
      <c r="A779" s="83"/>
      <c r="B779" s="83"/>
      <c r="C779" s="83"/>
      <c r="D779" s="84"/>
      <c r="E779" s="84"/>
      <c r="F779" s="84"/>
      <c r="G779" s="83"/>
      <c r="H779" s="84"/>
      <c r="I779" s="84"/>
      <c r="J779" s="84"/>
      <c r="K779" s="84"/>
      <c r="L779" s="84"/>
      <c r="M779" s="84"/>
      <c r="N779" s="84"/>
      <c r="O779" s="84"/>
      <c r="P779" s="85"/>
      <c r="Q779" s="75"/>
      <c r="R779" s="75"/>
      <c r="S779" s="75"/>
      <c r="T779" s="75"/>
      <c r="U779" s="89"/>
      <c r="V779" s="84"/>
      <c r="W779" s="84"/>
      <c r="X779" s="84"/>
      <c r="Y779" s="84"/>
      <c r="Z779" s="84"/>
      <c r="AA779" s="1"/>
      <c r="AB779" s="330"/>
      <c r="AC779" s="321"/>
      <c r="AD779" s="321"/>
    </row>
    <row r="780" spans="1:30" ht="15.75" customHeight="1">
      <c r="A780" s="83"/>
      <c r="B780" s="83"/>
      <c r="C780" s="83"/>
      <c r="D780" s="84"/>
      <c r="E780" s="84"/>
      <c r="F780" s="84"/>
      <c r="G780" s="83"/>
      <c r="H780" s="84"/>
      <c r="I780" s="84"/>
      <c r="J780" s="84"/>
      <c r="K780" s="84"/>
      <c r="L780" s="84"/>
      <c r="M780" s="84"/>
      <c r="N780" s="84"/>
      <c r="O780" s="84"/>
      <c r="P780" s="85"/>
      <c r="Q780" s="75"/>
      <c r="R780" s="75"/>
      <c r="S780" s="75"/>
      <c r="T780" s="75"/>
      <c r="U780" s="89"/>
      <c r="V780" s="84"/>
      <c r="W780" s="84"/>
      <c r="X780" s="84"/>
      <c r="Y780" s="84"/>
      <c r="Z780" s="84"/>
      <c r="AA780" s="1"/>
      <c r="AB780" s="330"/>
      <c r="AC780" s="321"/>
      <c r="AD780" s="321"/>
    </row>
    <row r="781" spans="1:30" ht="15.75" customHeight="1">
      <c r="A781" s="83"/>
      <c r="B781" s="83"/>
      <c r="C781" s="83"/>
      <c r="D781" s="84"/>
      <c r="E781" s="84"/>
      <c r="F781" s="84"/>
      <c r="G781" s="83"/>
      <c r="H781" s="84"/>
      <c r="I781" s="84"/>
      <c r="J781" s="84"/>
      <c r="K781" s="84"/>
      <c r="L781" s="84"/>
      <c r="M781" s="84"/>
      <c r="N781" s="84"/>
      <c r="O781" s="84"/>
      <c r="P781" s="85"/>
      <c r="Q781" s="75"/>
      <c r="R781" s="75"/>
      <c r="S781" s="75"/>
      <c r="T781" s="75"/>
      <c r="U781" s="89"/>
      <c r="V781" s="84"/>
      <c r="W781" s="84"/>
      <c r="X781" s="84"/>
      <c r="Y781" s="84"/>
      <c r="Z781" s="84"/>
      <c r="AA781" s="1"/>
      <c r="AB781" s="330"/>
      <c r="AC781" s="321"/>
      <c r="AD781" s="321"/>
    </row>
    <row r="782" spans="1:30" ht="15.75" customHeight="1">
      <c r="A782" s="83"/>
      <c r="B782" s="83"/>
      <c r="C782" s="83"/>
      <c r="D782" s="84"/>
      <c r="E782" s="84"/>
      <c r="F782" s="84"/>
      <c r="G782" s="83"/>
      <c r="H782" s="84"/>
      <c r="I782" s="84"/>
      <c r="J782" s="84"/>
      <c r="K782" s="84"/>
      <c r="L782" s="84"/>
      <c r="M782" s="84"/>
      <c r="N782" s="84"/>
      <c r="O782" s="84"/>
      <c r="P782" s="85"/>
      <c r="Q782" s="75"/>
      <c r="R782" s="75"/>
      <c r="S782" s="75"/>
      <c r="T782" s="75"/>
      <c r="U782" s="89"/>
      <c r="V782" s="84"/>
      <c r="W782" s="84"/>
      <c r="X782" s="84"/>
      <c r="Y782" s="84"/>
      <c r="Z782" s="84"/>
      <c r="AA782" s="1"/>
      <c r="AB782" s="330"/>
      <c r="AC782" s="321"/>
      <c r="AD782" s="321"/>
    </row>
    <row r="783" spans="1:30" ht="15.75" customHeight="1">
      <c r="A783" s="83"/>
      <c r="B783" s="83"/>
      <c r="C783" s="83"/>
      <c r="D783" s="84"/>
      <c r="E783" s="84"/>
      <c r="F783" s="84"/>
      <c r="G783" s="83"/>
      <c r="H783" s="84"/>
      <c r="I783" s="84"/>
      <c r="J783" s="84"/>
      <c r="K783" s="84"/>
      <c r="L783" s="84"/>
      <c r="M783" s="84"/>
      <c r="N783" s="84"/>
      <c r="O783" s="84"/>
      <c r="P783" s="85"/>
      <c r="Q783" s="75"/>
      <c r="R783" s="75"/>
      <c r="S783" s="75"/>
      <c r="T783" s="75"/>
      <c r="U783" s="89"/>
      <c r="V783" s="84"/>
      <c r="W783" s="84"/>
      <c r="X783" s="84"/>
      <c r="Y783" s="84"/>
      <c r="Z783" s="84"/>
      <c r="AA783" s="1"/>
      <c r="AB783" s="330"/>
      <c r="AC783" s="321"/>
      <c r="AD783" s="321"/>
    </row>
    <row r="784" spans="1:30" ht="15.75" customHeight="1">
      <c r="A784" s="83"/>
      <c r="B784" s="83"/>
      <c r="C784" s="83"/>
      <c r="D784" s="84"/>
      <c r="E784" s="84"/>
      <c r="F784" s="84"/>
      <c r="G784" s="83"/>
      <c r="H784" s="84"/>
      <c r="I784" s="84"/>
      <c r="J784" s="84"/>
      <c r="K784" s="84"/>
      <c r="L784" s="84"/>
      <c r="M784" s="84"/>
      <c r="N784" s="84"/>
      <c r="O784" s="84"/>
      <c r="P784" s="85"/>
      <c r="Q784" s="75"/>
      <c r="R784" s="75"/>
      <c r="S784" s="75"/>
      <c r="T784" s="75"/>
      <c r="U784" s="89"/>
      <c r="V784" s="84"/>
      <c r="W784" s="84"/>
      <c r="X784" s="84"/>
      <c r="Y784" s="84"/>
      <c r="Z784" s="84"/>
      <c r="AA784" s="1"/>
      <c r="AB784" s="330"/>
      <c r="AC784" s="321"/>
      <c r="AD784" s="321"/>
    </row>
    <row r="785" spans="1:30" ht="15.75" customHeight="1">
      <c r="A785" s="83"/>
      <c r="B785" s="83"/>
      <c r="C785" s="83"/>
      <c r="D785" s="84"/>
      <c r="E785" s="84"/>
      <c r="F785" s="84"/>
      <c r="G785" s="83"/>
      <c r="H785" s="84"/>
      <c r="I785" s="84"/>
      <c r="J785" s="84"/>
      <c r="K785" s="84"/>
      <c r="L785" s="84"/>
      <c r="M785" s="84"/>
      <c r="N785" s="84"/>
      <c r="O785" s="84"/>
      <c r="P785" s="85"/>
      <c r="Q785" s="75"/>
      <c r="R785" s="75"/>
      <c r="S785" s="75"/>
      <c r="T785" s="75"/>
      <c r="U785" s="89"/>
      <c r="V785" s="84"/>
      <c r="W785" s="84"/>
      <c r="X785" s="84"/>
      <c r="Y785" s="84"/>
      <c r="Z785" s="84"/>
      <c r="AA785" s="1"/>
      <c r="AB785" s="330"/>
      <c r="AC785" s="321"/>
      <c r="AD785" s="321"/>
    </row>
    <row r="786" spans="1:30" ht="15.75" customHeight="1">
      <c r="A786" s="83"/>
      <c r="B786" s="83"/>
      <c r="C786" s="83"/>
      <c r="D786" s="84"/>
      <c r="E786" s="84"/>
      <c r="F786" s="84"/>
      <c r="G786" s="83"/>
      <c r="H786" s="84"/>
      <c r="I786" s="84"/>
      <c r="J786" s="84"/>
      <c r="K786" s="84"/>
      <c r="L786" s="84"/>
      <c r="M786" s="84"/>
      <c r="N786" s="84"/>
      <c r="O786" s="84"/>
      <c r="P786" s="85"/>
      <c r="Q786" s="75"/>
      <c r="R786" s="75"/>
      <c r="S786" s="75"/>
      <c r="T786" s="75"/>
      <c r="U786" s="89"/>
      <c r="V786" s="84"/>
      <c r="W786" s="84"/>
      <c r="X786" s="84"/>
      <c r="Y786" s="84"/>
      <c r="Z786" s="84"/>
      <c r="AA786" s="1"/>
      <c r="AB786" s="330"/>
      <c r="AC786" s="321"/>
      <c r="AD786" s="321"/>
    </row>
    <row r="787" spans="1:30" ht="15.75" customHeight="1">
      <c r="A787" s="83"/>
      <c r="B787" s="83"/>
      <c r="C787" s="83"/>
      <c r="D787" s="84"/>
      <c r="E787" s="84"/>
      <c r="F787" s="84"/>
      <c r="G787" s="83"/>
      <c r="H787" s="84"/>
      <c r="I787" s="84"/>
      <c r="J787" s="84"/>
      <c r="K787" s="84"/>
      <c r="L787" s="84"/>
      <c r="M787" s="84"/>
      <c r="N787" s="84"/>
      <c r="O787" s="84"/>
      <c r="P787" s="85"/>
      <c r="Q787" s="75"/>
      <c r="R787" s="75"/>
      <c r="S787" s="75"/>
      <c r="T787" s="75"/>
      <c r="U787" s="89"/>
      <c r="V787" s="84"/>
      <c r="W787" s="84"/>
      <c r="X787" s="84"/>
      <c r="Y787" s="84"/>
      <c r="Z787" s="84"/>
      <c r="AA787" s="1"/>
      <c r="AB787" s="330"/>
      <c r="AC787" s="321"/>
      <c r="AD787" s="321"/>
    </row>
    <row r="788" spans="1:30" ht="15.75" customHeight="1">
      <c r="A788" s="83"/>
      <c r="B788" s="83"/>
      <c r="C788" s="83"/>
      <c r="D788" s="84"/>
      <c r="E788" s="84"/>
      <c r="F788" s="84"/>
      <c r="G788" s="83"/>
      <c r="H788" s="84"/>
      <c r="I788" s="84"/>
      <c r="J788" s="84"/>
      <c r="K788" s="84"/>
      <c r="L788" s="84"/>
      <c r="M788" s="84"/>
      <c r="N788" s="84"/>
      <c r="O788" s="84"/>
      <c r="P788" s="85"/>
      <c r="Q788" s="75"/>
      <c r="R788" s="75"/>
      <c r="S788" s="75"/>
      <c r="T788" s="75"/>
      <c r="U788" s="89"/>
      <c r="V788" s="84"/>
      <c r="W788" s="84"/>
      <c r="X788" s="84"/>
      <c r="Y788" s="84"/>
      <c r="Z788" s="84"/>
      <c r="AA788" s="1"/>
      <c r="AB788" s="330"/>
      <c r="AC788" s="321"/>
      <c r="AD788" s="321"/>
    </row>
    <row r="789" spans="1:30" ht="15.75" customHeight="1">
      <c r="A789" s="83"/>
      <c r="B789" s="83"/>
      <c r="C789" s="83"/>
      <c r="D789" s="84"/>
      <c r="E789" s="84"/>
      <c r="F789" s="84"/>
      <c r="G789" s="83"/>
      <c r="H789" s="84"/>
      <c r="I789" s="84"/>
      <c r="J789" s="84"/>
      <c r="K789" s="84"/>
      <c r="L789" s="84"/>
      <c r="M789" s="84"/>
      <c r="N789" s="84"/>
      <c r="O789" s="84"/>
      <c r="P789" s="85"/>
      <c r="Q789" s="75"/>
      <c r="R789" s="75"/>
      <c r="S789" s="75"/>
      <c r="T789" s="75"/>
      <c r="U789" s="89"/>
      <c r="V789" s="84"/>
      <c r="W789" s="84"/>
      <c r="X789" s="84"/>
      <c r="Y789" s="84"/>
      <c r="Z789" s="84"/>
      <c r="AA789" s="1"/>
      <c r="AB789" s="330"/>
      <c r="AC789" s="321"/>
      <c r="AD789" s="321"/>
    </row>
    <row r="790" spans="1:30" ht="15.75" customHeight="1">
      <c r="A790" s="83"/>
      <c r="B790" s="83"/>
      <c r="C790" s="83"/>
      <c r="D790" s="84"/>
      <c r="E790" s="84"/>
      <c r="F790" s="84"/>
      <c r="G790" s="83"/>
      <c r="H790" s="84"/>
      <c r="I790" s="84"/>
      <c r="J790" s="84"/>
      <c r="K790" s="84"/>
      <c r="L790" s="84"/>
      <c r="M790" s="84"/>
      <c r="N790" s="84"/>
      <c r="O790" s="84"/>
      <c r="P790" s="85"/>
      <c r="Q790" s="75"/>
      <c r="R790" s="75"/>
      <c r="S790" s="75"/>
      <c r="T790" s="75"/>
      <c r="U790" s="89"/>
      <c r="V790" s="84"/>
      <c r="W790" s="84"/>
      <c r="X790" s="84"/>
      <c r="Y790" s="84"/>
      <c r="Z790" s="84"/>
      <c r="AA790" s="1"/>
      <c r="AB790" s="330"/>
      <c r="AC790" s="321"/>
      <c r="AD790" s="321"/>
    </row>
    <row r="791" spans="1:30" ht="15.75" customHeight="1">
      <c r="A791" s="83"/>
      <c r="B791" s="83"/>
      <c r="C791" s="83"/>
      <c r="D791" s="84"/>
      <c r="E791" s="84"/>
      <c r="F791" s="84"/>
      <c r="G791" s="83"/>
      <c r="H791" s="84"/>
      <c r="I791" s="84"/>
      <c r="J791" s="84"/>
      <c r="K791" s="84"/>
      <c r="L791" s="84"/>
      <c r="M791" s="84"/>
      <c r="N791" s="84"/>
      <c r="O791" s="84"/>
      <c r="P791" s="85"/>
      <c r="Q791" s="75"/>
      <c r="R791" s="75"/>
      <c r="S791" s="75"/>
      <c r="T791" s="75"/>
      <c r="U791" s="89"/>
      <c r="V791" s="84"/>
      <c r="W791" s="84"/>
      <c r="X791" s="84"/>
      <c r="Y791" s="84"/>
      <c r="Z791" s="84"/>
      <c r="AA791" s="1"/>
      <c r="AB791" s="330"/>
      <c r="AC791" s="321"/>
      <c r="AD791" s="321"/>
    </row>
    <row r="792" spans="1:30" ht="15.75" customHeight="1">
      <c r="A792" s="83"/>
      <c r="B792" s="83"/>
      <c r="C792" s="83"/>
      <c r="D792" s="84"/>
      <c r="E792" s="84"/>
      <c r="F792" s="84"/>
      <c r="G792" s="83"/>
      <c r="H792" s="84"/>
      <c r="I792" s="84"/>
      <c r="J792" s="84"/>
      <c r="K792" s="84"/>
      <c r="L792" s="84"/>
      <c r="M792" s="84"/>
      <c r="N792" s="84"/>
      <c r="O792" s="84"/>
      <c r="P792" s="85"/>
      <c r="Q792" s="75"/>
      <c r="R792" s="75"/>
      <c r="S792" s="75"/>
      <c r="T792" s="75"/>
      <c r="U792" s="89"/>
      <c r="V792" s="84"/>
      <c r="W792" s="84"/>
      <c r="X792" s="84"/>
      <c r="Y792" s="84"/>
      <c r="Z792" s="84"/>
      <c r="AA792" s="1"/>
      <c r="AB792" s="330"/>
      <c r="AC792" s="321"/>
      <c r="AD792" s="321"/>
    </row>
    <row r="793" spans="1:30" ht="15.75" customHeight="1">
      <c r="A793" s="83"/>
      <c r="B793" s="83"/>
      <c r="C793" s="83"/>
      <c r="D793" s="84"/>
      <c r="E793" s="84"/>
      <c r="F793" s="84"/>
      <c r="G793" s="83"/>
      <c r="H793" s="84"/>
      <c r="I793" s="84"/>
      <c r="J793" s="84"/>
      <c r="K793" s="84"/>
      <c r="L793" s="84"/>
      <c r="M793" s="84"/>
      <c r="N793" s="84"/>
      <c r="O793" s="84"/>
      <c r="P793" s="85"/>
      <c r="Q793" s="75"/>
      <c r="R793" s="75"/>
      <c r="S793" s="75"/>
      <c r="T793" s="75"/>
      <c r="U793" s="89"/>
      <c r="V793" s="84"/>
      <c r="W793" s="84"/>
      <c r="X793" s="84"/>
      <c r="Y793" s="84"/>
      <c r="Z793" s="84"/>
      <c r="AA793" s="1"/>
      <c r="AB793" s="330"/>
      <c r="AC793" s="321"/>
      <c r="AD793" s="321"/>
    </row>
    <row r="794" spans="1:30" ht="15.75" customHeight="1">
      <c r="A794" s="83"/>
      <c r="B794" s="83"/>
      <c r="C794" s="83"/>
      <c r="D794" s="84"/>
      <c r="E794" s="84"/>
      <c r="F794" s="84"/>
      <c r="G794" s="83"/>
      <c r="H794" s="84"/>
      <c r="I794" s="84"/>
      <c r="J794" s="84"/>
      <c r="K794" s="84"/>
      <c r="L794" s="84"/>
      <c r="M794" s="84"/>
      <c r="N794" s="84"/>
      <c r="O794" s="84"/>
      <c r="P794" s="85"/>
      <c r="Q794" s="75"/>
      <c r="R794" s="75"/>
      <c r="S794" s="75"/>
      <c r="T794" s="75"/>
      <c r="U794" s="89"/>
      <c r="V794" s="84"/>
      <c r="W794" s="84"/>
      <c r="X794" s="84"/>
      <c r="Y794" s="84"/>
      <c r="Z794" s="84"/>
      <c r="AA794" s="1"/>
      <c r="AB794" s="330"/>
      <c r="AC794" s="321"/>
      <c r="AD794" s="321"/>
    </row>
    <row r="795" spans="1:30" ht="15.75" customHeight="1">
      <c r="A795" s="83"/>
      <c r="B795" s="83"/>
      <c r="C795" s="83"/>
      <c r="D795" s="84"/>
      <c r="E795" s="84"/>
      <c r="F795" s="84"/>
      <c r="G795" s="83"/>
      <c r="H795" s="84"/>
      <c r="I795" s="84"/>
      <c r="J795" s="84"/>
      <c r="K795" s="84"/>
      <c r="L795" s="84"/>
      <c r="M795" s="84"/>
      <c r="N795" s="84"/>
      <c r="O795" s="84"/>
      <c r="P795" s="85"/>
      <c r="Q795" s="75"/>
      <c r="R795" s="75"/>
      <c r="S795" s="75"/>
      <c r="T795" s="75"/>
      <c r="U795" s="89"/>
      <c r="V795" s="84"/>
      <c r="W795" s="84"/>
      <c r="X795" s="84"/>
      <c r="Y795" s="84"/>
      <c r="Z795" s="84"/>
      <c r="AA795" s="1"/>
      <c r="AB795" s="330"/>
      <c r="AC795" s="321"/>
      <c r="AD795" s="321"/>
    </row>
    <row r="796" spans="1:30" ht="15.75" customHeight="1">
      <c r="A796" s="83"/>
      <c r="B796" s="83"/>
      <c r="C796" s="83"/>
      <c r="D796" s="84"/>
      <c r="E796" s="84"/>
      <c r="F796" s="84"/>
      <c r="G796" s="83"/>
      <c r="H796" s="84"/>
      <c r="I796" s="84"/>
      <c r="J796" s="84"/>
      <c r="K796" s="84"/>
      <c r="L796" s="84"/>
      <c r="M796" s="84"/>
      <c r="N796" s="84"/>
      <c r="O796" s="84"/>
      <c r="P796" s="85"/>
      <c r="Q796" s="75"/>
      <c r="R796" s="75"/>
      <c r="S796" s="75"/>
      <c r="T796" s="75"/>
      <c r="U796" s="89"/>
      <c r="V796" s="84"/>
      <c r="W796" s="84"/>
      <c r="X796" s="84"/>
      <c r="Y796" s="84"/>
      <c r="Z796" s="84"/>
      <c r="AA796" s="1"/>
      <c r="AB796" s="330"/>
      <c r="AC796" s="321"/>
      <c r="AD796" s="321"/>
    </row>
    <row r="797" spans="1:30" ht="15.75" customHeight="1">
      <c r="A797" s="83"/>
      <c r="B797" s="83"/>
      <c r="C797" s="83"/>
      <c r="D797" s="84"/>
      <c r="E797" s="84"/>
      <c r="F797" s="84"/>
      <c r="G797" s="83"/>
      <c r="H797" s="84"/>
      <c r="I797" s="84"/>
      <c r="J797" s="84"/>
      <c r="K797" s="84"/>
      <c r="L797" s="84"/>
      <c r="M797" s="84"/>
      <c r="N797" s="84"/>
      <c r="O797" s="84"/>
      <c r="P797" s="85"/>
      <c r="Q797" s="75"/>
      <c r="R797" s="75"/>
      <c r="S797" s="75"/>
      <c r="T797" s="75"/>
      <c r="U797" s="89"/>
      <c r="V797" s="84"/>
      <c r="W797" s="84"/>
      <c r="X797" s="84"/>
      <c r="Y797" s="84"/>
      <c r="Z797" s="84"/>
      <c r="AA797" s="1"/>
      <c r="AB797" s="330"/>
      <c r="AC797" s="321"/>
      <c r="AD797" s="321"/>
    </row>
    <row r="798" spans="1:30" ht="15.75" customHeight="1">
      <c r="A798" s="83"/>
      <c r="B798" s="83"/>
      <c r="C798" s="83"/>
      <c r="D798" s="84"/>
      <c r="E798" s="84"/>
      <c r="F798" s="84"/>
      <c r="G798" s="83"/>
      <c r="H798" s="84"/>
      <c r="I798" s="84"/>
      <c r="J798" s="84"/>
      <c r="K798" s="84"/>
      <c r="L798" s="84"/>
      <c r="M798" s="84"/>
      <c r="N798" s="84"/>
      <c r="O798" s="84"/>
      <c r="P798" s="85"/>
      <c r="Q798" s="75"/>
      <c r="R798" s="75"/>
      <c r="S798" s="75"/>
      <c r="T798" s="75"/>
      <c r="U798" s="89"/>
      <c r="V798" s="84"/>
      <c r="W798" s="84"/>
      <c r="X798" s="84"/>
      <c r="Y798" s="84"/>
      <c r="Z798" s="84"/>
      <c r="AA798" s="1"/>
      <c r="AB798" s="330"/>
      <c r="AC798" s="321"/>
      <c r="AD798" s="321"/>
    </row>
    <row r="799" spans="1:30" ht="15.75" customHeight="1">
      <c r="A799" s="83"/>
      <c r="B799" s="83"/>
      <c r="C799" s="83"/>
      <c r="D799" s="84"/>
      <c r="E799" s="84"/>
      <c r="F799" s="84"/>
      <c r="G799" s="83"/>
      <c r="H799" s="84"/>
      <c r="I799" s="84"/>
      <c r="J799" s="84"/>
      <c r="K799" s="84"/>
      <c r="L799" s="84"/>
      <c r="M799" s="84"/>
      <c r="N799" s="84"/>
      <c r="O799" s="84"/>
      <c r="P799" s="85"/>
      <c r="Q799" s="75"/>
      <c r="R799" s="75"/>
      <c r="S799" s="75"/>
      <c r="T799" s="75"/>
      <c r="U799" s="89"/>
      <c r="V799" s="84"/>
      <c r="W799" s="84"/>
      <c r="X799" s="84"/>
      <c r="Y799" s="84"/>
      <c r="Z799" s="84"/>
      <c r="AA799" s="1"/>
      <c r="AB799" s="330"/>
      <c r="AC799" s="321"/>
      <c r="AD799" s="321"/>
    </row>
    <row r="800" spans="1:30" ht="15.75" customHeight="1">
      <c r="A800" s="83"/>
      <c r="B800" s="83"/>
      <c r="C800" s="83"/>
      <c r="D800" s="84"/>
      <c r="E800" s="84"/>
      <c r="F800" s="84"/>
      <c r="G800" s="83"/>
      <c r="H800" s="84"/>
      <c r="I800" s="84"/>
      <c r="J800" s="84"/>
      <c r="K800" s="84"/>
      <c r="L800" s="84"/>
      <c r="M800" s="84"/>
      <c r="N800" s="84"/>
      <c r="O800" s="84"/>
      <c r="P800" s="85"/>
      <c r="Q800" s="75"/>
      <c r="R800" s="75"/>
      <c r="S800" s="75"/>
      <c r="T800" s="75"/>
      <c r="U800" s="89"/>
      <c r="V800" s="84"/>
      <c r="W800" s="84"/>
      <c r="X800" s="84"/>
      <c r="Y800" s="84"/>
      <c r="Z800" s="84"/>
      <c r="AA800" s="1"/>
      <c r="AB800" s="330"/>
      <c r="AC800" s="321"/>
      <c r="AD800" s="321"/>
    </row>
    <row r="801" spans="1:30" ht="15.75" customHeight="1">
      <c r="A801" s="83"/>
      <c r="B801" s="83"/>
      <c r="C801" s="83"/>
      <c r="D801" s="84"/>
      <c r="E801" s="84"/>
      <c r="F801" s="84"/>
      <c r="G801" s="83"/>
      <c r="H801" s="84"/>
      <c r="I801" s="84"/>
      <c r="J801" s="84"/>
      <c r="K801" s="84"/>
      <c r="L801" s="84"/>
      <c r="M801" s="84"/>
      <c r="N801" s="84"/>
      <c r="O801" s="84"/>
      <c r="P801" s="85"/>
      <c r="Q801" s="75"/>
      <c r="R801" s="75"/>
      <c r="S801" s="75"/>
      <c r="T801" s="75"/>
      <c r="U801" s="89"/>
      <c r="V801" s="84"/>
      <c r="W801" s="84"/>
      <c r="X801" s="84"/>
      <c r="Y801" s="84"/>
      <c r="Z801" s="84"/>
      <c r="AA801" s="1"/>
      <c r="AB801" s="330"/>
      <c r="AC801" s="321"/>
      <c r="AD801" s="321"/>
    </row>
    <row r="802" spans="1:30" ht="15.75" customHeight="1">
      <c r="A802" s="83"/>
      <c r="B802" s="83"/>
      <c r="C802" s="83"/>
      <c r="D802" s="84"/>
      <c r="E802" s="84"/>
      <c r="F802" s="84"/>
      <c r="G802" s="83"/>
      <c r="H802" s="84"/>
      <c r="I802" s="84"/>
      <c r="J802" s="84"/>
      <c r="K802" s="84"/>
      <c r="L802" s="84"/>
      <c r="M802" s="84"/>
      <c r="N802" s="84"/>
      <c r="O802" s="84"/>
      <c r="P802" s="85"/>
      <c r="Q802" s="75"/>
      <c r="R802" s="75"/>
      <c r="S802" s="75"/>
      <c r="T802" s="75"/>
      <c r="U802" s="89"/>
      <c r="V802" s="84"/>
      <c r="W802" s="84"/>
      <c r="X802" s="84"/>
      <c r="Y802" s="84"/>
      <c r="Z802" s="84"/>
      <c r="AA802" s="1"/>
      <c r="AB802" s="330"/>
      <c r="AC802" s="321"/>
      <c r="AD802" s="321"/>
    </row>
    <row r="803" spans="1:30" ht="15.75" customHeight="1">
      <c r="A803" s="83"/>
      <c r="B803" s="83"/>
      <c r="C803" s="83"/>
      <c r="D803" s="84"/>
      <c r="E803" s="84"/>
      <c r="F803" s="84"/>
      <c r="G803" s="83"/>
      <c r="H803" s="84"/>
      <c r="I803" s="84"/>
      <c r="J803" s="84"/>
      <c r="K803" s="84"/>
      <c r="L803" s="84"/>
      <c r="M803" s="84"/>
      <c r="N803" s="84"/>
      <c r="O803" s="84"/>
      <c r="P803" s="85"/>
      <c r="Q803" s="75"/>
      <c r="R803" s="75"/>
      <c r="S803" s="75"/>
      <c r="T803" s="75"/>
      <c r="U803" s="89"/>
      <c r="V803" s="84"/>
      <c r="W803" s="84"/>
      <c r="X803" s="84"/>
      <c r="Y803" s="84"/>
      <c r="Z803" s="84"/>
      <c r="AA803" s="1"/>
      <c r="AB803" s="330"/>
      <c r="AC803" s="321"/>
      <c r="AD803" s="321"/>
    </row>
    <row r="804" spans="1:30" ht="15.75" customHeight="1">
      <c r="A804" s="83"/>
      <c r="B804" s="83"/>
      <c r="C804" s="83"/>
      <c r="D804" s="84"/>
      <c r="E804" s="84"/>
      <c r="F804" s="84"/>
      <c r="G804" s="83"/>
      <c r="H804" s="84"/>
      <c r="I804" s="84"/>
      <c r="J804" s="84"/>
      <c r="K804" s="84"/>
      <c r="L804" s="84"/>
      <c r="M804" s="84"/>
      <c r="N804" s="84"/>
      <c r="O804" s="84"/>
      <c r="P804" s="85"/>
      <c r="Q804" s="75"/>
      <c r="R804" s="75"/>
      <c r="S804" s="75"/>
      <c r="T804" s="75"/>
      <c r="U804" s="89"/>
      <c r="V804" s="84"/>
      <c r="W804" s="84"/>
      <c r="X804" s="84"/>
      <c r="Y804" s="84"/>
      <c r="Z804" s="84"/>
      <c r="AA804" s="1"/>
      <c r="AB804" s="330"/>
      <c r="AC804" s="321"/>
      <c r="AD804" s="321"/>
    </row>
    <row r="805" spans="1:30" ht="15.75" customHeight="1">
      <c r="A805" s="83"/>
      <c r="B805" s="83"/>
      <c r="C805" s="83"/>
      <c r="D805" s="84"/>
      <c r="E805" s="84"/>
      <c r="F805" s="84"/>
      <c r="G805" s="83"/>
      <c r="H805" s="84"/>
      <c r="I805" s="84"/>
      <c r="J805" s="84"/>
      <c r="K805" s="84"/>
      <c r="L805" s="84"/>
      <c r="M805" s="84"/>
      <c r="N805" s="84"/>
      <c r="O805" s="84"/>
      <c r="P805" s="85"/>
      <c r="Q805" s="75"/>
      <c r="R805" s="75"/>
      <c r="S805" s="75"/>
      <c r="T805" s="75"/>
      <c r="U805" s="89"/>
      <c r="V805" s="84"/>
      <c r="W805" s="84"/>
      <c r="X805" s="84"/>
      <c r="Y805" s="84"/>
      <c r="Z805" s="84"/>
      <c r="AA805" s="1"/>
      <c r="AB805" s="330"/>
      <c r="AC805" s="321"/>
      <c r="AD805" s="321"/>
    </row>
    <row r="806" spans="1:30" ht="15.75" customHeight="1">
      <c r="A806" s="83"/>
      <c r="B806" s="83"/>
      <c r="C806" s="83"/>
      <c r="D806" s="84"/>
      <c r="E806" s="84"/>
      <c r="F806" s="84"/>
      <c r="G806" s="83"/>
      <c r="H806" s="84"/>
      <c r="I806" s="84"/>
      <c r="J806" s="84"/>
      <c r="K806" s="84"/>
      <c r="L806" s="84"/>
      <c r="M806" s="84"/>
      <c r="N806" s="84"/>
      <c r="O806" s="84"/>
      <c r="P806" s="85"/>
      <c r="Q806" s="75"/>
      <c r="R806" s="75"/>
      <c r="S806" s="75"/>
      <c r="T806" s="75"/>
      <c r="U806" s="89"/>
      <c r="V806" s="84"/>
      <c r="W806" s="84"/>
      <c r="X806" s="84"/>
      <c r="Y806" s="84"/>
      <c r="Z806" s="84"/>
      <c r="AA806" s="1"/>
      <c r="AB806" s="330"/>
      <c r="AC806" s="321"/>
      <c r="AD806" s="321"/>
    </row>
    <row r="807" spans="1:30" ht="15.75" customHeight="1">
      <c r="A807" s="83"/>
      <c r="B807" s="83"/>
      <c r="C807" s="83"/>
      <c r="D807" s="84"/>
      <c r="E807" s="84"/>
      <c r="F807" s="84"/>
      <c r="G807" s="83"/>
      <c r="H807" s="84"/>
      <c r="I807" s="84"/>
      <c r="J807" s="84"/>
      <c r="K807" s="84"/>
      <c r="L807" s="84"/>
      <c r="M807" s="84"/>
      <c r="N807" s="84"/>
      <c r="O807" s="84"/>
      <c r="P807" s="85"/>
      <c r="Q807" s="75"/>
      <c r="R807" s="75"/>
      <c r="S807" s="75"/>
      <c r="T807" s="75"/>
      <c r="U807" s="89"/>
      <c r="V807" s="84"/>
      <c r="W807" s="84"/>
      <c r="X807" s="84"/>
      <c r="Y807" s="84"/>
      <c r="Z807" s="84"/>
      <c r="AA807" s="1"/>
      <c r="AB807" s="330"/>
      <c r="AC807" s="321"/>
      <c r="AD807" s="321"/>
    </row>
    <row r="808" spans="1:30" ht="15.75" customHeight="1">
      <c r="A808" s="83"/>
      <c r="B808" s="83"/>
      <c r="C808" s="83"/>
      <c r="D808" s="84"/>
      <c r="E808" s="84"/>
      <c r="F808" s="84"/>
      <c r="G808" s="83"/>
      <c r="H808" s="84"/>
      <c r="I808" s="84"/>
      <c r="J808" s="84"/>
      <c r="K808" s="84"/>
      <c r="L808" s="84"/>
      <c r="M808" s="84"/>
      <c r="N808" s="84"/>
      <c r="O808" s="84"/>
      <c r="P808" s="85"/>
      <c r="Q808" s="75"/>
      <c r="R808" s="75"/>
      <c r="S808" s="75"/>
      <c r="T808" s="75"/>
      <c r="U808" s="89"/>
      <c r="V808" s="84"/>
      <c r="W808" s="84"/>
      <c r="X808" s="84"/>
      <c r="Y808" s="84"/>
      <c r="Z808" s="84"/>
      <c r="AA808" s="1"/>
      <c r="AB808" s="330"/>
      <c r="AC808" s="321"/>
      <c r="AD808" s="321"/>
    </row>
    <row r="809" spans="1:30" ht="15.75" customHeight="1">
      <c r="A809" s="83"/>
      <c r="B809" s="83"/>
      <c r="C809" s="83"/>
      <c r="D809" s="84"/>
      <c r="E809" s="84"/>
      <c r="F809" s="84"/>
      <c r="G809" s="83"/>
      <c r="H809" s="84"/>
      <c r="I809" s="84"/>
      <c r="J809" s="84"/>
      <c r="K809" s="84"/>
      <c r="L809" s="84"/>
      <c r="M809" s="84"/>
      <c r="N809" s="84"/>
      <c r="O809" s="84"/>
      <c r="P809" s="85"/>
      <c r="Q809" s="75"/>
      <c r="R809" s="75"/>
      <c r="S809" s="75"/>
      <c r="T809" s="75"/>
      <c r="U809" s="89"/>
      <c r="V809" s="84"/>
      <c r="W809" s="84"/>
      <c r="X809" s="84"/>
      <c r="Y809" s="84"/>
      <c r="Z809" s="84"/>
      <c r="AA809" s="1"/>
      <c r="AB809" s="330"/>
      <c r="AC809" s="321"/>
      <c r="AD809" s="321"/>
    </row>
    <row r="810" spans="1:30" ht="15.75" customHeight="1">
      <c r="A810" s="83"/>
      <c r="B810" s="83"/>
      <c r="C810" s="83"/>
      <c r="D810" s="84"/>
      <c r="E810" s="84"/>
      <c r="F810" s="84"/>
      <c r="G810" s="83"/>
      <c r="H810" s="84"/>
      <c r="I810" s="84"/>
      <c r="J810" s="84"/>
      <c r="K810" s="84"/>
      <c r="L810" s="84"/>
      <c r="M810" s="84"/>
      <c r="N810" s="84"/>
      <c r="O810" s="84"/>
      <c r="P810" s="85"/>
      <c r="Q810" s="75"/>
      <c r="R810" s="75"/>
      <c r="S810" s="75"/>
      <c r="T810" s="75"/>
      <c r="U810" s="89"/>
      <c r="V810" s="84"/>
      <c r="W810" s="84"/>
      <c r="X810" s="84"/>
      <c r="Y810" s="84"/>
      <c r="Z810" s="84"/>
      <c r="AA810" s="1"/>
      <c r="AB810" s="330"/>
      <c r="AC810" s="321"/>
      <c r="AD810" s="321"/>
    </row>
    <row r="811" spans="1:30" ht="15.75" customHeight="1">
      <c r="A811" s="83"/>
      <c r="B811" s="83"/>
      <c r="C811" s="83"/>
      <c r="D811" s="84"/>
      <c r="E811" s="84"/>
      <c r="F811" s="84"/>
      <c r="G811" s="83"/>
      <c r="H811" s="84"/>
      <c r="I811" s="84"/>
      <c r="J811" s="84"/>
      <c r="K811" s="84"/>
      <c r="L811" s="84"/>
      <c r="M811" s="84"/>
      <c r="N811" s="84"/>
      <c r="O811" s="84"/>
      <c r="P811" s="85"/>
      <c r="Q811" s="75"/>
      <c r="R811" s="75"/>
      <c r="S811" s="75"/>
      <c r="T811" s="75"/>
      <c r="U811" s="89"/>
      <c r="V811" s="84"/>
      <c r="W811" s="84"/>
      <c r="X811" s="84"/>
      <c r="Y811" s="84"/>
      <c r="Z811" s="84"/>
      <c r="AA811" s="1"/>
      <c r="AB811" s="330"/>
      <c r="AC811" s="321"/>
      <c r="AD811" s="321"/>
    </row>
    <row r="812" spans="1:30" ht="15.75" customHeight="1">
      <c r="A812" s="83"/>
      <c r="B812" s="83"/>
      <c r="C812" s="83"/>
      <c r="D812" s="84"/>
      <c r="E812" s="84"/>
      <c r="F812" s="84"/>
      <c r="G812" s="83"/>
      <c r="H812" s="84"/>
      <c r="I812" s="84"/>
      <c r="J812" s="84"/>
      <c r="K812" s="84"/>
      <c r="L812" s="84"/>
      <c r="M812" s="84"/>
      <c r="N812" s="84"/>
      <c r="O812" s="84"/>
      <c r="P812" s="85"/>
      <c r="Q812" s="75"/>
      <c r="R812" s="75"/>
      <c r="S812" s="75"/>
      <c r="T812" s="75"/>
      <c r="U812" s="89"/>
      <c r="V812" s="84"/>
      <c r="W812" s="84"/>
      <c r="X812" s="84"/>
      <c r="Y812" s="84"/>
      <c r="Z812" s="84"/>
      <c r="AA812" s="1"/>
      <c r="AB812" s="330"/>
      <c r="AC812" s="321"/>
      <c r="AD812" s="321"/>
    </row>
    <row r="813" spans="1:30" ht="15.75" customHeight="1">
      <c r="A813" s="83"/>
      <c r="B813" s="83"/>
      <c r="C813" s="83"/>
      <c r="D813" s="84"/>
      <c r="E813" s="84"/>
      <c r="F813" s="84"/>
      <c r="G813" s="83"/>
      <c r="H813" s="84"/>
      <c r="I813" s="84"/>
      <c r="J813" s="84"/>
      <c r="K813" s="84"/>
      <c r="L813" s="84"/>
      <c r="M813" s="84"/>
      <c r="N813" s="84"/>
      <c r="O813" s="84"/>
      <c r="P813" s="85"/>
      <c r="Q813" s="75"/>
      <c r="R813" s="75"/>
      <c r="S813" s="75"/>
      <c r="T813" s="75"/>
      <c r="U813" s="89"/>
      <c r="V813" s="84"/>
      <c r="W813" s="84"/>
      <c r="X813" s="84"/>
      <c r="Y813" s="84"/>
      <c r="Z813" s="84"/>
      <c r="AA813" s="1"/>
      <c r="AB813" s="330"/>
      <c r="AC813" s="321"/>
      <c r="AD813" s="321"/>
    </row>
    <row r="814" spans="1:30" ht="15.75" customHeight="1">
      <c r="A814" s="83"/>
      <c r="B814" s="83"/>
      <c r="C814" s="83"/>
      <c r="D814" s="84"/>
      <c r="E814" s="84"/>
      <c r="F814" s="84"/>
      <c r="G814" s="83"/>
      <c r="H814" s="84"/>
      <c r="I814" s="84"/>
      <c r="J814" s="84"/>
      <c r="K814" s="84"/>
      <c r="L814" s="84"/>
      <c r="M814" s="84"/>
      <c r="N814" s="84"/>
      <c r="O814" s="84"/>
      <c r="P814" s="85"/>
      <c r="Q814" s="75"/>
      <c r="R814" s="75"/>
      <c r="S814" s="75"/>
      <c r="T814" s="75"/>
      <c r="U814" s="89"/>
      <c r="V814" s="84"/>
      <c r="W814" s="84"/>
      <c r="X814" s="84"/>
      <c r="Y814" s="84"/>
      <c r="Z814" s="84"/>
      <c r="AA814" s="1"/>
      <c r="AB814" s="330"/>
      <c r="AC814" s="321"/>
      <c r="AD814" s="321"/>
    </row>
    <row r="815" spans="1:30" ht="15.75" customHeight="1">
      <c r="A815" s="83"/>
      <c r="B815" s="83"/>
      <c r="C815" s="83"/>
      <c r="D815" s="84"/>
      <c r="E815" s="84"/>
      <c r="F815" s="84"/>
      <c r="G815" s="83"/>
      <c r="H815" s="84"/>
      <c r="I815" s="84"/>
      <c r="J815" s="84"/>
      <c r="K815" s="84"/>
      <c r="L815" s="84"/>
      <c r="M815" s="84"/>
      <c r="N815" s="84"/>
      <c r="O815" s="84"/>
      <c r="P815" s="85"/>
      <c r="Q815" s="75"/>
      <c r="R815" s="75"/>
      <c r="S815" s="75"/>
      <c r="T815" s="75"/>
      <c r="U815" s="89"/>
      <c r="V815" s="84"/>
      <c r="W815" s="84"/>
      <c r="X815" s="84"/>
      <c r="Y815" s="84"/>
      <c r="Z815" s="84"/>
      <c r="AA815" s="1"/>
      <c r="AB815" s="330"/>
      <c r="AC815" s="321"/>
      <c r="AD815" s="321"/>
    </row>
    <row r="816" spans="1:30" ht="15.75" customHeight="1">
      <c r="A816" s="83"/>
      <c r="B816" s="83"/>
      <c r="C816" s="83"/>
      <c r="D816" s="84"/>
      <c r="E816" s="84"/>
      <c r="F816" s="84"/>
      <c r="G816" s="83"/>
      <c r="H816" s="84"/>
      <c r="I816" s="84"/>
      <c r="J816" s="84"/>
      <c r="K816" s="84"/>
      <c r="L816" s="84"/>
      <c r="M816" s="84"/>
      <c r="N816" s="84"/>
      <c r="O816" s="84"/>
      <c r="P816" s="85"/>
      <c r="Q816" s="75"/>
      <c r="R816" s="75"/>
      <c r="S816" s="75"/>
      <c r="T816" s="75"/>
      <c r="U816" s="89"/>
      <c r="V816" s="84"/>
      <c r="W816" s="84"/>
      <c r="X816" s="84"/>
      <c r="Y816" s="84"/>
      <c r="Z816" s="84"/>
      <c r="AA816" s="1"/>
      <c r="AB816" s="330"/>
      <c r="AC816" s="321"/>
      <c r="AD816" s="321"/>
    </row>
    <row r="817" spans="1:30" ht="15.75" customHeight="1">
      <c r="A817" s="83"/>
      <c r="B817" s="83"/>
      <c r="C817" s="83"/>
      <c r="D817" s="84"/>
      <c r="E817" s="84"/>
      <c r="F817" s="84"/>
      <c r="G817" s="83"/>
      <c r="H817" s="84"/>
      <c r="I817" s="84"/>
      <c r="J817" s="84"/>
      <c r="K817" s="84"/>
      <c r="L817" s="84"/>
      <c r="M817" s="84"/>
      <c r="N817" s="84"/>
      <c r="O817" s="84"/>
      <c r="P817" s="85"/>
      <c r="Q817" s="75"/>
      <c r="R817" s="75"/>
      <c r="S817" s="75"/>
      <c r="T817" s="75"/>
      <c r="U817" s="89"/>
      <c r="V817" s="84"/>
      <c r="W817" s="84"/>
      <c r="X817" s="84"/>
      <c r="Y817" s="84"/>
      <c r="Z817" s="84"/>
      <c r="AA817" s="1"/>
      <c r="AB817" s="330"/>
      <c r="AC817" s="321"/>
      <c r="AD817" s="321"/>
    </row>
    <row r="818" spans="1:30" ht="15.75" customHeight="1">
      <c r="A818" s="83"/>
      <c r="B818" s="83"/>
      <c r="C818" s="83"/>
      <c r="D818" s="84"/>
      <c r="E818" s="84"/>
      <c r="F818" s="84"/>
      <c r="G818" s="83"/>
      <c r="H818" s="84"/>
      <c r="I818" s="84"/>
      <c r="J818" s="84"/>
      <c r="K818" s="84"/>
      <c r="L818" s="84"/>
      <c r="M818" s="84"/>
      <c r="N818" s="84"/>
      <c r="O818" s="84"/>
      <c r="P818" s="85"/>
      <c r="Q818" s="75"/>
      <c r="R818" s="75"/>
      <c r="S818" s="75"/>
      <c r="T818" s="75"/>
      <c r="U818" s="89"/>
      <c r="V818" s="84"/>
      <c r="W818" s="84"/>
      <c r="X818" s="84"/>
      <c r="Y818" s="84"/>
      <c r="Z818" s="84"/>
      <c r="AA818" s="1"/>
      <c r="AB818" s="330"/>
      <c r="AC818" s="321"/>
      <c r="AD818" s="321"/>
    </row>
    <row r="819" spans="1:30" ht="15.75" customHeight="1">
      <c r="A819" s="83"/>
      <c r="B819" s="83"/>
      <c r="C819" s="83"/>
      <c r="D819" s="84"/>
      <c r="E819" s="84"/>
      <c r="F819" s="84"/>
      <c r="G819" s="83"/>
      <c r="H819" s="84"/>
      <c r="I819" s="84"/>
      <c r="J819" s="84"/>
      <c r="K819" s="84"/>
      <c r="L819" s="84"/>
      <c r="M819" s="84"/>
      <c r="N819" s="84"/>
      <c r="O819" s="84"/>
      <c r="P819" s="85"/>
      <c r="Q819" s="75"/>
      <c r="R819" s="75"/>
      <c r="S819" s="75"/>
      <c r="T819" s="75"/>
      <c r="U819" s="89"/>
      <c r="V819" s="84"/>
      <c r="W819" s="84"/>
      <c r="X819" s="84"/>
      <c r="Y819" s="84"/>
      <c r="Z819" s="84"/>
      <c r="AA819" s="1"/>
      <c r="AB819" s="330"/>
      <c r="AC819" s="321"/>
      <c r="AD819" s="321"/>
    </row>
    <row r="820" spans="1:30" ht="15.75" customHeight="1">
      <c r="A820" s="83"/>
      <c r="B820" s="83"/>
      <c r="C820" s="83"/>
      <c r="D820" s="84"/>
      <c r="E820" s="84"/>
      <c r="F820" s="84"/>
      <c r="G820" s="83"/>
      <c r="H820" s="84"/>
      <c r="I820" s="84"/>
      <c r="J820" s="84"/>
      <c r="K820" s="84"/>
      <c r="L820" s="84"/>
      <c r="M820" s="84"/>
      <c r="N820" s="84"/>
      <c r="O820" s="84"/>
      <c r="P820" s="85"/>
      <c r="Q820" s="75"/>
      <c r="R820" s="75"/>
      <c r="S820" s="75"/>
      <c r="T820" s="75"/>
      <c r="U820" s="89"/>
      <c r="V820" s="84"/>
      <c r="W820" s="84"/>
      <c r="X820" s="84"/>
      <c r="Y820" s="84"/>
      <c r="Z820" s="84"/>
      <c r="AA820" s="1"/>
      <c r="AB820" s="330"/>
      <c r="AC820" s="321"/>
      <c r="AD820" s="321"/>
    </row>
    <row r="821" spans="1:30" ht="15.75" customHeight="1">
      <c r="A821" s="83"/>
      <c r="B821" s="83"/>
      <c r="C821" s="83"/>
      <c r="D821" s="84"/>
      <c r="E821" s="84"/>
      <c r="F821" s="84"/>
      <c r="G821" s="83"/>
      <c r="H821" s="84"/>
      <c r="I821" s="84"/>
      <c r="J821" s="84"/>
      <c r="K821" s="84"/>
      <c r="L821" s="84"/>
      <c r="M821" s="84"/>
      <c r="N821" s="84"/>
      <c r="O821" s="84"/>
      <c r="P821" s="85"/>
      <c r="Q821" s="75"/>
      <c r="R821" s="75"/>
      <c r="S821" s="75"/>
      <c r="T821" s="75"/>
      <c r="U821" s="89"/>
      <c r="V821" s="84"/>
      <c r="W821" s="84"/>
      <c r="X821" s="84"/>
      <c r="Y821" s="84"/>
      <c r="Z821" s="84"/>
      <c r="AA821" s="1"/>
      <c r="AB821" s="330"/>
      <c r="AC821" s="321"/>
      <c r="AD821" s="321"/>
    </row>
    <row r="822" spans="1:30" ht="15.75" customHeight="1">
      <c r="A822" s="83"/>
      <c r="B822" s="83"/>
      <c r="C822" s="83"/>
      <c r="D822" s="84"/>
      <c r="E822" s="84"/>
      <c r="F822" s="84"/>
      <c r="G822" s="83"/>
      <c r="H822" s="84"/>
      <c r="I822" s="84"/>
      <c r="J822" s="84"/>
      <c r="K822" s="84"/>
      <c r="L822" s="84"/>
      <c r="M822" s="84"/>
      <c r="N822" s="84"/>
      <c r="O822" s="84"/>
      <c r="P822" s="85"/>
      <c r="Q822" s="75"/>
      <c r="R822" s="75"/>
      <c r="S822" s="75"/>
      <c r="T822" s="75"/>
      <c r="U822" s="89"/>
      <c r="V822" s="84"/>
      <c r="W822" s="84"/>
      <c r="X822" s="84"/>
      <c r="Y822" s="84"/>
      <c r="Z822" s="84"/>
      <c r="AA822" s="1"/>
      <c r="AB822" s="330"/>
      <c r="AC822" s="321"/>
      <c r="AD822" s="321"/>
    </row>
    <row r="823" spans="1:30" ht="15.75" customHeight="1">
      <c r="A823" s="83"/>
      <c r="B823" s="83"/>
      <c r="C823" s="83"/>
      <c r="D823" s="84"/>
      <c r="E823" s="84"/>
      <c r="F823" s="84"/>
      <c r="G823" s="83"/>
      <c r="H823" s="84"/>
      <c r="I823" s="84"/>
      <c r="J823" s="84"/>
      <c r="K823" s="84"/>
      <c r="L823" s="84"/>
      <c r="M823" s="84"/>
      <c r="N823" s="84"/>
      <c r="O823" s="84"/>
      <c r="P823" s="85"/>
      <c r="Q823" s="75"/>
      <c r="R823" s="75"/>
      <c r="S823" s="75"/>
      <c r="T823" s="75"/>
      <c r="U823" s="89"/>
      <c r="V823" s="84"/>
      <c r="W823" s="84"/>
      <c r="X823" s="84"/>
      <c r="Y823" s="84"/>
      <c r="Z823" s="84"/>
      <c r="AA823" s="1"/>
      <c r="AB823" s="330"/>
      <c r="AC823" s="321"/>
      <c r="AD823" s="321"/>
    </row>
    <row r="824" spans="1:30" ht="15.75" customHeight="1">
      <c r="A824" s="83"/>
      <c r="B824" s="83"/>
      <c r="C824" s="83"/>
      <c r="D824" s="84"/>
      <c r="E824" s="84"/>
      <c r="F824" s="84"/>
      <c r="G824" s="83"/>
      <c r="H824" s="84"/>
      <c r="I824" s="84"/>
      <c r="J824" s="84"/>
      <c r="K824" s="84"/>
      <c r="L824" s="84"/>
      <c r="M824" s="84"/>
      <c r="N824" s="84"/>
      <c r="O824" s="84"/>
      <c r="P824" s="85"/>
      <c r="Q824" s="75"/>
      <c r="R824" s="75"/>
      <c r="S824" s="75"/>
      <c r="T824" s="75"/>
      <c r="U824" s="89"/>
      <c r="V824" s="84"/>
      <c r="W824" s="84"/>
      <c r="X824" s="84"/>
      <c r="Y824" s="84"/>
      <c r="Z824" s="84"/>
      <c r="AA824" s="1"/>
      <c r="AB824" s="330"/>
      <c r="AC824" s="321"/>
      <c r="AD824" s="321"/>
    </row>
    <row r="825" spans="1:30" ht="15.75" customHeight="1">
      <c r="A825" s="83"/>
      <c r="B825" s="83"/>
      <c r="C825" s="83"/>
      <c r="D825" s="84"/>
      <c r="E825" s="84"/>
      <c r="F825" s="84"/>
      <c r="G825" s="83"/>
      <c r="H825" s="84"/>
      <c r="I825" s="84"/>
      <c r="J825" s="84"/>
      <c r="K825" s="84"/>
      <c r="L825" s="84"/>
      <c r="M825" s="84"/>
      <c r="N825" s="84"/>
      <c r="O825" s="84"/>
      <c r="P825" s="85"/>
      <c r="Q825" s="75"/>
      <c r="R825" s="75"/>
      <c r="S825" s="75"/>
      <c r="T825" s="75"/>
      <c r="U825" s="89"/>
      <c r="V825" s="84"/>
      <c r="W825" s="84"/>
      <c r="X825" s="84"/>
      <c r="Y825" s="84"/>
      <c r="Z825" s="84"/>
      <c r="AA825" s="1"/>
      <c r="AB825" s="330"/>
      <c r="AC825" s="321"/>
      <c r="AD825" s="321"/>
    </row>
    <row r="826" spans="1:30" ht="15.75" customHeight="1">
      <c r="A826" s="83"/>
      <c r="B826" s="83"/>
      <c r="C826" s="83"/>
      <c r="D826" s="84"/>
      <c r="E826" s="84"/>
      <c r="F826" s="84"/>
      <c r="G826" s="83"/>
      <c r="H826" s="84"/>
      <c r="I826" s="84"/>
      <c r="J826" s="84"/>
      <c r="K826" s="84"/>
      <c r="L826" s="84"/>
      <c r="M826" s="84"/>
      <c r="N826" s="84"/>
      <c r="O826" s="84"/>
      <c r="P826" s="85"/>
      <c r="Q826" s="75"/>
      <c r="R826" s="75"/>
      <c r="S826" s="75"/>
      <c r="T826" s="75"/>
      <c r="U826" s="89"/>
      <c r="V826" s="84"/>
      <c r="W826" s="84"/>
      <c r="X826" s="84"/>
      <c r="Y826" s="84"/>
      <c r="Z826" s="84"/>
      <c r="AA826" s="1"/>
      <c r="AB826" s="330"/>
      <c r="AC826" s="321"/>
      <c r="AD826" s="321"/>
    </row>
    <row r="827" spans="1:30" ht="15.75" customHeight="1">
      <c r="A827" s="83"/>
      <c r="B827" s="83"/>
      <c r="C827" s="83"/>
      <c r="D827" s="84"/>
      <c r="E827" s="84"/>
      <c r="F827" s="84"/>
      <c r="G827" s="83"/>
      <c r="H827" s="84"/>
      <c r="I827" s="84"/>
      <c r="J827" s="84"/>
      <c r="K827" s="84"/>
      <c r="L827" s="84"/>
      <c r="M827" s="84"/>
      <c r="N827" s="84"/>
      <c r="O827" s="84"/>
      <c r="P827" s="85"/>
      <c r="Q827" s="75"/>
      <c r="R827" s="75"/>
      <c r="S827" s="75"/>
      <c r="T827" s="75"/>
      <c r="U827" s="89"/>
      <c r="V827" s="84"/>
      <c r="W827" s="84"/>
      <c r="X827" s="84"/>
      <c r="Y827" s="84"/>
      <c r="Z827" s="84"/>
      <c r="AA827" s="1"/>
      <c r="AB827" s="330"/>
      <c r="AC827" s="321"/>
      <c r="AD827" s="321"/>
    </row>
    <row r="828" spans="1:30" ht="15.75" customHeight="1">
      <c r="A828" s="83"/>
      <c r="B828" s="83"/>
      <c r="C828" s="83"/>
      <c r="D828" s="84"/>
      <c r="E828" s="84"/>
      <c r="F828" s="84"/>
      <c r="G828" s="83"/>
      <c r="H828" s="84"/>
      <c r="I828" s="84"/>
      <c r="J828" s="84"/>
      <c r="K828" s="84"/>
      <c r="L828" s="84"/>
      <c r="M828" s="84"/>
      <c r="N828" s="84"/>
      <c r="O828" s="84"/>
      <c r="P828" s="85"/>
      <c r="Q828" s="75"/>
      <c r="R828" s="75"/>
      <c r="S828" s="75"/>
      <c r="T828" s="75"/>
      <c r="U828" s="89"/>
      <c r="V828" s="84"/>
      <c r="W828" s="84"/>
      <c r="X828" s="84"/>
      <c r="Y828" s="84"/>
      <c r="Z828" s="84"/>
      <c r="AA828" s="1"/>
      <c r="AB828" s="330"/>
      <c r="AC828" s="321"/>
      <c r="AD828" s="321"/>
    </row>
    <row r="829" spans="1:30" ht="15.75" customHeight="1">
      <c r="A829" s="83"/>
      <c r="B829" s="83"/>
      <c r="C829" s="83"/>
      <c r="D829" s="84"/>
      <c r="E829" s="84"/>
      <c r="F829" s="84"/>
      <c r="G829" s="83"/>
      <c r="H829" s="84"/>
      <c r="I829" s="84"/>
      <c r="J829" s="84"/>
      <c r="K829" s="84"/>
      <c r="L829" s="84"/>
      <c r="M829" s="84"/>
      <c r="N829" s="84"/>
      <c r="O829" s="84"/>
      <c r="P829" s="85"/>
      <c r="Q829" s="75"/>
      <c r="R829" s="75"/>
      <c r="S829" s="75"/>
      <c r="T829" s="75"/>
      <c r="U829" s="89"/>
      <c r="V829" s="84"/>
      <c r="W829" s="84"/>
      <c r="X829" s="84"/>
      <c r="Y829" s="84"/>
      <c r="Z829" s="84"/>
      <c r="AA829" s="1"/>
      <c r="AB829" s="330"/>
      <c r="AC829" s="321"/>
      <c r="AD829" s="321"/>
    </row>
    <row r="830" spans="1:30" ht="15.75" customHeight="1">
      <c r="A830" s="83"/>
      <c r="B830" s="83"/>
      <c r="C830" s="83"/>
      <c r="D830" s="84"/>
      <c r="E830" s="84"/>
      <c r="F830" s="84"/>
      <c r="G830" s="83"/>
      <c r="H830" s="84"/>
      <c r="I830" s="84"/>
      <c r="J830" s="84"/>
      <c r="K830" s="84"/>
      <c r="L830" s="84"/>
      <c r="M830" s="84"/>
      <c r="N830" s="84"/>
      <c r="O830" s="84"/>
      <c r="P830" s="85"/>
      <c r="Q830" s="75"/>
      <c r="R830" s="75"/>
      <c r="S830" s="75"/>
      <c r="T830" s="75"/>
      <c r="U830" s="89"/>
      <c r="V830" s="84"/>
      <c r="W830" s="84"/>
      <c r="X830" s="84"/>
      <c r="Y830" s="84"/>
      <c r="Z830" s="84"/>
      <c r="AA830" s="1"/>
      <c r="AB830" s="330"/>
      <c r="AC830" s="321"/>
      <c r="AD830" s="321"/>
    </row>
    <row r="831" spans="1:30" ht="15.75" customHeight="1">
      <c r="A831" s="83"/>
      <c r="B831" s="83"/>
      <c r="C831" s="83"/>
      <c r="D831" s="84"/>
      <c r="E831" s="84"/>
      <c r="F831" s="84"/>
      <c r="G831" s="83"/>
      <c r="H831" s="84"/>
      <c r="I831" s="84"/>
      <c r="J831" s="84"/>
      <c r="K831" s="84"/>
      <c r="L831" s="84"/>
      <c r="M831" s="84"/>
      <c r="N831" s="84"/>
      <c r="O831" s="84"/>
      <c r="P831" s="85"/>
      <c r="Q831" s="75"/>
      <c r="R831" s="75"/>
      <c r="S831" s="75"/>
      <c r="T831" s="75"/>
      <c r="U831" s="89"/>
      <c r="V831" s="84"/>
      <c r="W831" s="84"/>
      <c r="X831" s="84"/>
      <c r="Y831" s="84"/>
      <c r="Z831" s="84"/>
      <c r="AA831" s="1"/>
      <c r="AB831" s="330"/>
      <c r="AC831" s="321"/>
      <c r="AD831" s="321"/>
    </row>
    <row r="832" spans="1:30" ht="15.75" customHeight="1">
      <c r="A832" s="83"/>
      <c r="B832" s="83"/>
      <c r="C832" s="83"/>
      <c r="D832" s="84"/>
      <c r="E832" s="84"/>
      <c r="F832" s="84"/>
      <c r="G832" s="83"/>
      <c r="H832" s="84"/>
      <c r="I832" s="84"/>
      <c r="J832" s="84"/>
      <c r="K832" s="84"/>
      <c r="L832" s="84"/>
      <c r="M832" s="84"/>
      <c r="N832" s="84"/>
      <c r="O832" s="84"/>
      <c r="P832" s="85"/>
      <c r="Q832" s="75"/>
      <c r="R832" s="75"/>
      <c r="S832" s="75"/>
      <c r="T832" s="75"/>
      <c r="U832" s="89"/>
      <c r="V832" s="84"/>
      <c r="W832" s="84"/>
      <c r="X832" s="84"/>
      <c r="Y832" s="84"/>
      <c r="Z832" s="84"/>
      <c r="AA832" s="1"/>
      <c r="AB832" s="330"/>
      <c r="AC832" s="321"/>
      <c r="AD832" s="321"/>
    </row>
    <row r="833" spans="1:30" ht="15.75" customHeight="1">
      <c r="A833" s="83"/>
      <c r="B833" s="83"/>
      <c r="C833" s="83"/>
      <c r="D833" s="84"/>
      <c r="E833" s="84"/>
      <c r="F833" s="84"/>
      <c r="G833" s="83"/>
      <c r="H833" s="84"/>
      <c r="I833" s="84"/>
      <c r="J833" s="84"/>
      <c r="K833" s="84"/>
      <c r="L833" s="84"/>
      <c r="M833" s="84"/>
      <c r="N833" s="84"/>
      <c r="O833" s="84"/>
      <c r="P833" s="85"/>
      <c r="Q833" s="75"/>
      <c r="R833" s="75"/>
      <c r="S833" s="75"/>
      <c r="T833" s="75"/>
      <c r="U833" s="89"/>
      <c r="V833" s="84"/>
      <c r="W833" s="84"/>
      <c r="X833" s="84"/>
      <c r="Y833" s="84"/>
      <c r="Z833" s="84"/>
      <c r="AA833" s="1"/>
      <c r="AB833" s="330"/>
      <c r="AC833" s="321"/>
      <c r="AD833" s="321"/>
    </row>
    <row r="834" spans="1:30" ht="15.75" customHeight="1">
      <c r="A834" s="83"/>
      <c r="B834" s="83"/>
      <c r="C834" s="83"/>
      <c r="D834" s="84"/>
      <c r="E834" s="84"/>
      <c r="F834" s="84"/>
      <c r="G834" s="83"/>
      <c r="H834" s="84"/>
      <c r="I834" s="84"/>
      <c r="J834" s="84"/>
      <c r="K834" s="84"/>
      <c r="L834" s="84"/>
      <c r="M834" s="84"/>
      <c r="N834" s="84"/>
      <c r="O834" s="84"/>
      <c r="P834" s="85"/>
      <c r="Q834" s="75"/>
      <c r="R834" s="75"/>
      <c r="S834" s="75"/>
      <c r="T834" s="75"/>
      <c r="U834" s="89"/>
      <c r="V834" s="84"/>
      <c r="W834" s="84"/>
      <c r="X834" s="84"/>
      <c r="Y834" s="84"/>
      <c r="Z834" s="84"/>
      <c r="AA834" s="1"/>
      <c r="AB834" s="330"/>
      <c r="AC834" s="321"/>
      <c r="AD834" s="321"/>
    </row>
    <row r="835" spans="1:30" ht="15.75" customHeight="1">
      <c r="A835" s="83"/>
      <c r="B835" s="83"/>
      <c r="C835" s="83"/>
      <c r="D835" s="84"/>
      <c r="E835" s="84"/>
      <c r="F835" s="84"/>
      <c r="G835" s="83"/>
      <c r="H835" s="84"/>
      <c r="I835" s="84"/>
      <c r="J835" s="84"/>
      <c r="K835" s="84"/>
      <c r="L835" s="84"/>
      <c r="M835" s="84"/>
      <c r="N835" s="84"/>
      <c r="O835" s="84"/>
      <c r="P835" s="85"/>
      <c r="Q835" s="75"/>
      <c r="R835" s="75"/>
      <c r="S835" s="75"/>
      <c r="T835" s="75"/>
      <c r="U835" s="89"/>
      <c r="V835" s="84"/>
      <c r="W835" s="84"/>
      <c r="X835" s="84"/>
      <c r="Y835" s="84"/>
      <c r="Z835" s="84"/>
      <c r="AA835" s="1"/>
      <c r="AB835" s="330"/>
      <c r="AC835" s="321"/>
      <c r="AD835" s="321"/>
    </row>
    <row r="836" spans="1:30" ht="15.75" customHeight="1">
      <c r="A836" s="83"/>
      <c r="B836" s="83"/>
      <c r="C836" s="83"/>
      <c r="D836" s="84"/>
      <c r="E836" s="84"/>
      <c r="F836" s="84"/>
      <c r="G836" s="83"/>
      <c r="H836" s="84"/>
      <c r="I836" s="84"/>
      <c r="J836" s="84"/>
      <c r="K836" s="84"/>
      <c r="L836" s="84"/>
      <c r="M836" s="84"/>
      <c r="N836" s="84"/>
      <c r="O836" s="84"/>
      <c r="P836" s="85"/>
      <c r="Q836" s="75"/>
      <c r="R836" s="75"/>
      <c r="S836" s="75"/>
      <c r="T836" s="75"/>
      <c r="U836" s="89"/>
      <c r="V836" s="84"/>
      <c r="W836" s="84"/>
      <c r="X836" s="84"/>
      <c r="Y836" s="84"/>
      <c r="Z836" s="84"/>
      <c r="AA836" s="1"/>
      <c r="AB836" s="330"/>
      <c r="AC836" s="321"/>
      <c r="AD836" s="321"/>
    </row>
    <row r="837" spans="1:30" ht="15.75" customHeight="1">
      <c r="A837" s="83"/>
      <c r="B837" s="83"/>
      <c r="C837" s="83"/>
      <c r="D837" s="84"/>
      <c r="E837" s="84"/>
      <c r="F837" s="84"/>
      <c r="G837" s="83"/>
      <c r="H837" s="84"/>
      <c r="I837" s="84"/>
      <c r="J837" s="84"/>
      <c r="K837" s="84"/>
      <c r="L837" s="84"/>
      <c r="M837" s="84"/>
      <c r="N837" s="84"/>
      <c r="O837" s="84"/>
      <c r="P837" s="85"/>
      <c r="Q837" s="75"/>
      <c r="R837" s="75"/>
      <c r="S837" s="75"/>
      <c r="T837" s="75"/>
      <c r="U837" s="89"/>
      <c r="V837" s="84"/>
      <c r="W837" s="84"/>
      <c r="X837" s="84"/>
      <c r="Y837" s="84"/>
      <c r="Z837" s="84"/>
      <c r="AA837" s="1"/>
      <c r="AB837" s="330"/>
      <c r="AC837" s="321"/>
      <c r="AD837" s="321"/>
    </row>
    <row r="838" spans="1:30" ht="15.75" customHeight="1">
      <c r="A838" s="83"/>
      <c r="B838" s="83"/>
      <c r="C838" s="83"/>
      <c r="D838" s="84"/>
      <c r="E838" s="84"/>
      <c r="F838" s="84"/>
      <c r="G838" s="83"/>
      <c r="H838" s="84"/>
      <c r="I838" s="84"/>
      <c r="J838" s="84"/>
      <c r="K838" s="84"/>
      <c r="L838" s="84"/>
      <c r="M838" s="84"/>
      <c r="N838" s="84"/>
      <c r="O838" s="84"/>
      <c r="P838" s="85"/>
      <c r="Q838" s="75"/>
      <c r="R838" s="75"/>
      <c r="S838" s="75"/>
      <c r="T838" s="75"/>
      <c r="U838" s="89"/>
      <c r="V838" s="84"/>
      <c r="W838" s="84"/>
      <c r="X838" s="84"/>
      <c r="Y838" s="84"/>
      <c r="Z838" s="84"/>
      <c r="AA838" s="1"/>
      <c r="AB838" s="330"/>
      <c r="AC838" s="321"/>
      <c r="AD838" s="321"/>
    </row>
    <row r="839" spans="1:30" ht="15.75" customHeight="1">
      <c r="A839" s="83"/>
      <c r="B839" s="83"/>
      <c r="C839" s="83"/>
      <c r="D839" s="84"/>
      <c r="E839" s="84"/>
      <c r="F839" s="84"/>
      <c r="G839" s="83"/>
      <c r="H839" s="84"/>
      <c r="I839" s="84"/>
      <c r="J839" s="84"/>
      <c r="K839" s="84"/>
      <c r="L839" s="84"/>
      <c r="M839" s="84"/>
      <c r="N839" s="84"/>
      <c r="O839" s="84"/>
      <c r="P839" s="85"/>
      <c r="Q839" s="75"/>
      <c r="R839" s="75"/>
      <c r="S839" s="75"/>
      <c r="T839" s="75"/>
      <c r="U839" s="89"/>
      <c r="V839" s="84"/>
      <c r="W839" s="84"/>
      <c r="X839" s="84"/>
      <c r="Y839" s="84"/>
      <c r="Z839" s="84"/>
      <c r="AA839" s="1"/>
      <c r="AB839" s="330"/>
      <c r="AC839" s="321"/>
      <c r="AD839" s="321"/>
    </row>
    <row r="840" spans="1:30" ht="15.75" customHeight="1">
      <c r="A840" s="83"/>
      <c r="B840" s="83"/>
      <c r="C840" s="83"/>
      <c r="D840" s="84"/>
      <c r="E840" s="84"/>
      <c r="F840" s="84"/>
      <c r="G840" s="83"/>
      <c r="H840" s="84"/>
      <c r="I840" s="84"/>
      <c r="J840" s="84"/>
      <c r="K840" s="84"/>
      <c r="L840" s="84"/>
      <c r="M840" s="84"/>
      <c r="N840" s="84"/>
      <c r="O840" s="84"/>
      <c r="P840" s="85"/>
      <c r="Q840" s="75"/>
      <c r="R840" s="75"/>
      <c r="S840" s="75"/>
      <c r="T840" s="75"/>
      <c r="U840" s="89"/>
      <c r="V840" s="84"/>
      <c r="W840" s="84"/>
      <c r="X840" s="84"/>
      <c r="Y840" s="84"/>
      <c r="Z840" s="84"/>
      <c r="AA840" s="1"/>
      <c r="AB840" s="330"/>
      <c r="AC840" s="321"/>
      <c r="AD840" s="321"/>
    </row>
    <row r="841" spans="1:30" ht="15.75" customHeight="1">
      <c r="A841" s="83"/>
      <c r="B841" s="83"/>
      <c r="C841" s="83"/>
      <c r="D841" s="84"/>
      <c r="E841" s="84"/>
      <c r="F841" s="84"/>
      <c r="G841" s="83"/>
      <c r="H841" s="84"/>
      <c r="I841" s="84"/>
      <c r="J841" s="84"/>
      <c r="K841" s="84"/>
      <c r="L841" s="84"/>
      <c r="M841" s="84"/>
      <c r="N841" s="84"/>
      <c r="O841" s="84"/>
      <c r="P841" s="85"/>
      <c r="Q841" s="75"/>
      <c r="R841" s="75"/>
      <c r="S841" s="75"/>
      <c r="T841" s="75"/>
      <c r="U841" s="89"/>
      <c r="V841" s="84"/>
      <c r="W841" s="84"/>
      <c r="X841" s="84"/>
      <c r="Y841" s="84"/>
      <c r="Z841" s="84"/>
      <c r="AA841" s="1"/>
      <c r="AB841" s="330"/>
      <c r="AC841" s="321"/>
      <c r="AD841" s="321"/>
    </row>
    <row r="842" spans="1:30" ht="15.75" customHeight="1">
      <c r="A842" s="83"/>
      <c r="B842" s="83"/>
      <c r="C842" s="83"/>
      <c r="D842" s="84"/>
      <c r="E842" s="84"/>
      <c r="F842" s="84"/>
      <c r="G842" s="83"/>
      <c r="H842" s="84"/>
      <c r="I842" s="84"/>
      <c r="J842" s="84"/>
      <c r="K842" s="84"/>
      <c r="L842" s="84"/>
      <c r="M842" s="84"/>
      <c r="N842" s="84"/>
      <c r="O842" s="84"/>
      <c r="P842" s="85"/>
      <c r="Q842" s="75"/>
      <c r="R842" s="75"/>
      <c r="S842" s="75"/>
      <c r="T842" s="75"/>
      <c r="U842" s="89"/>
      <c r="V842" s="84"/>
      <c r="W842" s="84"/>
      <c r="X842" s="84"/>
      <c r="Y842" s="84"/>
      <c r="Z842" s="84"/>
      <c r="AA842" s="1"/>
      <c r="AB842" s="330"/>
      <c r="AC842" s="321"/>
      <c r="AD842" s="321"/>
    </row>
    <row r="843" spans="1:30" ht="15.75" customHeight="1">
      <c r="A843" s="83"/>
      <c r="B843" s="83"/>
      <c r="C843" s="83"/>
      <c r="D843" s="84"/>
      <c r="E843" s="84"/>
      <c r="F843" s="84"/>
      <c r="G843" s="83"/>
      <c r="H843" s="84"/>
      <c r="I843" s="84"/>
      <c r="J843" s="84"/>
      <c r="K843" s="84"/>
      <c r="L843" s="84"/>
      <c r="M843" s="84"/>
      <c r="N843" s="84"/>
      <c r="O843" s="84"/>
      <c r="P843" s="85"/>
      <c r="Q843" s="75"/>
      <c r="R843" s="75"/>
      <c r="S843" s="75"/>
      <c r="T843" s="75"/>
      <c r="U843" s="89"/>
      <c r="V843" s="84"/>
      <c r="W843" s="84"/>
      <c r="X843" s="84"/>
      <c r="Y843" s="84"/>
      <c r="Z843" s="84"/>
      <c r="AA843" s="1"/>
      <c r="AB843" s="330"/>
      <c r="AC843" s="321"/>
      <c r="AD843" s="321"/>
    </row>
    <row r="844" spans="1:30" ht="15.75" customHeight="1">
      <c r="A844" s="83"/>
      <c r="B844" s="83"/>
      <c r="C844" s="83"/>
      <c r="D844" s="84"/>
      <c r="E844" s="84"/>
      <c r="F844" s="84"/>
      <c r="G844" s="83"/>
      <c r="H844" s="84"/>
      <c r="I844" s="84"/>
      <c r="J844" s="84"/>
      <c r="K844" s="84"/>
      <c r="L844" s="84"/>
      <c r="M844" s="84"/>
      <c r="N844" s="84"/>
      <c r="O844" s="84"/>
      <c r="P844" s="85"/>
      <c r="Q844" s="75"/>
      <c r="R844" s="75"/>
      <c r="S844" s="75"/>
      <c r="T844" s="75"/>
      <c r="U844" s="89"/>
      <c r="V844" s="84"/>
      <c r="W844" s="84"/>
      <c r="X844" s="84"/>
      <c r="Y844" s="84"/>
      <c r="Z844" s="84"/>
      <c r="AA844" s="1"/>
      <c r="AB844" s="330"/>
      <c r="AC844" s="321"/>
      <c r="AD844" s="321"/>
    </row>
    <row r="845" spans="1:30" ht="15.75" customHeight="1">
      <c r="A845" s="83"/>
      <c r="B845" s="83"/>
      <c r="C845" s="83"/>
      <c r="D845" s="84"/>
      <c r="E845" s="84"/>
      <c r="F845" s="84"/>
      <c r="G845" s="83"/>
      <c r="H845" s="84"/>
      <c r="I845" s="84"/>
      <c r="J845" s="84"/>
      <c r="K845" s="84"/>
      <c r="L845" s="84"/>
      <c r="M845" s="84"/>
      <c r="N845" s="84"/>
      <c r="O845" s="84"/>
      <c r="P845" s="85"/>
      <c r="Q845" s="75"/>
      <c r="R845" s="75"/>
      <c r="S845" s="75"/>
      <c r="T845" s="75"/>
      <c r="U845" s="89"/>
      <c r="V845" s="84"/>
      <c r="W845" s="84"/>
      <c r="X845" s="84"/>
      <c r="Y845" s="84"/>
      <c r="Z845" s="84"/>
      <c r="AA845" s="1"/>
      <c r="AB845" s="330"/>
      <c r="AC845" s="321"/>
      <c r="AD845" s="321"/>
    </row>
    <row r="846" spans="1:30" ht="15.75" customHeight="1">
      <c r="A846" s="83"/>
      <c r="B846" s="83"/>
      <c r="C846" s="83"/>
      <c r="D846" s="84"/>
      <c r="E846" s="84"/>
      <c r="F846" s="84"/>
      <c r="G846" s="83"/>
      <c r="H846" s="84"/>
      <c r="I846" s="84"/>
      <c r="J846" s="84"/>
      <c r="K846" s="84"/>
      <c r="L846" s="84"/>
      <c r="M846" s="84"/>
      <c r="N846" s="84"/>
      <c r="O846" s="84"/>
      <c r="P846" s="85"/>
      <c r="Q846" s="75"/>
      <c r="R846" s="75"/>
      <c r="S846" s="75"/>
      <c r="T846" s="75"/>
      <c r="U846" s="89"/>
      <c r="V846" s="84"/>
      <c r="W846" s="84"/>
      <c r="X846" s="84"/>
      <c r="Y846" s="84"/>
      <c r="Z846" s="84"/>
      <c r="AA846" s="1"/>
      <c r="AB846" s="330"/>
      <c r="AC846" s="321"/>
      <c r="AD846" s="321"/>
    </row>
    <row r="847" spans="1:30" ht="15.75" customHeight="1">
      <c r="A847" s="83"/>
      <c r="B847" s="83"/>
      <c r="C847" s="83"/>
      <c r="D847" s="84"/>
      <c r="E847" s="84"/>
      <c r="F847" s="84"/>
      <c r="G847" s="83"/>
      <c r="H847" s="84"/>
      <c r="I847" s="84"/>
      <c r="J847" s="84"/>
      <c r="K847" s="84"/>
      <c r="L847" s="84"/>
      <c r="M847" s="84"/>
      <c r="N847" s="84"/>
      <c r="O847" s="84"/>
      <c r="P847" s="85"/>
      <c r="Q847" s="75"/>
      <c r="R847" s="75"/>
      <c r="S847" s="75"/>
      <c r="T847" s="75"/>
      <c r="U847" s="89"/>
      <c r="V847" s="84"/>
      <c r="W847" s="84"/>
      <c r="X847" s="84"/>
      <c r="Y847" s="84"/>
      <c r="Z847" s="84"/>
      <c r="AA847" s="1"/>
      <c r="AB847" s="330"/>
      <c r="AC847" s="321"/>
      <c r="AD847" s="321"/>
    </row>
    <row r="848" spans="1:30" ht="15.75" customHeight="1">
      <c r="A848" s="83"/>
      <c r="B848" s="83"/>
      <c r="C848" s="83"/>
      <c r="D848" s="84"/>
      <c r="E848" s="84"/>
      <c r="F848" s="84"/>
      <c r="G848" s="83"/>
      <c r="H848" s="84"/>
      <c r="I848" s="84"/>
      <c r="J848" s="84"/>
      <c r="K848" s="84"/>
      <c r="L848" s="84"/>
      <c r="M848" s="84"/>
      <c r="N848" s="84"/>
      <c r="O848" s="84"/>
      <c r="P848" s="85"/>
      <c r="Q848" s="75"/>
      <c r="R848" s="75"/>
      <c r="S848" s="75"/>
      <c r="T848" s="75"/>
      <c r="U848" s="89"/>
      <c r="V848" s="84"/>
      <c r="W848" s="84"/>
      <c r="X848" s="84"/>
      <c r="Y848" s="84"/>
      <c r="Z848" s="84"/>
      <c r="AA848" s="1"/>
      <c r="AB848" s="330"/>
      <c r="AC848" s="321"/>
      <c r="AD848" s="321"/>
    </row>
    <row r="849" spans="1:30" ht="15.75" customHeight="1">
      <c r="A849" s="83"/>
      <c r="B849" s="83"/>
      <c r="C849" s="83"/>
      <c r="D849" s="84"/>
      <c r="E849" s="84"/>
      <c r="F849" s="84"/>
      <c r="G849" s="83"/>
      <c r="H849" s="84"/>
      <c r="I849" s="84"/>
      <c r="J849" s="84"/>
      <c r="K849" s="84"/>
      <c r="L849" s="84"/>
      <c r="M849" s="84"/>
      <c r="N849" s="84"/>
      <c r="O849" s="84"/>
      <c r="P849" s="85"/>
      <c r="Q849" s="75"/>
      <c r="R849" s="75"/>
      <c r="S849" s="75"/>
      <c r="T849" s="75"/>
      <c r="U849" s="89"/>
      <c r="V849" s="84"/>
      <c r="W849" s="84"/>
      <c r="X849" s="84"/>
      <c r="Y849" s="84"/>
      <c r="Z849" s="84"/>
      <c r="AA849" s="1"/>
      <c r="AB849" s="330"/>
      <c r="AC849" s="321"/>
      <c r="AD849" s="321"/>
    </row>
    <row r="850" spans="1:30" ht="15.75" customHeight="1">
      <c r="A850" s="83"/>
      <c r="B850" s="83"/>
      <c r="C850" s="83"/>
      <c r="D850" s="84"/>
      <c r="E850" s="84"/>
      <c r="F850" s="84"/>
      <c r="G850" s="83"/>
      <c r="H850" s="84"/>
      <c r="I850" s="84"/>
      <c r="J850" s="84"/>
      <c r="K850" s="84"/>
      <c r="L850" s="84"/>
      <c r="M850" s="84"/>
      <c r="N850" s="84"/>
      <c r="O850" s="84"/>
      <c r="P850" s="85"/>
      <c r="Q850" s="75"/>
      <c r="R850" s="75"/>
      <c r="S850" s="75"/>
      <c r="T850" s="75"/>
      <c r="U850" s="89"/>
      <c r="V850" s="84"/>
      <c r="W850" s="84"/>
      <c r="X850" s="84"/>
      <c r="Y850" s="84"/>
      <c r="Z850" s="84"/>
      <c r="AA850" s="1"/>
      <c r="AB850" s="330"/>
      <c r="AC850" s="321"/>
      <c r="AD850" s="321"/>
    </row>
    <row r="851" spans="1:30" ht="15.75" customHeight="1">
      <c r="A851" s="83"/>
      <c r="B851" s="83"/>
      <c r="C851" s="83"/>
      <c r="D851" s="84"/>
      <c r="E851" s="84"/>
      <c r="F851" s="84"/>
      <c r="G851" s="83"/>
      <c r="H851" s="84"/>
      <c r="I851" s="84"/>
      <c r="J851" s="84"/>
      <c r="K851" s="84"/>
      <c r="L851" s="84"/>
      <c r="M851" s="84"/>
      <c r="N851" s="84"/>
      <c r="O851" s="84"/>
      <c r="P851" s="85"/>
      <c r="Q851" s="75"/>
      <c r="R851" s="75"/>
      <c r="S851" s="75"/>
      <c r="T851" s="75"/>
      <c r="U851" s="89"/>
      <c r="V851" s="84"/>
      <c r="W851" s="84"/>
      <c r="X851" s="84"/>
      <c r="Y851" s="84"/>
      <c r="Z851" s="84"/>
      <c r="AA851" s="1"/>
      <c r="AB851" s="330"/>
      <c r="AC851" s="321"/>
      <c r="AD851" s="321"/>
    </row>
    <row r="852" spans="1:30" ht="15.75" customHeight="1">
      <c r="A852" s="83"/>
      <c r="B852" s="83"/>
      <c r="C852" s="83"/>
      <c r="D852" s="84"/>
      <c r="E852" s="84"/>
      <c r="F852" s="84"/>
      <c r="G852" s="83"/>
      <c r="H852" s="84"/>
      <c r="I852" s="84"/>
      <c r="J852" s="84"/>
      <c r="K852" s="84"/>
      <c r="L852" s="84"/>
      <c r="M852" s="84"/>
      <c r="N852" s="84"/>
      <c r="O852" s="84"/>
      <c r="P852" s="85"/>
      <c r="Q852" s="75"/>
      <c r="R852" s="75"/>
      <c r="S852" s="75"/>
      <c r="T852" s="75"/>
      <c r="U852" s="89"/>
      <c r="V852" s="84"/>
      <c r="W852" s="84"/>
      <c r="X852" s="84"/>
      <c r="Y852" s="84"/>
      <c r="Z852" s="84"/>
      <c r="AA852" s="1"/>
      <c r="AB852" s="330"/>
      <c r="AC852" s="321"/>
      <c r="AD852" s="321"/>
    </row>
    <row r="853" spans="1:30" ht="15.75" customHeight="1">
      <c r="A853" s="83"/>
      <c r="B853" s="83"/>
      <c r="C853" s="83"/>
      <c r="D853" s="84"/>
      <c r="E853" s="84"/>
      <c r="F853" s="84"/>
      <c r="G853" s="83"/>
      <c r="H853" s="84"/>
      <c r="I853" s="84"/>
      <c r="J853" s="84"/>
      <c r="K853" s="84"/>
      <c r="L853" s="84"/>
      <c r="M853" s="84"/>
      <c r="N853" s="84"/>
      <c r="O853" s="84"/>
      <c r="P853" s="85"/>
      <c r="Q853" s="75"/>
      <c r="R853" s="75"/>
      <c r="S853" s="75"/>
      <c r="T853" s="75"/>
      <c r="U853" s="89"/>
      <c r="V853" s="84"/>
      <c r="W853" s="84"/>
      <c r="X853" s="84"/>
      <c r="Y853" s="84"/>
      <c r="Z853" s="84"/>
      <c r="AA853" s="1"/>
      <c r="AB853" s="330"/>
      <c r="AC853" s="321"/>
      <c r="AD853" s="321"/>
    </row>
    <row r="854" spans="1:30" ht="15.75" customHeight="1">
      <c r="A854" s="83"/>
      <c r="B854" s="83"/>
      <c r="C854" s="83"/>
      <c r="D854" s="84"/>
      <c r="E854" s="84"/>
      <c r="F854" s="84"/>
      <c r="G854" s="83"/>
      <c r="H854" s="84"/>
      <c r="I854" s="84"/>
      <c r="J854" s="84"/>
      <c r="K854" s="84"/>
      <c r="L854" s="84"/>
      <c r="M854" s="84"/>
      <c r="N854" s="84"/>
      <c r="O854" s="84"/>
      <c r="P854" s="85"/>
      <c r="Q854" s="75"/>
      <c r="R854" s="75"/>
      <c r="S854" s="75"/>
      <c r="T854" s="75"/>
      <c r="U854" s="89"/>
      <c r="V854" s="84"/>
      <c r="W854" s="84"/>
      <c r="X854" s="84"/>
      <c r="Y854" s="84"/>
      <c r="Z854" s="84"/>
      <c r="AA854" s="1"/>
      <c r="AB854" s="330"/>
      <c r="AC854" s="321"/>
      <c r="AD854" s="321"/>
    </row>
    <row r="855" spans="1:30" ht="15.75" customHeight="1">
      <c r="A855" s="83"/>
      <c r="B855" s="83"/>
      <c r="C855" s="83"/>
      <c r="D855" s="84"/>
      <c r="E855" s="84"/>
      <c r="F855" s="84"/>
      <c r="G855" s="83"/>
      <c r="H855" s="84"/>
      <c r="I855" s="84"/>
      <c r="J855" s="84"/>
      <c r="K855" s="84"/>
      <c r="L855" s="84"/>
      <c r="M855" s="84"/>
      <c r="N855" s="84"/>
      <c r="O855" s="84"/>
      <c r="P855" s="85"/>
      <c r="Q855" s="75"/>
      <c r="R855" s="75"/>
      <c r="S855" s="75"/>
      <c r="T855" s="75"/>
      <c r="U855" s="89"/>
      <c r="V855" s="84"/>
      <c r="W855" s="84"/>
      <c r="X855" s="84"/>
      <c r="Y855" s="84"/>
      <c r="Z855" s="84"/>
      <c r="AA855" s="1"/>
      <c r="AB855" s="330"/>
      <c r="AC855" s="321"/>
      <c r="AD855" s="321"/>
    </row>
    <row r="856" spans="1:30" ht="15.75" customHeight="1">
      <c r="A856" s="83"/>
      <c r="B856" s="83"/>
      <c r="C856" s="83"/>
      <c r="D856" s="84"/>
      <c r="E856" s="84"/>
      <c r="F856" s="84"/>
      <c r="G856" s="83"/>
      <c r="H856" s="84"/>
      <c r="I856" s="84"/>
      <c r="J856" s="84"/>
      <c r="K856" s="84"/>
      <c r="L856" s="84"/>
      <c r="M856" s="84"/>
      <c r="N856" s="84"/>
      <c r="O856" s="84"/>
      <c r="P856" s="85"/>
      <c r="Q856" s="75"/>
      <c r="R856" s="75"/>
      <c r="S856" s="75"/>
      <c r="T856" s="75"/>
      <c r="U856" s="89"/>
      <c r="V856" s="84"/>
      <c r="W856" s="84"/>
      <c r="X856" s="84"/>
      <c r="Y856" s="84"/>
      <c r="Z856" s="84"/>
      <c r="AA856" s="1"/>
      <c r="AB856" s="330"/>
      <c r="AC856" s="321"/>
      <c r="AD856" s="321"/>
    </row>
    <row r="857" spans="1:30" ht="15.75" customHeight="1">
      <c r="A857" s="83"/>
      <c r="B857" s="83"/>
      <c r="C857" s="83"/>
      <c r="D857" s="84"/>
      <c r="E857" s="84"/>
      <c r="F857" s="84"/>
      <c r="G857" s="83"/>
      <c r="H857" s="84"/>
      <c r="I857" s="84"/>
      <c r="J857" s="84"/>
      <c r="K857" s="84"/>
      <c r="L857" s="84"/>
      <c r="M857" s="84"/>
      <c r="N857" s="84"/>
      <c r="O857" s="84"/>
      <c r="P857" s="85"/>
      <c r="Q857" s="75"/>
      <c r="R857" s="75"/>
      <c r="S857" s="75"/>
      <c r="T857" s="75"/>
      <c r="U857" s="89"/>
      <c r="V857" s="84"/>
      <c r="W857" s="84"/>
      <c r="X857" s="84"/>
      <c r="Y857" s="84"/>
      <c r="Z857" s="84"/>
      <c r="AA857" s="1"/>
      <c r="AB857" s="330"/>
      <c r="AC857" s="321"/>
      <c r="AD857" s="321"/>
    </row>
    <row r="858" spans="1:30" ht="15.75" customHeight="1">
      <c r="A858" s="83"/>
      <c r="B858" s="83"/>
      <c r="C858" s="83"/>
      <c r="D858" s="84"/>
      <c r="E858" s="84"/>
      <c r="F858" s="84"/>
      <c r="G858" s="83"/>
      <c r="H858" s="84"/>
      <c r="I858" s="84"/>
      <c r="J858" s="84"/>
      <c r="K858" s="84"/>
      <c r="L858" s="84"/>
      <c r="M858" s="84"/>
      <c r="N858" s="84"/>
      <c r="O858" s="84"/>
      <c r="P858" s="85"/>
      <c r="Q858" s="75"/>
      <c r="R858" s="75"/>
      <c r="S858" s="75"/>
      <c r="T858" s="75"/>
      <c r="U858" s="89"/>
      <c r="V858" s="84"/>
      <c r="W858" s="84"/>
      <c r="X858" s="84"/>
      <c r="Y858" s="84"/>
      <c r="Z858" s="84"/>
      <c r="AA858" s="1"/>
      <c r="AB858" s="330"/>
      <c r="AC858" s="321"/>
      <c r="AD858" s="321"/>
    </row>
    <row r="859" spans="1:30" ht="15.75" customHeight="1">
      <c r="A859" s="83"/>
      <c r="B859" s="83"/>
      <c r="C859" s="83"/>
      <c r="D859" s="84"/>
      <c r="E859" s="84"/>
      <c r="F859" s="84"/>
      <c r="G859" s="83"/>
      <c r="H859" s="84"/>
      <c r="I859" s="84"/>
      <c r="J859" s="84"/>
      <c r="K859" s="84"/>
      <c r="L859" s="84"/>
      <c r="M859" s="84"/>
      <c r="N859" s="84"/>
      <c r="O859" s="84"/>
      <c r="P859" s="85"/>
      <c r="Q859" s="75"/>
      <c r="R859" s="75"/>
      <c r="S859" s="75"/>
      <c r="T859" s="75"/>
      <c r="U859" s="89"/>
      <c r="V859" s="84"/>
      <c r="W859" s="84"/>
      <c r="X859" s="84"/>
      <c r="Y859" s="84"/>
      <c r="Z859" s="84"/>
      <c r="AA859" s="1"/>
      <c r="AB859" s="330"/>
      <c r="AC859" s="321"/>
      <c r="AD859" s="321"/>
    </row>
    <row r="860" spans="1:30" ht="15.75" customHeight="1">
      <c r="A860" s="83"/>
      <c r="B860" s="83"/>
      <c r="C860" s="83"/>
      <c r="D860" s="84"/>
      <c r="E860" s="84"/>
      <c r="F860" s="84"/>
      <c r="G860" s="83"/>
      <c r="H860" s="84"/>
      <c r="I860" s="84"/>
      <c r="J860" s="84"/>
      <c r="K860" s="84"/>
      <c r="L860" s="84"/>
      <c r="M860" s="84"/>
      <c r="N860" s="84"/>
      <c r="O860" s="84"/>
      <c r="P860" s="85"/>
      <c r="Q860" s="75"/>
      <c r="R860" s="75"/>
      <c r="S860" s="75"/>
      <c r="T860" s="75"/>
      <c r="U860" s="89"/>
      <c r="V860" s="84"/>
      <c r="W860" s="84"/>
      <c r="X860" s="84"/>
      <c r="Y860" s="84"/>
      <c r="Z860" s="84"/>
      <c r="AA860" s="1"/>
      <c r="AB860" s="330"/>
      <c r="AC860" s="321"/>
      <c r="AD860" s="321"/>
    </row>
    <row r="861" spans="1:30" ht="15.75" customHeight="1">
      <c r="A861" s="83"/>
      <c r="B861" s="83"/>
      <c r="C861" s="83"/>
      <c r="D861" s="84"/>
      <c r="E861" s="84"/>
      <c r="F861" s="84"/>
      <c r="G861" s="83"/>
      <c r="H861" s="84"/>
      <c r="I861" s="84"/>
      <c r="J861" s="84"/>
      <c r="K861" s="84"/>
      <c r="L861" s="84"/>
      <c r="M861" s="84"/>
      <c r="N861" s="84"/>
      <c r="O861" s="84"/>
      <c r="P861" s="85"/>
      <c r="Q861" s="75"/>
      <c r="R861" s="75"/>
      <c r="S861" s="75"/>
      <c r="T861" s="75"/>
      <c r="U861" s="89"/>
      <c r="V861" s="84"/>
      <c r="W861" s="84"/>
      <c r="X861" s="84"/>
      <c r="Y861" s="84"/>
      <c r="Z861" s="84"/>
      <c r="AA861" s="1"/>
      <c r="AB861" s="330"/>
      <c r="AC861" s="321"/>
      <c r="AD861" s="321"/>
    </row>
    <row r="862" spans="1:30" ht="15.75" customHeight="1">
      <c r="A862" s="83"/>
      <c r="B862" s="83"/>
      <c r="C862" s="83"/>
      <c r="D862" s="84"/>
      <c r="E862" s="84"/>
      <c r="F862" s="84"/>
      <c r="G862" s="83"/>
      <c r="H862" s="84"/>
      <c r="I862" s="84"/>
      <c r="J862" s="84"/>
      <c r="K862" s="84"/>
      <c r="L862" s="84"/>
      <c r="M862" s="84"/>
      <c r="N862" s="84"/>
      <c r="O862" s="84"/>
      <c r="P862" s="85"/>
      <c r="Q862" s="75"/>
      <c r="R862" s="75"/>
      <c r="S862" s="75"/>
      <c r="T862" s="75"/>
      <c r="U862" s="89"/>
      <c r="V862" s="84"/>
      <c r="W862" s="84"/>
      <c r="X862" s="84"/>
      <c r="Y862" s="84"/>
      <c r="Z862" s="84"/>
      <c r="AA862" s="1"/>
      <c r="AB862" s="330"/>
      <c r="AC862" s="321"/>
      <c r="AD862" s="321"/>
    </row>
    <row r="863" spans="1:30" ht="15.75" customHeight="1">
      <c r="A863" s="83"/>
      <c r="B863" s="83"/>
      <c r="C863" s="83"/>
      <c r="D863" s="84"/>
      <c r="E863" s="84"/>
      <c r="F863" s="84"/>
      <c r="G863" s="83"/>
      <c r="H863" s="84"/>
      <c r="I863" s="84"/>
      <c r="J863" s="84"/>
      <c r="K863" s="84"/>
      <c r="L863" s="84"/>
      <c r="M863" s="84"/>
      <c r="N863" s="84"/>
      <c r="O863" s="84"/>
      <c r="P863" s="85"/>
      <c r="Q863" s="75"/>
      <c r="R863" s="75"/>
      <c r="S863" s="75"/>
      <c r="T863" s="75"/>
      <c r="U863" s="89"/>
      <c r="V863" s="84"/>
      <c r="W863" s="84"/>
      <c r="X863" s="84"/>
      <c r="Y863" s="84"/>
      <c r="Z863" s="84"/>
      <c r="AA863" s="1"/>
      <c r="AB863" s="330"/>
      <c r="AC863" s="321"/>
      <c r="AD863" s="321"/>
    </row>
    <row r="864" spans="1:30" ht="15.75" customHeight="1">
      <c r="A864" s="83"/>
      <c r="B864" s="83"/>
      <c r="C864" s="83"/>
      <c r="D864" s="84"/>
      <c r="E864" s="84"/>
      <c r="F864" s="84"/>
      <c r="G864" s="83"/>
      <c r="H864" s="84"/>
      <c r="I864" s="84"/>
      <c r="J864" s="84"/>
      <c r="K864" s="84"/>
      <c r="L864" s="84"/>
      <c r="M864" s="84"/>
      <c r="N864" s="84"/>
      <c r="O864" s="84"/>
      <c r="P864" s="85"/>
      <c r="Q864" s="75"/>
      <c r="R864" s="75"/>
      <c r="S864" s="75"/>
      <c r="T864" s="75"/>
      <c r="U864" s="89"/>
      <c r="V864" s="84"/>
      <c r="W864" s="84"/>
      <c r="X864" s="84"/>
      <c r="Y864" s="84"/>
      <c r="Z864" s="84"/>
      <c r="AA864" s="1"/>
      <c r="AB864" s="330"/>
      <c r="AC864" s="321"/>
      <c r="AD864" s="321"/>
    </row>
    <row r="865" spans="1:30" ht="15.75" customHeight="1">
      <c r="A865" s="83"/>
      <c r="B865" s="83"/>
      <c r="C865" s="83"/>
      <c r="D865" s="84"/>
      <c r="E865" s="84"/>
      <c r="F865" s="84"/>
      <c r="G865" s="83"/>
      <c r="H865" s="84"/>
      <c r="I865" s="84"/>
      <c r="J865" s="84"/>
      <c r="K865" s="84"/>
      <c r="L865" s="84"/>
      <c r="M865" s="84"/>
      <c r="N865" s="84"/>
      <c r="O865" s="84"/>
      <c r="P865" s="85"/>
      <c r="Q865" s="75"/>
      <c r="R865" s="75"/>
      <c r="S865" s="75"/>
      <c r="T865" s="75"/>
      <c r="U865" s="89"/>
      <c r="V865" s="84"/>
      <c r="W865" s="84"/>
      <c r="X865" s="84"/>
      <c r="Y865" s="84"/>
      <c r="Z865" s="84"/>
      <c r="AA865" s="1"/>
      <c r="AB865" s="330"/>
      <c r="AC865" s="321"/>
      <c r="AD865" s="321"/>
    </row>
    <row r="866" spans="1:30" ht="15.75" customHeight="1">
      <c r="A866" s="83"/>
      <c r="B866" s="83"/>
      <c r="C866" s="83"/>
      <c r="D866" s="84"/>
      <c r="E866" s="84"/>
      <c r="F866" s="84"/>
      <c r="G866" s="83"/>
      <c r="H866" s="84"/>
      <c r="I866" s="84"/>
      <c r="J866" s="84"/>
      <c r="K866" s="84"/>
      <c r="L866" s="84"/>
      <c r="M866" s="84"/>
      <c r="N866" s="84"/>
      <c r="O866" s="84"/>
      <c r="P866" s="85"/>
      <c r="Q866" s="75"/>
      <c r="R866" s="75"/>
      <c r="S866" s="75"/>
      <c r="T866" s="75"/>
      <c r="U866" s="89"/>
      <c r="V866" s="84"/>
      <c r="W866" s="84"/>
      <c r="X866" s="84"/>
      <c r="Y866" s="84"/>
      <c r="Z866" s="84"/>
      <c r="AA866" s="1"/>
      <c r="AB866" s="330"/>
      <c r="AC866" s="321"/>
      <c r="AD866" s="321"/>
    </row>
    <row r="867" spans="1:30" ht="15.75" customHeight="1">
      <c r="A867" s="83"/>
      <c r="B867" s="83"/>
      <c r="C867" s="83"/>
      <c r="D867" s="84"/>
      <c r="E867" s="84"/>
      <c r="F867" s="84"/>
      <c r="G867" s="83"/>
      <c r="H867" s="84"/>
      <c r="I867" s="84"/>
      <c r="J867" s="84"/>
      <c r="K867" s="84"/>
      <c r="L867" s="84"/>
      <c r="M867" s="84"/>
      <c r="N867" s="84"/>
      <c r="O867" s="84"/>
      <c r="P867" s="85"/>
      <c r="Q867" s="75"/>
      <c r="R867" s="75"/>
      <c r="S867" s="75"/>
      <c r="T867" s="75"/>
      <c r="U867" s="89"/>
      <c r="V867" s="84"/>
      <c r="W867" s="84"/>
      <c r="X867" s="84"/>
      <c r="Y867" s="84"/>
      <c r="Z867" s="84"/>
      <c r="AA867" s="1"/>
      <c r="AB867" s="330"/>
      <c r="AC867" s="321"/>
      <c r="AD867" s="321"/>
    </row>
    <row r="868" spans="1:30" ht="15.75" customHeight="1">
      <c r="A868" s="83"/>
      <c r="B868" s="83"/>
      <c r="C868" s="83"/>
      <c r="D868" s="84"/>
      <c r="E868" s="84"/>
      <c r="F868" s="84"/>
      <c r="G868" s="83"/>
      <c r="H868" s="84"/>
      <c r="I868" s="84"/>
      <c r="J868" s="84"/>
      <c r="K868" s="84"/>
      <c r="L868" s="84"/>
      <c r="M868" s="84"/>
      <c r="N868" s="84"/>
      <c r="O868" s="84"/>
      <c r="P868" s="85"/>
      <c r="Q868" s="75"/>
      <c r="R868" s="75"/>
      <c r="S868" s="75"/>
      <c r="T868" s="75"/>
      <c r="U868" s="89"/>
      <c r="V868" s="84"/>
      <c r="W868" s="84"/>
      <c r="X868" s="84"/>
      <c r="Y868" s="84"/>
      <c r="Z868" s="84"/>
      <c r="AA868" s="1"/>
      <c r="AB868" s="330"/>
      <c r="AC868" s="321"/>
      <c r="AD868" s="321"/>
    </row>
    <row r="869" spans="1:30" ht="15.75" customHeight="1">
      <c r="A869" s="83"/>
      <c r="B869" s="83"/>
      <c r="C869" s="83"/>
      <c r="D869" s="84"/>
      <c r="E869" s="84"/>
      <c r="F869" s="84"/>
      <c r="G869" s="83"/>
      <c r="H869" s="84"/>
      <c r="I869" s="84"/>
      <c r="J869" s="84"/>
      <c r="K869" s="84"/>
      <c r="L869" s="84"/>
      <c r="M869" s="84"/>
      <c r="N869" s="84"/>
      <c r="O869" s="84"/>
      <c r="P869" s="85"/>
      <c r="Q869" s="75"/>
      <c r="R869" s="75"/>
      <c r="S869" s="75"/>
      <c r="T869" s="75"/>
      <c r="U869" s="89"/>
      <c r="V869" s="84"/>
      <c r="W869" s="84"/>
      <c r="X869" s="84"/>
      <c r="Y869" s="84"/>
      <c r="Z869" s="84"/>
      <c r="AA869" s="1"/>
      <c r="AB869" s="330"/>
      <c r="AC869" s="321"/>
      <c r="AD869" s="321"/>
    </row>
    <row r="870" spans="1:30" ht="15.75" customHeight="1">
      <c r="A870" s="83"/>
      <c r="B870" s="83"/>
      <c r="C870" s="83"/>
      <c r="D870" s="84"/>
      <c r="E870" s="84"/>
      <c r="F870" s="84"/>
      <c r="G870" s="83"/>
      <c r="H870" s="84"/>
      <c r="I870" s="84"/>
      <c r="J870" s="84"/>
      <c r="K870" s="84"/>
      <c r="L870" s="84"/>
      <c r="M870" s="84"/>
      <c r="N870" s="84"/>
      <c r="O870" s="84"/>
      <c r="P870" s="85"/>
      <c r="Q870" s="75"/>
      <c r="R870" s="75"/>
      <c r="S870" s="75"/>
      <c r="T870" s="75"/>
      <c r="U870" s="89"/>
      <c r="V870" s="84"/>
      <c r="W870" s="84"/>
      <c r="X870" s="84"/>
      <c r="Y870" s="84"/>
      <c r="Z870" s="84"/>
      <c r="AA870" s="1"/>
      <c r="AB870" s="330"/>
      <c r="AC870" s="321"/>
      <c r="AD870" s="321"/>
    </row>
    <row r="871" spans="1:30" ht="15.75" customHeight="1">
      <c r="A871" s="83"/>
      <c r="B871" s="83"/>
      <c r="C871" s="83"/>
      <c r="D871" s="84"/>
      <c r="E871" s="84"/>
      <c r="F871" s="84"/>
      <c r="G871" s="83"/>
      <c r="H871" s="84"/>
      <c r="I871" s="84"/>
      <c r="J871" s="84"/>
      <c r="K871" s="84"/>
      <c r="L871" s="84"/>
      <c r="M871" s="84"/>
      <c r="N871" s="84"/>
      <c r="O871" s="84"/>
      <c r="P871" s="85"/>
      <c r="Q871" s="75"/>
      <c r="R871" s="75"/>
      <c r="S871" s="75"/>
      <c r="T871" s="75"/>
      <c r="U871" s="89"/>
      <c r="V871" s="84"/>
      <c r="W871" s="84"/>
      <c r="X871" s="84"/>
      <c r="Y871" s="84"/>
      <c r="Z871" s="84"/>
      <c r="AA871" s="1"/>
      <c r="AB871" s="330"/>
      <c r="AC871" s="321"/>
      <c r="AD871" s="321"/>
    </row>
    <row r="872" spans="1:30" ht="15.75" customHeight="1">
      <c r="A872" s="83"/>
      <c r="B872" s="83"/>
      <c r="C872" s="83"/>
      <c r="D872" s="84"/>
      <c r="E872" s="84"/>
      <c r="F872" s="84"/>
      <c r="G872" s="83"/>
      <c r="H872" s="84"/>
      <c r="I872" s="84"/>
      <c r="J872" s="84"/>
      <c r="K872" s="84"/>
      <c r="L872" s="84"/>
      <c r="M872" s="84"/>
      <c r="N872" s="84"/>
      <c r="O872" s="84"/>
      <c r="P872" s="85"/>
      <c r="Q872" s="75"/>
      <c r="R872" s="75"/>
      <c r="S872" s="75"/>
      <c r="T872" s="75"/>
      <c r="U872" s="89"/>
      <c r="V872" s="84"/>
      <c r="W872" s="84"/>
      <c r="X872" s="84"/>
      <c r="Y872" s="84"/>
      <c r="Z872" s="84"/>
      <c r="AA872" s="1"/>
      <c r="AB872" s="330"/>
      <c r="AC872" s="321"/>
      <c r="AD872" s="321"/>
    </row>
    <row r="873" spans="1:30" ht="15.75" customHeight="1">
      <c r="A873" s="83"/>
      <c r="B873" s="83"/>
      <c r="C873" s="83"/>
      <c r="D873" s="84"/>
      <c r="E873" s="84"/>
      <c r="F873" s="84"/>
      <c r="G873" s="83"/>
      <c r="H873" s="84"/>
      <c r="I873" s="84"/>
      <c r="J873" s="84"/>
      <c r="K873" s="84"/>
      <c r="L873" s="84"/>
      <c r="M873" s="84"/>
      <c r="N873" s="84"/>
      <c r="O873" s="84"/>
      <c r="P873" s="85"/>
      <c r="Q873" s="75"/>
      <c r="R873" s="75"/>
      <c r="S873" s="75"/>
      <c r="T873" s="75"/>
      <c r="U873" s="89"/>
      <c r="V873" s="84"/>
      <c r="W873" s="84"/>
      <c r="X873" s="84"/>
      <c r="Y873" s="84"/>
      <c r="Z873" s="84"/>
      <c r="AA873" s="1"/>
      <c r="AB873" s="330"/>
      <c r="AC873" s="321"/>
      <c r="AD873" s="321"/>
    </row>
    <row r="874" spans="1:30" ht="15.75" customHeight="1">
      <c r="A874" s="83"/>
      <c r="B874" s="83"/>
      <c r="C874" s="83"/>
      <c r="D874" s="84"/>
      <c r="E874" s="84"/>
      <c r="F874" s="84"/>
      <c r="G874" s="83"/>
      <c r="H874" s="84"/>
      <c r="I874" s="84"/>
      <c r="J874" s="84"/>
      <c r="K874" s="84"/>
      <c r="L874" s="84"/>
      <c r="M874" s="84"/>
      <c r="N874" s="84"/>
      <c r="O874" s="84"/>
      <c r="P874" s="85"/>
      <c r="Q874" s="75"/>
      <c r="R874" s="75"/>
      <c r="S874" s="75"/>
      <c r="T874" s="75"/>
      <c r="U874" s="89"/>
      <c r="V874" s="84"/>
      <c r="W874" s="84"/>
      <c r="X874" s="84"/>
      <c r="Y874" s="84"/>
      <c r="Z874" s="84"/>
      <c r="AA874" s="1"/>
      <c r="AB874" s="330"/>
      <c r="AC874" s="321"/>
      <c r="AD874" s="321"/>
    </row>
    <row r="875" spans="1:30" ht="15.75" customHeight="1">
      <c r="A875" s="83"/>
      <c r="B875" s="83"/>
      <c r="C875" s="83"/>
      <c r="D875" s="84"/>
      <c r="E875" s="84"/>
      <c r="F875" s="84"/>
      <c r="G875" s="83"/>
      <c r="H875" s="84"/>
      <c r="I875" s="84"/>
      <c r="J875" s="84"/>
      <c r="K875" s="84"/>
      <c r="L875" s="84"/>
      <c r="M875" s="84"/>
      <c r="N875" s="84"/>
      <c r="O875" s="84"/>
      <c r="P875" s="85"/>
      <c r="Q875" s="75"/>
      <c r="R875" s="75"/>
      <c r="S875" s="75"/>
      <c r="T875" s="75"/>
      <c r="U875" s="89"/>
      <c r="V875" s="84"/>
      <c r="W875" s="84"/>
      <c r="X875" s="84"/>
      <c r="Y875" s="84"/>
      <c r="Z875" s="84"/>
      <c r="AA875" s="1"/>
      <c r="AB875" s="330"/>
      <c r="AC875" s="321"/>
      <c r="AD875" s="321"/>
    </row>
    <row r="876" spans="1:30" ht="15.75" customHeight="1">
      <c r="A876" s="83"/>
      <c r="B876" s="83"/>
      <c r="C876" s="83"/>
      <c r="D876" s="84"/>
      <c r="E876" s="84"/>
      <c r="F876" s="84"/>
      <c r="G876" s="83"/>
      <c r="H876" s="84"/>
      <c r="I876" s="84"/>
      <c r="J876" s="84"/>
      <c r="K876" s="84"/>
      <c r="L876" s="84"/>
      <c r="M876" s="84"/>
      <c r="N876" s="84"/>
      <c r="O876" s="84"/>
      <c r="P876" s="85"/>
      <c r="Q876" s="75"/>
      <c r="R876" s="75"/>
      <c r="S876" s="75"/>
      <c r="T876" s="75"/>
      <c r="U876" s="89"/>
      <c r="V876" s="84"/>
      <c r="W876" s="84"/>
      <c r="X876" s="84"/>
      <c r="Y876" s="84"/>
      <c r="Z876" s="84"/>
      <c r="AA876" s="1"/>
      <c r="AB876" s="330"/>
      <c r="AC876" s="321"/>
      <c r="AD876" s="321"/>
    </row>
    <row r="877" spans="1:30" ht="15.75" customHeight="1">
      <c r="A877" s="83"/>
      <c r="B877" s="83"/>
      <c r="C877" s="83"/>
      <c r="D877" s="84"/>
      <c r="E877" s="84"/>
      <c r="F877" s="84"/>
      <c r="G877" s="83"/>
      <c r="H877" s="84"/>
      <c r="I877" s="84"/>
      <c r="J877" s="84"/>
      <c r="K877" s="84"/>
      <c r="L877" s="84"/>
      <c r="M877" s="84"/>
      <c r="N877" s="84"/>
      <c r="O877" s="84"/>
      <c r="P877" s="85"/>
      <c r="Q877" s="75"/>
      <c r="R877" s="75"/>
      <c r="S877" s="75"/>
      <c r="T877" s="75"/>
      <c r="U877" s="89"/>
      <c r="V877" s="84"/>
      <c r="W877" s="84"/>
      <c r="X877" s="84"/>
      <c r="Y877" s="84"/>
      <c r="Z877" s="84"/>
      <c r="AA877" s="1"/>
      <c r="AB877" s="330"/>
      <c r="AC877" s="321"/>
      <c r="AD877" s="321"/>
    </row>
    <row r="878" spans="1:30" ht="15.75" customHeight="1">
      <c r="A878" s="83"/>
      <c r="B878" s="83"/>
      <c r="C878" s="83"/>
      <c r="D878" s="84"/>
      <c r="E878" s="84"/>
      <c r="F878" s="84"/>
      <c r="G878" s="83"/>
      <c r="H878" s="84"/>
      <c r="I878" s="84"/>
      <c r="J878" s="84"/>
      <c r="K878" s="84"/>
      <c r="L878" s="84"/>
      <c r="M878" s="84"/>
      <c r="N878" s="84"/>
      <c r="O878" s="84"/>
      <c r="P878" s="85"/>
      <c r="Q878" s="75"/>
      <c r="R878" s="75"/>
      <c r="S878" s="75"/>
      <c r="T878" s="75"/>
      <c r="U878" s="89"/>
      <c r="V878" s="84"/>
      <c r="W878" s="84"/>
      <c r="X878" s="84"/>
      <c r="Y878" s="84"/>
      <c r="Z878" s="84"/>
      <c r="AA878" s="1"/>
      <c r="AB878" s="330"/>
      <c r="AC878" s="321"/>
      <c r="AD878" s="321"/>
    </row>
    <row r="879" spans="1:30" ht="15.75" customHeight="1">
      <c r="A879" s="83"/>
      <c r="B879" s="83"/>
      <c r="C879" s="83"/>
      <c r="D879" s="84"/>
      <c r="E879" s="84"/>
      <c r="F879" s="84"/>
      <c r="G879" s="83"/>
      <c r="H879" s="84"/>
      <c r="I879" s="84"/>
      <c r="J879" s="84"/>
      <c r="K879" s="84"/>
      <c r="L879" s="84"/>
      <c r="M879" s="84"/>
      <c r="N879" s="84"/>
      <c r="O879" s="84"/>
      <c r="P879" s="85"/>
      <c r="Q879" s="75"/>
      <c r="R879" s="75"/>
      <c r="S879" s="75"/>
      <c r="T879" s="75"/>
      <c r="U879" s="89"/>
      <c r="V879" s="84"/>
      <c r="W879" s="84"/>
      <c r="X879" s="84"/>
      <c r="Y879" s="84"/>
      <c r="Z879" s="84"/>
      <c r="AA879" s="1"/>
      <c r="AB879" s="330"/>
      <c r="AC879" s="321"/>
      <c r="AD879" s="321"/>
    </row>
    <row r="880" spans="1:30" ht="15.75" customHeight="1">
      <c r="A880" s="83"/>
      <c r="B880" s="83"/>
      <c r="C880" s="83"/>
      <c r="D880" s="84"/>
      <c r="E880" s="84"/>
      <c r="F880" s="84"/>
      <c r="G880" s="83"/>
      <c r="H880" s="84"/>
      <c r="I880" s="84"/>
      <c r="J880" s="84"/>
      <c r="K880" s="84"/>
      <c r="L880" s="84"/>
      <c r="M880" s="84"/>
      <c r="N880" s="84"/>
      <c r="O880" s="84"/>
      <c r="P880" s="85"/>
      <c r="Q880" s="75"/>
      <c r="R880" s="75"/>
      <c r="S880" s="75"/>
      <c r="T880" s="75"/>
      <c r="U880" s="89"/>
      <c r="V880" s="84"/>
      <c r="W880" s="84"/>
      <c r="X880" s="84"/>
      <c r="Y880" s="84"/>
      <c r="Z880" s="84"/>
      <c r="AA880" s="1"/>
      <c r="AB880" s="330"/>
      <c r="AC880" s="321"/>
      <c r="AD880" s="321"/>
    </row>
    <row r="881" spans="1:30" ht="15.75" customHeight="1">
      <c r="A881" s="83"/>
      <c r="B881" s="83"/>
      <c r="C881" s="83"/>
      <c r="D881" s="84"/>
      <c r="E881" s="84"/>
      <c r="F881" s="84"/>
      <c r="G881" s="83"/>
      <c r="H881" s="84"/>
      <c r="I881" s="84"/>
      <c r="J881" s="84"/>
      <c r="K881" s="84"/>
      <c r="L881" s="84"/>
      <c r="M881" s="84"/>
      <c r="N881" s="84"/>
      <c r="O881" s="84"/>
      <c r="P881" s="85"/>
      <c r="Q881" s="75"/>
      <c r="R881" s="75"/>
      <c r="S881" s="75"/>
      <c r="T881" s="75"/>
      <c r="U881" s="89"/>
      <c r="V881" s="84"/>
      <c r="W881" s="84"/>
      <c r="X881" s="84"/>
      <c r="Y881" s="84"/>
      <c r="Z881" s="84"/>
      <c r="AA881" s="1"/>
      <c r="AB881" s="330"/>
      <c r="AC881" s="321"/>
      <c r="AD881" s="321"/>
    </row>
    <row r="882" spans="1:30" ht="15.75" customHeight="1">
      <c r="A882" s="83"/>
      <c r="B882" s="83"/>
      <c r="C882" s="83"/>
      <c r="D882" s="84"/>
      <c r="E882" s="84"/>
      <c r="F882" s="84"/>
      <c r="G882" s="83"/>
      <c r="H882" s="84"/>
      <c r="I882" s="84"/>
      <c r="J882" s="84"/>
      <c r="K882" s="84"/>
      <c r="L882" s="84"/>
      <c r="M882" s="84"/>
      <c r="N882" s="84"/>
      <c r="O882" s="84"/>
      <c r="P882" s="85"/>
      <c r="Q882" s="75"/>
      <c r="R882" s="75"/>
      <c r="S882" s="75"/>
      <c r="T882" s="75"/>
      <c r="U882" s="89"/>
      <c r="V882" s="84"/>
      <c r="W882" s="84"/>
      <c r="X882" s="84"/>
      <c r="Y882" s="84"/>
      <c r="Z882" s="84"/>
      <c r="AA882" s="1"/>
      <c r="AB882" s="330"/>
      <c r="AC882" s="321"/>
      <c r="AD882" s="321"/>
    </row>
    <row r="883" spans="1:30" ht="15.75" customHeight="1">
      <c r="A883" s="83"/>
      <c r="B883" s="83"/>
      <c r="C883" s="83"/>
      <c r="D883" s="84"/>
      <c r="E883" s="84"/>
      <c r="F883" s="84"/>
      <c r="G883" s="83"/>
      <c r="H883" s="84"/>
      <c r="I883" s="84"/>
      <c r="J883" s="84"/>
      <c r="K883" s="84"/>
      <c r="L883" s="84"/>
      <c r="M883" s="84"/>
      <c r="N883" s="84"/>
      <c r="O883" s="84"/>
      <c r="P883" s="85"/>
      <c r="Q883" s="75"/>
      <c r="R883" s="75"/>
      <c r="S883" s="75"/>
      <c r="T883" s="75"/>
      <c r="U883" s="89"/>
      <c r="V883" s="84"/>
      <c r="W883" s="84"/>
      <c r="X883" s="84"/>
      <c r="Y883" s="84"/>
      <c r="Z883" s="84"/>
      <c r="AA883" s="1"/>
      <c r="AB883" s="330"/>
      <c r="AC883" s="321"/>
      <c r="AD883" s="321"/>
    </row>
    <row r="884" spans="1:30" ht="15.75" customHeight="1">
      <c r="A884" s="83"/>
      <c r="B884" s="83"/>
      <c r="C884" s="83"/>
      <c r="D884" s="84"/>
      <c r="E884" s="84"/>
      <c r="F884" s="84"/>
      <c r="G884" s="83"/>
      <c r="H884" s="84"/>
      <c r="I884" s="84"/>
      <c r="J884" s="84"/>
      <c r="K884" s="84"/>
      <c r="L884" s="84"/>
      <c r="M884" s="84"/>
      <c r="N884" s="84"/>
      <c r="O884" s="84"/>
      <c r="P884" s="85"/>
      <c r="Q884" s="75"/>
      <c r="R884" s="75"/>
      <c r="S884" s="75"/>
      <c r="T884" s="75"/>
      <c r="U884" s="89"/>
      <c r="V884" s="84"/>
      <c r="W884" s="84"/>
      <c r="X884" s="84"/>
      <c r="Y884" s="84"/>
      <c r="Z884" s="84"/>
      <c r="AA884" s="1"/>
      <c r="AB884" s="330"/>
      <c r="AC884" s="321"/>
      <c r="AD884" s="321"/>
    </row>
    <row r="885" spans="1:30" ht="15.75" customHeight="1">
      <c r="A885" s="83"/>
      <c r="B885" s="83"/>
      <c r="C885" s="83"/>
      <c r="D885" s="84"/>
      <c r="E885" s="84"/>
      <c r="F885" s="84"/>
      <c r="G885" s="83"/>
      <c r="H885" s="84"/>
      <c r="I885" s="84"/>
      <c r="J885" s="84"/>
      <c r="K885" s="84"/>
      <c r="L885" s="84"/>
      <c r="M885" s="84"/>
      <c r="N885" s="84"/>
      <c r="O885" s="84"/>
      <c r="P885" s="85"/>
      <c r="Q885" s="75"/>
      <c r="R885" s="75"/>
      <c r="S885" s="75"/>
      <c r="T885" s="75"/>
      <c r="U885" s="89"/>
      <c r="V885" s="84"/>
      <c r="W885" s="84"/>
      <c r="X885" s="84"/>
      <c r="Y885" s="84"/>
      <c r="Z885" s="84"/>
      <c r="AA885" s="1"/>
      <c r="AB885" s="330"/>
      <c r="AC885" s="321"/>
      <c r="AD885" s="321"/>
    </row>
    <row r="886" spans="1:30" ht="15.75" customHeight="1">
      <c r="A886" s="83"/>
      <c r="B886" s="83"/>
      <c r="C886" s="83"/>
      <c r="D886" s="84"/>
      <c r="E886" s="84"/>
      <c r="F886" s="84"/>
      <c r="G886" s="83"/>
      <c r="H886" s="84"/>
      <c r="I886" s="84"/>
      <c r="J886" s="84"/>
      <c r="K886" s="84"/>
      <c r="L886" s="84"/>
      <c r="M886" s="84"/>
      <c r="N886" s="84"/>
      <c r="O886" s="84"/>
      <c r="P886" s="85"/>
      <c r="Q886" s="75"/>
      <c r="R886" s="75"/>
      <c r="S886" s="75"/>
      <c r="T886" s="75"/>
      <c r="U886" s="89"/>
      <c r="V886" s="84"/>
      <c r="W886" s="84"/>
      <c r="X886" s="84"/>
      <c r="Y886" s="84"/>
      <c r="Z886" s="84"/>
      <c r="AA886" s="1"/>
      <c r="AB886" s="330"/>
      <c r="AC886" s="321"/>
      <c r="AD886" s="321"/>
    </row>
    <row r="887" spans="1:30" ht="15.75" customHeight="1">
      <c r="A887" s="83"/>
      <c r="B887" s="83"/>
      <c r="C887" s="83"/>
      <c r="D887" s="84"/>
      <c r="E887" s="84"/>
      <c r="F887" s="84"/>
      <c r="G887" s="83"/>
      <c r="H887" s="84"/>
      <c r="I887" s="84"/>
      <c r="J887" s="84"/>
      <c r="K887" s="84"/>
      <c r="L887" s="84"/>
      <c r="M887" s="84"/>
      <c r="N887" s="84"/>
      <c r="O887" s="84"/>
      <c r="P887" s="85"/>
      <c r="Q887" s="75"/>
      <c r="R887" s="75"/>
      <c r="S887" s="75"/>
      <c r="T887" s="75"/>
      <c r="U887" s="89"/>
      <c r="V887" s="84"/>
      <c r="W887" s="84"/>
      <c r="X887" s="84"/>
      <c r="Y887" s="84"/>
      <c r="Z887" s="84"/>
      <c r="AA887" s="1"/>
      <c r="AB887" s="330"/>
      <c r="AC887" s="321"/>
      <c r="AD887" s="321"/>
    </row>
    <row r="888" spans="1:30" ht="15.75" customHeight="1">
      <c r="A888" s="83"/>
      <c r="B888" s="83"/>
      <c r="C888" s="83"/>
      <c r="D888" s="84"/>
      <c r="E888" s="84"/>
      <c r="F888" s="84"/>
      <c r="G888" s="83"/>
      <c r="H888" s="84"/>
      <c r="I888" s="84"/>
      <c r="J888" s="84"/>
      <c r="K888" s="84"/>
      <c r="L888" s="84"/>
      <c r="M888" s="84"/>
      <c r="N888" s="84"/>
      <c r="O888" s="84"/>
      <c r="P888" s="85"/>
      <c r="Q888" s="75"/>
      <c r="R888" s="75"/>
      <c r="S888" s="75"/>
      <c r="T888" s="75"/>
      <c r="U888" s="89"/>
      <c r="V888" s="84"/>
      <c r="W888" s="84"/>
      <c r="X888" s="84"/>
      <c r="Y888" s="84"/>
      <c r="Z888" s="84"/>
      <c r="AA888" s="1"/>
      <c r="AB888" s="330"/>
      <c r="AC888" s="321"/>
      <c r="AD888" s="321"/>
    </row>
    <row r="889" spans="1:30" ht="15.75" customHeight="1">
      <c r="A889" s="83"/>
      <c r="B889" s="83"/>
      <c r="C889" s="83"/>
      <c r="D889" s="84"/>
      <c r="E889" s="84"/>
      <c r="F889" s="84"/>
      <c r="G889" s="83"/>
      <c r="H889" s="84"/>
      <c r="I889" s="84"/>
      <c r="J889" s="84"/>
      <c r="K889" s="84"/>
      <c r="L889" s="84"/>
      <c r="M889" s="84"/>
      <c r="N889" s="84"/>
      <c r="O889" s="84"/>
      <c r="P889" s="85"/>
      <c r="Q889" s="75"/>
      <c r="R889" s="75"/>
      <c r="S889" s="75"/>
      <c r="T889" s="75"/>
      <c r="U889" s="89"/>
      <c r="V889" s="84"/>
      <c r="W889" s="84"/>
      <c r="X889" s="84"/>
      <c r="Y889" s="84"/>
      <c r="Z889" s="84"/>
      <c r="AA889" s="1"/>
      <c r="AB889" s="330"/>
      <c r="AC889" s="321"/>
      <c r="AD889" s="321"/>
    </row>
    <row r="890" spans="1:30" ht="15.75" customHeight="1">
      <c r="A890" s="83"/>
      <c r="B890" s="83"/>
      <c r="C890" s="83"/>
      <c r="D890" s="84"/>
      <c r="E890" s="84"/>
      <c r="F890" s="84"/>
      <c r="G890" s="83"/>
      <c r="H890" s="84"/>
      <c r="I890" s="84"/>
      <c r="J890" s="84"/>
      <c r="K890" s="84"/>
      <c r="L890" s="84"/>
      <c r="M890" s="84"/>
      <c r="N890" s="84"/>
      <c r="O890" s="84"/>
      <c r="P890" s="85"/>
      <c r="Q890" s="75"/>
      <c r="R890" s="75"/>
      <c r="S890" s="75"/>
      <c r="T890" s="75"/>
      <c r="U890" s="89"/>
      <c r="V890" s="84"/>
      <c r="W890" s="84"/>
      <c r="X890" s="84"/>
      <c r="Y890" s="84"/>
      <c r="Z890" s="84"/>
      <c r="AA890" s="1"/>
      <c r="AB890" s="330"/>
      <c r="AC890" s="321"/>
      <c r="AD890" s="321"/>
    </row>
    <row r="891" spans="1:30" ht="15.75" customHeight="1">
      <c r="A891" s="83"/>
      <c r="B891" s="83"/>
      <c r="C891" s="83"/>
      <c r="D891" s="84"/>
      <c r="E891" s="84"/>
      <c r="F891" s="84"/>
      <c r="G891" s="83"/>
      <c r="H891" s="84"/>
      <c r="I891" s="84"/>
      <c r="J891" s="84"/>
      <c r="K891" s="84"/>
      <c r="L891" s="84"/>
      <c r="M891" s="84"/>
      <c r="N891" s="84"/>
      <c r="O891" s="84"/>
      <c r="P891" s="85"/>
      <c r="Q891" s="75"/>
      <c r="R891" s="75"/>
      <c r="S891" s="75"/>
      <c r="T891" s="75"/>
      <c r="U891" s="89"/>
      <c r="V891" s="84"/>
      <c r="W891" s="84"/>
      <c r="X891" s="84"/>
      <c r="Y891" s="84"/>
      <c r="Z891" s="84"/>
      <c r="AA891" s="1"/>
      <c r="AB891" s="330"/>
      <c r="AC891" s="321"/>
      <c r="AD891" s="321"/>
    </row>
    <row r="892" spans="1:30" ht="15.75" customHeight="1">
      <c r="A892" s="83"/>
      <c r="B892" s="83"/>
      <c r="C892" s="83"/>
      <c r="D892" s="84"/>
      <c r="E892" s="84"/>
      <c r="F892" s="84"/>
      <c r="G892" s="83"/>
      <c r="H892" s="84"/>
      <c r="I892" s="84"/>
      <c r="J892" s="84"/>
      <c r="K892" s="84"/>
      <c r="L892" s="84"/>
      <c r="M892" s="84"/>
      <c r="N892" s="84"/>
      <c r="O892" s="84"/>
      <c r="P892" s="85"/>
      <c r="Q892" s="75"/>
      <c r="R892" s="75"/>
      <c r="S892" s="75"/>
      <c r="T892" s="75"/>
      <c r="U892" s="89"/>
      <c r="V892" s="84"/>
      <c r="W892" s="84"/>
      <c r="X892" s="84"/>
      <c r="Y892" s="84"/>
      <c r="Z892" s="84"/>
      <c r="AA892" s="1"/>
      <c r="AB892" s="330"/>
      <c r="AC892" s="321"/>
      <c r="AD892" s="321"/>
    </row>
    <row r="893" spans="1:30" ht="15.75" customHeight="1">
      <c r="A893" s="83"/>
      <c r="B893" s="83"/>
      <c r="C893" s="83"/>
      <c r="D893" s="84"/>
      <c r="E893" s="84"/>
      <c r="F893" s="84"/>
      <c r="G893" s="83"/>
      <c r="H893" s="84"/>
      <c r="I893" s="84"/>
      <c r="J893" s="84"/>
      <c r="K893" s="84"/>
      <c r="L893" s="84"/>
      <c r="M893" s="84"/>
      <c r="N893" s="84"/>
      <c r="O893" s="84"/>
      <c r="P893" s="85"/>
      <c r="Q893" s="75"/>
      <c r="R893" s="75"/>
      <c r="S893" s="75"/>
      <c r="T893" s="75"/>
      <c r="U893" s="89"/>
      <c r="V893" s="84"/>
      <c r="W893" s="84"/>
      <c r="X893" s="84"/>
      <c r="Y893" s="84"/>
      <c r="Z893" s="84"/>
      <c r="AA893" s="1"/>
      <c r="AB893" s="330"/>
      <c r="AC893" s="321"/>
      <c r="AD893" s="321"/>
    </row>
    <row r="894" spans="1:30" ht="15.75" customHeight="1">
      <c r="A894" s="83"/>
      <c r="B894" s="83"/>
      <c r="C894" s="83"/>
      <c r="D894" s="84"/>
      <c r="E894" s="84"/>
      <c r="F894" s="84"/>
      <c r="G894" s="83"/>
      <c r="H894" s="84"/>
      <c r="I894" s="84"/>
      <c r="J894" s="84"/>
      <c r="K894" s="84"/>
      <c r="L894" s="84"/>
      <c r="M894" s="84"/>
      <c r="N894" s="84"/>
      <c r="O894" s="84"/>
      <c r="P894" s="85"/>
      <c r="Q894" s="75"/>
      <c r="R894" s="75"/>
      <c r="S894" s="75"/>
      <c r="T894" s="75"/>
      <c r="U894" s="89"/>
      <c r="V894" s="84"/>
      <c r="W894" s="84"/>
      <c r="X894" s="84"/>
      <c r="Y894" s="84"/>
      <c r="Z894" s="84"/>
      <c r="AA894" s="1"/>
      <c r="AB894" s="330"/>
      <c r="AC894" s="321"/>
      <c r="AD894" s="321"/>
    </row>
    <row r="895" spans="1:30" ht="15.75" customHeight="1">
      <c r="A895" s="83"/>
      <c r="B895" s="83"/>
      <c r="C895" s="83"/>
      <c r="D895" s="84"/>
      <c r="E895" s="84"/>
      <c r="F895" s="84"/>
      <c r="G895" s="83"/>
      <c r="H895" s="84"/>
      <c r="I895" s="84"/>
      <c r="J895" s="84"/>
      <c r="K895" s="84"/>
      <c r="L895" s="84"/>
      <c r="M895" s="84"/>
      <c r="N895" s="84"/>
      <c r="O895" s="84"/>
      <c r="P895" s="85"/>
      <c r="Q895" s="75"/>
      <c r="R895" s="75"/>
      <c r="S895" s="75"/>
      <c r="T895" s="75"/>
      <c r="U895" s="89"/>
      <c r="V895" s="84"/>
      <c r="W895" s="84"/>
      <c r="X895" s="84"/>
      <c r="Y895" s="84"/>
      <c r="Z895" s="84"/>
      <c r="AA895" s="1"/>
      <c r="AB895" s="330"/>
      <c r="AC895" s="321"/>
      <c r="AD895" s="321"/>
    </row>
    <row r="896" spans="1:30" ht="15.75" customHeight="1">
      <c r="A896" s="83"/>
      <c r="B896" s="83"/>
      <c r="C896" s="83"/>
      <c r="D896" s="84"/>
      <c r="E896" s="84"/>
      <c r="F896" s="84"/>
      <c r="G896" s="83"/>
      <c r="H896" s="84"/>
      <c r="I896" s="84"/>
      <c r="J896" s="84"/>
      <c r="K896" s="84"/>
      <c r="L896" s="84"/>
      <c r="M896" s="84"/>
      <c r="N896" s="84"/>
      <c r="O896" s="84"/>
      <c r="P896" s="85"/>
      <c r="Q896" s="75"/>
      <c r="R896" s="75"/>
      <c r="S896" s="75"/>
      <c r="T896" s="75"/>
      <c r="U896" s="89"/>
      <c r="V896" s="84"/>
      <c r="W896" s="84"/>
      <c r="X896" s="84"/>
      <c r="Y896" s="84"/>
      <c r="Z896" s="84"/>
      <c r="AA896" s="1"/>
      <c r="AB896" s="330"/>
      <c r="AC896" s="321"/>
      <c r="AD896" s="321"/>
    </row>
    <row r="897" spans="1:30" ht="15.75" customHeight="1">
      <c r="A897" s="83"/>
      <c r="B897" s="83"/>
      <c r="C897" s="83"/>
      <c r="D897" s="84"/>
      <c r="E897" s="84"/>
      <c r="F897" s="84"/>
      <c r="G897" s="83"/>
      <c r="H897" s="84"/>
      <c r="I897" s="84"/>
      <c r="J897" s="84"/>
      <c r="K897" s="84"/>
      <c r="L897" s="84"/>
      <c r="M897" s="84"/>
      <c r="N897" s="84"/>
      <c r="O897" s="84"/>
      <c r="P897" s="85"/>
      <c r="Q897" s="75"/>
      <c r="R897" s="75"/>
      <c r="S897" s="75"/>
      <c r="T897" s="75"/>
      <c r="U897" s="89"/>
      <c r="V897" s="84"/>
      <c r="W897" s="84"/>
      <c r="X897" s="84"/>
      <c r="Y897" s="84"/>
      <c r="Z897" s="84"/>
      <c r="AA897" s="1"/>
      <c r="AB897" s="330"/>
      <c r="AC897" s="321"/>
      <c r="AD897" s="321"/>
    </row>
    <row r="898" spans="1:30" ht="15.75" customHeight="1">
      <c r="A898" s="83"/>
      <c r="B898" s="83"/>
      <c r="C898" s="83"/>
      <c r="D898" s="84"/>
      <c r="E898" s="84"/>
      <c r="F898" s="84"/>
      <c r="G898" s="83"/>
      <c r="H898" s="84"/>
      <c r="I898" s="84"/>
      <c r="J898" s="84"/>
      <c r="K898" s="84"/>
      <c r="L898" s="84"/>
      <c r="M898" s="84"/>
      <c r="N898" s="84"/>
      <c r="O898" s="84"/>
      <c r="P898" s="85"/>
      <c r="Q898" s="75"/>
      <c r="R898" s="75"/>
      <c r="S898" s="75"/>
      <c r="T898" s="75"/>
      <c r="U898" s="89"/>
      <c r="V898" s="84"/>
      <c r="W898" s="84"/>
      <c r="X898" s="84"/>
      <c r="Y898" s="84"/>
      <c r="Z898" s="84"/>
      <c r="AA898" s="1"/>
      <c r="AB898" s="330"/>
      <c r="AC898" s="321"/>
      <c r="AD898" s="321"/>
    </row>
    <row r="899" spans="1:30" ht="15.75" customHeight="1">
      <c r="A899" s="83"/>
      <c r="B899" s="83"/>
      <c r="C899" s="83"/>
      <c r="D899" s="84"/>
      <c r="E899" s="84"/>
      <c r="F899" s="84"/>
      <c r="G899" s="83"/>
      <c r="H899" s="84"/>
      <c r="I899" s="84"/>
      <c r="J899" s="84"/>
      <c r="K899" s="84"/>
      <c r="L899" s="84"/>
      <c r="M899" s="84"/>
      <c r="N899" s="84"/>
      <c r="O899" s="84"/>
      <c r="P899" s="85"/>
      <c r="Q899" s="75"/>
      <c r="R899" s="75"/>
      <c r="S899" s="75"/>
      <c r="T899" s="75"/>
      <c r="U899" s="89"/>
      <c r="V899" s="84"/>
      <c r="W899" s="84"/>
      <c r="X899" s="84"/>
      <c r="Y899" s="84"/>
      <c r="Z899" s="84"/>
      <c r="AA899" s="1"/>
      <c r="AB899" s="330"/>
      <c r="AC899" s="321"/>
      <c r="AD899" s="321"/>
    </row>
    <row r="900" spans="1:30" ht="15.75" customHeight="1">
      <c r="A900" s="83"/>
      <c r="B900" s="83"/>
      <c r="C900" s="83"/>
      <c r="D900" s="84"/>
      <c r="E900" s="84"/>
      <c r="F900" s="84"/>
      <c r="G900" s="83"/>
      <c r="H900" s="84"/>
      <c r="I900" s="84"/>
      <c r="J900" s="84"/>
      <c r="K900" s="84"/>
      <c r="L900" s="84"/>
      <c r="M900" s="84"/>
      <c r="N900" s="84"/>
      <c r="O900" s="84"/>
      <c r="P900" s="85"/>
      <c r="Q900" s="75"/>
      <c r="R900" s="75"/>
      <c r="S900" s="75"/>
      <c r="T900" s="75"/>
      <c r="U900" s="89"/>
      <c r="V900" s="84"/>
      <c r="W900" s="84"/>
      <c r="X900" s="84"/>
      <c r="Y900" s="84"/>
      <c r="Z900" s="84"/>
      <c r="AA900" s="1"/>
      <c r="AB900" s="330"/>
      <c r="AC900" s="321"/>
      <c r="AD900" s="321"/>
    </row>
    <row r="901" spans="1:30" ht="15.75" customHeight="1">
      <c r="A901" s="83"/>
      <c r="B901" s="83"/>
      <c r="C901" s="83"/>
      <c r="D901" s="84"/>
      <c r="E901" s="84"/>
      <c r="F901" s="84"/>
      <c r="G901" s="83"/>
      <c r="H901" s="84"/>
      <c r="I901" s="84"/>
      <c r="J901" s="84"/>
      <c r="K901" s="84"/>
      <c r="L901" s="84"/>
      <c r="M901" s="84"/>
      <c r="N901" s="84"/>
      <c r="O901" s="84"/>
      <c r="P901" s="85"/>
      <c r="Q901" s="75"/>
      <c r="R901" s="75"/>
      <c r="S901" s="75"/>
      <c r="T901" s="75"/>
      <c r="U901" s="89"/>
      <c r="V901" s="84"/>
      <c r="W901" s="84"/>
      <c r="X901" s="84"/>
      <c r="Y901" s="84"/>
      <c r="Z901" s="84"/>
      <c r="AA901" s="1"/>
      <c r="AB901" s="330"/>
      <c r="AC901" s="321"/>
      <c r="AD901" s="321"/>
    </row>
    <row r="902" spans="1:30" ht="15.75" customHeight="1">
      <c r="A902" s="83"/>
      <c r="B902" s="83"/>
      <c r="C902" s="83"/>
      <c r="D902" s="84"/>
      <c r="E902" s="84"/>
      <c r="F902" s="84"/>
      <c r="G902" s="83"/>
      <c r="H902" s="84"/>
      <c r="I902" s="84"/>
      <c r="J902" s="84"/>
      <c r="K902" s="84"/>
      <c r="L902" s="84"/>
      <c r="M902" s="84"/>
      <c r="N902" s="84"/>
      <c r="O902" s="84"/>
      <c r="P902" s="85"/>
      <c r="Q902" s="75"/>
      <c r="R902" s="75"/>
      <c r="S902" s="75"/>
      <c r="T902" s="75"/>
      <c r="U902" s="89"/>
      <c r="V902" s="84"/>
      <c r="W902" s="84"/>
      <c r="X902" s="84"/>
      <c r="Y902" s="84"/>
      <c r="Z902" s="84"/>
      <c r="AA902" s="1"/>
      <c r="AB902" s="330"/>
      <c r="AC902" s="321"/>
      <c r="AD902" s="321"/>
    </row>
    <row r="903" spans="1:30" ht="15.75" customHeight="1">
      <c r="A903" s="83"/>
      <c r="B903" s="83"/>
      <c r="C903" s="83"/>
      <c r="D903" s="84"/>
      <c r="E903" s="84"/>
      <c r="F903" s="84"/>
      <c r="G903" s="83"/>
      <c r="H903" s="84"/>
      <c r="I903" s="84"/>
      <c r="J903" s="84"/>
      <c r="K903" s="84"/>
      <c r="L903" s="84"/>
      <c r="M903" s="84"/>
      <c r="N903" s="84"/>
      <c r="O903" s="84"/>
      <c r="P903" s="85"/>
      <c r="Q903" s="75"/>
      <c r="R903" s="75"/>
      <c r="S903" s="75"/>
      <c r="T903" s="75"/>
      <c r="U903" s="89"/>
      <c r="V903" s="84"/>
      <c r="W903" s="84"/>
      <c r="X903" s="84"/>
      <c r="Y903" s="84"/>
      <c r="Z903" s="84"/>
      <c r="AA903" s="1"/>
      <c r="AB903" s="330"/>
      <c r="AC903" s="321"/>
      <c r="AD903" s="321"/>
    </row>
    <row r="904" spans="1:30" ht="15.75" customHeight="1">
      <c r="A904" s="83"/>
      <c r="B904" s="83"/>
      <c r="C904" s="83"/>
      <c r="D904" s="84"/>
      <c r="E904" s="84"/>
      <c r="F904" s="84"/>
      <c r="G904" s="83"/>
      <c r="H904" s="84"/>
      <c r="I904" s="84"/>
      <c r="J904" s="84"/>
      <c r="K904" s="84"/>
      <c r="L904" s="84"/>
      <c r="M904" s="84"/>
      <c r="N904" s="84"/>
      <c r="O904" s="84"/>
      <c r="P904" s="85"/>
      <c r="Q904" s="75"/>
      <c r="R904" s="75"/>
      <c r="S904" s="75"/>
      <c r="T904" s="75"/>
      <c r="U904" s="89"/>
      <c r="V904" s="84"/>
      <c r="W904" s="84"/>
      <c r="X904" s="84"/>
      <c r="Y904" s="84"/>
      <c r="Z904" s="84"/>
      <c r="AA904" s="1"/>
      <c r="AB904" s="330"/>
      <c r="AC904" s="321"/>
      <c r="AD904" s="321"/>
    </row>
    <row r="905" spans="1:30" ht="15.75" customHeight="1">
      <c r="A905" s="83"/>
      <c r="B905" s="83"/>
      <c r="C905" s="83"/>
      <c r="D905" s="84"/>
      <c r="E905" s="84"/>
      <c r="F905" s="84"/>
      <c r="G905" s="83"/>
      <c r="H905" s="84"/>
      <c r="I905" s="84"/>
      <c r="J905" s="84"/>
      <c r="K905" s="84"/>
      <c r="L905" s="84"/>
      <c r="M905" s="84"/>
      <c r="N905" s="84"/>
      <c r="O905" s="84"/>
      <c r="P905" s="85"/>
      <c r="Q905" s="75"/>
      <c r="R905" s="75"/>
      <c r="S905" s="75"/>
      <c r="T905" s="75"/>
      <c r="U905" s="89"/>
      <c r="V905" s="84"/>
      <c r="W905" s="84"/>
      <c r="X905" s="84"/>
      <c r="Y905" s="84"/>
      <c r="Z905" s="84"/>
      <c r="AA905" s="1"/>
      <c r="AB905" s="330"/>
      <c r="AC905" s="321"/>
      <c r="AD905" s="321"/>
    </row>
    <row r="906" spans="1:30" ht="15.75" customHeight="1">
      <c r="A906" s="83"/>
      <c r="B906" s="83"/>
      <c r="C906" s="83"/>
      <c r="D906" s="84"/>
      <c r="E906" s="84"/>
      <c r="F906" s="84"/>
      <c r="G906" s="83"/>
      <c r="H906" s="84"/>
      <c r="I906" s="84"/>
      <c r="J906" s="84"/>
      <c r="K906" s="84"/>
      <c r="L906" s="84"/>
      <c r="M906" s="84"/>
      <c r="N906" s="84"/>
      <c r="O906" s="84"/>
      <c r="P906" s="85"/>
      <c r="Q906" s="75"/>
      <c r="R906" s="75"/>
      <c r="S906" s="75"/>
      <c r="T906" s="75"/>
      <c r="U906" s="89"/>
      <c r="V906" s="84"/>
      <c r="W906" s="84"/>
      <c r="X906" s="84"/>
      <c r="Y906" s="84"/>
      <c r="Z906" s="84"/>
      <c r="AA906" s="1"/>
      <c r="AB906" s="330"/>
      <c r="AC906" s="321"/>
      <c r="AD906" s="321"/>
    </row>
    <row r="907" spans="1:30" ht="15.75" customHeight="1">
      <c r="A907" s="83"/>
      <c r="B907" s="83"/>
      <c r="C907" s="83"/>
      <c r="D907" s="84"/>
      <c r="E907" s="84"/>
      <c r="F907" s="84"/>
      <c r="G907" s="83"/>
      <c r="H907" s="84"/>
      <c r="I907" s="84"/>
      <c r="J907" s="84"/>
      <c r="K907" s="84"/>
      <c r="L907" s="84"/>
      <c r="M907" s="84"/>
      <c r="N907" s="84"/>
      <c r="O907" s="84"/>
      <c r="P907" s="85"/>
      <c r="Q907" s="75"/>
      <c r="R907" s="75"/>
      <c r="S907" s="75"/>
      <c r="T907" s="75"/>
      <c r="U907" s="89"/>
      <c r="V907" s="84"/>
      <c r="W907" s="84"/>
      <c r="X907" s="84"/>
      <c r="Y907" s="84"/>
      <c r="Z907" s="84"/>
      <c r="AA907" s="1"/>
      <c r="AB907" s="330"/>
      <c r="AC907" s="321"/>
      <c r="AD907" s="321"/>
    </row>
    <row r="908" spans="1:30" ht="15.75" customHeight="1">
      <c r="A908" s="83"/>
      <c r="B908" s="83"/>
      <c r="C908" s="83"/>
      <c r="D908" s="84"/>
      <c r="E908" s="84"/>
      <c r="F908" s="84"/>
      <c r="G908" s="83"/>
      <c r="H908" s="84"/>
      <c r="I908" s="84"/>
      <c r="J908" s="84"/>
      <c r="K908" s="84"/>
      <c r="L908" s="84"/>
      <c r="M908" s="84"/>
      <c r="N908" s="84"/>
      <c r="O908" s="84"/>
      <c r="P908" s="85"/>
      <c r="Q908" s="75"/>
      <c r="R908" s="75"/>
      <c r="S908" s="75"/>
      <c r="T908" s="75"/>
      <c r="U908" s="89"/>
      <c r="V908" s="84"/>
      <c r="W908" s="84"/>
      <c r="X908" s="84"/>
      <c r="Y908" s="84"/>
      <c r="Z908" s="84"/>
      <c r="AA908" s="1"/>
      <c r="AB908" s="330"/>
      <c r="AC908" s="321"/>
      <c r="AD908" s="321"/>
    </row>
    <row r="909" spans="1:30" ht="15.75" customHeight="1">
      <c r="A909" s="83"/>
      <c r="B909" s="83"/>
      <c r="C909" s="83"/>
      <c r="D909" s="84"/>
      <c r="E909" s="84"/>
      <c r="F909" s="84"/>
      <c r="G909" s="83"/>
      <c r="H909" s="84"/>
      <c r="I909" s="84"/>
      <c r="J909" s="84"/>
      <c r="K909" s="84"/>
      <c r="L909" s="84"/>
      <c r="M909" s="84"/>
      <c r="N909" s="84"/>
      <c r="O909" s="84"/>
      <c r="P909" s="85"/>
      <c r="Q909" s="75"/>
      <c r="R909" s="75"/>
      <c r="S909" s="75"/>
      <c r="T909" s="75"/>
      <c r="U909" s="89"/>
      <c r="V909" s="84"/>
      <c r="W909" s="84"/>
      <c r="X909" s="84"/>
      <c r="Y909" s="84"/>
      <c r="Z909" s="84"/>
      <c r="AA909" s="1"/>
      <c r="AB909" s="330"/>
      <c r="AC909" s="321"/>
      <c r="AD909" s="321"/>
    </row>
    <row r="910" spans="1:30" ht="15.75" customHeight="1">
      <c r="A910" s="83"/>
      <c r="B910" s="83"/>
      <c r="C910" s="83"/>
      <c r="D910" s="84"/>
      <c r="E910" s="84"/>
      <c r="F910" s="84"/>
      <c r="G910" s="83"/>
      <c r="H910" s="84"/>
      <c r="I910" s="84"/>
      <c r="J910" s="84"/>
      <c r="K910" s="84"/>
      <c r="L910" s="84"/>
      <c r="M910" s="84"/>
      <c r="N910" s="84"/>
      <c r="O910" s="84"/>
      <c r="P910" s="85"/>
      <c r="Q910" s="75"/>
      <c r="R910" s="75"/>
      <c r="S910" s="75"/>
      <c r="T910" s="75"/>
      <c r="U910" s="89"/>
      <c r="V910" s="84"/>
      <c r="W910" s="84"/>
      <c r="X910" s="84"/>
      <c r="Y910" s="84"/>
      <c r="Z910" s="84"/>
      <c r="AA910" s="1"/>
      <c r="AB910" s="330"/>
      <c r="AC910" s="321"/>
      <c r="AD910" s="321"/>
    </row>
    <row r="911" spans="1:30" ht="15.75" customHeight="1">
      <c r="A911" s="83"/>
      <c r="B911" s="83"/>
      <c r="C911" s="83"/>
      <c r="D911" s="84"/>
      <c r="E911" s="84"/>
      <c r="F911" s="84"/>
      <c r="G911" s="83"/>
      <c r="H911" s="84"/>
      <c r="I911" s="84"/>
      <c r="J911" s="84"/>
      <c r="K911" s="84"/>
      <c r="L911" s="84"/>
      <c r="M911" s="84"/>
      <c r="N911" s="84"/>
      <c r="O911" s="84"/>
      <c r="P911" s="85"/>
      <c r="Q911" s="75"/>
      <c r="R911" s="75"/>
      <c r="S911" s="75"/>
      <c r="T911" s="75"/>
      <c r="U911" s="89"/>
      <c r="V911" s="84"/>
      <c r="W911" s="84"/>
      <c r="X911" s="84"/>
      <c r="Y911" s="84"/>
      <c r="Z911" s="84"/>
      <c r="AA911" s="1"/>
      <c r="AB911" s="330"/>
      <c r="AC911" s="321"/>
      <c r="AD911" s="321"/>
    </row>
    <row r="912" spans="1:30" ht="15.75" customHeight="1">
      <c r="A912" s="83"/>
      <c r="B912" s="83"/>
      <c r="C912" s="83"/>
      <c r="D912" s="84"/>
      <c r="E912" s="84"/>
      <c r="F912" s="84"/>
      <c r="G912" s="83"/>
      <c r="H912" s="84"/>
      <c r="I912" s="84"/>
      <c r="J912" s="84"/>
      <c r="K912" s="84"/>
      <c r="L912" s="84"/>
      <c r="M912" s="84"/>
      <c r="N912" s="84"/>
      <c r="O912" s="84"/>
      <c r="P912" s="85"/>
      <c r="Q912" s="75"/>
      <c r="R912" s="75"/>
      <c r="S912" s="75"/>
      <c r="T912" s="75"/>
      <c r="U912" s="89"/>
      <c r="V912" s="84"/>
      <c r="W912" s="84"/>
      <c r="X912" s="84"/>
      <c r="Y912" s="84"/>
      <c r="Z912" s="84"/>
      <c r="AA912" s="1"/>
      <c r="AB912" s="330"/>
      <c r="AC912" s="321"/>
      <c r="AD912" s="321"/>
    </row>
    <row r="913" spans="1:30" ht="15.75" customHeight="1">
      <c r="A913" s="83"/>
      <c r="B913" s="83"/>
      <c r="C913" s="83"/>
      <c r="D913" s="84"/>
      <c r="E913" s="84"/>
      <c r="F913" s="84"/>
      <c r="G913" s="83"/>
      <c r="H913" s="84"/>
      <c r="I913" s="84"/>
      <c r="J913" s="84"/>
      <c r="K913" s="84"/>
      <c r="L913" s="84"/>
      <c r="M913" s="84"/>
      <c r="N913" s="84"/>
      <c r="O913" s="84"/>
      <c r="P913" s="85"/>
      <c r="Q913" s="75"/>
      <c r="R913" s="75"/>
      <c r="S913" s="75"/>
      <c r="T913" s="75"/>
      <c r="U913" s="89"/>
      <c r="V913" s="84"/>
      <c r="W913" s="84"/>
      <c r="X913" s="84"/>
      <c r="Y913" s="84"/>
      <c r="Z913" s="84"/>
      <c r="AA913" s="1"/>
      <c r="AB913" s="330"/>
      <c r="AC913" s="321"/>
      <c r="AD913" s="321"/>
    </row>
    <row r="914" spans="1:30" ht="15.75" customHeight="1">
      <c r="A914" s="83"/>
      <c r="B914" s="83"/>
      <c r="C914" s="83"/>
      <c r="D914" s="84"/>
      <c r="E914" s="84"/>
      <c r="F914" s="84"/>
      <c r="G914" s="83"/>
      <c r="H914" s="84"/>
      <c r="I914" s="84"/>
      <c r="J914" s="84"/>
      <c r="K914" s="84"/>
      <c r="L914" s="84"/>
      <c r="M914" s="84"/>
      <c r="N914" s="84"/>
      <c r="O914" s="84"/>
      <c r="P914" s="85"/>
      <c r="Q914" s="75"/>
      <c r="R914" s="75"/>
      <c r="S914" s="75"/>
      <c r="T914" s="75"/>
      <c r="U914" s="89"/>
      <c r="V914" s="84"/>
      <c r="W914" s="84"/>
      <c r="X914" s="84"/>
      <c r="Y914" s="84"/>
      <c r="Z914" s="84"/>
      <c r="AA914" s="1"/>
      <c r="AB914" s="330"/>
      <c r="AC914" s="321"/>
      <c r="AD914" s="321"/>
    </row>
    <row r="915" spans="1:30" ht="15.75" customHeight="1">
      <c r="A915" s="83"/>
      <c r="B915" s="83"/>
      <c r="C915" s="83"/>
      <c r="D915" s="84"/>
      <c r="E915" s="84"/>
      <c r="F915" s="84"/>
      <c r="G915" s="83"/>
      <c r="H915" s="84"/>
      <c r="I915" s="84"/>
      <c r="J915" s="84"/>
      <c r="K915" s="84"/>
      <c r="L915" s="84"/>
      <c r="M915" s="84"/>
      <c r="N915" s="84"/>
      <c r="O915" s="84"/>
      <c r="P915" s="85"/>
      <c r="Q915" s="75"/>
      <c r="R915" s="75"/>
      <c r="S915" s="75"/>
      <c r="T915" s="75"/>
      <c r="U915" s="89"/>
      <c r="V915" s="84"/>
      <c r="W915" s="84"/>
      <c r="X915" s="84"/>
      <c r="Y915" s="84"/>
      <c r="Z915" s="84"/>
      <c r="AA915" s="1"/>
      <c r="AB915" s="330"/>
      <c r="AC915" s="321"/>
      <c r="AD915" s="321"/>
    </row>
    <row r="916" spans="1:30" ht="15.75" customHeight="1">
      <c r="A916" s="83"/>
      <c r="B916" s="83"/>
      <c r="C916" s="83"/>
      <c r="D916" s="84"/>
      <c r="E916" s="84"/>
      <c r="F916" s="84"/>
      <c r="G916" s="83"/>
      <c r="H916" s="84"/>
      <c r="I916" s="84"/>
      <c r="J916" s="84"/>
      <c r="K916" s="84"/>
      <c r="L916" s="84"/>
      <c r="M916" s="84"/>
      <c r="N916" s="84"/>
      <c r="O916" s="84"/>
      <c r="P916" s="85"/>
      <c r="Q916" s="75"/>
      <c r="R916" s="75"/>
      <c r="S916" s="75"/>
      <c r="T916" s="75"/>
      <c r="U916" s="89"/>
      <c r="V916" s="84"/>
      <c r="W916" s="84"/>
      <c r="X916" s="84"/>
      <c r="Y916" s="84"/>
      <c r="Z916" s="84"/>
      <c r="AA916" s="1"/>
      <c r="AB916" s="330"/>
      <c r="AC916" s="321"/>
      <c r="AD916" s="321"/>
    </row>
    <row r="917" spans="1:30" ht="15.75" customHeight="1">
      <c r="A917" s="83"/>
      <c r="B917" s="83"/>
      <c r="C917" s="83"/>
      <c r="D917" s="84"/>
      <c r="E917" s="84"/>
      <c r="F917" s="84"/>
      <c r="G917" s="83"/>
      <c r="H917" s="84"/>
      <c r="I917" s="84"/>
      <c r="J917" s="84"/>
      <c r="K917" s="84"/>
      <c r="L917" s="84"/>
      <c r="M917" s="84"/>
      <c r="N917" s="84"/>
      <c r="O917" s="84"/>
      <c r="P917" s="85"/>
      <c r="Q917" s="75"/>
      <c r="R917" s="75"/>
      <c r="S917" s="75"/>
      <c r="T917" s="75"/>
      <c r="U917" s="89"/>
      <c r="V917" s="84"/>
      <c r="W917" s="84"/>
      <c r="X917" s="84"/>
      <c r="Y917" s="84"/>
      <c r="Z917" s="84"/>
      <c r="AA917" s="1"/>
      <c r="AB917" s="330"/>
      <c r="AC917" s="321"/>
      <c r="AD917" s="321"/>
    </row>
    <row r="918" spans="1:30" ht="15.75" customHeight="1">
      <c r="A918" s="83"/>
      <c r="B918" s="83"/>
      <c r="C918" s="83"/>
      <c r="D918" s="84"/>
      <c r="E918" s="84"/>
      <c r="F918" s="84"/>
      <c r="G918" s="83"/>
      <c r="H918" s="84"/>
      <c r="I918" s="84"/>
      <c r="J918" s="84"/>
      <c r="K918" s="84"/>
      <c r="L918" s="84"/>
      <c r="M918" s="84"/>
      <c r="N918" s="84"/>
      <c r="O918" s="84"/>
      <c r="P918" s="85"/>
      <c r="Q918" s="75"/>
      <c r="R918" s="75"/>
      <c r="S918" s="75"/>
      <c r="T918" s="75"/>
      <c r="U918" s="89"/>
      <c r="V918" s="84"/>
      <c r="W918" s="84"/>
      <c r="X918" s="84"/>
      <c r="Y918" s="84"/>
      <c r="Z918" s="84"/>
      <c r="AA918" s="1"/>
      <c r="AB918" s="330"/>
      <c r="AC918" s="321"/>
      <c r="AD918" s="321"/>
    </row>
    <row r="919" spans="1:30" ht="15.75" customHeight="1">
      <c r="A919" s="83"/>
      <c r="B919" s="83"/>
      <c r="C919" s="83"/>
      <c r="D919" s="84"/>
      <c r="E919" s="84"/>
      <c r="F919" s="84"/>
      <c r="G919" s="83"/>
      <c r="H919" s="84"/>
      <c r="I919" s="84"/>
      <c r="J919" s="84"/>
      <c r="K919" s="84"/>
      <c r="L919" s="84"/>
      <c r="M919" s="84"/>
      <c r="N919" s="84"/>
      <c r="O919" s="84"/>
      <c r="P919" s="85"/>
      <c r="Q919" s="75"/>
      <c r="R919" s="75"/>
      <c r="S919" s="75"/>
      <c r="T919" s="75"/>
      <c r="U919" s="89"/>
      <c r="V919" s="84"/>
      <c r="W919" s="84"/>
      <c r="X919" s="84"/>
      <c r="Y919" s="84"/>
      <c r="Z919" s="84"/>
      <c r="AA919" s="1"/>
      <c r="AB919" s="330"/>
      <c r="AC919" s="321"/>
      <c r="AD919" s="321"/>
    </row>
    <row r="920" spans="1:30" ht="15.75" customHeight="1">
      <c r="A920" s="83"/>
      <c r="B920" s="83"/>
      <c r="C920" s="83"/>
      <c r="D920" s="84"/>
      <c r="E920" s="84"/>
      <c r="F920" s="84"/>
      <c r="G920" s="83"/>
      <c r="H920" s="84"/>
      <c r="I920" s="84"/>
      <c r="J920" s="84"/>
      <c r="K920" s="84"/>
      <c r="L920" s="84"/>
      <c r="M920" s="84"/>
      <c r="N920" s="84"/>
      <c r="O920" s="84"/>
      <c r="P920" s="85"/>
      <c r="Q920" s="75"/>
      <c r="R920" s="75"/>
      <c r="S920" s="75"/>
      <c r="T920" s="75"/>
      <c r="U920" s="89"/>
      <c r="V920" s="84"/>
      <c r="W920" s="84"/>
      <c r="X920" s="84"/>
      <c r="Y920" s="84"/>
      <c r="Z920" s="84"/>
      <c r="AA920" s="1"/>
      <c r="AB920" s="330"/>
      <c r="AC920" s="321"/>
      <c r="AD920" s="321"/>
    </row>
    <row r="921" spans="1:30" ht="15.75" customHeight="1">
      <c r="A921" s="83"/>
      <c r="B921" s="83"/>
      <c r="C921" s="83"/>
      <c r="D921" s="84"/>
      <c r="E921" s="84"/>
      <c r="F921" s="84"/>
      <c r="G921" s="83"/>
      <c r="H921" s="84"/>
      <c r="I921" s="84"/>
      <c r="J921" s="84"/>
      <c r="K921" s="84"/>
      <c r="L921" s="84"/>
      <c r="M921" s="84"/>
      <c r="N921" s="84"/>
      <c r="O921" s="84"/>
      <c r="P921" s="85"/>
      <c r="Q921" s="75"/>
      <c r="R921" s="75"/>
      <c r="S921" s="75"/>
      <c r="T921" s="75"/>
      <c r="U921" s="89"/>
      <c r="V921" s="84"/>
      <c r="W921" s="84"/>
      <c r="X921" s="84"/>
      <c r="Y921" s="84"/>
      <c r="Z921" s="84"/>
      <c r="AA921" s="1"/>
      <c r="AB921" s="330"/>
      <c r="AC921" s="321"/>
      <c r="AD921" s="321"/>
    </row>
    <row r="922" spans="1:30" ht="15.75" customHeight="1">
      <c r="A922" s="83"/>
      <c r="B922" s="83"/>
      <c r="C922" s="83"/>
      <c r="D922" s="84"/>
      <c r="E922" s="84"/>
      <c r="F922" s="84"/>
      <c r="G922" s="83"/>
      <c r="H922" s="84"/>
      <c r="I922" s="84"/>
      <c r="J922" s="84"/>
      <c r="K922" s="84"/>
      <c r="L922" s="84"/>
      <c r="M922" s="84"/>
      <c r="N922" s="84"/>
      <c r="O922" s="84"/>
      <c r="P922" s="85"/>
      <c r="Q922" s="75"/>
      <c r="R922" s="75"/>
      <c r="S922" s="75"/>
      <c r="T922" s="75"/>
      <c r="U922" s="89"/>
      <c r="V922" s="84"/>
      <c r="W922" s="84"/>
      <c r="X922" s="84"/>
      <c r="Y922" s="84"/>
      <c r="Z922" s="84"/>
      <c r="AA922" s="1"/>
      <c r="AB922" s="330"/>
      <c r="AC922" s="321"/>
      <c r="AD922" s="321"/>
    </row>
    <row r="923" spans="1:30" ht="15.75" customHeight="1">
      <c r="A923" s="83"/>
      <c r="B923" s="83"/>
      <c r="C923" s="83"/>
      <c r="D923" s="84"/>
      <c r="E923" s="84"/>
      <c r="F923" s="84"/>
      <c r="G923" s="83"/>
      <c r="H923" s="84"/>
      <c r="I923" s="84"/>
      <c r="J923" s="84"/>
      <c r="K923" s="84"/>
      <c r="L923" s="84"/>
      <c r="M923" s="84"/>
      <c r="N923" s="84"/>
      <c r="O923" s="84"/>
      <c r="P923" s="85"/>
      <c r="Q923" s="75"/>
      <c r="R923" s="75"/>
      <c r="S923" s="75"/>
      <c r="T923" s="75"/>
      <c r="U923" s="89"/>
      <c r="V923" s="84"/>
      <c r="W923" s="84"/>
      <c r="X923" s="84"/>
      <c r="Y923" s="84"/>
      <c r="Z923" s="84"/>
      <c r="AA923" s="1"/>
      <c r="AB923" s="330"/>
      <c r="AC923" s="321"/>
      <c r="AD923" s="321"/>
    </row>
    <row r="924" spans="1:30" ht="15.75" customHeight="1">
      <c r="A924" s="83"/>
      <c r="B924" s="83"/>
      <c r="C924" s="83"/>
      <c r="D924" s="84"/>
      <c r="E924" s="84"/>
      <c r="F924" s="84"/>
      <c r="G924" s="83"/>
      <c r="H924" s="84"/>
      <c r="I924" s="84"/>
      <c r="J924" s="84"/>
      <c r="K924" s="84"/>
      <c r="L924" s="84"/>
      <c r="M924" s="84"/>
      <c r="N924" s="84"/>
      <c r="O924" s="84"/>
      <c r="P924" s="85"/>
      <c r="Q924" s="75"/>
      <c r="R924" s="75"/>
      <c r="S924" s="75"/>
      <c r="T924" s="75"/>
      <c r="U924" s="89"/>
      <c r="V924" s="84"/>
      <c r="W924" s="84"/>
      <c r="X924" s="84"/>
      <c r="Y924" s="84"/>
      <c r="Z924" s="84"/>
      <c r="AA924" s="1"/>
      <c r="AB924" s="330"/>
      <c r="AC924" s="321"/>
      <c r="AD924" s="321"/>
    </row>
    <row r="925" spans="1:30" ht="15.75" customHeight="1">
      <c r="A925" s="83"/>
      <c r="B925" s="83"/>
      <c r="C925" s="83"/>
      <c r="D925" s="84"/>
      <c r="E925" s="84"/>
      <c r="F925" s="84"/>
      <c r="G925" s="83"/>
      <c r="H925" s="84"/>
      <c r="I925" s="84"/>
      <c r="J925" s="84"/>
      <c r="K925" s="84"/>
      <c r="L925" s="84"/>
      <c r="M925" s="84"/>
      <c r="N925" s="84"/>
      <c r="O925" s="84"/>
      <c r="P925" s="85"/>
      <c r="Q925" s="75"/>
      <c r="R925" s="75"/>
      <c r="S925" s="75"/>
      <c r="T925" s="75"/>
      <c r="U925" s="89"/>
      <c r="V925" s="84"/>
      <c r="W925" s="84"/>
      <c r="X925" s="84"/>
      <c r="Y925" s="84"/>
      <c r="Z925" s="84"/>
      <c r="AA925" s="1"/>
      <c r="AB925" s="330"/>
      <c r="AC925" s="321"/>
      <c r="AD925" s="321"/>
    </row>
    <row r="926" spans="1:30" ht="15.75" customHeight="1">
      <c r="A926" s="83"/>
      <c r="B926" s="83"/>
      <c r="C926" s="83"/>
      <c r="D926" s="84"/>
      <c r="E926" s="84"/>
      <c r="F926" s="84"/>
      <c r="G926" s="83"/>
      <c r="H926" s="84"/>
      <c r="I926" s="84"/>
      <c r="J926" s="84"/>
      <c r="K926" s="84"/>
      <c r="L926" s="84"/>
      <c r="M926" s="84"/>
      <c r="N926" s="84"/>
      <c r="O926" s="84"/>
      <c r="P926" s="85"/>
      <c r="Q926" s="75"/>
      <c r="R926" s="75"/>
      <c r="S926" s="75"/>
      <c r="T926" s="75"/>
      <c r="U926" s="89"/>
      <c r="V926" s="84"/>
      <c r="W926" s="84"/>
      <c r="X926" s="84"/>
      <c r="Y926" s="84"/>
      <c r="Z926" s="84"/>
      <c r="AA926" s="1"/>
      <c r="AB926" s="330"/>
      <c r="AC926" s="321"/>
      <c r="AD926" s="321"/>
    </row>
    <row r="927" spans="1:30" ht="15.75" customHeight="1">
      <c r="A927" s="83"/>
      <c r="B927" s="83"/>
      <c r="C927" s="83"/>
      <c r="D927" s="84"/>
      <c r="E927" s="84"/>
      <c r="F927" s="84"/>
      <c r="G927" s="83"/>
      <c r="H927" s="84"/>
      <c r="I927" s="84"/>
      <c r="J927" s="84"/>
      <c r="K927" s="84"/>
      <c r="L927" s="84"/>
      <c r="M927" s="84"/>
      <c r="N927" s="84"/>
      <c r="O927" s="84"/>
      <c r="P927" s="85"/>
      <c r="Q927" s="75"/>
      <c r="R927" s="75"/>
      <c r="S927" s="75"/>
      <c r="T927" s="75"/>
      <c r="U927" s="89"/>
      <c r="V927" s="84"/>
      <c r="W927" s="84"/>
      <c r="X927" s="84"/>
      <c r="Y927" s="84"/>
      <c r="Z927" s="84"/>
      <c r="AA927" s="1"/>
      <c r="AB927" s="330"/>
      <c r="AC927" s="321"/>
      <c r="AD927" s="321"/>
    </row>
    <row r="928" spans="1:30" ht="15.75" customHeight="1">
      <c r="A928" s="83"/>
      <c r="B928" s="83"/>
      <c r="C928" s="83"/>
      <c r="D928" s="84"/>
      <c r="E928" s="84"/>
      <c r="F928" s="84"/>
      <c r="G928" s="83"/>
      <c r="H928" s="84"/>
      <c r="I928" s="84"/>
      <c r="J928" s="84"/>
      <c r="K928" s="84"/>
      <c r="L928" s="84"/>
      <c r="M928" s="84"/>
      <c r="N928" s="84"/>
      <c r="O928" s="84"/>
      <c r="P928" s="85"/>
      <c r="Q928" s="75"/>
      <c r="R928" s="75"/>
      <c r="S928" s="75"/>
      <c r="T928" s="75"/>
      <c r="U928" s="89"/>
      <c r="V928" s="84"/>
      <c r="W928" s="84"/>
      <c r="X928" s="84"/>
      <c r="Y928" s="84"/>
      <c r="Z928" s="84"/>
      <c r="AA928" s="1"/>
      <c r="AB928" s="330"/>
      <c r="AC928" s="321"/>
      <c r="AD928" s="321"/>
    </row>
    <row r="929" spans="1:30" ht="15.75" customHeight="1">
      <c r="A929" s="83"/>
      <c r="B929" s="83"/>
      <c r="C929" s="83"/>
      <c r="D929" s="84"/>
      <c r="E929" s="84"/>
      <c r="F929" s="84"/>
      <c r="G929" s="83"/>
      <c r="H929" s="84"/>
      <c r="I929" s="84"/>
      <c r="J929" s="84"/>
      <c r="K929" s="84"/>
      <c r="L929" s="84"/>
      <c r="M929" s="84"/>
      <c r="N929" s="84"/>
      <c r="O929" s="84"/>
      <c r="P929" s="85"/>
      <c r="Q929" s="75"/>
      <c r="R929" s="75"/>
      <c r="S929" s="75"/>
      <c r="T929" s="75"/>
      <c r="U929" s="89"/>
      <c r="V929" s="84"/>
      <c r="W929" s="84"/>
      <c r="X929" s="84"/>
      <c r="Y929" s="84"/>
      <c r="Z929" s="84"/>
      <c r="AA929" s="1"/>
      <c r="AB929" s="330"/>
      <c r="AC929" s="321"/>
      <c r="AD929" s="321"/>
    </row>
    <row r="930" spans="1:30" ht="15.75" customHeight="1">
      <c r="A930" s="83"/>
      <c r="B930" s="83"/>
      <c r="C930" s="83"/>
      <c r="D930" s="84"/>
      <c r="E930" s="84"/>
      <c r="F930" s="84"/>
      <c r="G930" s="83"/>
      <c r="H930" s="84"/>
      <c r="I930" s="84"/>
      <c r="J930" s="84"/>
      <c r="K930" s="84"/>
      <c r="L930" s="84"/>
      <c r="M930" s="84"/>
      <c r="N930" s="84"/>
      <c r="O930" s="84"/>
      <c r="P930" s="85"/>
      <c r="Q930" s="75"/>
      <c r="R930" s="75"/>
      <c r="S930" s="75"/>
      <c r="T930" s="75"/>
      <c r="U930" s="89"/>
      <c r="V930" s="84"/>
      <c r="W930" s="84"/>
      <c r="X930" s="84"/>
      <c r="Y930" s="84"/>
      <c r="Z930" s="84"/>
      <c r="AA930" s="1"/>
      <c r="AB930" s="330"/>
      <c r="AC930" s="321"/>
      <c r="AD930" s="321"/>
    </row>
    <row r="931" spans="1:30" ht="15.75" customHeight="1">
      <c r="A931" s="83"/>
      <c r="B931" s="83"/>
      <c r="C931" s="83"/>
      <c r="D931" s="84"/>
      <c r="E931" s="84"/>
      <c r="F931" s="84"/>
      <c r="G931" s="83"/>
      <c r="H931" s="84"/>
      <c r="I931" s="84"/>
      <c r="J931" s="84"/>
      <c r="K931" s="84"/>
      <c r="L931" s="84"/>
      <c r="M931" s="84"/>
      <c r="N931" s="84"/>
      <c r="O931" s="84"/>
      <c r="P931" s="85"/>
      <c r="Q931" s="75"/>
      <c r="R931" s="75"/>
      <c r="S931" s="75"/>
      <c r="T931" s="75"/>
      <c r="U931" s="89"/>
      <c r="V931" s="84"/>
      <c r="W931" s="84"/>
      <c r="X931" s="84"/>
      <c r="Y931" s="84"/>
      <c r="Z931" s="84"/>
      <c r="AA931" s="1"/>
      <c r="AB931" s="330"/>
      <c r="AC931" s="321"/>
      <c r="AD931" s="321"/>
    </row>
    <row r="932" spans="1:30" ht="15.75" customHeight="1">
      <c r="A932" s="83"/>
      <c r="B932" s="83"/>
      <c r="C932" s="83"/>
      <c r="D932" s="84"/>
      <c r="E932" s="84"/>
      <c r="F932" s="84"/>
      <c r="G932" s="83"/>
      <c r="H932" s="84"/>
      <c r="I932" s="84"/>
      <c r="J932" s="84"/>
      <c r="K932" s="84"/>
      <c r="L932" s="84"/>
      <c r="M932" s="84"/>
      <c r="N932" s="84"/>
      <c r="O932" s="84"/>
      <c r="P932" s="85"/>
      <c r="Q932" s="75"/>
      <c r="R932" s="75"/>
      <c r="S932" s="75"/>
      <c r="T932" s="75"/>
      <c r="U932" s="89"/>
      <c r="V932" s="84"/>
      <c r="W932" s="84"/>
      <c r="X932" s="84"/>
      <c r="Y932" s="84"/>
      <c r="Z932" s="84"/>
      <c r="AA932" s="1"/>
      <c r="AB932" s="330"/>
      <c r="AC932" s="321"/>
      <c r="AD932" s="321"/>
    </row>
    <row r="933" spans="1:30" ht="15.75" customHeight="1">
      <c r="A933" s="83"/>
      <c r="B933" s="83"/>
      <c r="C933" s="83"/>
      <c r="D933" s="84"/>
      <c r="E933" s="84"/>
      <c r="F933" s="84"/>
      <c r="G933" s="83"/>
      <c r="H933" s="84"/>
      <c r="I933" s="84"/>
      <c r="J933" s="84"/>
      <c r="K933" s="84"/>
      <c r="L933" s="84"/>
      <c r="M933" s="84"/>
      <c r="N933" s="84"/>
      <c r="O933" s="84"/>
      <c r="P933" s="85"/>
      <c r="Q933" s="75"/>
      <c r="R933" s="75"/>
      <c r="S933" s="75"/>
      <c r="T933" s="75"/>
      <c r="U933" s="89"/>
      <c r="V933" s="84"/>
      <c r="W933" s="84"/>
      <c r="X933" s="84"/>
      <c r="Y933" s="84"/>
      <c r="Z933" s="84"/>
      <c r="AA933" s="1"/>
      <c r="AB933" s="330"/>
      <c r="AC933" s="321"/>
      <c r="AD933" s="321"/>
    </row>
    <row r="934" spans="1:30" ht="15.75" customHeight="1">
      <c r="A934" s="83"/>
      <c r="B934" s="83"/>
      <c r="C934" s="83"/>
      <c r="D934" s="84"/>
      <c r="E934" s="84"/>
      <c r="F934" s="84"/>
      <c r="G934" s="83"/>
      <c r="H934" s="84"/>
      <c r="I934" s="84"/>
      <c r="J934" s="84"/>
      <c r="K934" s="84"/>
      <c r="L934" s="84"/>
      <c r="M934" s="84"/>
      <c r="N934" s="84"/>
      <c r="O934" s="84"/>
      <c r="P934" s="85"/>
      <c r="Q934" s="75"/>
      <c r="R934" s="75"/>
      <c r="S934" s="75"/>
      <c r="T934" s="75"/>
      <c r="U934" s="89"/>
      <c r="V934" s="84"/>
      <c r="W934" s="84"/>
      <c r="X934" s="84"/>
      <c r="Y934" s="84"/>
      <c r="Z934" s="84"/>
      <c r="AA934" s="1"/>
      <c r="AB934" s="330"/>
      <c r="AC934" s="321"/>
      <c r="AD934" s="321"/>
    </row>
    <row r="935" spans="1:30" ht="15.75" customHeight="1">
      <c r="A935" s="83"/>
      <c r="B935" s="83"/>
      <c r="C935" s="83"/>
      <c r="D935" s="84"/>
      <c r="E935" s="84"/>
      <c r="F935" s="84"/>
      <c r="G935" s="83"/>
      <c r="H935" s="84"/>
      <c r="I935" s="84"/>
      <c r="J935" s="84"/>
      <c r="K935" s="84"/>
      <c r="L935" s="84"/>
      <c r="M935" s="84"/>
      <c r="N935" s="84"/>
      <c r="O935" s="84"/>
      <c r="P935" s="85"/>
      <c r="Q935" s="75"/>
      <c r="R935" s="75"/>
      <c r="S935" s="75"/>
      <c r="T935" s="75"/>
      <c r="U935" s="89"/>
      <c r="V935" s="84"/>
      <c r="W935" s="84"/>
      <c r="X935" s="84"/>
      <c r="Y935" s="84"/>
      <c r="Z935" s="84"/>
      <c r="AA935" s="1"/>
      <c r="AB935" s="330"/>
      <c r="AC935" s="321"/>
      <c r="AD935" s="321"/>
    </row>
    <row r="936" spans="1:30" ht="15.75" customHeight="1">
      <c r="A936" s="83"/>
      <c r="B936" s="83"/>
      <c r="C936" s="83"/>
      <c r="D936" s="84"/>
      <c r="E936" s="84"/>
      <c r="F936" s="84"/>
      <c r="G936" s="83"/>
      <c r="H936" s="84"/>
      <c r="I936" s="84"/>
      <c r="J936" s="84"/>
      <c r="K936" s="84"/>
      <c r="L936" s="84"/>
      <c r="M936" s="84"/>
      <c r="N936" s="84"/>
      <c r="O936" s="84"/>
      <c r="P936" s="85"/>
      <c r="Q936" s="75"/>
      <c r="R936" s="75"/>
      <c r="S936" s="75"/>
      <c r="T936" s="75"/>
      <c r="U936" s="89"/>
      <c r="V936" s="84"/>
      <c r="W936" s="84"/>
      <c r="X936" s="84"/>
      <c r="Y936" s="84"/>
      <c r="Z936" s="84"/>
      <c r="AA936" s="1"/>
      <c r="AB936" s="330"/>
      <c r="AC936" s="321"/>
      <c r="AD936" s="321"/>
    </row>
    <row r="937" spans="1:30" ht="15.75" customHeight="1">
      <c r="A937" s="83"/>
      <c r="B937" s="83"/>
      <c r="C937" s="83"/>
      <c r="D937" s="84"/>
      <c r="E937" s="84"/>
      <c r="F937" s="84"/>
      <c r="G937" s="83"/>
      <c r="H937" s="84"/>
      <c r="I937" s="84"/>
      <c r="J937" s="84"/>
      <c r="K937" s="84"/>
      <c r="L937" s="84"/>
      <c r="M937" s="84"/>
      <c r="N937" s="84"/>
      <c r="O937" s="84"/>
      <c r="P937" s="85"/>
      <c r="Q937" s="75"/>
      <c r="R937" s="75"/>
      <c r="S937" s="75"/>
      <c r="T937" s="75"/>
      <c r="U937" s="89"/>
      <c r="V937" s="84"/>
      <c r="W937" s="84"/>
      <c r="X937" s="84"/>
      <c r="Y937" s="84"/>
      <c r="Z937" s="84"/>
      <c r="AA937" s="1"/>
      <c r="AB937" s="330"/>
      <c r="AC937" s="321"/>
      <c r="AD937" s="321"/>
    </row>
    <row r="938" spans="1:30" ht="15.75" customHeight="1">
      <c r="A938" s="83"/>
      <c r="B938" s="83"/>
      <c r="C938" s="83"/>
      <c r="D938" s="84"/>
      <c r="E938" s="84"/>
      <c r="F938" s="84"/>
      <c r="G938" s="83"/>
      <c r="H938" s="84"/>
      <c r="I938" s="84"/>
      <c r="J938" s="84"/>
      <c r="K938" s="84"/>
      <c r="L938" s="84"/>
      <c r="M938" s="84"/>
      <c r="N938" s="84"/>
      <c r="O938" s="84"/>
      <c r="P938" s="85"/>
      <c r="Q938" s="75"/>
      <c r="R938" s="75"/>
      <c r="S938" s="75"/>
      <c r="T938" s="75"/>
      <c r="U938" s="89"/>
      <c r="V938" s="84"/>
      <c r="W938" s="84"/>
      <c r="X938" s="84"/>
      <c r="Y938" s="84"/>
      <c r="Z938" s="84"/>
      <c r="AA938" s="1"/>
      <c r="AB938" s="330"/>
      <c r="AC938" s="321"/>
      <c r="AD938" s="321"/>
    </row>
    <row r="939" spans="1:30" ht="15.75" customHeight="1">
      <c r="A939" s="83"/>
      <c r="B939" s="83"/>
      <c r="C939" s="83"/>
      <c r="D939" s="84"/>
      <c r="E939" s="84"/>
      <c r="F939" s="84"/>
      <c r="G939" s="83"/>
      <c r="H939" s="84"/>
      <c r="I939" s="84"/>
      <c r="J939" s="84"/>
      <c r="K939" s="84"/>
      <c r="L939" s="84"/>
      <c r="M939" s="84"/>
      <c r="N939" s="84"/>
      <c r="O939" s="84"/>
      <c r="P939" s="85"/>
      <c r="Q939" s="75"/>
      <c r="R939" s="75"/>
      <c r="S939" s="75"/>
      <c r="T939" s="75"/>
      <c r="U939" s="89"/>
      <c r="V939" s="84"/>
      <c r="W939" s="84"/>
      <c r="X939" s="84"/>
      <c r="Y939" s="84"/>
      <c r="Z939" s="84"/>
      <c r="AA939" s="1"/>
      <c r="AB939" s="330"/>
      <c r="AC939" s="321"/>
      <c r="AD939" s="321"/>
    </row>
    <row r="940" spans="1:30" ht="15.75" customHeight="1">
      <c r="A940" s="83"/>
      <c r="B940" s="83"/>
      <c r="C940" s="83"/>
      <c r="D940" s="84"/>
      <c r="E940" s="84"/>
      <c r="F940" s="84"/>
      <c r="G940" s="83"/>
      <c r="H940" s="84"/>
      <c r="I940" s="84"/>
      <c r="J940" s="84"/>
      <c r="K940" s="84"/>
      <c r="L940" s="84"/>
      <c r="M940" s="84"/>
      <c r="N940" s="84"/>
      <c r="O940" s="84"/>
      <c r="P940" s="85"/>
      <c r="Q940" s="75"/>
      <c r="R940" s="75"/>
      <c r="S940" s="75"/>
      <c r="T940" s="75"/>
      <c r="U940" s="89"/>
      <c r="V940" s="84"/>
      <c r="W940" s="84"/>
      <c r="X940" s="84"/>
      <c r="Y940" s="84"/>
      <c r="Z940" s="84"/>
      <c r="AA940" s="1"/>
      <c r="AB940" s="330"/>
      <c r="AC940" s="321"/>
      <c r="AD940" s="321"/>
    </row>
    <row r="941" spans="1:30" ht="15.75" customHeight="1">
      <c r="A941" s="83"/>
      <c r="B941" s="83"/>
      <c r="C941" s="83"/>
      <c r="D941" s="84"/>
      <c r="E941" s="84"/>
      <c r="F941" s="84"/>
      <c r="G941" s="83"/>
      <c r="H941" s="84"/>
      <c r="I941" s="84"/>
      <c r="J941" s="84"/>
      <c r="K941" s="84"/>
      <c r="L941" s="84"/>
      <c r="M941" s="84"/>
      <c r="N941" s="84"/>
      <c r="O941" s="84"/>
      <c r="P941" s="85"/>
      <c r="Q941" s="75"/>
      <c r="R941" s="75"/>
      <c r="S941" s="75"/>
      <c r="T941" s="75"/>
      <c r="U941" s="89"/>
      <c r="V941" s="84"/>
      <c r="W941" s="84"/>
      <c r="X941" s="84"/>
      <c r="Y941" s="84"/>
      <c r="Z941" s="84"/>
      <c r="AA941" s="1"/>
      <c r="AB941" s="330"/>
      <c r="AC941" s="321"/>
      <c r="AD941" s="321"/>
    </row>
    <row r="942" spans="1:30" ht="15.75" customHeight="1">
      <c r="A942" s="83"/>
      <c r="B942" s="83"/>
      <c r="C942" s="83"/>
      <c r="D942" s="84"/>
      <c r="E942" s="84"/>
      <c r="F942" s="84"/>
      <c r="G942" s="83"/>
      <c r="H942" s="84"/>
      <c r="I942" s="84"/>
      <c r="J942" s="84"/>
      <c r="K942" s="84"/>
      <c r="L942" s="84"/>
      <c r="M942" s="84"/>
      <c r="N942" s="84"/>
      <c r="O942" s="84"/>
      <c r="P942" s="85"/>
      <c r="Q942" s="75"/>
      <c r="R942" s="75"/>
      <c r="S942" s="75"/>
      <c r="T942" s="75"/>
      <c r="U942" s="89"/>
      <c r="V942" s="84"/>
      <c r="W942" s="84"/>
      <c r="X942" s="84"/>
      <c r="Y942" s="84"/>
      <c r="Z942" s="84"/>
      <c r="AA942" s="1"/>
      <c r="AB942" s="330"/>
      <c r="AC942" s="321"/>
      <c r="AD942" s="321"/>
    </row>
    <row r="943" spans="1:30" ht="15.75" customHeight="1">
      <c r="A943" s="83"/>
      <c r="B943" s="83"/>
      <c r="C943" s="83"/>
      <c r="D943" s="84"/>
      <c r="E943" s="84"/>
      <c r="F943" s="84"/>
      <c r="G943" s="83"/>
      <c r="H943" s="84"/>
      <c r="I943" s="84"/>
      <c r="J943" s="84"/>
      <c r="K943" s="84"/>
      <c r="L943" s="84"/>
      <c r="M943" s="84"/>
      <c r="N943" s="84"/>
      <c r="O943" s="84"/>
      <c r="P943" s="85"/>
      <c r="Q943" s="75"/>
      <c r="R943" s="75"/>
      <c r="S943" s="75"/>
      <c r="T943" s="75"/>
      <c r="U943" s="89"/>
      <c r="V943" s="84"/>
      <c r="W943" s="84"/>
      <c r="X943" s="84"/>
      <c r="Y943" s="84"/>
      <c r="Z943" s="84"/>
      <c r="AA943" s="1"/>
      <c r="AB943" s="330"/>
      <c r="AC943" s="321"/>
      <c r="AD943" s="321"/>
    </row>
    <row r="944" spans="1:30" ht="15.75" customHeight="1">
      <c r="A944" s="83"/>
      <c r="B944" s="83"/>
      <c r="C944" s="83"/>
      <c r="D944" s="84"/>
      <c r="E944" s="84"/>
      <c r="F944" s="84"/>
      <c r="G944" s="83"/>
      <c r="H944" s="84"/>
      <c r="I944" s="84"/>
      <c r="J944" s="84"/>
      <c r="K944" s="84"/>
      <c r="L944" s="84"/>
      <c r="M944" s="84"/>
      <c r="N944" s="84"/>
      <c r="O944" s="84"/>
      <c r="P944" s="85"/>
      <c r="Q944" s="75"/>
      <c r="R944" s="75"/>
      <c r="S944" s="75"/>
      <c r="T944" s="75"/>
      <c r="U944" s="89"/>
      <c r="V944" s="84"/>
      <c r="W944" s="84"/>
      <c r="X944" s="84"/>
      <c r="Y944" s="84"/>
      <c r="Z944" s="84"/>
      <c r="AA944" s="1"/>
      <c r="AB944" s="330"/>
      <c r="AC944" s="321"/>
      <c r="AD944" s="321"/>
    </row>
    <row r="945" spans="1:30" ht="15.75" customHeight="1">
      <c r="A945" s="83"/>
      <c r="B945" s="83"/>
      <c r="C945" s="83"/>
      <c r="D945" s="84"/>
      <c r="E945" s="84"/>
      <c r="F945" s="84"/>
      <c r="G945" s="83"/>
      <c r="H945" s="84"/>
      <c r="I945" s="84"/>
      <c r="J945" s="84"/>
      <c r="K945" s="84"/>
      <c r="L945" s="84"/>
      <c r="M945" s="84"/>
      <c r="N945" s="84"/>
      <c r="O945" s="84"/>
      <c r="P945" s="85"/>
      <c r="Q945" s="75"/>
      <c r="R945" s="75"/>
      <c r="S945" s="75"/>
      <c r="T945" s="75"/>
      <c r="U945" s="89"/>
      <c r="V945" s="84"/>
      <c r="W945" s="84"/>
      <c r="X945" s="84"/>
      <c r="Y945" s="84"/>
      <c r="Z945" s="84"/>
      <c r="AA945" s="1"/>
      <c r="AB945" s="330"/>
      <c r="AC945" s="321"/>
      <c r="AD945" s="321"/>
    </row>
    <row r="946" spans="1:30" ht="15.75" customHeight="1">
      <c r="A946" s="83"/>
      <c r="B946" s="83"/>
      <c r="C946" s="83"/>
      <c r="D946" s="84"/>
      <c r="E946" s="84"/>
      <c r="F946" s="84"/>
      <c r="G946" s="83"/>
      <c r="H946" s="84"/>
      <c r="I946" s="84"/>
      <c r="J946" s="84"/>
      <c r="K946" s="84"/>
      <c r="L946" s="84"/>
      <c r="M946" s="84"/>
      <c r="N946" s="84"/>
      <c r="O946" s="84"/>
      <c r="P946" s="85"/>
      <c r="Q946" s="75"/>
      <c r="R946" s="75"/>
      <c r="S946" s="75"/>
      <c r="T946" s="75"/>
      <c r="U946" s="89"/>
      <c r="V946" s="84"/>
      <c r="W946" s="84"/>
      <c r="X946" s="84"/>
      <c r="Y946" s="84"/>
      <c r="Z946" s="84"/>
      <c r="AA946" s="1"/>
      <c r="AB946" s="330"/>
      <c r="AC946" s="321"/>
      <c r="AD946" s="321"/>
    </row>
    <row r="947" spans="1:30" ht="15.75" customHeight="1">
      <c r="A947" s="83"/>
      <c r="B947" s="83"/>
      <c r="C947" s="83"/>
      <c r="D947" s="84"/>
      <c r="E947" s="84"/>
      <c r="F947" s="84"/>
      <c r="G947" s="83"/>
      <c r="H947" s="84"/>
      <c r="I947" s="84"/>
      <c r="J947" s="84"/>
      <c r="K947" s="84"/>
      <c r="L947" s="84"/>
      <c r="M947" s="84"/>
      <c r="N947" s="84"/>
      <c r="O947" s="84"/>
      <c r="P947" s="85"/>
      <c r="Q947" s="75"/>
      <c r="R947" s="75"/>
      <c r="S947" s="75"/>
      <c r="T947" s="75"/>
      <c r="U947" s="89"/>
      <c r="V947" s="84"/>
      <c r="W947" s="84"/>
      <c r="X947" s="84"/>
      <c r="Y947" s="84"/>
      <c r="Z947" s="84"/>
      <c r="AA947" s="1"/>
      <c r="AB947" s="330"/>
      <c r="AC947" s="321"/>
      <c r="AD947" s="321"/>
    </row>
    <row r="948" spans="1:30" ht="15.75" customHeight="1">
      <c r="A948" s="83"/>
      <c r="B948" s="83"/>
      <c r="C948" s="83"/>
      <c r="D948" s="84"/>
      <c r="E948" s="84"/>
      <c r="F948" s="84"/>
      <c r="G948" s="83"/>
      <c r="H948" s="84"/>
      <c r="I948" s="84"/>
      <c r="J948" s="84"/>
      <c r="K948" s="84"/>
      <c r="L948" s="84"/>
      <c r="M948" s="84"/>
      <c r="N948" s="84"/>
      <c r="O948" s="84"/>
      <c r="P948" s="85"/>
      <c r="Q948" s="75"/>
      <c r="R948" s="75"/>
      <c r="S948" s="75"/>
      <c r="T948" s="75"/>
      <c r="U948" s="89"/>
      <c r="V948" s="84"/>
      <c r="W948" s="84"/>
      <c r="X948" s="84"/>
      <c r="Y948" s="84"/>
      <c r="Z948" s="84"/>
      <c r="AA948" s="1"/>
      <c r="AB948" s="330"/>
      <c r="AC948" s="321"/>
      <c r="AD948" s="321"/>
    </row>
    <row r="949" spans="1:30" ht="15.75" customHeight="1">
      <c r="A949" s="83"/>
      <c r="B949" s="83"/>
      <c r="C949" s="83"/>
      <c r="D949" s="84"/>
      <c r="E949" s="84"/>
      <c r="F949" s="84"/>
      <c r="G949" s="83"/>
      <c r="H949" s="84"/>
      <c r="I949" s="84"/>
      <c r="J949" s="84"/>
      <c r="K949" s="84"/>
      <c r="L949" s="84"/>
      <c r="M949" s="84"/>
      <c r="N949" s="84"/>
      <c r="O949" s="84"/>
      <c r="P949" s="85"/>
      <c r="Q949" s="75"/>
      <c r="R949" s="75"/>
      <c r="S949" s="75"/>
      <c r="T949" s="75"/>
      <c r="U949" s="89"/>
      <c r="V949" s="84"/>
      <c r="W949" s="84"/>
      <c r="X949" s="84"/>
      <c r="Y949" s="84"/>
      <c r="Z949" s="84"/>
      <c r="AA949" s="1"/>
      <c r="AB949" s="330"/>
      <c r="AC949" s="321"/>
      <c r="AD949" s="321"/>
    </row>
    <row r="950" spans="1:30" ht="15.75" customHeight="1">
      <c r="A950" s="83"/>
      <c r="B950" s="83"/>
      <c r="C950" s="83"/>
      <c r="D950" s="84"/>
      <c r="E950" s="84"/>
      <c r="F950" s="84"/>
      <c r="G950" s="83"/>
      <c r="H950" s="84"/>
      <c r="I950" s="84"/>
      <c r="J950" s="84"/>
      <c r="K950" s="84"/>
      <c r="L950" s="84"/>
      <c r="M950" s="84"/>
      <c r="N950" s="84"/>
      <c r="O950" s="84"/>
      <c r="P950" s="85"/>
      <c r="Q950" s="75"/>
      <c r="R950" s="75"/>
      <c r="S950" s="75"/>
      <c r="T950" s="75"/>
      <c r="U950" s="89"/>
      <c r="V950" s="84"/>
      <c r="W950" s="84"/>
      <c r="X950" s="84"/>
      <c r="Y950" s="84"/>
      <c r="Z950" s="84"/>
      <c r="AA950" s="1"/>
      <c r="AB950" s="330"/>
      <c r="AC950" s="321"/>
      <c r="AD950" s="321"/>
    </row>
    <row r="951" spans="1:30" ht="15.75" customHeight="1">
      <c r="A951" s="83"/>
      <c r="B951" s="83"/>
      <c r="C951" s="83"/>
      <c r="D951" s="84"/>
      <c r="E951" s="84"/>
      <c r="F951" s="84"/>
      <c r="G951" s="83"/>
      <c r="H951" s="84"/>
      <c r="I951" s="84"/>
      <c r="J951" s="84"/>
      <c r="K951" s="84"/>
      <c r="L951" s="84"/>
      <c r="M951" s="84"/>
      <c r="N951" s="84"/>
      <c r="O951" s="84"/>
      <c r="P951" s="85"/>
      <c r="Q951" s="75"/>
      <c r="R951" s="75"/>
      <c r="S951" s="75"/>
      <c r="T951" s="75"/>
      <c r="U951" s="89"/>
      <c r="V951" s="84"/>
      <c r="W951" s="84"/>
      <c r="X951" s="84"/>
      <c r="Y951" s="84"/>
      <c r="Z951" s="84"/>
      <c r="AA951" s="1"/>
      <c r="AB951" s="330"/>
      <c r="AC951" s="321"/>
      <c r="AD951" s="321"/>
    </row>
    <row r="952" spans="1:30" ht="15.75" customHeight="1">
      <c r="A952" s="83"/>
      <c r="B952" s="83"/>
      <c r="C952" s="83"/>
      <c r="D952" s="84"/>
      <c r="E952" s="84"/>
      <c r="F952" s="84"/>
      <c r="G952" s="83"/>
      <c r="H952" s="84"/>
      <c r="I952" s="84"/>
      <c r="J952" s="84"/>
      <c r="K952" s="84"/>
      <c r="L952" s="84"/>
      <c r="M952" s="84"/>
      <c r="N952" s="84"/>
      <c r="O952" s="84"/>
      <c r="P952" s="85"/>
      <c r="Q952" s="75"/>
      <c r="R952" s="75"/>
      <c r="S952" s="75"/>
      <c r="T952" s="75"/>
      <c r="U952" s="89"/>
      <c r="V952" s="84"/>
      <c r="W952" s="84"/>
      <c r="X952" s="84"/>
      <c r="Y952" s="84"/>
      <c r="Z952" s="84"/>
      <c r="AA952" s="1"/>
      <c r="AB952" s="330"/>
      <c r="AC952" s="321"/>
      <c r="AD952" s="321"/>
    </row>
    <row r="953" spans="1:30" ht="15.75" customHeight="1">
      <c r="A953" s="83"/>
      <c r="B953" s="83"/>
      <c r="C953" s="83"/>
      <c r="D953" s="84"/>
      <c r="E953" s="84"/>
      <c r="F953" s="84"/>
      <c r="G953" s="83"/>
      <c r="H953" s="84"/>
      <c r="I953" s="84"/>
      <c r="J953" s="84"/>
      <c r="K953" s="84"/>
      <c r="L953" s="84"/>
      <c r="M953" s="84"/>
      <c r="N953" s="84"/>
      <c r="O953" s="84"/>
      <c r="P953" s="85"/>
      <c r="Q953" s="75"/>
      <c r="R953" s="75"/>
      <c r="S953" s="75"/>
      <c r="T953" s="75"/>
      <c r="U953" s="89"/>
      <c r="V953" s="84"/>
      <c r="W953" s="84"/>
      <c r="X953" s="84"/>
      <c r="Y953" s="84"/>
      <c r="Z953" s="84"/>
      <c r="AA953" s="1"/>
      <c r="AB953" s="330"/>
      <c r="AC953" s="321"/>
      <c r="AD953" s="321"/>
    </row>
    <row r="954" spans="1:30" ht="15.75" customHeight="1">
      <c r="A954" s="83"/>
      <c r="B954" s="83"/>
      <c r="C954" s="83"/>
      <c r="D954" s="84"/>
      <c r="E954" s="84"/>
      <c r="F954" s="84"/>
      <c r="G954" s="83"/>
      <c r="H954" s="84"/>
      <c r="I954" s="84"/>
      <c r="J954" s="84"/>
      <c r="K954" s="84"/>
      <c r="L954" s="84"/>
      <c r="M954" s="84"/>
      <c r="N954" s="84"/>
      <c r="O954" s="84"/>
      <c r="P954" s="85"/>
      <c r="Q954" s="75"/>
      <c r="R954" s="75"/>
      <c r="S954" s="75"/>
      <c r="T954" s="75"/>
      <c r="U954" s="89"/>
      <c r="V954" s="84"/>
      <c r="W954" s="84"/>
      <c r="X954" s="84"/>
      <c r="Y954" s="84"/>
      <c r="Z954" s="84"/>
      <c r="AA954" s="1"/>
      <c r="AB954" s="330"/>
      <c r="AC954" s="321"/>
      <c r="AD954" s="321"/>
    </row>
    <row r="955" spans="1:30" ht="15.75" customHeight="1">
      <c r="A955" s="83"/>
      <c r="B955" s="83"/>
      <c r="C955" s="83"/>
      <c r="D955" s="84"/>
      <c r="E955" s="84"/>
      <c r="F955" s="84"/>
      <c r="G955" s="83"/>
      <c r="H955" s="84"/>
      <c r="I955" s="84"/>
      <c r="J955" s="84"/>
      <c r="K955" s="84"/>
      <c r="L955" s="84"/>
      <c r="M955" s="84"/>
      <c r="N955" s="84"/>
      <c r="O955" s="84"/>
      <c r="P955" s="85"/>
      <c r="Q955" s="75"/>
      <c r="R955" s="75"/>
      <c r="S955" s="75"/>
      <c r="T955" s="75"/>
      <c r="U955" s="89"/>
      <c r="V955" s="84"/>
      <c r="W955" s="84"/>
      <c r="X955" s="84"/>
      <c r="Y955" s="84"/>
      <c r="Z955" s="84"/>
      <c r="AA955" s="1"/>
      <c r="AB955" s="330"/>
      <c r="AC955" s="321"/>
      <c r="AD955" s="321"/>
    </row>
    <row r="956" spans="1:30" ht="15.75" customHeight="1">
      <c r="A956" s="83"/>
      <c r="B956" s="83"/>
      <c r="C956" s="83"/>
      <c r="D956" s="84"/>
      <c r="E956" s="84"/>
      <c r="F956" s="84"/>
      <c r="G956" s="83"/>
      <c r="H956" s="84"/>
      <c r="I956" s="84"/>
      <c r="J956" s="84"/>
      <c r="K956" s="84"/>
      <c r="L956" s="84"/>
      <c r="M956" s="84"/>
      <c r="N956" s="84"/>
      <c r="O956" s="84"/>
      <c r="P956" s="85"/>
      <c r="Q956" s="75"/>
      <c r="R956" s="75"/>
      <c r="S956" s="75"/>
      <c r="T956" s="75"/>
      <c r="U956" s="89"/>
      <c r="V956" s="84"/>
      <c r="W956" s="84"/>
      <c r="X956" s="84"/>
      <c r="Y956" s="84"/>
      <c r="Z956" s="84"/>
      <c r="AA956" s="1"/>
      <c r="AB956" s="330"/>
      <c r="AC956" s="321"/>
      <c r="AD956" s="321"/>
    </row>
    <row r="957" spans="1:30" ht="15.75" customHeight="1">
      <c r="A957" s="83"/>
      <c r="B957" s="83"/>
      <c r="C957" s="83"/>
      <c r="D957" s="84"/>
      <c r="E957" s="84"/>
      <c r="F957" s="84"/>
      <c r="G957" s="83"/>
      <c r="H957" s="84"/>
      <c r="I957" s="84"/>
      <c r="J957" s="84"/>
      <c r="K957" s="84"/>
      <c r="L957" s="84"/>
      <c r="M957" s="84"/>
      <c r="N957" s="84"/>
      <c r="O957" s="84"/>
      <c r="P957" s="85"/>
      <c r="Q957" s="75"/>
      <c r="R957" s="75"/>
      <c r="S957" s="75"/>
      <c r="T957" s="75"/>
      <c r="U957" s="89"/>
      <c r="V957" s="84"/>
      <c r="W957" s="84"/>
      <c r="X957" s="84"/>
      <c r="Y957" s="84"/>
      <c r="Z957" s="84"/>
      <c r="AA957" s="1"/>
      <c r="AB957" s="330"/>
      <c r="AC957" s="321"/>
      <c r="AD957" s="321"/>
    </row>
    <row r="958" spans="1:30" ht="15.75" customHeight="1">
      <c r="A958" s="83"/>
      <c r="B958" s="83"/>
      <c r="C958" s="83"/>
      <c r="D958" s="84"/>
      <c r="E958" s="84"/>
      <c r="F958" s="84"/>
      <c r="G958" s="83"/>
      <c r="H958" s="84"/>
      <c r="I958" s="84"/>
      <c r="J958" s="84"/>
      <c r="K958" s="84"/>
      <c r="L958" s="84"/>
      <c r="M958" s="84"/>
      <c r="N958" s="84"/>
      <c r="O958" s="84"/>
      <c r="P958" s="85"/>
      <c r="Q958" s="75"/>
      <c r="R958" s="75"/>
      <c r="S958" s="75"/>
      <c r="T958" s="75"/>
      <c r="U958" s="89"/>
      <c r="V958" s="84"/>
      <c r="W958" s="84"/>
      <c r="X958" s="84"/>
      <c r="Y958" s="84"/>
      <c r="Z958" s="84"/>
      <c r="AA958" s="1"/>
      <c r="AB958" s="330"/>
      <c r="AC958" s="321"/>
      <c r="AD958" s="321"/>
    </row>
    <row r="959" spans="1:30" ht="15.75" customHeight="1">
      <c r="A959" s="83"/>
      <c r="B959" s="83"/>
      <c r="C959" s="83"/>
      <c r="D959" s="84"/>
      <c r="E959" s="84"/>
      <c r="F959" s="84"/>
      <c r="G959" s="83"/>
      <c r="H959" s="84"/>
      <c r="I959" s="84"/>
      <c r="J959" s="84"/>
      <c r="K959" s="84"/>
      <c r="L959" s="84"/>
      <c r="M959" s="84"/>
      <c r="N959" s="84"/>
      <c r="O959" s="84"/>
      <c r="P959" s="85"/>
      <c r="Q959" s="75"/>
      <c r="R959" s="75"/>
      <c r="S959" s="75"/>
      <c r="T959" s="75"/>
      <c r="U959" s="89"/>
      <c r="V959" s="84"/>
      <c r="W959" s="84"/>
      <c r="X959" s="84"/>
      <c r="Y959" s="84"/>
      <c r="Z959" s="84"/>
      <c r="AA959" s="1"/>
      <c r="AB959" s="330"/>
      <c r="AC959" s="321"/>
      <c r="AD959" s="321"/>
    </row>
    <row r="960" spans="1:30" ht="15.75" customHeight="1">
      <c r="A960" s="83"/>
      <c r="B960" s="83"/>
      <c r="C960" s="83"/>
      <c r="D960" s="84"/>
      <c r="E960" s="84"/>
      <c r="F960" s="84"/>
      <c r="G960" s="83"/>
      <c r="H960" s="84"/>
      <c r="I960" s="84"/>
      <c r="J960" s="84"/>
      <c r="K960" s="84"/>
      <c r="L960" s="84"/>
      <c r="M960" s="84"/>
      <c r="N960" s="84"/>
      <c r="O960" s="84"/>
      <c r="P960" s="85"/>
      <c r="Q960" s="75"/>
      <c r="R960" s="75"/>
      <c r="S960" s="75"/>
      <c r="T960" s="75"/>
      <c r="U960" s="89"/>
      <c r="V960" s="84"/>
      <c r="W960" s="84"/>
      <c r="X960" s="84"/>
      <c r="Y960" s="84"/>
      <c r="Z960" s="84"/>
      <c r="AA960" s="1"/>
      <c r="AB960" s="330"/>
      <c r="AC960" s="321"/>
      <c r="AD960" s="321"/>
    </row>
    <row r="961" spans="1:30" ht="15.75" customHeight="1">
      <c r="A961" s="83"/>
      <c r="B961" s="83"/>
      <c r="C961" s="83"/>
      <c r="D961" s="84"/>
      <c r="E961" s="84"/>
      <c r="F961" s="84"/>
      <c r="G961" s="83"/>
      <c r="H961" s="84"/>
      <c r="I961" s="84"/>
      <c r="J961" s="84"/>
      <c r="K961" s="84"/>
      <c r="L961" s="84"/>
      <c r="M961" s="84"/>
      <c r="N961" s="84"/>
      <c r="O961" s="84"/>
      <c r="P961" s="85"/>
      <c r="Q961" s="75"/>
      <c r="R961" s="75"/>
      <c r="S961" s="75"/>
      <c r="T961" s="75"/>
      <c r="U961" s="89"/>
      <c r="V961" s="84"/>
      <c r="W961" s="84"/>
      <c r="X961" s="84"/>
      <c r="Y961" s="84"/>
      <c r="Z961" s="84"/>
      <c r="AA961" s="1"/>
      <c r="AB961" s="330"/>
      <c r="AC961" s="321"/>
      <c r="AD961" s="321"/>
    </row>
    <row r="962" spans="1:30" ht="15.75" customHeight="1">
      <c r="A962" s="83"/>
      <c r="B962" s="83"/>
      <c r="C962" s="83"/>
      <c r="D962" s="84"/>
      <c r="E962" s="84"/>
      <c r="F962" s="84"/>
      <c r="G962" s="83"/>
      <c r="H962" s="84"/>
      <c r="I962" s="84"/>
      <c r="J962" s="84"/>
      <c r="K962" s="84"/>
      <c r="L962" s="84"/>
      <c r="M962" s="84"/>
      <c r="N962" s="84"/>
      <c r="O962" s="84"/>
      <c r="P962" s="85"/>
      <c r="Q962" s="75"/>
      <c r="R962" s="75"/>
      <c r="S962" s="75"/>
      <c r="T962" s="75"/>
      <c r="U962" s="89"/>
      <c r="V962" s="84"/>
      <c r="W962" s="84"/>
      <c r="X962" s="84"/>
      <c r="Y962" s="84"/>
      <c r="Z962" s="84"/>
      <c r="AA962" s="1"/>
      <c r="AB962" s="330"/>
      <c r="AC962" s="321"/>
      <c r="AD962" s="321"/>
    </row>
    <row r="963" spans="1:30" ht="15.75" customHeight="1">
      <c r="A963" s="83"/>
      <c r="B963" s="83"/>
      <c r="C963" s="83"/>
      <c r="D963" s="84"/>
      <c r="E963" s="84"/>
      <c r="F963" s="84"/>
      <c r="G963" s="83"/>
      <c r="H963" s="84"/>
      <c r="I963" s="84"/>
      <c r="J963" s="84"/>
      <c r="K963" s="84"/>
      <c r="L963" s="84"/>
      <c r="M963" s="84"/>
      <c r="N963" s="84"/>
      <c r="O963" s="84"/>
      <c r="P963" s="85"/>
      <c r="Q963" s="75"/>
      <c r="R963" s="75"/>
      <c r="S963" s="75"/>
      <c r="T963" s="75"/>
      <c r="U963" s="89"/>
      <c r="V963" s="84"/>
      <c r="W963" s="84"/>
      <c r="X963" s="84"/>
      <c r="Y963" s="84"/>
      <c r="Z963" s="84"/>
      <c r="AA963" s="1"/>
      <c r="AB963" s="330"/>
      <c r="AC963" s="321"/>
      <c r="AD963" s="321"/>
    </row>
    <row r="964" spans="1:30" ht="15.75" customHeight="1">
      <c r="A964" s="83"/>
      <c r="B964" s="83"/>
      <c r="C964" s="83"/>
      <c r="D964" s="84"/>
      <c r="E964" s="84"/>
      <c r="F964" s="84"/>
      <c r="G964" s="83"/>
      <c r="H964" s="84"/>
      <c r="I964" s="84"/>
      <c r="J964" s="84"/>
      <c r="K964" s="84"/>
      <c r="L964" s="84"/>
      <c r="M964" s="84"/>
      <c r="N964" s="84"/>
      <c r="O964" s="84"/>
      <c r="P964" s="85"/>
      <c r="Q964" s="75"/>
      <c r="R964" s="75"/>
      <c r="S964" s="75"/>
      <c r="T964" s="75"/>
      <c r="U964" s="89"/>
      <c r="V964" s="84"/>
      <c r="W964" s="84"/>
      <c r="X964" s="84"/>
      <c r="Y964" s="84"/>
      <c r="Z964" s="84"/>
      <c r="AA964" s="1"/>
      <c r="AB964" s="330"/>
      <c r="AC964" s="321"/>
      <c r="AD964" s="321"/>
    </row>
    <row r="965" spans="1:30" ht="15.75" customHeight="1">
      <c r="A965" s="83"/>
      <c r="B965" s="83"/>
      <c r="C965" s="83"/>
      <c r="D965" s="84"/>
      <c r="E965" s="84"/>
      <c r="F965" s="84"/>
      <c r="G965" s="83"/>
      <c r="H965" s="84"/>
      <c r="I965" s="84"/>
      <c r="J965" s="84"/>
      <c r="K965" s="84"/>
      <c r="L965" s="84"/>
      <c r="M965" s="84"/>
      <c r="N965" s="84"/>
      <c r="O965" s="84"/>
      <c r="P965" s="85"/>
      <c r="Q965" s="75"/>
      <c r="R965" s="75"/>
      <c r="S965" s="75"/>
      <c r="T965" s="75"/>
      <c r="U965" s="89"/>
      <c r="V965" s="84"/>
      <c r="W965" s="84"/>
      <c r="X965" s="84"/>
      <c r="Y965" s="84"/>
      <c r="Z965" s="84"/>
      <c r="AA965" s="1"/>
      <c r="AB965" s="330"/>
      <c r="AC965" s="321"/>
      <c r="AD965" s="321"/>
    </row>
    <row r="966" spans="1:30" ht="15.75" customHeight="1">
      <c r="A966" s="83"/>
      <c r="B966" s="83"/>
      <c r="C966" s="83"/>
      <c r="D966" s="84"/>
      <c r="E966" s="84"/>
      <c r="F966" s="84"/>
      <c r="G966" s="83"/>
      <c r="H966" s="84"/>
      <c r="I966" s="84"/>
      <c r="J966" s="84"/>
      <c r="K966" s="84"/>
      <c r="L966" s="84"/>
      <c r="M966" s="84"/>
      <c r="N966" s="84"/>
      <c r="O966" s="84"/>
      <c r="P966" s="85"/>
      <c r="Q966" s="75"/>
      <c r="R966" s="75"/>
      <c r="S966" s="75"/>
      <c r="T966" s="75"/>
      <c r="U966" s="89"/>
      <c r="V966" s="84"/>
      <c r="W966" s="84"/>
      <c r="X966" s="84"/>
      <c r="Y966" s="84"/>
      <c r="Z966" s="84"/>
      <c r="AA966" s="1"/>
      <c r="AB966" s="330"/>
      <c r="AC966" s="321"/>
      <c r="AD966" s="321"/>
    </row>
    <row r="967" spans="1:30" ht="15.75" customHeight="1">
      <c r="A967" s="83"/>
      <c r="B967" s="83"/>
      <c r="C967" s="83"/>
      <c r="D967" s="84"/>
      <c r="E967" s="84"/>
      <c r="F967" s="84"/>
      <c r="G967" s="83"/>
      <c r="H967" s="84"/>
      <c r="I967" s="84"/>
      <c r="J967" s="84"/>
      <c r="K967" s="84"/>
      <c r="L967" s="84"/>
      <c r="M967" s="84"/>
      <c r="N967" s="84"/>
      <c r="O967" s="84"/>
      <c r="P967" s="85"/>
      <c r="Q967" s="75"/>
      <c r="R967" s="75"/>
      <c r="S967" s="75"/>
      <c r="T967" s="75"/>
      <c r="U967" s="89"/>
      <c r="V967" s="84"/>
      <c r="W967" s="84"/>
      <c r="X967" s="84"/>
      <c r="Y967" s="84"/>
      <c r="Z967" s="84"/>
      <c r="AA967" s="1"/>
      <c r="AB967" s="330"/>
      <c r="AC967" s="321"/>
      <c r="AD967" s="321"/>
    </row>
    <row r="968" spans="1:30" ht="15.75" customHeight="1">
      <c r="A968" s="83"/>
      <c r="B968" s="83"/>
      <c r="C968" s="83"/>
      <c r="D968" s="84"/>
      <c r="E968" s="84"/>
      <c r="F968" s="84"/>
      <c r="G968" s="83"/>
      <c r="H968" s="84"/>
      <c r="I968" s="84"/>
      <c r="J968" s="84"/>
      <c r="K968" s="84"/>
      <c r="L968" s="84"/>
      <c r="M968" s="84"/>
      <c r="N968" s="84"/>
      <c r="O968" s="84"/>
      <c r="P968" s="85"/>
      <c r="Q968" s="75"/>
      <c r="R968" s="75"/>
      <c r="S968" s="75"/>
      <c r="T968" s="75"/>
      <c r="U968" s="89"/>
      <c r="V968" s="84"/>
      <c r="W968" s="84"/>
      <c r="X968" s="84"/>
      <c r="Y968" s="84"/>
      <c r="Z968" s="84"/>
      <c r="AA968" s="1"/>
      <c r="AB968" s="330"/>
      <c r="AC968" s="321"/>
      <c r="AD968" s="321"/>
    </row>
    <row r="969" spans="1:30" ht="15.75" customHeight="1">
      <c r="A969" s="83"/>
      <c r="B969" s="83"/>
      <c r="C969" s="83"/>
      <c r="D969" s="84"/>
      <c r="E969" s="84"/>
      <c r="F969" s="84"/>
      <c r="G969" s="83"/>
      <c r="H969" s="84"/>
      <c r="I969" s="84"/>
      <c r="J969" s="84"/>
      <c r="K969" s="84"/>
      <c r="L969" s="84"/>
      <c r="M969" s="84"/>
      <c r="N969" s="84"/>
      <c r="O969" s="84"/>
      <c r="P969" s="85"/>
      <c r="Q969" s="75"/>
      <c r="R969" s="75"/>
      <c r="S969" s="75"/>
      <c r="T969" s="75"/>
      <c r="U969" s="89"/>
      <c r="V969" s="84"/>
      <c r="W969" s="84"/>
      <c r="X969" s="84"/>
      <c r="Y969" s="84"/>
      <c r="Z969" s="84"/>
      <c r="AA969" s="1"/>
      <c r="AB969" s="330"/>
      <c r="AC969" s="321"/>
      <c r="AD969" s="321"/>
    </row>
    <row r="970" spans="1:30" ht="15.75" customHeight="1">
      <c r="A970" s="83"/>
      <c r="B970" s="83"/>
      <c r="C970" s="83"/>
      <c r="D970" s="84"/>
      <c r="E970" s="84"/>
      <c r="F970" s="84"/>
      <c r="G970" s="83"/>
      <c r="H970" s="84"/>
      <c r="I970" s="84"/>
      <c r="J970" s="84"/>
      <c r="K970" s="84"/>
      <c r="L970" s="84"/>
      <c r="M970" s="84"/>
      <c r="N970" s="84"/>
      <c r="O970" s="84"/>
      <c r="P970" s="85"/>
      <c r="Q970" s="75"/>
      <c r="R970" s="75"/>
      <c r="S970" s="75"/>
      <c r="T970" s="75"/>
      <c r="U970" s="89"/>
      <c r="V970" s="84"/>
      <c r="W970" s="84"/>
      <c r="X970" s="84"/>
      <c r="Y970" s="84"/>
      <c r="Z970" s="84"/>
      <c r="AA970" s="1"/>
      <c r="AB970" s="330"/>
      <c r="AC970" s="321"/>
      <c r="AD970" s="321"/>
    </row>
    <row r="971" spans="1:30" ht="15.75" customHeight="1">
      <c r="A971" s="83"/>
      <c r="B971" s="83"/>
      <c r="C971" s="83"/>
      <c r="D971" s="84"/>
      <c r="E971" s="84"/>
      <c r="F971" s="84"/>
      <c r="G971" s="83"/>
      <c r="H971" s="84"/>
      <c r="I971" s="84"/>
      <c r="J971" s="84"/>
      <c r="K971" s="84"/>
      <c r="L971" s="84"/>
      <c r="M971" s="84"/>
      <c r="N971" s="84"/>
      <c r="O971" s="84"/>
      <c r="P971" s="85"/>
      <c r="Q971" s="75"/>
      <c r="R971" s="75"/>
      <c r="S971" s="75"/>
      <c r="T971" s="75"/>
      <c r="U971" s="89"/>
      <c r="V971" s="84"/>
      <c r="W971" s="84"/>
      <c r="X971" s="84"/>
      <c r="Y971" s="84"/>
      <c r="Z971" s="84"/>
      <c r="AA971" s="1"/>
      <c r="AB971" s="330"/>
      <c r="AC971" s="321"/>
      <c r="AD971" s="321"/>
    </row>
    <row r="972" spans="1:30" ht="15.75" customHeight="1">
      <c r="A972" s="83"/>
      <c r="B972" s="83"/>
      <c r="C972" s="83"/>
      <c r="D972" s="84"/>
      <c r="E972" s="84"/>
      <c r="F972" s="84"/>
      <c r="G972" s="83"/>
      <c r="H972" s="84"/>
      <c r="I972" s="84"/>
      <c r="J972" s="84"/>
      <c r="K972" s="84"/>
      <c r="L972" s="84"/>
      <c r="M972" s="84"/>
      <c r="N972" s="84"/>
      <c r="O972" s="84"/>
      <c r="P972" s="85"/>
      <c r="Q972" s="75"/>
      <c r="R972" s="75"/>
      <c r="S972" s="75"/>
      <c r="T972" s="75"/>
      <c r="U972" s="89"/>
      <c r="V972" s="84"/>
      <c r="W972" s="84"/>
      <c r="X972" s="84"/>
      <c r="Y972" s="84"/>
      <c r="Z972" s="84"/>
      <c r="AA972" s="1"/>
      <c r="AB972" s="330"/>
      <c r="AC972" s="321"/>
      <c r="AD972" s="321"/>
    </row>
    <row r="973" spans="1:30" ht="15.75" customHeight="1">
      <c r="A973" s="83"/>
      <c r="B973" s="83"/>
      <c r="C973" s="83"/>
      <c r="D973" s="84"/>
      <c r="E973" s="84"/>
      <c r="F973" s="84"/>
      <c r="G973" s="83"/>
      <c r="H973" s="84"/>
      <c r="I973" s="84"/>
      <c r="J973" s="84"/>
      <c r="K973" s="84"/>
      <c r="L973" s="84"/>
      <c r="M973" s="84"/>
      <c r="N973" s="84"/>
      <c r="O973" s="84"/>
      <c r="P973" s="85"/>
      <c r="Q973" s="75"/>
      <c r="R973" s="75"/>
      <c r="S973" s="75"/>
      <c r="T973" s="75"/>
      <c r="U973" s="89"/>
      <c r="V973" s="84"/>
      <c r="W973" s="84"/>
      <c r="X973" s="84"/>
      <c r="Y973" s="84"/>
      <c r="Z973" s="84"/>
      <c r="AA973" s="1"/>
      <c r="AB973" s="330"/>
      <c r="AC973" s="321"/>
      <c r="AD973" s="321"/>
    </row>
    <row r="974" spans="1:30" ht="15.75" customHeight="1">
      <c r="A974" s="83"/>
      <c r="B974" s="83"/>
      <c r="C974" s="83"/>
      <c r="D974" s="84"/>
      <c r="E974" s="84"/>
      <c r="F974" s="84"/>
      <c r="G974" s="83"/>
      <c r="H974" s="84"/>
      <c r="I974" s="84"/>
      <c r="J974" s="84"/>
      <c r="K974" s="84"/>
      <c r="L974" s="84"/>
      <c r="M974" s="84"/>
      <c r="N974" s="84"/>
      <c r="O974" s="84"/>
      <c r="P974" s="85"/>
      <c r="Q974" s="75"/>
      <c r="R974" s="75"/>
      <c r="S974" s="75"/>
      <c r="T974" s="75"/>
      <c r="U974" s="89"/>
      <c r="V974" s="84"/>
      <c r="W974" s="84"/>
      <c r="X974" s="84"/>
      <c r="Y974" s="84"/>
      <c r="Z974" s="84"/>
      <c r="AA974" s="1"/>
      <c r="AB974" s="330"/>
      <c r="AC974" s="321"/>
      <c r="AD974" s="321"/>
    </row>
    <row r="975" spans="1:30" ht="15.75" customHeight="1">
      <c r="A975" s="83"/>
      <c r="B975" s="83"/>
      <c r="C975" s="83"/>
      <c r="D975" s="84"/>
      <c r="E975" s="84"/>
      <c r="F975" s="84"/>
      <c r="G975" s="83"/>
      <c r="H975" s="84"/>
      <c r="I975" s="84"/>
      <c r="J975" s="84"/>
      <c r="K975" s="84"/>
      <c r="L975" s="84"/>
      <c r="M975" s="84"/>
      <c r="N975" s="84"/>
      <c r="O975" s="84"/>
      <c r="P975" s="85"/>
      <c r="Q975" s="75"/>
      <c r="R975" s="75"/>
      <c r="S975" s="75"/>
      <c r="T975" s="75"/>
      <c r="U975" s="89"/>
      <c r="V975" s="84"/>
      <c r="W975" s="84"/>
      <c r="X975" s="84"/>
      <c r="Y975" s="84"/>
      <c r="Z975" s="84"/>
      <c r="AA975" s="1"/>
      <c r="AB975" s="330"/>
      <c r="AC975" s="321"/>
      <c r="AD975" s="321"/>
    </row>
    <row r="976" spans="1:30" ht="15.75" customHeight="1">
      <c r="A976" s="83"/>
      <c r="B976" s="83"/>
      <c r="C976" s="83"/>
      <c r="D976" s="84"/>
      <c r="E976" s="84"/>
      <c r="F976" s="84"/>
      <c r="G976" s="83"/>
      <c r="H976" s="84"/>
      <c r="I976" s="84"/>
      <c r="J976" s="84"/>
      <c r="K976" s="84"/>
      <c r="L976" s="84"/>
      <c r="M976" s="84"/>
      <c r="N976" s="84"/>
      <c r="O976" s="84"/>
      <c r="P976" s="85"/>
      <c r="Q976" s="75"/>
      <c r="R976" s="75"/>
      <c r="S976" s="75"/>
      <c r="T976" s="75"/>
      <c r="U976" s="89"/>
      <c r="V976" s="84"/>
      <c r="W976" s="84"/>
      <c r="X976" s="84"/>
      <c r="Y976" s="84"/>
      <c r="Z976" s="84"/>
      <c r="AA976" s="1"/>
      <c r="AB976" s="330"/>
      <c r="AC976" s="321"/>
      <c r="AD976" s="321"/>
    </row>
    <row r="977" spans="1:30" ht="15.75" customHeight="1">
      <c r="A977" s="83"/>
      <c r="B977" s="83"/>
      <c r="C977" s="83"/>
      <c r="D977" s="84"/>
      <c r="E977" s="84"/>
      <c r="F977" s="84"/>
      <c r="G977" s="83"/>
      <c r="H977" s="84"/>
      <c r="I977" s="84"/>
      <c r="J977" s="84"/>
      <c r="K977" s="84"/>
      <c r="L977" s="84"/>
      <c r="M977" s="84"/>
      <c r="N977" s="84"/>
      <c r="O977" s="84"/>
      <c r="P977" s="85"/>
      <c r="Q977" s="75"/>
      <c r="R977" s="75"/>
      <c r="S977" s="75"/>
      <c r="T977" s="75"/>
      <c r="U977" s="89"/>
      <c r="V977" s="84"/>
      <c r="W977" s="84"/>
      <c r="X977" s="84"/>
      <c r="Y977" s="84"/>
      <c r="Z977" s="84"/>
      <c r="AA977" s="1"/>
      <c r="AB977" s="330"/>
      <c r="AC977" s="321"/>
      <c r="AD977" s="321"/>
    </row>
    <row r="978" spans="1:30" ht="15.75" customHeight="1">
      <c r="A978" s="83"/>
      <c r="B978" s="83"/>
      <c r="C978" s="83"/>
      <c r="D978" s="84"/>
      <c r="E978" s="84"/>
      <c r="F978" s="84"/>
      <c r="G978" s="83"/>
      <c r="H978" s="84"/>
      <c r="I978" s="84"/>
      <c r="J978" s="84"/>
      <c r="K978" s="84"/>
      <c r="L978" s="84"/>
      <c r="M978" s="84"/>
      <c r="N978" s="84"/>
      <c r="O978" s="84"/>
      <c r="P978" s="85"/>
      <c r="Q978" s="75"/>
      <c r="R978" s="75"/>
      <c r="S978" s="75"/>
      <c r="T978" s="75"/>
      <c r="U978" s="89"/>
      <c r="V978" s="84"/>
      <c r="W978" s="84"/>
      <c r="X978" s="84"/>
      <c r="Y978" s="84"/>
      <c r="Z978" s="84"/>
      <c r="AA978" s="1"/>
      <c r="AB978" s="330"/>
      <c r="AC978" s="321"/>
      <c r="AD978" s="321"/>
    </row>
    <row r="979" spans="1:30" ht="15.75" customHeight="1">
      <c r="A979" s="83"/>
      <c r="B979" s="83"/>
      <c r="C979" s="83"/>
      <c r="D979" s="84"/>
      <c r="E979" s="84"/>
      <c r="F979" s="84"/>
      <c r="G979" s="83"/>
      <c r="H979" s="84"/>
      <c r="I979" s="84"/>
      <c r="J979" s="84"/>
      <c r="K979" s="84"/>
      <c r="L979" s="84"/>
      <c r="M979" s="84"/>
      <c r="N979" s="84"/>
      <c r="O979" s="84"/>
      <c r="P979" s="85"/>
      <c r="Q979" s="75"/>
      <c r="R979" s="75"/>
      <c r="S979" s="75"/>
      <c r="T979" s="75"/>
      <c r="U979" s="89"/>
      <c r="V979" s="84"/>
      <c r="W979" s="84"/>
      <c r="X979" s="84"/>
      <c r="Y979" s="84"/>
      <c r="Z979" s="84"/>
      <c r="AA979" s="1"/>
      <c r="AB979" s="330"/>
      <c r="AC979" s="321"/>
      <c r="AD979" s="321"/>
    </row>
    <row r="980" spans="1:30" ht="15.75" customHeight="1">
      <c r="A980" s="83"/>
      <c r="B980" s="83"/>
      <c r="C980" s="83"/>
      <c r="D980" s="84"/>
      <c r="E980" s="84"/>
      <c r="F980" s="84"/>
      <c r="G980" s="83"/>
      <c r="H980" s="84"/>
      <c r="I980" s="84"/>
      <c r="J980" s="84"/>
      <c r="K980" s="84"/>
      <c r="L980" s="84"/>
      <c r="M980" s="84"/>
      <c r="N980" s="84"/>
      <c r="O980" s="84"/>
      <c r="P980" s="85"/>
      <c r="Q980" s="75"/>
      <c r="R980" s="75"/>
      <c r="S980" s="75"/>
      <c r="T980" s="75"/>
      <c r="U980" s="89"/>
      <c r="V980" s="84"/>
      <c r="W980" s="84"/>
      <c r="X980" s="84"/>
      <c r="Y980" s="84"/>
      <c r="Z980" s="84"/>
      <c r="AA980" s="1"/>
      <c r="AB980" s="330"/>
      <c r="AC980" s="321"/>
      <c r="AD980" s="321"/>
    </row>
    <row r="981" spans="1:30" ht="15.75" customHeight="1">
      <c r="A981" s="83"/>
      <c r="B981" s="83"/>
      <c r="C981" s="83"/>
      <c r="D981" s="84"/>
      <c r="E981" s="84"/>
      <c r="F981" s="84"/>
      <c r="G981" s="83"/>
      <c r="H981" s="84"/>
      <c r="I981" s="84"/>
      <c r="J981" s="84"/>
      <c r="K981" s="84"/>
      <c r="L981" s="84"/>
      <c r="M981" s="84"/>
      <c r="N981" s="84"/>
      <c r="O981" s="84"/>
      <c r="P981" s="85"/>
      <c r="Q981" s="75"/>
      <c r="R981" s="75"/>
      <c r="S981" s="75"/>
      <c r="T981" s="75"/>
      <c r="U981" s="89"/>
      <c r="V981" s="84"/>
      <c r="W981" s="84"/>
      <c r="X981" s="84"/>
      <c r="Y981" s="84"/>
      <c r="Z981" s="84"/>
      <c r="AA981" s="1"/>
      <c r="AB981" s="330"/>
      <c r="AC981" s="321"/>
      <c r="AD981" s="321"/>
    </row>
    <row r="982" spans="1:30" ht="15.75" customHeight="1">
      <c r="A982" s="83"/>
      <c r="B982" s="83"/>
      <c r="C982" s="83"/>
      <c r="D982" s="84"/>
      <c r="E982" s="84"/>
      <c r="F982" s="84"/>
      <c r="G982" s="83"/>
      <c r="H982" s="84"/>
      <c r="I982" s="84"/>
      <c r="J982" s="84"/>
      <c r="K982" s="84"/>
      <c r="L982" s="84"/>
      <c r="M982" s="84"/>
      <c r="N982" s="84"/>
      <c r="O982" s="84"/>
      <c r="P982" s="85"/>
      <c r="Q982" s="75"/>
      <c r="R982" s="75"/>
      <c r="S982" s="75"/>
      <c r="T982" s="75"/>
      <c r="U982" s="89"/>
      <c r="V982" s="84"/>
      <c r="W982" s="84"/>
      <c r="X982" s="84"/>
      <c r="Y982" s="84"/>
      <c r="Z982" s="84"/>
      <c r="AA982" s="1"/>
      <c r="AB982" s="330"/>
      <c r="AC982" s="321"/>
      <c r="AD982" s="321"/>
    </row>
    <row r="983" spans="1:30" ht="15.75" customHeight="1">
      <c r="A983" s="83"/>
      <c r="B983" s="83"/>
      <c r="C983" s="83"/>
      <c r="D983" s="84"/>
      <c r="E983" s="84"/>
      <c r="F983" s="84"/>
      <c r="G983" s="83"/>
      <c r="H983" s="84"/>
      <c r="I983" s="84"/>
      <c r="J983" s="84"/>
      <c r="K983" s="84"/>
      <c r="L983" s="84"/>
      <c r="M983" s="84"/>
      <c r="N983" s="84"/>
      <c r="O983" s="84"/>
      <c r="P983" s="85"/>
      <c r="Q983" s="75"/>
      <c r="R983" s="75"/>
      <c r="S983" s="75"/>
      <c r="T983" s="75"/>
      <c r="U983" s="89"/>
      <c r="V983" s="84"/>
      <c r="W983" s="84"/>
      <c r="X983" s="84"/>
      <c r="Y983" s="84"/>
      <c r="Z983" s="84"/>
      <c r="AA983" s="1"/>
      <c r="AB983" s="330"/>
      <c r="AC983" s="321"/>
      <c r="AD983" s="321"/>
    </row>
    <row r="984" spans="1:30" ht="15.75" customHeight="1">
      <c r="A984" s="83"/>
      <c r="B984" s="83"/>
      <c r="C984" s="83"/>
      <c r="D984" s="84"/>
      <c r="E984" s="84"/>
      <c r="F984" s="84"/>
      <c r="G984" s="83"/>
      <c r="H984" s="84"/>
      <c r="I984" s="84"/>
      <c r="J984" s="84"/>
      <c r="K984" s="84"/>
      <c r="L984" s="84"/>
      <c r="M984" s="84"/>
      <c r="N984" s="84"/>
      <c r="O984" s="84"/>
      <c r="P984" s="85"/>
      <c r="Q984" s="75"/>
      <c r="R984" s="75"/>
      <c r="S984" s="75"/>
      <c r="T984" s="75"/>
      <c r="U984" s="89"/>
      <c r="V984" s="84"/>
      <c r="W984" s="84"/>
      <c r="X984" s="84"/>
      <c r="Y984" s="84"/>
      <c r="Z984" s="84"/>
      <c r="AA984" s="1"/>
      <c r="AB984" s="330"/>
      <c r="AC984" s="321"/>
      <c r="AD984" s="321"/>
    </row>
    <row r="985" spans="1:30" ht="15.75" customHeight="1">
      <c r="A985" s="83"/>
      <c r="B985" s="83"/>
      <c r="C985" s="83"/>
      <c r="D985" s="84"/>
      <c r="E985" s="84"/>
      <c r="F985" s="84"/>
      <c r="G985" s="83"/>
      <c r="H985" s="84"/>
      <c r="I985" s="84"/>
      <c r="J985" s="84"/>
      <c r="K985" s="84"/>
      <c r="L985" s="84"/>
      <c r="M985" s="84"/>
      <c r="N985" s="84"/>
      <c r="O985" s="84"/>
      <c r="P985" s="85"/>
      <c r="Q985" s="75"/>
      <c r="R985" s="75"/>
      <c r="S985" s="75"/>
      <c r="T985" s="75"/>
      <c r="U985" s="89"/>
      <c r="V985" s="84"/>
      <c r="W985" s="84"/>
      <c r="X985" s="84"/>
      <c r="Y985" s="84"/>
      <c r="Z985" s="84"/>
      <c r="AA985" s="1"/>
      <c r="AB985" s="330"/>
      <c r="AC985" s="321"/>
      <c r="AD985" s="321"/>
    </row>
    <row r="986" spans="1:30" ht="15.75" customHeight="1">
      <c r="A986" s="83"/>
      <c r="B986" s="83"/>
      <c r="C986" s="83"/>
      <c r="D986" s="84"/>
      <c r="E986" s="84"/>
      <c r="F986" s="84"/>
      <c r="G986" s="83"/>
      <c r="H986" s="84"/>
      <c r="I986" s="84"/>
      <c r="J986" s="84"/>
      <c r="K986" s="84"/>
      <c r="L986" s="84"/>
      <c r="M986" s="84"/>
      <c r="N986" s="84"/>
      <c r="O986" s="84"/>
      <c r="P986" s="85"/>
      <c r="Q986" s="75"/>
      <c r="R986" s="75"/>
      <c r="S986" s="75"/>
      <c r="T986" s="75"/>
      <c r="U986" s="89"/>
      <c r="V986" s="84"/>
      <c r="W986" s="84"/>
      <c r="X986" s="84"/>
      <c r="Y986" s="84"/>
      <c r="Z986" s="84"/>
      <c r="AA986" s="1"/>
      <c r="AB986" s="330"/>
      <c r="AC986" s="321"/>
      <c r="AD986" s="321"/>
    </row>
    <row r="987" spans="1:30" ht="15.75" customHeight="1">
      <c r="A987" s="83"/>
      <c r="B987" s="83"/>
      <c r="C987" s="83"/>
      <c r="D987" s="84"/>
      <c r="E987" s="84"/>
      <c r="F987" s="84"/>
      <c r="G987" s="83"/>
      <c r="H987" s="84"/>
      <c r="I987" s="84"/>
      <c r="J987" s="84"/>
      <c r="K987" s="84"/>
      <c r="L987" s="84"/>
      <c r="M987" s="84"/>
      <c r="N987" s="84"/>
      <c r="O987" s="84"/>
      <c r="P987" s="85"/>
      <c r="Q987" s="75"/>
      <c r="R987" s="75"/>
      <c r="S987" s="75"/>
      <c r="T987" s="75"/>
      <c r="U987" s="89"/>
      <c r="V987" s="84"/>
      <c r="W987" s="84"/>
      <c r="X987" s="84"/>
      <c r="Y987" s="84"/>
      <c r="Z987" s="84"/>
      <c r="AA987" s="1"/>
      <c r="AB987" s="330"/>
      <c r="AC987" s="321"/>
      <c r="AD987" s="321"/>
    </row>
    <row r="988" spans="1:30" ht="15.75" customHeight="1">
      <c r="A988" s="83"/>
      <c r="B988" s="83"/>
      <c r="C988" s="83"/>
      <c r="D988" s="84"/>
      <c r="E988" s="84"/>
      <c r="F988" s="84"/>
      <c r="G988" s="83"/>
      <c r="H988" s="84"/>
      <c r="I988" s="84"/>
      <c r="J988" s="84"/>
      <c r="K988" s="84"/>
      <c r="L988" s="84"/>
      <c r="M988" s="84"/>
      <c r="N988" s="84"/>
      <c r="O988" s="84"/>
      <c r="P988" s="85"/>
      <c r="Q988" s="75"/>
      <c r="R988" s="75"/>
      <c r="S988" s="75"/>
      <c r="T988" s="75"/>
      <c r="U988" s="89"/>
      <c r="V988" s="84"/>
      <c r="W988" s="84"/>
      <c r="X988" s="84"/>
      <c r="Y988" s="84"/>
      <c r="Z988" s="84"/>
      <c r="AA988" s="1"/>
      <c r="AB988" s="330"/>
      <c r="AC988" s="321"/>
      <c r="AD988" s="321"/>
    </row>
    <row r="989" spans="1:30" ht="15.75" customHeight="1">
      <c r="A989" s="83"/>
      <c r="B989" s="83"/>
      <c r="C989" s="83"/>
      <c r="D989" s="84"/>
      <c r="E989" s="84"/>
      <c r="F989" s="84"/>
      <c r="G989" s="83"/>
      <c r="H989" s="84"/>
      <c r="I989" s="84"/>
      <c r="J989" s="84"/>
      <c r="K989" s="84"/>
      <c r="L989" s="84"/>
      <c r="M989" s="84"/>
      <c r="N989" s="84"/>
      <c r="O989" s="84"/>
      <c r="P989" s="85"/>
      <c r="Q989" s="75"/>
      <c r="R989" s="75"/>
      <c r="S989" s="75"/>
      <c r="T989" s="75"/>
      <c r="U989" s="89"/>
      <c r="V989" s="84"/>
      <c r="W989" s="84"/>
      <c r="X989" s="84"/>
      <c r="Y989" s="84"/>
      <c r="Z989" s="84"/>
      <c r="AA989" s="1"/>
      <c r="AB989" s="330"/>
      <c r="AC989" s="321"/>
      <c r="AD989" s="321"/>
    </row>
    <row r="990" spans="1:30" ht="15.75" customHeight="1">
      <c r="A990" s="83"/>
      <c r="B990" s="83"/>
      <c r="C990" s="83"/>
      <c r="D990" s="84"/>
      <c r="E990" s="84"/>
      <c r="F990" s="84"/>
      <c r="G990" s="83"/>
      <c r="H990" s="84"/>
      <c r="I990" s="84"/>
      <c r="J990" s="84"/>
      <c r="K990" s="84"/>
      <c r="L990" s="84"/>
      <c r="M990" s="84"/>
      <c r="N990" s="84"/>
      <c r="O990" s="84"/>
      <c r="P990" s="85"/>
      <c r="Q990" s="75"/>
      <c r="R990" s="75"/>
      <c r="S990" s="75"/>
      <c r="T990" s="75"/>
      <c r="U990" s="89"/>
      <c r="V990" s="84"/>
      <c r="W990" s="84"/>
      <c r="X990" s="84"/>
      <c r="Y990" s="84"/>
      <c r="Z990" s="84"/>
      <c r="AA990" s="1"/>
      <c r="AB990" s="330"/>
      <c r="AC990" s="321"/>
      <c r="AD990" s="321"/>
    </row>
    <row r="991" spans="1:30" ht="15.75" customHeight="1">
      <c r="A991" s="83"/>
      <c r="B991" s="83"/>
      <c r="C991" s="83"/>
      <c r="D991" s="84"/>
      <c r="E991" s="84"/>
      <c r="F991" s="84"/>
      <c r="G991" s="83"/>
      <c r="H991" s="84"/>
      <c r="I991" s="84"/>
      <c r="J991" s="84"/>
      <c r="K991" s="84"/>
      <c r="L991" s="84"/>
      <c r="M991" s="84"/>
      <c r="N991" s="84"/>
      <c r="O991" s="84"/>
      <c r="P991" s="85"/>
      <c r="Q991" s="75"/>
      <c r="R991" s="75"/>
      <c r="S991" s="75"/>
      <c r="T991" s="75"/>
      <c r="U991" s="89"/>
      <c r="V991" s="84"/>
      <c r="W991" s="84"/>
      <c r="X991" s="84"/>
      <c r="Y991" s="84"/>
      <c r="Z991" s="84"/>
      <c r="AA991" s="1"/>
      <c r="AB991" s="330"/>
      <c r="AC991" s="321"/>
      <c r="AD991" s="321"/>
    </row>
    <row r="992" spans="1:30" ht="15.75" customHeight="1">
      <c r="A992" s="83"/>
      <c r="B992" s="83"/>
      <c r="C992" s="83"/>
      <c r="D992" s="84"/>
      <c r="E992" s="84"/>
      <c r="F992" s="84"/>
      <c r="G992" s="83"/>
      <c r="H992" s="84"/>
      <c r="I992" s="84"/>
      <c r="J992" s="84"/>
      <c r="K992" s="84"/>
      <c r="L992" s="84"/>
      <c r="M992" s="84"/>
      <c r="N992" s="84"/>
      <c r="O992" s="84"/>
      <c r="P992" s="85"/>
      <c r="Q992" s="75"/>
      <c r="R992" s="75"/>
      <c r="S992" s="75"/>
      <c r="T992" s="75"/>
      <c r="U992" s="89"/>
      <c r="V992" s="84"/>
      <c r="W992" s="84"/>
      <c r="X992" s="84"/>
      <c r="Y992" s="84"/>
      <c r="Z992" s="84"/>
      <c r="AA992" s="1"/>
      <c r="AB992" s="330"/>
      <c r="AC992" s="321"/>
      <c r="AD992" s="321"/>
    </row>
    <row r="993" spans="1:30" ht="15.75" customHeight="1">
      <c r="A993" s="83"/>
      <c r="B993" s="83"/>
      <c r="C993" s="83"/>
      <c r="D993" s="84"/>
      <c r="E993" s="84"/>
      <c r="F993" s="84"/>
      <c r="G993" s="83"/>
      <c r="H993" s="84"/>
      <c r="I993" s="84"/>
      <c r="J993" s="84"/>
      <c r="K993" s="84"/>
      <c r="L993" s="84"/>
      <c r="M993" s="84"/>
      <c r="N993" s="84"/>
      <c r="O993" s="84"/>
      <c r="P993" s="85"/>
      <c r="Q993" s="75"/>
      <c r="R993" s="75"/>
      <c r="S993" s="75"/>
      <c r="T993" s="75"/>
      <c r="U993" s="89"/>
      <c r="V993" s="84"/>
      <c r="W993" s="84"/>
      <c r="X993" s="84"/>
      <c r="Y993" s="84"/>
      <c r="Z993" s="84"/>
      <c r="AA993" s="1"/>
      <c r="AB993" s="330"/>
      <c r="AC993" s="321"/>
      <c r="AD993" s="321"/>
    </row>
    <row r="994" spans="1:30" ht="15.75" customHeight="1">
      <c r="A994" s="83"/>
      <c r="B994" s="83"/>
      <c r="C994" s="83"/>
      <c r="D994" s="84"/>
      <c r="E994" s="84"/>
      <c r="F994" s="84"/>
      <c r="G994" s="83"/>
      <c r="H994" s="84"/>
      <c r="I994" s="84"/>
      <c r="J994" s="84"/>
      <c r="K994" s="84"/>
      <c r="L994" s="84"/>
      <c r="M994" s="84"/>
      <c r="N994" s="84"/>
      <c r="O994" s="84"/>
      <c r="P994" s="85"/>
      <c r="Q994" s="75"/>
      <c r="R994" s="75"/>
      <c r="S994" s="75"/>
      <c r="T994" s="75"/>
      <c r="U994" s="89"/>
      <c r="V994" s="84"/>
      <c r="W994" s="84"/>
      <c r="X994" s="84"/>
      <c r="Y994" s="84"/>
      <c r="Z994" s="84"/>
      <c r="AA994" s="1"/>
      <c r="AB994" s="330"/>
      <c r="AC994" s="321"/>
      <c r="AD994" s="321"/>
    </row>
    <row r="995" spans="1:30" ht="15.75" customHeight="1">
      <c r="A995" s="83"/>
      <c r="B995" s="83"/>
      <c r="C995" s="83"/>
      <c r="D995" s="84"/>
      <c r="E995" s="84"/>
      <c r="F995" s="84"/>
      <c r="G995" s="83"/>
      <c r="H995" s="84"/>
      <c r="I995" s="84"/>
      <c r="J995" s="84"/>
      <c r="K995" s="84"/>
      <c r="L995" s="84"/>
      <c r="M995" s="84"/>
      <c r="N995" s="84"/>
      <c r="O995" s="84"/>
      <c r="P995" s="85"/>
      <c r="Q995" s="75"/>
      <c r="R995" s="75"/>
      <c r="S995" s="75"/>
      <c r="T995" s="75"/>
      <c r="U995" s="89"/>
      <c r="V995" s="84"/>
      <c r="W995" s="84"/>
      <c r="X995" s="84"/>
      <c r="Y995" s="84"/>
      <c r="Z995" s="84"/>
      <c r="AA995" s="1"/>
      <c r="AB995" s="330"/>
      <c r="AC995" s="321"/>
      <c r="AD995" s="321"/>
    </row>
    <row r="996" spans="1:30" ht="15.75" customHeight="1">
      <c r="A996" s="83"/>
      <c r="B996" s="83"/>
      <c r="C996" s="83"/>
      <c r="D996" s="84"/>
      <c r="E996" s="84"/>
      <c r="F996" s="84"/>
      <c r="G996" s="83"/>
      <c r="H996" s="84"/>
      <c r="I996" s="84"/>
      <c r="J996" s="84"/>
      <c r="K996" s="84"/>
      <c r="L996" s="84"/>
      <c r="M996" s="84"/>
      <c r="N996" s="84"/>
      <c r="O996" s="84"/>
      <c r="P996" s="85"/>
      <c r="Q996" s="75"/>
      <c r="R996" s="75"/>
      <c r="S996" s="75"/>
      <c r="T996" s="75"/>
      <c r="U996" s="89"/>
      <c r="V996" s="84"/>
      <c r="W996" s="84"/>
      <c r="X996" s="84"/>
      <c r="Y996" s="84"/>
      <c r="Z996" s="84"/>
      <c r="AA996" s="1"/>
      <c r="AB996" s="330"/>
      <c r="AC996" s="321"/>
      <c r="AD996" s="321"/>
    </row>
    <row r="997" spans="1:30" ht="15.75" customHeight="1">
      <c r="A997" s="83"/>
      <c r="B997" s="83"/>
      <c r="C997" s="83"/>
      <c r="D997" s="84"/>
      <c r="E997" s="84"/>
      <c r="F997" s="84"/>
      <c r="G997" s="83"/>
      <c r="H997" s="84"/>
      <c r="I997" s="84"/>
      <c r="J997" s="84"/>
      <c r="K997" s="84"/>
      <c r="L997" s="84"/>
      <c r="M997" s="84"/>
      <c r="N997" s="84"/>
      <c r="O997" s="84"/>
      <c r="P997" s="85"/>
      <c r="Q997" s="75"/>
      <c r="R997" s="75"/>
      <c r="S997" s="75"/>
      <c r="T997" s="75"/>
      <c r="U997" s="89"/>
      <c r="V997" s="84"/>
      <c r="W997" s="84"/>
      <c r="X997" s="84"/>
      <c r="Y997" s="84"/>
      <c r="Z997" s="84"/>
      <c r="AA997" s="1"/>
      <c r="AB997" s="330"/>
      <c r="AC997" s="321"/>
      <c r="AD997" s="321"/>
    </row>
    <row r="998" spans="1:30" ht="15.75" customHeight="1">
      <c r="A998" s="83"/>
      <c r="B998" s="83"/>
      <c r="C998" s="83"/>
      <c r="D998" s="84"/>
      <c r="E998" s="84"/>
      <c r="F998" s="84"/>
      <c r="G998" s="83"/>
      <c r="H998" s="84"/>
      <c r="I998" s="84"/>
      <c r="J998" s="84"/>
      <c r="K998" s="84"/>
      <c r="L998" s="84"/>
      <c r="M998" s="84"/>
      <c r="N998" s="84"/>
      <c r="O998" s="84"/>
      <c r="P998" s="85"/>
      <c r="Q998" s="75"/>
      <c r="R998" s="75"/>
      <c r="S998" s="75"/>
      <c r="T998" s="75"/>
      <c r="U998" s="89"/>
      <c r="V998" s="84"/>
      <c r="W998" s="84"/>
      <c r="X998" s="84"/>
      <c r="Y998" s="84"/>
      <c r="Z998" s="84"/>
      <c r="AA998" s="1"/>
      <c r="AB998" s="330"/>
      <c r="AC998" s="321"/>
      <c r="AD998" s="321"/>
    </row>
    <row r="999" spans="1:30" ht="15.75" customHeight="1">
      <c r="A999" s="83"/>
      <c r="B999" s="83"/>
      <c r="C999" s="83"/>
      <c r="D999" s="84"/>
      <c r="E999" s="84"/>
      <c r="F999" s="84"/>
      <c r="G999" s="83"/>
      <c r="H999" s="84"/>
      <c r="I999" s="84"/>
      <c r="J999" s="84"/>
      <c r="K999" s="84"/>
      <c r="L999" s="84"/>
      <c r="M999" s="84"/>
      <c r="N999" s="84"/>
      <c r="O999" s="84"/>
      <c r="P999" s="85"/>
      <c r="Q999" s="75"/>
      <c r="R999" s="75"/>
      <c r="S999" s="75"/>
      <c r="T999" s="75"/>
      <c r="U999" s="89"/>
      <c r="V999" s="84"/>
      <c r="W999" s="84"/>
      <c r="X999" s="84"/>
      <c r="Y999" s="84"/>
      <c r="Z999" s="84"/>
      <c r="AA999" s="1"/>
      <c r="AB999" s="330"/>
      <c r="AC999" s="321"/>
      <c r="AD999" s="321"/>
    </row>
    <row r="1000" spans="1:30" ht="15.75" customHeight="1">
      <c r="A1000" s="83"/>
      <c r="B1000" s="83"/>
      <c r="C1000" s="83"/>
      <c r="D1000" s="84"/>
      <c r="E1000" s="84"/>
      <c r="F1000" s="84"/>
      <c r="G1000" s="83"/>
      <c r="H1000" s="84"/>
      <c r="I1000" s="84"/>
      <c r="J1000" s="84"/>
      <c r="K1000" s="84"/>
      <c r="L1000" s="84"/>
      <c r="M1000" s="84"/>
      <c r="N1000" s="84"/>
      <c r="O1000" s="84"/>
      <c r="P1000" s="85"/>
      <c r="Q1000" s="75"/>
      <c r="R1000" s="75"/>
      <c r="S1000" s="75"/>
      <c r="T1000" s="75"/>
      <c r="U1000" s="89"/>
      <c r="V1000" s="84"/>
      <c r="W1000" s="84"/>
      <c r="X1000" s="84"/>
      <c r="Y1000" s="84"/>
      <c r="Z1000" s="84"/>
      <c r="AA1000" s="1"/>
      <c r="AB1000" s="330"/>
      <c r="AC1000" s="321"/>
      <c r="AD1000" s="321"/>
    </row>
    <row r="1001" spans="1:30" ht="15.75" customHeight="1">
      <c r="A1001" s="83"/>
      <c r="B1001" s="83"/>
      <c r="C1001" s="83"/>
      <c r="D1001" s="84"/>
      <c r="E1001" s="84"/>
      <c r="F1001" s="84"/>
      <c r="G1001" s="83"/>
      <c r="H1001" s="84"/>
      <c r="I1001" s="84"/>
      <c r="J1001" s="84"/>
      <c r="K1001" s="84"/>
      <c r="L1001" s="84"/>
      <c r="M1001" s="84"/>
      <c r="N1001" s="84"/>
      <c r="O1001" s="84"/>
      <c r="P1001" s="85"/>
      <c r="Q1001" s="75"/>
      <c r="R1001" s="75"/>
      <c r="S1001" s="75"/>
      <c r="T1001" s="75"/>
      <c r="U1001" s="89"/>
      <c r="V1001" s="84"/>
      <c r="W1001" s="84"/>
      <c r="X1001" s="84"/>
      <c r="Y1001" s="84"/>
      <c r="Z1001" s="84"/>
      <c r="AA1001" s="1"/>
      <c r="AB1001" s="330"/>
      <c r="AC1001" s="321"/>
      <c r="AD1001" s="321"/>
    </row>
    <row r="1002" spans="1:30" ht="15.75" customHeight="1">
      <c r="A1002" s="83"/>
      <c r="B1002" s="83"/>
      <c r="C1002" s="83"/>
      <c r="D1002" s="84"/>
      <c r="E1002" s="84"/>
      <c r="F1002" s="84"/>
      <c r="G1002" s="83"/>
      <c r="H1002" s="84"/>
      <c r="I1002" s="84"/>
      <c r="J1002" s="84"/>
      <c r="K1002" s="84"/>
      <c r="L1002" s="84"/>
      <c r="M1002" s="84"/>
      <c r="N1002" s="84"/>
      <c r="O1002" s="84"/>
      <c r="P1002" s="85"/>
      <c r="Q1002" s="75"/>
      <c r="R1002" s="75"/>
      <c r="S1002" s="75"/>
      <c r="T1002" s="75"/>
      <c r="U1002" s="89"/>
      <c r="V1002" s="84"/>
      <c r="W1002" s="84"/>
      <c r="X1002" s="84"/>
      <c r="Y1002" s="84"/>
      <c r="Z1002" s="84"/>
      <c r="AA1002" s="1"/>
      <c r="AB1002" s="330"/>
      <c r="AC1002" s="321"/>
      <c r="AD1002" s="321"/>
    </row>
    <row r="1003" spans="1:30" ht="15.75" customHeight="1">
      <c r="A1003" s="83"/>
      <c r="B1003" s="83"/>
      <c r="C1003" s="83"/>
      <c r="D1003" s="84"/>
      <c r="E1003" s="84"/>
      <c r="F1003" s="84"/>
      <c r="G1003" s="83"/>
      <c r="H1003" s="84"/>
      <c r="I1003" s="84"/>
      <c r="J1003" s="84"/>
      <c r="K1003" s="84"/>
      <c r="L1003" s="84"/>
      <c r="M1003" s="84"/>
      <c r="N1003" s="84"/>
      <c r="O1003" s="84"/>
      <c r="P1003" s="85"/>
      <c r="Q1003" s="75"/>
      <c r="R1003" s="75"/>
      <c r="S1003" s="75"/>
      <c r="T1003" s="75"/>
      <c r="U1003" s="89"/>
      <c r="V1003" s="84"/>
      <c r="W1003" s="84"/>
      <c r="X1003" s="84"/>
      <c r="Y1003" s="84"/>
      <c r="Z1003" s="84"/>
      <c r="AA1003" s="1"/>
      <c r="AB1003" s="330"/>
      <c r="AC1003" s="321"/>
      <c r="AD1003" s="321"/>
    </row>
    <row r="1004" spans="1:30" ht="15.75" customHeight="1">
      <c r="A1004" s="83"/>
      <c r="B1004" s="83"/>
      <c r="C1004" s="83"/>
      <c r="D1004" s="84"/>
      <c r="E1004" s="84"/>
      <c r="F1004" s="84"/>
      <c r="G1004" s="83"/>
      <c r="H1004" s="84"/>
      <c r="I1004" s="84"/>
      <c r="J1004" s="84"/>
      <c r="K1004" s="84"/>
      <c r="L1004" s="84"/>
      <c r="M1004" s="84"/>
      <c r="N1004" s="84"/>
      <c r="O1004" s="84"/>
      <c r="P1004" s="85"/>
      <c r="Q1004" s="75"/>
      <c r="R1004" s="75"/>
      <c r="S1004" s="75"/>
      <c r="T1004" s="75"/>
      <c r="U1004" s="89"/>
      <c r="V1004" s="84"/>
      <c r="W1004" s="84"/>
      <c r="X1004" s="84"/>
      <c r="Y1004" s="84"/>
      <c r="Z1004" s="84"/>
      <c r="AA1004" s="1"/>
      <c r="AB1004" s="330"/>
      <c r="AC1004" s="321"/>
      <c r="AD1004" s="321"/>
    </row>
    <row r="1005" spans="1:30" ht="15.75" customHeight="1">
      <c r="A1005" s="83"/>
      <c r="B1005" s="83"/>
      <c r="C1005" s="83"/>
      <c r="D1005" s="84"/>
      <c r="E1005" s="84"/>
      <c r="F1005" s="84"/>
      <c r="G1005" s="83"/>
      <c r="H1005" s="84"/>
      <c r="I1005" s="84"/>
      <c r="J1005" s="84"/>
      <c r="K1005" s="84"/>
      <c r="L1005" s="84"/>
      <c r="M1005" s="84"/>
      <c r="N1005" s="84"/>
      <c r="O1005" s="84"/>
      <c r="P1005" s="85"/>
      <c r="Q1005" s="75"/>
      <c r="R1005" s="75"/>
      <c r="S1005" s="75"/>
      <c r="T1005" s="75"/>
      <c r="U1005" s="89"/>
      <c r="V1005" s="84"/>
      <c r="W1005" s="84"/>
      <c r="X1005" s="84"/>
      <c r="Y1005" s="84"/>
      <c r="Z1005" s="84"/>
      <c r="AA1005" s="1"/>
      <c r="AB1005" s="330"/>
      <c r="AC1005" s="321"/>
      <c r="AD1005" s="321"/>
    </row>
    <row r="1006" spans="1:30" ht="15.75" customHeight="1">
      <c r="A1006" s="83"/>
      <c r="B1006" s="83"/>
      <c r="C1006" s="83"/>
      <c r="D1006" s="84"/>
      <c r="E1006" s="84"/>
      <c r="F1006" s="84"/>
      <c r="G1006" s="83"/>
      <c r="H1006" s="84"/>
      <c r="I1006" s="84"/>
      <c r="J1006" s="84"/>
      <c r="K1006" s="84"/>
      <c r="L1006" s="84"/>
      <c r="M1006" s="84"/>
      <c r="N1006" s="84"/>
      <c r="O1006" s="84"/>
      <c r="P1006" s="85"/>
      <c r="Q1006" s="75"/>
      <c r="R1006" s="75"/>
      <c r="S1006" s="75"/>
      <c r="T1006" s="75"/>
      <c r="U1006" s="89"/>
      <c r="V1006" s="84"/>
      <c r="W1006" s="84"/>
      <c r="X1006" s="84"/>
      <c r="Y1006" s="84"/>
      <c r="Z1006" s="84"/>
      <c r="AA1006" s="1"/>
      <c r="AB1006" s="330"/>
      <c r="AC1006" s="321"/>
      <c r="AD1006" s="321"/>
    </row>
  </sheetData>
  <conditionalFormatting sqref="T1:T1006">
    <cfRule type="cellIs" dxfId="13" priority="1" operator="equal">
      <formula>"true"</formula>
    </cfRule>
  </conditionalFormatting>
  <conditionalFormatting sqref="Q1:Q1006">
    <cfRule type="cellIs" dxfId="12" priority="2" operator="equal">
      <formula>"true"</formula>
    </cfRule>
  </conditionalFormatting>
  <conditionalFormatting sqref="R1:R1006">
    <cfRule type="cellIs" dxfId="11" priority="3" operator="equal">
      <formula>"true"</formula>
    </cfRule>
  </conditionalFormatting>
  <conditionalFormatting sqref="S1:S1006">
    <cfRule type="cellIs" dxfId="10" priority="4" operator="equal">
      <formula>"true"</formula>
    </cfRule>
  </conditionalFormatting>
  <conditionalFormatting sqref="T1:T1006">
    <cfRule type="cellIs" dxfId="9" priority="5" operator="equal">
      <formula>"true"</formula>
    </cfRule>
  </conditionalFormatting>
  <conditionalFormatting sqref="AD1:AD1006">
    <cfRule type="colorScale" priority="6">
      <colorScale>
        <cfvo type="min"/>
        <cfvo type="percent" val="50"/>
        <cfvo type="max"/>
        <color rgb="FFF4CCCC"/>
        <color rgb="FFFFFFFF"/>
        <color rgb="FFD9EAD3"/>
      </colorScale>
    </cfRule>
  </conditionalFormatting>
  <hyperlinks>
    <hyperlink ref="Y29" r:id="rId1" xr:uid="{00000000-0004-0000-0C00-000000000000}"/>
  </hyperlinks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EAD3"/>
    <outlinePr summaryBelow="0" summaryRight="0"/>
  </sheetPr>
  <dimension ref="A1:AC1001"/>
  <sheetViews>
    <sheetView workbookViewId="0"/>
  </sheetViews>
  <sheetFormatPr defaultColWidth="14.453125" defaultRowHeight="15" customHeight="1"/>
  <cols>
    <col min="1" max="1" width="3.7265625" customWidth="1"/>
    <col min="2" max="2" width="10.08984375" customWidth="1"/>
    <col min="3" max="3" width="10.54296875" customWidth="1"/>
    <col min="4" max="4" width="10.81640625" customWidth="1"/>
    <col min="5" max="5" width="10.54296875" customWidth="1"/>
    <col min="6" max="6" width="10.81640625" customWidth="1"/>
    <col min="12" max="12" width="4.81640625" customWidth="1"/>
    <col min="13" max="13" width="22.54296875" customWidth="1"/>
  </cols>
  <sheetData>
    <row r="1" spans="1:29" ht="15" customHeight="1">
      <c r="A1" s="90" t="s">
        <v>95</v>
      </c>
      <c r="B1" s="91" t="s">
        <v>40</v>
      </c>
      <c r="C1" s="90" t="s">
        <v>515</v>
      </c>
      <c r="D1" s="92" t="s">
        <v>516</v>
      </c>
      <c r="E1" s="92" t="s">
        <v>517</v>
      </c>
      <c r="F1" s="92" t="s">
        <v>518</v>
      </c>
      <c r="G1" s="93" t="s">
        <v>519</v>
      </c>
      <c r="H1" s="94" t="s">
        <v>520</v>
      </c>
      <c r="I1" s="90" t="s">
        <v>521</v>
      </c>
      <c r="J1" s="90" t="s">
        <v>522</v>
      </c>
      <c r="K1" s="90" t="s">
        <v>523</v>
      </c>
      <c r="L1" s="95"/>
      <c r="M1" s="379" t="s">
        <v>524</v>
      </c>
      <c r="N1" s="372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</row>
    <row r="2" spans="1:29" ht="15" customHeight="1">
      <c r="A2" s="96">
        <v>0</v>
      </c>
      <c r="B2" s="97">
        <f>VLOOKUP(A2,W!B:D,3,FALSE)</f>
        <v>200</v>
      </c>
      <c r="C2" s="98">
        <f ca="1">IFERROR(__xludf.DUMMYFUNCTION("IFERROR(AVERAGE(QUERY(W_all,""SELECT U WHERE B=""&amp;$A2)))"),26.25)</f>
        <v>26.25</v>
      </c>
      <c r="D2" s="98">
        <f ca="1">IFERROR(__xludf.DUMMYFUNCTION("IFERROR(STDEV(QUERY(W_all,""SELECT U WHERE B=""&amp;$A2)))"),26.2852937336957)</f>
        <v>26.285293733695699</v>
      </c>
      <c r="E2" s="98">
        <f ca="1">IFERROR(__xludf.DUMMYFUNCTION("IFERROR(AVERAGE(QUERY(W_all,""SELECT U WHERE B=""&amp;$A2&amp;"" AND Q=FALSE AND R=FALSE"")))"),49)</f>
        <v>49</v>
      </c>
      <c r="F2" s="98">
        <f ca="1">IFERROR(__xludf.DUMMYFUNCTION("IFERROR(STDEV(QUERY(W_all,""SELECT U WHERE B=""&amp;$A2&amp;"" AND Q=FALSE AND R=FALSE"")))"),1.41421356237309)</f>
        <v>1.41421356237309</v>
      </c>
      <c r="G2" s="99" t="str">
        <f ca="1">IFERROR(__xludf.DUMMYFUNCTION("IFERROR(AVERAGE(QUERY(W_all,""SELECT U WHERE B=""&amp;$A2&amp;"" AND Q=FALSE AND R=FALSE AND U&gt;=""&amp;W_mean-2*W_sd&amp;"" AND U&lt;=""&amp;W_mean+2*W_sd)))"),"")</f>
        <v/>
      </c>
      <c r="H2" s="98" t="str">
        <f ca="1">IFERROR(__xludf.DUMMYFUNCTION("IFERROR(STDEV(QUERY(W_all,""SELECT U WHERE B=""&amp;$A2&amp;"" AND Q=FALSE AND R=FALSE AND U&gt;=""&amp;W_mean-2*W_sd&amp;"" AND U&lt;=""&amp;W_mean+2*W_sd)))"),"")</f>
        <v/>
      </c>
      <c r="I2" s="100" t="str">
        <f ca="1">IFERROR(__xludf.DUMMYFUNCTION("IFERROR(IF(ISBLANK(G2),,RANK.AVG(B2,QUERY(B$2:G$18,""SELECT B WHERE G IS NOT NULL""),TRUE)))"),"")</f>
        <v/>
      </c>
      <c r="J2" s="100" t="s">
        <v>556</v>
      </c>
      <c r="K2" s="100" t="e">
        <f t="shared" ref="K2:K18" ca="1" si="0">IF(ISBLANK(G2),,(I2-J2)^2)</f>
        <v>#VALUE!</v>
      </c>
      <c r="L2" s="101"/>
      <c r="M2" s="21" t="s">
        <v>525</v>
      </c>
      <c r="N2" s="102">
        <f ca="1">IFERROR(__xludf.DUMMYFUNCTION("AVERAGE(QUERY(W_all,""SELECT U""))"),18.1764705882352)</f>
        <v>18.176470588235201</v>
      </c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</row>
    <row r="3" spans="1:29" ht="15" customHeight="1">
      <c r="A3" s="96">
        <v>1</v>
      </c>
      <c r="B3" s="97">
        <f>VLOOKUP(A3,W!B:D,3,FALSE)</f>
        <v>400</v>
      </c>
      <c r="C3" s="98">
        <f ca="1">IFERROR(__xludf.DUMMYFUNCTION("IFERROR(AVERAGE(QUERY(W_all,""SELECT U WHERE B=""&amp;$A3)))"),15)</f>
        <v>15</v>
      </c>
      <c r="D3" s="98">
        <f ca="1">IFERROR(__xludf.DUMMYFUNCTION("IFERROR(STDEV(QUERY(W_all,""SELECT U WHERE B=""&amp;$A3)))"),17.3205080756887)</f>
        <v>17.3205080756887</v>
      </c>
      <c r="E3" s="98">
        <f ca="1">IFERROR(__xludf.DUMMYFUNCTION("IFERROR(AVERAGE(QUERY(W_all,""SELECT U WHERE B=""&amp;$A3&amp;"" AND Q=FALSE AND R=FALSE"")))"),30)</f>
        <v>30</v>
      </c>
      <c r="F3" s="98">
        <f ca="1">IFERROR(__xludf.DUMMYFUNCTION("IFERROR(STDEV(QUERY(W_all,""SELECT U WHERE B=""&amp;$A3&amp;"" AND Q=FALSE AND R=FALSE"")))"),0)</f>
        <v>0</v>
      </c>
      <c r="G3" s="99">
        <f ca="1">IFERROR(__xludf.DUMMYFUNCTION("IFERROR(AVERAGE(QUERY(W_all,""SELECT U WHERE B=""&amp;$A3&amp;"" AND Q=FALSE AND R=FALSE AND U&gt;=""&amp;W_mean-2*W_sd&amp;"" AND U&lt;=""&amp;W_mean+2*W_sd)))"),30)</f>
        <v>30</v>
      </c>
      <c r="H3" s="98">
        <f ca="1">IFERROR(__xludf.DUMMYFUNCTION("IFERROR(STDEV(QUERY(W_all,""SELECT U WHERE B=""&amp;$A3&amp;"" AND Q=FALSE AND R=FALSE AND U&gt;=""&amp;W_mean-2*W_sd&amp;"" AND U&lt;=""&amp;W_mean+2*W_sd)))"),0)</f>
        <v>0</v>
      </c>
      <c r="I3" s="100">
        <f ca="1">IFERROR(__xludf.DUMMYFUNCTION("IFERROR(IF(ISBLANK(G3),,RANK.AVG(B3,QUERY(B$2:G$18,""SELECT B WHERE G IS NOT NULL""),TRUE)))"),1)</f>
        <v>1</v>
      </c>
      <c r="J3" s="100">
        <v>15.5</v>
      </c>
      <c r="K3" s="100">
        <f t="shared" ca="1" si="0"/>
        <v>210.25</v>
      </c>
      <c r="L3" s="101"/>
      <c r="M3" s="21" t="s">
        <v>526</v>
      </c>
      <c r="N3" s="103">
        <f ca="1">IFERROR(__xludf.DUMMYFUNCTION("STDEV(QUERY(W_all,""SELECT U""))"),12.2266422777139)</f>
        <v>12.2266422777139</v>
      </c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</row>
    <row r="4" spans="1:29" ht="15" customHeight="1">
      <c r="A4" s="96">
        <v>2</v>
      </c>
      <c r="B4" s="97">
        <f>VLOOKUP(A4,W!B:D,3,FALSE)</f>
        <v>600</v>
      </c>
      <c r="C4" s="98">
        <f ca="1">IFERROR(__xludf.DUMMYFUNCTION("IFERROR(AVERAGE(QUERY(W_all,""SELECT U WHERE B=""&amp;$A4)))"),20.75)</f>
        <v>20.75</v>
      </c>
      <c r="D4" s="98">
        <f ca="1">IFERROR(__xludf.DUMMYFUNCTION("IFERROR(STDEV(QUERY(W_all,""SELECT U WHERE B=""&amp;$A4)))"),6.23832242407096)</f>
        <v>6.2383224240709598</v>
      </c>
      <c r="E4" s="98">
        <f ca="1">IFERROR(__xludf.DUMMYFUNCTION("IFERROR(AVERAGE(QUERY(W_all,""SELECT U WHERE B=""&amp;$A4&amp;"" AND Q=FALSE AND R=FALSE"")))"),20.75)</f>
        <v>20.75</v>
      </c>
      <c r="F4" s="98">
        <f ca="1">IFERROR(__xludf.DUMMYFUNCTION("IFERROR(STDEV(QUERY(W_all,""SELECT U WHERE B=""&amp;$A4&amp;"" AND Q=FALSE AND R=FALSE"")))"),6.23832242407096)</f>
        <v>6.2383224240709598</v>
      </c>
      <c r="G4" s="99">
        <f ca="1">IFERROR(__xludf.DUMMYFUNCTION("IFERROR(AVERAGE(QUERY(W_all,""SELECT U WHERE B=""&amp;$A4&amp;"" AND Q=FALSE AND R=FALSE AND U&gt;=""&amp;W_mean-2*W_sd&amp;"" AND U&lt;=""&amp;W_mean+2*W_sd)))"),20.75)</f>
        <v>20.75</v>
      </c>
      <c r="H4" s="98">
        <f ca="1">IFERROR(__xludf.DUMMYFUNCTION("IFERROR(STDEV(QUERY(W_all,""SELECT U WHERE B=""&amp;$A4&amp;"" AND Q=FALSE AND R=FALSE AND U&gt;=""&amp;W_mean-2*W_sd&amp;"" AND U&lt;=""&amp;W_mean+2*W_sd)))"),6.23832242407096)</f>
        <v>6.2383224240709598</v>
      </c>
      <c r="I4" s="100">
        <f ca="1">IFERROR(__xludf.DUMMYFUNCTION("IFERROR(IF(ISBLANK(G4),,RANK.AVG(B4,QUERY(B$2:G$18,""SELECT B WHERE G IS NOT NULL""),TRUE)))"),2)</f>
        <v>2</v>
      </c>
      <c r="J4" s="100">
        <v>8</v>
      </c>
      <c r="K4" s="100">
        <f t="shared" ca="1" si="0"/>
        <v>36</v>
      </c>
      <c r="L4" s="101"/>
      <c r="M4" s="21" t="s">
        <v>527</v>
      </c>
      <c r="N4" s="102">
        <f ca="1">IFERROR(__xludf.DUMMYFUNCTION("AVERAGE(QUERY(W_all,""SELECT U WHERE Q=FALSE AND R=FALSE""))"),21.6296296296296)</f>
        <v>21.629629629629601</v>
      </c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</row>
    <row r="5" spans="1:29" ht="15" customHeight="1">
      <c r="A5" s="96">
        <v>3</v>
      </c>
      <c r="B5" s="97">
        <f>VLOOKUP(A5,W!B:D,3,FALSE)</f>
        <v>800</v>
      </c>
      <c r="C5" s="98">
        <f ca="1">IFERROR(__xludf.DUMMYFUNCTION("IFERROR(AVERAGE(QUERY(W_all,""SELECT U WHERE B=""&amp;$A5)))"),22.75)</f>
        <v>22.75</v>
      </c>
      <c r="D5" s="98">
        <f ca="1">IFERROR(__xludf.DUMMYFUNCTION("IFERROR(STDEV(QUERY(W_all,""SELECT U WHERE B=""&amp;$A5)))"),4.99165971062397)</f>
        <v>4.9916597106239697</v>
      </c>
      <c r="E5" s="98">
        <f ca="1">IFERROR(__xludf.DUMMYFUNCTION("IFERROR(AVERAGE(QUERY(W_all,""SELECT U WHERE B=""&amp;$A5&amp;"" AND Q=FALSE AND R=FALSE"")))"),22.75)</f>
        <v>22.75</v>
      </c>
      <c r="F5" s="98">
        <f ca="1">IFERROR(__xludf.DUMMYFUNCTION("IFERROR(STDEV(QUERY(W_all,""SELECT U WHERE B=""&amp;$A5&amp;"" AND Q=FALSE AND R=FALSE"")))"),4.99165971062397)</f>
        <v>4.9916597106239697</v>
      </c>
      <c r="G5" s="99">
        <f ca="1">IFERROR(__xludf.DUMMYFUNCTION("IFERROR(AVERAGE(QUERY(W_all,""SELECT U WHERE B=""&amp;$A5&amp;"" AND Q=FALSE AND R=FALSE AND U&gt;=""&amp;W_mean-2*W_sd&amp;"" AND U&lt;=""&amp;W_mean+2*W_sd)))"),22.75)</f>
        <v>22.75</v>
      </c>
      <c r="H5" s="98">
        <f ca="1">IFERROR(__xludf.DUMMYFUNCTION("IFERROR(STDEV(QUERY(W_all,""SELECT U WHERE B=""&amp;$A5&amp;"" AND Q=FALSE AND R=FALSE AND U&gt;=""&amp;W_mean-2*W_sd&amp;"" AND U&lt;=""&amp;W_mean+2*W_sd)))"),4.99165971062397)</f>
        <v>4.9916597106239697</v>
      </c>
      <c r="I5" s="100">
        <f ca="1">IFERROR(__xludf.DUMMYFUNCTION("IFERROR(IF(ISBLANK(G5),,RANK.AVG(B5,QUERY(B$2:G$18,""SELECT B WHERE G IS NOT NULL""),TRUE)))"),3)</f>
        <v>3</v>
      </c>
      <c r="J5" s="100">
        <v>11</v>
      </c>
      <c r="K5" s="100">
        <f t="shared" ca="1" si="0"/>
        <v>64</v>
      </c>
      <c r="L5" s="101"/>
      <c r="M5" s="21" t="s">
        <v>528</v>
      </c>
      <c r="N5" s="103">
        <f ca="1">IFERROR(__xludf.DUMMYFUNCTION("STDEV(QUERY(W_all,""SELECT U WHERE Q=FALSE AND R=FALSE""))"),10.2355213825894)</f>
        <v>10.2355213825894</v>
      </c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</row>
    <row r="6" spans="1:29" ht="15" customHeight="1">
      <c r="A6" s="96">
        <v>4</v>
      </c>
      <c r="B6" s="97">
        <f>VLOOKUP(A6,W!B:D,3,FALSE)</f>
        <v>1000</v>
      </c>
      <c r="C6" s="98">
        <f ca="1">IFERROR(__xludf.DUMMYFUNCTION("IFERROR(AVERAGE(QUERY(W_all,""SELECT U WHERE B=""&amp;$A6)))"),17.75)</f>
        <v>17.75</v>
      </c>
      <c r="D6" s="98">
        <f ca="1">IFERROR(__xludf.DUMMYFUNCTION("IFERROR(STDEV(QUERY(W_all,""SELECT U WHERE B=""&amp;$A6)))"),13.6717470232105)</f>
        <v>13.6717470232105</v>
      </c>
      <c r="E6" s="98">
        <f ca="1">IFERROR(__xludf.DUMMYFUNCTION("IFERROR(AVERAGE(QUERY(W_all,""SELECT U WHERE B=""&amp;$A6&amp;"" AND Q=FALSE AND R=FALSE"")))"),23.6666666666666)</f>
        <v>23.6666666666666</v>
      </c>
      <c r="F6" s="98">
        <f ca="1">IFERROR(__xludf.DUMMYFUNCTION("IFERROR(STDEV(QUERY(W_all,""SELECT U WHERE B=""&amp;$A6&amp;"" AND Q=FALSE AND R=FALSE"")))"),8.38649708360608)</f>
        <v>8.3864970836060806</v>
      </c>
      <c r="G6" s="99">
        <f ca="1">IFERROR(__xludf.DUMMYFUNCTION("IFERROR(AVERAGE(QUERY(W_all,""SELECT U WHERE B=""&amp;$A6&amp;"" AND Q=FALSE AND R=FALSE AND U&gt;=""&amp;W_mean-2*W_sd&amp;"" AND U&lt;=""&amp;W_mean+2*W_sd)))"),23.6666666666666)</f>
        <v>23.6666666666666</v>
      </c>
      <c r="H6" s="98">
        <f ca="1">IFERROR(__xludf.DUMMYFUNCTION("IFERROR(STDEV(QUERY(W_all,""SELECT U WHERE B=""&amp;$A6&amp;"" AND Q=FALSE AND R=FALSE AND U&gt;=""&amp;W_mean-2*W_sd&amp;"" AND U&lt;=""&amp;W_mean+2*W_sd)))"),8.38649708360608)</f>
        <v>8.3864970836060806</v>
      </c>
      <c r="I6" s="100">
        <f ca="1">IFERROR(__xludf.DUMMYFUNCTION("IFERROR(IF(ISBLANK(G6),,RANK.AVG(B6,QUERY(B$2:G$18,""SELECT B WHERE G IS NOT NULL""),TRUE)))"),4)</f>
        <v>4</v>
      </c>
      <c r="J6" s="100">
        <v>13</v>
      </c>
      <c r="K6" s="100">
        <f t="shared" ca="1" si="0"/>
        <v>81</v>
      </c>
      <c r="L6" s="101"/>
      <c r="M6" s="21" t="s">
        <v>529</v>
      </c>
      <c r="N6" s="104">
        <f ca="1">N4+2*N5</f>
        <v>42.100672394808399</v>
      </c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</row>
    <row r="7" spans="1:29" ht="15" customHeight="1">
      <c r="A7" s="96">
        <v>5</v>
      </c>
      <c r="B7" s="97">
        <f>VLOOKUP(A7,W!B:D,3,FALSE)</f>
        <v>1200</v>
      </c>
      <c r="C7" s="98">
        <f ca="1">IFERROR(__xludf.DUMMYFUNCTION("IFERROR(AVERAGE(QUERY(W_all,""SELECT U WHERE B=""&amp;$A7)))"),20.5)</f>
        <v>20.5</v>
      </c>
      <c r="D7" s="98">
        <f ca="1">IFERROR(__xludf.DUMMYFUNCTION("IFERROR(STDEV(QUERY(W_all,""SELECT U WHERE B=""&amp;$A7)))"),4.50924975282289)</f>
        <v>4.5092497528228899</v>
      </c>
      <c r="E7" s="98">
        <f ca="1">IFERROR(__xludf.DUMMYFUNCTION("IFERROR(AVERAGE(QUERY(W_all,""SELECT U WHERE B=""&amp;$A7&amp;"" AND Q=FALSE AND R=FALSE"")))"),20.5)</f>
        <v>20.5</v>
      </c>
      <c r="F7" s="98">
        <f ca="1">IFERROR(__xludf.DUMMYFUNCTION("IFERROR(STDEV(QUERY(W_all,""SELECT U WHERE B=""&amp;$A7&amp;"" AND Q=FALSE AND R=FALSE"")))"),4.50924975282289)</f>
        <v>4.5092497528228899</v>
      </c>
      <c r="G7" s="99">
        <f ca="1">IFERROR(__xludf.DUMMYFUNCTION("IFERROR(AVERAGE(QUERY(W_all,""SELECT U WHERE B=""&amp;$A7&amp;"" AND Q=FALSE AND R=FALSE AND U&gt;=""&amp;W_mean-2*W_sd&amp;"" AND U&lt;=""&amp;W_mean+2*W_sd)))"),20.5)</f>
        <v>20.5</v>
      </c>
      <c r="H7" s="98">
        <f ca="1">IFERROR(__xludf.DUMMYFUNCTION("IFERROR(STDEV(QUERY(W_all,""SELECT U WHERE B=""&amp;$A7&amp;"" AND Q=FALSE AND R=FALSE AND U&gt;=""&amp;W_mean-2*W_sd&amp;"" AND U&lt;=""&amp;W_mean+2*W_sd)))"),4.50924975282289)</f>
        <v>4.5092497528228899</v>
      </c>
      <c r="I7" s="100">
        <f ca="1">IFERROR(__xludf.DUMMYFUNCTION("IFERROR(IF(ISBLANK(G7),,RANK.AVG(B7,QUERY(B$2:G$18,""SELECT B WHERE G IS NOT NULL""),TRUE)))"),5)</f>
        <v>5</v>
      </c>
      <c r="J7" s="100">
        <v>7</v>
      </c>
      <c r="K7" s="100">
        <f t="shared" ca="1" si="0"/>
        <v>4</v>
      </c>
      <c r="L7" s="101"/>
      <c r="M7" s="21" t="s">
        <v>530</v>
      </c>
      <c r="N7" s="104">
        <f ca="1">N4-2*N5</f>
        <v>1.1585868644508004</v>
      </c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</row>
    <row r="8" spans="1:29" ht="15" customHeight="1">
      <c r="A8" s="96">
        <v>6</v>
      </c>
      <c r="B8" s="97">
        <f>VLOOKUP(A8,W!B:D,3,FALSE)</f>
        <v>1400</v>
      </c>
      <c r="C8" s="98">
        <f ca="1">IFERROR(__xludf.DUMMYFUNCTION("IFERROR(AVERAGE(QUERY(W_all,""SELECT U WHERE B=""&amp;$A8)))"),20.5)</f>
        <v>20.5</v>
      </c>
      <c r="D8" s="98">
        <f ca="1">IFERROR(__xludf.DUMMYFUNCTION("IFERROR(STDEV(QUERY(W_all,""SELECT U WHERE B=""&amp;$A8)))"),11.561430130683)</f>
        <v>11.561430130683</v>
      </c>
      <c r="E8" s="98">
        <f ca="1">IFERROR(__xludf.DUMMYFUNCTION("IFERROR(AVERAGE(QUERY(W_all,""SELECT U WHERE B=""&amp;$A8&amp;"" AND Q=FALSE AND R=FALSE"")))"),25)</f>
        <v>25</v>
      </c>
      <c r="F8" s="98">
        <f ca="1">IFERROR(__xludf.DUMMYFUNCTION("IFERROR(STDEV(QUERY(W_all,""SELECT U WHERE B=""&amp;$A8&amp;"" AND Q=FALSE AND R=FALSE"")))"),5.65685424949238)</f>
        <v>5.6568542494923797</v>
      </c>
      <c r="G8" s="99">
        <f ca="1">IFERROR(__xludf.DUMMYFUNCTION("IFERROR(AVERAGE(QUERY(W_all,""SELECT U WHERE B=""&amp;$A8&amp;"" AND Q=FALSE AND R=FALSE AND U&gt;=""&amp;W_mean-2*W_sd&amp;"" AND U&lt;=""&amp;W_mean+2*W_sd)))"),25)</f>
        <v>25</v>
      </c>
      <c r="H8" s="98">
        <f ca="1">IFERROR(__xludf.DUMMYFUNCTION("IFERROR(STDEV(QUERY(W_all,""SELECT U WHERE B=""&amp;$A8&amp;"" AND Q=FALSE AND R=FALSE AND U&gt;=""&amp;W_mean-2*W_sd&amp;"" AND U&lt;=""&amp;W_mean+2*W_sd)))"),5.65685424949238)</f>
        <v>5.6568542494923797</v>
      </c>
      <c r="I8" s="100">
        <f ca="1">IFERROR(__xludf.DUMMYFUNCTION("IFERROR(IF(ISBLANK(G8),,RANK.AVG(B8,QUERY(B$2:G$18,""SELECT B WHERE G IS NOT NULL""),TRUE)))"),6)</f>
        <v>6</v>
      </c>
      <c r="J8" s="100">
        <v>14</v>
      </c>
      <c r="K8" s="100">
        <f t="shared" ca="1" si="0"/>
        <v>64</v>
      </c>
      <c r="L8" s="101"/>
      <c r="M8" s="21" t="s">
        <v>531</v>
      </c>
      <c r="N8" s="104">
        <f ca="1">IFERROR(__xludf.DUMMYFUNCTION("AVERAGE(QUERY(W_all,""SELECT U WHERE Q=FALSE AND R=FALSE AND U&gt;""&amp;W_mean-2*W_sd&amp;"" AND U&lt;""&amp;W_mean+2*W_sd))"),20.078431372549)</f>
        <v>20.078431372549002</v>
      </c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</row>
    <row r="9" spans="1:29" ht="15" customHeight="1">
      <c r="A9" s="96">
        <v>7</v>
      </c>
      <c r="B9" s="97">
        <f>VLOOKUP(A9,W!B:D,3,FALSE)</f>
        <v>1600</v>
      </c>
      <c r="C9" s="98">
        <f ca="1">IFERROR(__xludf.DUMMYFUNCTION("IFERROR(AVERAGE(QUERY(W_all,""SELECT U WHERE B=""&amp;$A9)))"),11.25)</f>
        <v>11.25</v>
      </c>
      <c r="D9" s="98">
        <f ca="1">IFERROR(__xludf.DUMMYFUNCTION("IFERROR(STDEV(QUERY(W_all,""SELECT U WHERE B=""&amp;$A9)))"),12.9967944765879)</f>
        <v>12.996794476587899</v>
      </c>
      <c r="E9" s="98">
        <f ca="1">IFERROR(__xludf.DUMMYFUNCTION("IFERROR(AVERAGE(QUERY(W_all,""SELECT U WHERE B=""&amp;$A9&amp;"" AND Q=FALSE AND R=FALSE"")))"),22.5)</f>
        <v>22.5</v>
      </c>
      <c r="F9" s="98">
        <f ca="1">IFERROR(__xludf.DUMMYFUNCTION("IFERROR(STDEV(QUERY(W_all,""SELECT U WHERE B=""&amp;$A9&amp;"" AND Q=FALSE AND R=FALSE"")))"),0.707106781186547)</f>
        <v>0.70710678118654702</v>
      </c>
      <c r="G9" s="99">
        <f ca="1">IFERROR(__xludf.DUMMYFUNCTION("IFERROR(AVERAGE(QUERY(W_all,""SELECT U WHERE B=""&amp;$A9&amp;"" AND Q=FALSE AND R=FALSE AND U&gt;=""&amp;W_mean-2*W_sd&amp;"" AND U&lt;=""&amp;W_mean+2*W_sd)))"),22.5)</f>
        <v>22.5</v>
      </c>
      <c r="H9" s="98">
        <f ca="1">IFERROR(__xludf.DUMMYFUNCTION("IFERROR(STDEV(QUERY(W_all,""SELECT U WHERE B=""&amp;$A9&amp;"" AND Q=FALSE AND R=FALSE AND U&gt;=""&amp;W_mean-2*W_sd&amp;"" AND U&lt;=""&amp;W_mean+2*W_sd)))"),0.707106781186547)</f>
        <v>0.70710678118654702</v>
      </c>
      <c r="I9" s="100">
        <f ca="1">IFERROR(__xludf.DUMMYFUNCTION("IFERROR(IF(ISBLANK(G9),,RANK.AVG(B9,QUERY(B$2:G$18,""SELECT B WHERE G IS NOT NULL""),TRUE)))"),7)</f>
        <v>7</v>
      </c>
      <c r="J9" s="100">
        <v>10</v>
      </c>
      <c r="K9" s="100">
        <f t="shared" ca="1" si="0"/>
        <v>9</v>
      </c>
      <c r="L9" s="101"/>
      <c r="M9" s="21" t="s">
        <v>532</v>
      </c>
      <c r="N9" s="104">
        <f ca="1">IFERROR(__xludf.DUMMYFUNCTION("STDEV(QUERY(W_all,""SELECT U WHERE Q=FALSE AND R=FALSE AND U&gt;""&amp;W_mean-2*W_sd&amp;"" AND U&lt;""&amp;W_mean+2*W_sd))"),8.16784705355065)</f>
        <v>8.1678470535506502</v>
      </c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</row>
    <row r="10" spans="1:29" ht="15" customHeight="1">
      <c r="A10" s="96">
        <v>8</v>
      </c>
      <c r="B10" s="97">
        <f>VLOOKUP(A10,W!B:D,3,FALSE)</f>
        <v>1800</v>
      </c>
      <c r="C10" s="98">
        <f ca="1">IFERROR(__xludf.DUMMYFUNCTION("IFERROR(AVERAGE(QUERY(W_all,""SELECT U WHERE B=""&amp;$A10)))"),19.25)</f>
        <v>19.25</v>
      </c>
      <c r="D10" s="98">
        <f ca="1">IFERROR(__xludf.DUMMYFUNCTION("IFERROR(STDEV(QUERY(W_all,""SELECT U WHERE B=""&amp;$A10)))"),4.64578662158878)</f>
        <v>4.6457866215887798</v>
      </c>
      <c r="E10" s="98">
        <f ca="1">IFERROR(__xludf.DUMMYFUNCTION("IFERROR(AVERAGE(QUERY(W_all,""SELECT U WHERE B=""&amp;$A10&amp;"" AND Q=FALSE AND R=FALSE"")))"),19.25)</f>
        <v>19.25</v>
      </c>
      <c r="F10" s="98">
        <f ca="1">IFERROR(__xludf.DUMMYFUNCTION("IFERROR(STDEV(QUERY(W_all,""SELECT U WHERE B=""&amp;$A10&amp;"" AND Q=FALSE AND R=FALSE"")))"),4.64578662158878)</f>
        <v>4.6457866215887798</v>
      </c>
      <c r="G10" s="99">
        <f ca="1">IFERROR(__xludf.DUMMYFUNCTION("IFERROR(AVERAGE(QUERY(W_all,""SELECT U WHERE B=""&amp;$A10&amp;"" AND Q=FALSE AND R=FALSE AND U&gt;=""&amp;W_mean-2*W_sd&amp;"" AND U&lt;=""&amp;W_mean+2*W_sd)))"),19.25)</f>
        <v>19.25</v>
      </c>
      <c r="H10" s="98">
        <f ca="1">IFERROR(__xludf.DUMMYFUNCTION("IFERROR(STDEV(QUERY(W_all,""SELECT U WHERE B=""&amp;$A10&amp;"" AND Q=FALSE AND R=FALSE AND U&gt;=""&amp;W_mean-2*W_sd&amp;"" AND U&lt;=""&amp;W_mean+2*W_sd)))"),4.64578662158878)</f>
        <v>4.6457866215887798</v>
      </c>
      <c r="I10" s="100">
        <f ca="1">IFERROR(__xludf.DUMMYFUNCTION("IFERROR(IF(ISBLANK(G10),,RANK.AVG(B10,QUERY(B$2:G$18,""SELECT B WHERE G IS NOT NULL""),TRUE)))"),8)</f>
        <v>8</v>
      </c>
      <c r="J10" s="100">
        <v>6</v>
      </c>
      <c r="K10" s="100">
        <f t="shared" ca="1" si="0"/>
        <v>4</v>
      </c>
      <c r="L10" s="101"/>
      <c r="M10" s="105" t="s">
        <v>533</v>
      </c>
      <c r="N10" s="106">
        <f ca="1">COUNT(W_d2)</f>
        <v>16</v>
      </c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</row>
    <row r="11" spans="1:29" ht="15" customHeight="1">
      <c r="A11" s="96">
        <v>9</v>
      </c>
      <c r="B11" s="97">
        <f>VLOOKUP(A11,W!B:D,3,FALSE)</f>
        <v>2000</v>
      </c>
      <c r="C11" s="98">
        <f ca="1">IFERROR(__xludf.DUMMYFUNCTION("IFERROR(AVERAGE(QUERY(W_all,""SELECT U WHERE B=""&amp;$A11)))"),18)</f>
        <v>18</v>
      </c>
      <c r="D11" s="98">
        <f ca="1">IFERROR(__xludf.DUMMYFUNCTION("IFERROR(STDEV(QUERY(W_all,""SELECT U WHERE B=""&amp;$A11)))"),10.0332779621949)</f>
        <v>10.0332779621949</v>
      </c>
      <c r="E11" s="98">
        <f ca="1">IFERROR(__xludf.DUMMYFUNCTION("IFERROR(AVERAGE(QUERY(W_all,""SELECT U WHERE B=""&amp;$A11&amp;"" AND Q=FALSE AND R=FALSE"")))"),18)</f>
        <v>18</v>
      </c>
      <c r="F11" s="98">
        <f ca="1">IFERROR(__xludf.DUMMYFUNCTION("IFERROR(STDEV(QUERY(W_all,""SELECT U WHERE B=""&amp;$A11&amp;"" AND Q=FALSE AND R=FALSE"")))"),10.0332779621949)</f>
        <v>10.0332779621949</v>
      </c>
      <c r="G11" s="99">
        <f ca="1">IFERROR(__xludf.DUMMYFUNCTION("IFERROR(AVERAGE(QUERY(W_all,""SELECT U WHERE B=""&amp;$A11&amp;"" AND Q=FALSE AND R=FALSE AND U&gt;=""&amp;W_mean-2*W_sd&amp;"" AND U&lt;=""&amp;W_mean+2*W_sd)))"),18)</f>
        <v>18</v>
      </c>
      <c r="H11" s="98">
        <f ca="1">IFERROR(__xludf.DUMMYFUNCTION("IFERROR(STDEV(QUERY(W_all,""SELECT U WHERE B=""&amp;$A11&amp;"" AND Q=FALSE AND R=FALSE AND U&gt;=""&amp;W_mean-2*W_sd&amp;"" AND U&lt;=""&amp;W_mean+2*W_sd)))"),10.0332779621949)</f>
        <v>10.0332779621949</v>
      </c>
      <c r="I11" s="100">
        <f ca="1">IFERROR(__xludf.DUMMYFUNCTION("IFERROR(IF(ISBLANK(G11),,RANK.AVG(B11,QUERY(B$2:G$18,""SELECT B WHERE G IS NOT NULL""),TRUE)))"),9)</f>
        <v>9</v>
      </c>
      <c r="J11" s="100">
        <v>5</v>
      </c>
      <c r="K11" s="100">
        <f t="shared" ca="1" si="0"/>
        <v>16</v>
      </c>
      <c r="L11" s="101"/>
      <c r="M11" s="21" t="s">
        <v>534</v>
      </c>
      <c r="N11" s="107" t="e">
        <f ca="1">1-(6*SUM(W_d2)/(N10^3-N10))</f>
        <v>#VALUE!</v>
      </c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</row>
    <row r="12" spans="1:29" ht="15" customHeight="1">
      <c r="A12" s="96">
        <v>10</v>
      </c>
      <c r="B12" s="97">
        <f>VLOOKUP(A12,W!B:D,3,FALSE)</f>
        <v>2200</v>
      </c>
      <c r="C12" s="98">
        <f ca="1">IFERROR(__xludf.DUMMYFUNCTION("IFERROR(AVERAGE(QUERY(W_all,""SELECT U WHERE B=""&amp;$A12)))"),12.75)</f>
        <v>12.75</v>
      </c>
      <c r="D12" s="98">
        <f ca="1">IFERROR(__xludf.DUMMYFUNCTION("IFERROR(STDEV(QUERY(W_all,""SELECT U WHERE B=""&amp;$A12)))"),3.20156211871642)</f>
        <v>3.2015621187164198</v>
      </c>
      <c r="E12" s="98">
        <f ca="1">IFERROR(__xludf.DUMMYFUNCTION("IFERROR(AVERAGE(QUERY(W_all,""SELECT U WHERE B=""&amp;$A12&amp;"" AND Q=FALSE AND R=FALSE"")))"),12.75)</f>
        <v>12.75</v>
      </c>
      <c r="F12" s="98">
        <f ca="1">IFERROR(__xludf.DUMMYFUNCTION("IFERROR(STDEV(QUERY(W_all,""SELECT U WHERE B=""&amp;$A12&amp;"" AND Q=FALSE AND R=FALSE"")))"),3.20156211871642)</f>
        <v>3.2015621187164198</v>
      </c>
      <c r="G12" s="99">
        <f ca="1">IFERROR(__xludf.DUMMYFUNCTION("IFERROR(AVERAGE(QUERY(W_all,""SELECT U WHERE B=""&amp;$A12&amp;"" AND Q=FALSE AND R=FALSE AND U&gt;=""&amp;W_mean-2*W_sd&amp;"" AND U&lt;=""&amp;W_mean+2*W_sd)))"),12.75)</f>
        <v>12.75</v>
      </c>
      <c r="H12" s="98">
        <f ca="1">IFERROR(__xludf.DUMMYFUNCTION("IFERROR(STDEV(QUERY(W_all,""SELECT U WHERE B=""&amp;$A12&amp;"" AND Q=FALSE AND R=FALSE AND U&gt;=""&amp;W_mean-2*W_sd&amp;"" AND U&lt;=""&amp;W_mean+2*W_sd)))"),3.20156211871642)</f>
        <v>3.2015621187164198</v>
      </c>
      <c r="I12" s="100">
        <f ca="1">IFERROR(__xludf.DUMMYFUNCTION("IFERROR(IF(ISBLANK(G12),,RANK.AVG(B12,QUERY(B$2:G$18,""SELECT B WHERE G IS NOT NULL""),TRUE)))"),10)</f>
        <v>10</v>
      </c>
      <c r="J12" s="100">
        <v>2</v>
      </c>
      <c r="K12" s="100">
        <f t="shared" ca="1" si="0"/>
        <v>64</v>
      </c>
      <c r="L12" s="101"/>
      <c r="M12" s="21" t="s">
        <v>315</v>
      </c>
      <c r="N12" s="107" t="e">
        <f ca="1">SQRT(N11^2*(N10-2)/(1-N11^2))</f>
        <v>#VALUE!</v>
      </c>
      <c r="O12" s="108"/>
      <c r="P12" s="109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</row>
    <row r="13" spans="1:29" ht="13">
      <c r="A13" s="96">
        <v>11</v>
      </c>
      <c r="B13" s="97">
        <f>VLOOKUP(A13,W!B:D,3,FALSE)</f>
        <v>2400</v>
      </c>
      <c r="C13" s="98">
        <f ca="1">IFERROR(__xludf.DUMMYFUNCTION("IFERROR(AVERAGE(QUERY(W_all,""SELECT U WHERE B=""&amp;$A13)))"),12.5)</f>
        <v>12.5</v>
      </c>
      <c r="D13" s="98">
        <f ca="1">IFERROR(__xludf.DUMMYFUNCTION("IFERROR(STDEV(QUERY(W_all,""SELECT U WHERE B=""&amp;$A13)))"),9.25562891794321)</f>
        <v>9.2556289179432092</v>
      </c>
      <c r="E13" s="98">
        <f ca="1">IFERROR(__xludf.DUMMYFUNCTION("IFERROR(AVERAGE(QUERY(W_all,""SELECT U WHERE B=""&amp;$A13&amp;"" AND Q=FALSE AND R=FALSE"")))"),12.5)</f>
        <v>12.5</v>
      </c>
      <c r="F13" s="98">
        <f ca="1">IFERROR(__xludf.DUMMYFUNCTION("IFERROR(STDEV(QUERY(W_all,""SELECT U WHERE B=""&amp;$A13&amp;"" AND Q=FALSE AND R=FALSE"")))"),9.25562891794321)</f>
        <v>9.2556289179432092</v>
      </c>
      <c r="G13" s="99">
        <f ca="1">IFERROR(__xludf.DUMMYFUNCTION("IFERROR(AVERAGE(QUERY(W_all,""SELECT U WHERE B=""&amp;$A13&amp;"" AND Q=FALSE AND R=FALSE AND U&gt;=""&amp;W_mean-2*W_sd&amp;"" AND U&lt;=""&amp;W_mean+2*W_sd)))"),12.5)</f>
        <v>12.5</v>
      </c>
      <c r="H13" s="98">
        <f ca="1">IFERROR(__xludf.DUMMYFUNCTION("IFERROR(STDEV(QUERY(W_all,""SELECT U WHERE B=""&amp;$A13&amp;"" AND Q=FALSE AND R=FALSE AND U&gt;=""&amp;W_mean-2*W_sd&amp;"" AND U&lt;=""&amp;W_mean+2*W_sd)))"),9.25562891794321)</f>
        <v>9.2556289179432092</v>
      </c>
      <c r="I13" s="100">
        <f ca="1">IFERROR(__xludf.DUMMYFUNCTION("IFERROR(IF(ISBLANK(G13),,RANK.AVG(B13,QUERY(B$2:G$18,""SELECT B WHERE G IS NOT NULL""),TRUE)))"),11)</f>
        <v>11</v>
      </c>
      <c r="J13" s="100">
        <v>1</v>
      </c>
      <c r="K13" s="100">
        <f t="shared" ca="1" si="0"/>
        <v>100</v>
      </c>
      <c r="L13" s="101"/>
      <c r="M13" s="110" t="s">
        <v>535</v>
      </c>
      <c r="N13" s="111">
        <f ca="1">_xlfn.T.INV.2T(0.05,N10-2)</f>
        <v>2.1447866879178044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</row>
    <row r="14" spans="1:29" ht="13">
      <c r="A14" s="96">
        <v>12</v>
      </c>
      <c r="B14" s="97">
        <f>VLOOKUP(A14,W!B:D,3,FALSE)</f>
        <v>2600</v>
      </c>
      <c r="C14" s="98">
        <f ca="1">IFERROR(__xludf.DUMMYFUNCTION("IFERROR(AVERAGE(QUERY(W_all,""SELECT U WHERE B=""&amp;$A14)))"),16.25)</f>
        <v>16.25</v>
      </c>
      <c r="D14" s="98">
        <f ca="1">IFERROR(__xludf.DUMMYFUNCTION("IFERROR(STDEV(QUERY(W_all,""SELECT U WHERE B=""&amp;$A14)))"),12.3928742966808)</f>
        <v>12.3928742966808</v>
      </c>
      <c r="E14" s="98">
        <f ca="1">IFERROR(__xludf.DUMMYFUNCTION("IFERROR(AVERAGE(QUERY(W_all,""SELECT U WHERE B=""&amp;$A14&amp;"" AND Q=FALSE AND R=FALSE"")))"),16.25)</f>
        <v>16.25</v>
      </c>
      <c r="F14" s="98">
        <f ca="1">IFERROR(__xludf.DUMMYFUNCTION("IFERROR(STDEV(QUERY(W_all,""SELECT U WHERE B=""&amp;$A14&amp;"" AND Q=FALSE AND R=FALSE"")))"),12.3928742966808)</f>
        <v>12.3928742966808</v>
      </c>
      <c r="G14" s="99">
        <f ca="1">IFERROR(__xludf.DUMMYFUNCTION("IFERROR(AVERAGE(QUERY(W_all,""SELECT U WHERE B=""&amp;$A14&amp;"" AND Q=FALSE AND R=FALSE AND U&gt;=""&amp;W_mean-2*W_sd&amp;"" AND U&lt;=""&amp;W_mean+2*W_sd)))"),16.25)</f>
        <v>16.25</v>
      </c>
      <c r="H14" s="98">
        <f ca="1">IFERROR(__xludf.DUMMYFUNCTION("IFERROR(STDEV(QUERY(W_all,""SELECT U WHERE B=""&amp;$A14&amp;"" AND Q=FALSE AND R=FALSE AND U&gt;=""&amp;W_mean-2*W_sd&amp;"" AND U&lt;=""&amp;W_mean+2*W_sd)))"),12.3928742966808)</f>
        <v>12.3928742966808</v>
      </c>
      <c r="I14" s="100">
        <f ca="1">IFERROR(__xludf.DUMMYFUNCTION("IFERROR(IF(ISBLANK(G14),,RANK.AVG(B14,QUERY(B$2:G$18,""SELECT B WHERE G IS NOT NULL""),TRUE)))"),12)</f>
        <v>12</v>
      </c>
      <c r="J14" s="100">
        <v>4</v>
      </c>
      <c r="K14" s="100">
        <f t="shared" ca="1" si="0"/>
        <v>64</v>
      </c>
      <c r="L14" s="101"/>
      <c r="M14" s="21" t="s">
        <v>91</v>
      </c>
      <c r="N14" s="112" t="e">
        <f ca="1">N12&gt;N13</f>
        <v>#VALUE!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</row>
    <row r="15" spans="1:29" ht="13">
      <c r="A15" s="96">
        <v>13</v>
      </c>
      <c r="B15" s="97">
        <f>VLOOKUP(A15,W!B:D,3,FALSE)</f>
        <v>2800</v>
      </c>
      <c r="C15" s="98">
        <f ca="1">IFERROR(__xludf.DUMMYFUNCTION("IFERROR(AVERAGE(QUERY(W_all,""SELECT U WHERE B=""&amp;$A15)))"),23.5)</f>
        <v>23.5</v>
      </c>
      <c r="D15" s="98">
        <f ca="1">IFERROR(__xludf.DUMMYFUNCTION("IFERROR(STDEV(QUERY(W_all,""SELECT U WHERE B=""&amp;$A15)))"),16.2172747402268)</f>
        <v>16.217274740226799</v>
      </c>
      <c r="E15" s="98">
        <f ca="1">IFERROR(__xludf.DUMMYFUNCTION("IFERROR(AVERAGE(QUERY(W_all,""SELECT U WHERE B=""&amp;$A15&amp;"" AND Q=FALSE AND R=FALSE"")))"),23.5)</f>
        <v>23.5</v>
      </c>
      <c r="F15" s="98">
        <f ca="1">IFERROR(__xludf.DUMMYFUNCTION("IFERROR(STDEV(QUERY(W_all,""SELECT U WHERE B=""&amp;$A15&amp;"" AND Q=FALSE AND R=FALSE"")))"),16.2172747402268)</f>
        <v>16.217274740226799</v>
      </c>
      <c r="G15" s="99">
        <f ca="1">IFERROR(__xludf.DUMMYFUNCTION("IFERROR(AVERAGE(QUERY(W_all,""SELECT U WHERE B=""&amp;$A15&amp;"" AND Q=FALSE AND R=FALSE AND U&gt;=""&amp;W_mean-2*W_sd&amp;"" AND U&lt;=""&amp;W_mean+2*W_sd)))"),16)</f>
        <v>16</v>
      </c>
      <c r="H15" s="98">
        <f ca="1">IFERROR(__xludf.DUMMYFUNCTION("IFERROR(STDEV(QUERY(W_all,""SELECT U WHERE B=""&amp;$A15&amp;"" AND Q=FALSE AND R=FALSE AND U&gt;=""&amp;W_mean-2*W_sd&amp;"" AND U&lt;=""&amp;W_mean+2*W_sd)))"),7.54983443527075)</f>
        <v>7.5498344352707498</v>
      </c>
      <c r="I15" s="100">
        <f ca="1">IFERROR(__xludf.DUMMYFUNCTION("IFERROR(IF(ISBLANK(G15),,RANK.AVG(B15,QUERY(B$2:G$18,""SELECT B WHERE G IS NOT NULL""),TRUE)))"),13)</f>
        <v>13</v>
      </c>
      <c r="J15" s="100">
        <v>3</v>
      </c>
      <c r="K15" s="100">
        <f t="shared" ca="1" si="0"/>
        <v>100</v>
      </c>
      <c r="L15" s="101"/>
      <c r="M15" s="101"/>
      <c r="N15" s="112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</row>
    <row r="16" spans="1:29" ht="13">
      <c r="A16" s="96">
        <v>14</v>
      </c>
      <c r="B16" s="97">
        <f>VLOOKUP(A16,W!B:D,3,FALSE)</f>
        <v>3000</v>
      </c>
      <c r="C16" s="98">
        <f ca="1">IFERROR(__xludf.DUMMYFUNCTION("IFERROR(AVERAGE(QUERY(W_all,""SELECT U WHERE B=""&amp;$A16)))"),29.75)</f>
        <v>29.75</v>
      </c>
      <c r="D16" s="98">
        <f ca="1">IFERROR(__xludf.DUMMYFUNCTION("IFERROR(STDEV(QUERY(W_all,""SELECT U WHERE B=""&amp;$A16)))"),12.3659478676996)</f>
        <v>12.3659478676996</v>
      </c>
      <c r="E16" s="98">
        <f ca="1">IFERROR(__xludf.DUMMYFUNCTION("IFERROR(AVERAGE(QUERY(W_all,""SELECT U WHERE B=""&amp;$A16&amp;"" AND Q=FALSE AND R=FALSE"")))"),30)</f>
        <v>30</v>
      </c>
      <c r="F16" s="98">
        <f ca="1">IFERROR(__xludf.DUMMYFUNCTION("IFERROR(STDEV(QUERY(W_all,""SELECT U WHERE B=""&amp;$A16&amp;"" AND Q=FALSE AND R=FALSE"")))"),15.1327459504215)</f>
        <v>15.1327459504215</v>
      </c>
      <c r="G16" s="99">
        <f ca="1">IFERROR(__xludf.DUMMYFUNCTION("IFERROR(AVERAGE(QUERY(W_all,""SELECT U WHERE B=""&amp;$A16&amp;"" AND Q=FALSE AND R=FALSE AND U&gt;=""&amp;W_mean-2*W_sd&amp;"" AND U&lt;=""&amp;W_mean+2*W_sd)))"),30)</f>
        <v>30</v>
      </c>
      <c r="H16" s="98">
        <f ca="1">IFERROR(__xludf.DUMMYFUNCTION("IFERROR(STDEV(QUERY(W_all,""SELECT U WHERE B=""&amp;$A16&amp;"" AND Q=FALSE AND R=FALSE AND U&gt;=""&amp;W_mean-2*W_sd&amp;"" AND U&lt;=""&amp;W_mean+2*W_sd)))"),15.1327459504215)</f>
        <v>15.1327459504215</v>
      </c>
      <c r="I16" s="100">
        <f ca="1">IFERROR(__xludf.DUMMYFUNCTION("IFERROR(IF(ISBLANK(G16),,RANK.AVG(B16,QUERY(B$2:G$18,""SELECT B WHERE G IS NOT NULL""),TRUE)))"),14)</f>
        <v>14</v>
      </c>
      <c r="J16" s="100">
        <v>15.5</v>
      </c>
      <c r="K16" s="100">
        <f t="shared" ca="1" si="0"/>
        <v>2.25</v>
      </c>
      <c r="L16" s="101"/>
      <c r="N16" s="113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</row>
    <row r="17" spans="1:29" ht="13">
      <c r="A17" s="96">
        <v>15</v>
      </c>
      <c r="B17" s="97">
        <f>VLOOKUP(A17,W!B:D,3,FALSE)</f>
        <v>3200</v>
      </c>
      <c r="C17" s="98">
        <f ca="1">IFERROR(__xludf.DUMMYFUNCTION("IFERROR(AVERAGE(QUERY(W_all,""SELECT U WHERE B=""&amp;$A17)))"),11.5)</f>
        <v>11.5</v>
      </c>
      <c r="D17" s="98">
        <f ca="1">IFERROR(__xludf.DUMMYFUNCTION("IFERROR(STDEV(QUERY(W_all,""SELECT U WHERE B=""&amp;$A17)))"),13.30413469565)</f>
        <v>13.304134695649999</v>
      </c>
      <c r="E17" s="98">
        <f ca="1">IFERROR(__xludf.DUMMYFUNCTION("IFERROR(AVERAGE(QUERY(W_all,""SELECT U WHERE B=""&amp;$A17&amp;"" AND Q=FALSE AND R=FALSE"")))"),23)</f>
        <v>23</v>
      </c>
      <c r="F17" s="98">
        <f ca="1">IFERROR(__xludf.DUMMYFUNCTION("IFERROR(STDEV(QUERY(W_all,""SELECT U WHERE B=""&amp;$A17&amp;"" AND Q=FALSE AND R=FALSE"")))"),1.41421356237309)</f>
        <v>1.41421356237309</v>
      </c>
      <c r="G17" s="99">
        <f ca="1">IFERROR(__xludf.DUMMYFUNCTION("IFERROR(AVERAGE(QUERY(W_all,""SELECT U WHERE B=""&amp;$A17&amp;"" AND Q=FALSE AND R=FALSE AND U&gt;=""&amp;W_mean-2*W_sd&amp;"" AND U&lt;=""&amp;W_mean+2*W_sd)))"),23)</f>
        <v>23</v>
      </c>
      <c r="H17" s="98">
        <f ca="1">IFERROR(__xludf.DUMMYFUNCTION("IFERROR(STDEV(QUERY(W_all,""SELECT U WHERE B=""&amp;$A17&amp;"" AND Q=FALSE AND R=FALSE AND U&gt;=""&amp;W_mean-2*W_sd&amp;"" AND U&lt;=""&amp;W_mean+2*W_sd)))"),1.41421356237309)</f>
        <v>1.41421356237309</v>
      </c>
      <c r="I17" s="100">
        <f ca="1">IFERROR(__xludf.DUMMYFUNCTION("IFERROR(IF(ISBLANK(G17),,RANK.AVG(B17,QUERY(B$2:G$18,""SELECT B WHERE G IS NOT NULL""),TRUE)))"),15)</f>
        <v>15</v>
      </c>
      <c r="J17" s="100">
        <v>12</v>
      </c>
      <c r="K17" s="100">
        <f t="shared" ca="1" si="0"/>
        <v>9</v>
      </c>
      <c r="L17" s="101"/>
      <c r="N17" s="113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</row>
    <row r="18" spans="1:29" ht="13">
      <c r="A18" s="96">
        <v>16</v>
      </c>
      <c r="B18" s="97">
        <f>VLOOKUP(A18,W!B:D,3,FALSE)</f>
        <v>3400</v>
      </c>
      <c r="C18" s="98">
        <f ca="1">IFERROR(__xludf.DUMMYFUNCTION("IFERROR(AVERAGE(QUERY(W_all,""SELECT U WHERE B=""&amp;$A18)))"),10.75)</f>
        <v>10.75</v>
      </c>
      <c r="D18" s="98">
        <f ca="1">IFERROR(__xludf.DUMMYFUNCTION("IFERROR(STDEV(QUERY(W_all,""SELECT U WHERE B=""&amp;$A18)))"),12.4733048280451)</f>
        <v>12.4733048280451</v>
      </c>
      <c r="E18" s="98">
        <f ca="1">IFERROR(__xludf.DUMMYFUNCTION("IFERROR(AVERAGE(QUERY(W_all,""SELECT U WHERE B=""&amp;$A18&amp;"" AND Q=FALSE AND R=FALSE"")))"),21.5)</f>
        <v>21.5</v>
      </c>
      <c r="F18" s="98">
        <f ca="1">IFERROR(__xludf.DUMMYFUNCTION("IFERROR(STDEV(QUERY(W_all,""SELECT U WHERE B=""&amp;$A18&amp;"" AND Q=FALSE AND R=FALSE"")))"),2.12132034355964)</f>
        <v>2.1213203435596402</v>
      </c>
      <c r="G18" s="99">
        <f ca="1">IFERROR(__xludf.DUMMYFUNCTION("IFERROR(AVERAGE(QUERY(W_all,""SELECT U WHERE B=""&amp;$A18&amp;"" AND Q=FALSE AND R=FALSE AND U&gt;=""&amp;W_mean-2*W_sd&amp;"" AND U&lt;=""&amp;W_mean+2*W_sd)))"),21.5)</f>
        <v>21.5</v>
      </c>
      <c r="H18" s="98">
        <f ca="1">IFERROR(__xludf.DUMMYFUNCTION("IFERROR(STDEV(QUERY(W_all,""SELECT U WHERE B=""&amp;$A18&amp;"" AND Q=FALSE AND R=FALSE AND U&gt;=""&amp;W_mean-2*W_sd&amp;"" AND U&lt;=""&amp;W_mean+2*W_sd)))"),2.12132034355964)</f>
        <v>2.1213203435596402</v>
      </c>
      <c r="I18" s="100">
        <f ca="1">IFERROR(__xludf.DUMMYFUNCTION("IFERROR(IF(ISBLANK(G18),,RANK.AVG(B18,QUERY(B$2:G$18,""SELECT B WHERE G IS NOT NULL""),TRUE)))"),16)</f>
        <v>16</v>
      </c>
      <c r="J18" s="100">
        <v>9</v>
      </c>
      <c r="K18" s="100">
        <f t="shared" ca="1" si="0"/>
        <v>49</v>
      </c>
      <c r="L18" s="101"/>
      <c r="N18" s="113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</row>
    <row r="19" spans="1:29" ht="13">
      <c r="A19" s="96"/>
      <c r="B19" s="97"/>
      <c r="C19" s="98"/>
      <c r="D19" s="98"/>
      <c r="E19" s="98"/>
      <c r="F19" s="98"/>
      <c r="G19" s="99"/>
      <c r="H19" s="98"/>
      <c r="I19" s="100"/>
      <c r="J19" s="100"/>
      <c r="K19" s="100"/>
      <c r="L19" s="101"/>
      <c r="N19" s="113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</row>
    <row r="20" spans="1:29" ht="13">
      <c r="A20" s="96"/>
      <c r="B20" s="97"/>
      <c r="C20" s="98"/>
      <c r="D20" s="98"/>
      <c r="E20" s="98"/>
      <c r="F20" s="98"/>
      <c r="G20" s="99"/>
      <c r="H20" s="98"/>
      <c r="I20" s="100"/>
      <c r="J20" s="100"/>
      <c r="K20" s="100"/>
      <c r="L20" s="101"/>
      <c r="M20" s="101"/>
      <c r="N20" s="112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</row>
    <row r="21" spans="1:29" ht="13">
      <c r="A21" s="96"/>
      <c r="B21" s="97"/>
      <c r="C21" s="98"/>
      <c r="D21" s="98"/>
      <c r="E21" s="98"/>
      <c r="F21" s="98"/>
      <c r="G21" s="99"/>
      <c r="H21" s="98"/>
      <c r="I21" s="100"/>
      <c r="J21" s="100"/>
      <c r="K21" s="100"/>
      <c r="L21" s="101"/>
      <c r="M21" s="101"/>
      <c r="N21" s="112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</row>
    <row r="22" spans="1:29" ht="13">
      <c r="A22" s="96"/>
      <c r="B22" s="97"/>
      <c r="C22" s="98"/>
      <c r="D22" s="98"/>
      <c r="E22" s="98"/>
      <c r="F22" s="98"/>
      <c r="G22" s="99"/>
      <c r="H22" s="98"/>
      <c r="I22" s="100"/>
      <c r="J22" s="100"/>
      <c r="K22" s="100"/>
      <c r="L22" s="101"/>
      <c r="M22" s="101"/>
      <c r="N22" s="112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</row>
    <row r="23" spans="1:29" ht="13">
      <c r="A23" s="96"/>
      <c r="B23" s="97"/>
      <c r="C23" s="98"/>
      <c r="D23" s="98"/>
      <c r="E23" s="98"/>
      <c r="F23" s="98"/>
      <c r="G23" s="99"/>
      <c r="H23" s="98"/>
      <c r="I23" s="100"/>
      <c r="J23" s="100"/>
      <c r="K23" s="100"/>
      <c r="L23" s="101"/>
      <c r="M23" s="101"/>
      <c r="N23" s="112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</row>
    <row r="24" spans="1:29" ht="13">
      <c r="A24" s="96"/>
      <c r="B24" s="97"/>
      <c r="C24" s="98"/>
      <c r="D24" s="98"/>
      <c r="E24" s="98"/>
      <c r="F24" s="98"/>
      <c r="G24" s="99"/>
      <c r="H24" s="98"/>
      <c r="I24" s="100"/>
      <c r="J24" s="100"/>
      <c r="K24" s="100"/>
      <c r="L24" s="101"/>
      <c r="M24" s="101"/>
      <c r="N24" s="112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</row>
    <row r="25" spans="1:29" ht="13">
      <c r="A25" s="96"/>
      <c r="B25" s="97"/>
      <c r="C25" s="98"/>
      <c r="D25" s="98"/>
      <c r="E25" s="98"/>
      <c r="F25" s="98"/>
      <c r="G25" s="99"/>
      <c r="H25" s="98"/>
      <c r="I25" s="100"/>
      <c r="J25" s="100"/>
      <c r="K25" s="100"/>
      <c r="L25" s="101"/>
      <c r="M25" s="101"/>
      <c r="N25" s="112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</row>
    <row r="26" spans="1:29" ht="13">
      <c r="A26" s="96"/>
      <c r="B26" s="97"/>
      <c r="C26" s="98"/>
      <c r="D26" s="98"/>
      <c r="E26" s="98"/>
      <c r="F26" s="98"/>
      <c r="G26" s="99"/>
      <c r="H26" s="98"/>
      <c r="I26" s="100"/>
      <c r="J26" s="100"/>
      <c r="K26" s="100"/>
      <c r="L26" s="101"/>
      <c r="M26" s="101"/>
      <c r="N26" s="112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</row>
    <row r="27" spans="1:29" ht="13">
      <c r="A27" s="96"/>
      <c r="B27" s="97"/>
      <c r="C27" s="98"/>
      <c r="D27" s="98"/>
      <c r="E27" s="98"/>
      <c r="F27" s="98"/>
      <c r="G27" s="99"/>
      <c r="H27" s="98"/>
      <c r="I27" s="100"/>
      <c r="J27" s="100"/>
      <c r="K27" s="100"/>
      <c r="L27" s="101"/>
      <c r="M27" s="101"/>
      <c r="N27" s="112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</row>
    <row r="28" spans="1:29" ht="13">
      <c r="A28" s="96"/>
      <c r="B28" s="97"/>
      <c r="C28" s="98"/>
      <c r="D28" s="98"/>
      <c r="E28" s="98"/>
      <c r="F28" s="98"/>
      <c r="G28" s="99"/>
      <c r="H28" s="98"/>
      <c r="I28" s="100"/>
      <c r="J28" s="100"/>
      <c r="K28" s="100"/>
      <c r="L28" s="101"/>
      <c r="M28" s="101"/>
      <c r="N28" s="112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</row>
    <row r="29" spans="1:29" ht="13">
      <c r="A29" s="96"/>
      <c r="B29" s="97"/>
      <c r="C29" s="98"/>
      <c r="D29" s="98"/>
      <c r="E29" s="98"/>
      <c r="F29" s="98"/>
      <c r="G29" s="99"/>
      <c r="H29" s="98"/>
      <c r="I29" s="100"/>
      <c r="J29" s="100"/>
      <c r="K29" s="100"/>
      <c r="L29" s="101"/>
      <c r="M29" s="101"/>
      <c r="N29" s="112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</row>
    <row r="30" spans="1:29" ht="13">
      <c r="A30" s="96"/>
      <c r="B30" s="97"/>
      <c r="C30" s="98"/>
      <c r="D30" s="98"/>
      <c r="E30" s="98"/>
      <c r="F30" s="98"/>
      <c r="G30" s="99"/>
      <c r="H30" s="98"/>
      <c r="I30" s="100"/>
      <c r="J30" s="100"/>
      <c r="K30" s="100"/>
      <c r="L30" s="101"/>
      <c r="M30" s="101"/>
      <c r="N30" s="112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</row>
    <row r="31" spans="1:29" ht="13">
      <c r="A31" s="96"/>
      <c r="B31" s="97"/>
      <c r="C31" s="98"/>
      <c r="D31" s="98"/>
      <c r="E31" s="98"/>
      <c r="F31" s="98"/>
      <c r="G31" s="99"/>
      <c r="H31" s="98"/>
      <c r="I31" s="100"/>
      <c r="J31" s="100"/>
      <c r="K31" s="100"/>
      <c r="L31" s="101"/>
      <c r="M31" s="101"/>
      <c r="N31" s="112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</row>
    <row r="32" spans="1:29" ht="13">
      <c r="A32" s="96"/>
      <c r="B32" s="97"/>
      <c r="C32" s="98"/>
      <c r="D32" s="98"/>
      <c r="E32" s="98"/>
      <c r="F32" s="98"/>
      <c r="G32" s="99"/>
      <c r="H32" s="98"/>
      <c r="I32" s="100"/>
      <c r="J32" s="100"/>
      <c r="K32" s="100"/>
      <c r="L32" s="101"/>
      <c r="M32" s="101"/>
      <c r="N32" s="112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</row>
    <row r="33" spans="1:29" ht="13">
      <c r="A33" s="96"/>
      <c r="B33" s="97"/>
      <c r="C33" s="98"/>
      <c r="D33" s="98"/>
      <c r="E33" s="98"/>
      <c r="F33" s="98"/>
      <c r="G33" s="99"/>
      <c r="H33" s="98"/>
      <c r="I33" s="100"/>
      <c r="J33" s="100"/>
      <c r="K33" s="100"/>
      <c r="L33" s="101"/>
      <c r="M33" s="101"/>
      <c r="N33" s="112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</row>
    <row r="34" spans="1:29" ht="13">
      <c r="A34" s="96"/>
      <c r="B34" s="97"/>
      <c r="C34" s="98"/>
      <c r="D34" s="98"/>
      <c r="E34" s="98"/>
      <c r="F34" s="98"/>
      <c r="G34" s="99"/>
      <c r="H34" s="98"/>
      <c r="I34" s="100"/>
      <c r="J34" s="100"/>
      <c r="K34" s="100"/>
      <c r="L34" s="101"/>
      <c r="M34" s="101"/>
      <c r="N34" s="112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</row>
    <row r="35" spans="1:29" ht="13">
      <c r="A35" s="96"/>
      <c r="B35" s="97"/>
      <c r="C35" s="98"/>
      <c r="D35" s="98"/>
      <c r="E35" s="98"/>
      <c r="F35" s="98"/>
      <c r="G35" s="99"/>
      <c r="H35" s="98"/>
      <c r="I35" s="100"/>
      <c r="J35" s="100"/>
      <c r="K35" s="100"/>
      <c r="L35" s="101"/>
      <c r="M35" s="101"/>
      <c r="N35" s="112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</row>
    <row r="36" spans="1:29" ht="13">
      <c r="A36" s="96"/>
      <c r="B36" s="97"/>
      <c r="C36" s="98"/>
      <c r="D36" s="98"/>
      <c r="E36" s="98"/>
      <c r="F36" s="98"/>
      <c r="G36" s="99"/>
      <c r="H36" s="98"/>
      <c r="I36" s="100"/>
      <c r="J36" s="100"/>
      <c r="K36" s="100"/>
      <c r="L36" s="101"/>
      <c r="M36" s="101"/>
      <c r="N36" s="112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</row>
    <row r="37" spans="1:29" ht="13">
      <c r="A37" s="96"/>
      <c r="B37" s="97"/>
      <c r="C37" s="165"/>
      <c r="D37" s="98"/>
      <c r="E37" s="98"/>
      <c r="F37" s="98"/>
      <c r="G37" s="99"/>
      <c r="H37" s="98"/>
      <c r="I37" s="100"/>
      <c r="J37" s="100"/>
      <c r="K37" s="100"/>
      <c r="L37" s="101"/>
      <c r="M37" s="101"/>
      <c r="N37" s="112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</row>
    <row r="38" spans="1:29" ht="13">
      <c r="A38" s="96"/>
      <c r="B38" s="97"/>
      <c r="C38" s="98"/>
      <c r="D38" s="98"/>
      <c r="E38" s="98"/>
      <c r="F38" s="98"/>
      <c r="G38" s="99"/>
      <c r="H38" s="98"/>
      <c r="I38" s="100"/>
      <c r="J38" s="100"/>
      <c r="K38" s="100"/>
      <c r="L38" s="101"/>
      <c r="M38" s="101"/>
      <c r="N38" s="112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</row>
    <row r="39" spans="1:29" ht="13">
      <c r="A39" s="96"/>
      <c r="B39" s="97"/>
      <c r="C39" s="98"/>
      <c r="D39" s="98"/>
      <c r="E39" s="98"/>
      <c r="F39" s="98"/>
      <c r="G39" s="99"/>
      <c r="H39" s="98"/>
      <c r="I39" s="100"/>
      <c r="J39" s="100"/>
      <c r="K39" s="100"/>
      <c r="L39" s="101"/>
      <c r="M39" s="101"/>
      <c r="N39" s="112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</row>
    <row r="40" spans="1:29" ht="13">
      <c r="A40" s="96"/>
      <c r="B40" s="97"/>
      <c r="C40" s="98"/>
      <c r="D40" s="98"/>
      <c r="E40" s="98"/>
      <c r="F40" s="98"/>
      <c r="G40" s="99"/>
      <c r="H40" s="98"/>
      <c r="I40" s="100"/>
      <c r="J40" s="100"/>
      <c r="K40" s="100"/>
      <c r="L40" s="101"/>
      <c r="M40" s="101"/>
      <c r="N40" s="112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</row>
    <row r="41" spans="1:29" ht="13">
      <c r="A41" s="96"/>
      <c r="B41" s="97"/>
      <c r="C41" s="98"/>
      <c r="D41" s="98"/>
      <c r="E41" s="98"/>
      <c r="F41" s="98"/>
      <c r="G41" s="99"/>
      <c r="H41" s="98"/>
      <c r="I41" s="100"/>
      <c r="J41" s="100"/>
      <c r="K41" s="100"/>
      <c r="L41" s="101"/>
      <c r="M41" s="101"/>
      <c r="N41" s="112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</row>
    <row r="42" spans="1:29" ht="13">
      <c r="A42" s="96"/>
      <c r="B42" s="97"/>
      <c r="C42" s="98"/>
      <c r="D42" s="98"/>
      <c r="E42" s="98"/>
      <c r="F42" s="98"/>
      <c r="G42" s="99"/>
      <c r="H42" s="98"/>
      <c r="I42" s="100"/>
      <c r="J42" s="100"/>
      <c r="K42" s="100"/>
      <c r="L42" s="101"/>
      <c r="M42" s="101"/>
      <c r="N42" s="112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</row>
    <row r="43" spans="1:29" ht="13">
      <c r="A43" s="96"/>
      <c r="B43" s="97"/>
      <c r="C43" s="98"/>
      <c r="D43" s="98"/>
      <c r="E43" s="98"/>
      <c r="F43" s="98"/>
      <c r="G43" s="99"/>
      <c r="H43" s="98"/>
      <c r="I43" s="100"/>
      <c r="J43" s="100"/>
      <c r="K43" s="100"/>
      <c r="L43" s="101"/>
      <c r="M43" s="101"/>
      <c r="N43" s="112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</row>
    <row r="44" spans="1:29" ht="13">
      <c r="A44" s="96"/>
      <c r="B44" s="97"/>
      <c r="C44" s="98"/>
      <c r="D44" s="98"/>
      <c r="E44" s="98"/>
      <c r="F44" s="98"/>
      <c r="G44" s="99"/>
      <c r="H44" s="98"/>
      <c r="I44" s="100"/>
      <c r="J44" s="100"/>
      <c r="K44" s="100"/>
      <c r="L44" s="101"/>
      <c r="M44" s="101"/>
      <c r="N44" s="112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</row>
    <row r="45" spans="1:29" ht="13">
      <c r="A45" s="96"/>
      <c r="B45" s="97"/>
      <c r="C45" s="98"/>
      <c r="D45" s="98"/>
      <c r="E45" s="98"/>
      <c r="F45" s="98"/>
      <c r="G45" s="99"/>
      <c r="H45" s="98"/>
      <c r="I45" s="100"/>
      <c r="J45" s="100"/>
      <c r="K45" s="100"/>
      <c r="L45" s="101"/>
      <c r="M45" s="101"/>
      <c r="N45" s="112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</row>
    <row r="46" spans="1:29" ht="13">
      <c r="A46" s="96"/>
      <c r="B46" s="97"/>
      <c r="C46" s="115"/>
      <c r="D46" s="115"/>
      <c r="E46" s="115"/>
      <c r="F46" s="115"/>
      <c r="G46" s="99"/>
      <c r="H46" s="98"/>
      <c r="I46" s="100"/>
      <c r="J46" s="100"/>
      <c r="K46" s="100"/>
      <c r="L46" s="101"/>
      <c r="M46" s="101"/>
      <c r="N46" s="112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</row>
    <row r="47" spans="1:29" ht="13">
      <c r="A47" s="96"/>
      <c r="B47" s="97"/>
      <c r="C47" s="115"/>
      <c r="D47" s="115"/>
      <c r="E47" s="115"/>
      <c r="F47" s="115"/>
      <c r="G47" s="99"/>
      <c r="H47" s="98"/>
      <c r="I47" s="100"/>
      <c r="J47" s="100"/>
      <c r="K47" s="100"/>
      <c r="L47" s="101"/>
      <c r="M47" s="101"/>
      <c r="N47" s="112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</row>
    <row r="48" spans="1:29" ht="13">
      <c r="A48" s="96"/>
      <c r="B48" s="97"/>
      <c r="C48" s="115"/>
      <c r="D48" s="115"/>
      <c r="E48" s="115"/>
      <c r="F48" s="115"/>
      <c r="G48" s="99"/>
      <c r="H48" s="98"/>
      <c r="I48" s="100"/>
      <c r="J48" s="100"/>
      <c r="K48" s="100"/>
      <c r="L48" s="101"/>
      <c r="M48" s="101"/>
      <c r="N48" s="112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</row>
    <row r="49" spans="1:29" ht="13">
      <c r="A49" s="96"/>
      <c r="B49" s="97"/>
      <c r="C49" s="115"/>
      <c r="D49" s="115"/>
      <c r="E49" s="115"/>
      <c r="F49" s="115"/>
      <c r="G49" s="99"/>
      <c r="H49" s="98"/>
      <c r="I49" s="100"/>
      <c r="J49" s="100"/>
      <c r="K49" s="100"/>
      <c r="L49" s="101"/>
      <c r="M49" s="101"/>
      <c r="N49" s="112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</row>
    <row r="50" spans="1:29" ht="13">
      <c r="A50" s="115"/>
      <c r="B50" s="97"/>
      <c r="C50" s="115"/>
      <c r="D50" s="115"/>
      <c r="E50" s="115"/>
      <c r="F50" s="115"/>
      <c r="G50" s="99"/>
      <c r="H50" s="98"/>
      <c r="I50" s="100"/>
      <c r="J50" s="100"/>
      <c r="K50" s="100"/>
      <c r="L50" s="101"/>
      <c r="M50" s="101"/>
      <c r="N50" s="112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</row>
    <row r="51" spans="1:29" ht="13">
      <c r="A51" s="115"/>
      <c r="B51" s="97"/>
      <c r="C51" s="115"/>
      <c r="D51" s="115"/>
      <c r="E51" s="115"/>
      <c r="F51" s="115"/>
      <c r="G51" s="99"/>
      <c r="H51" s="98"/>
      <c r="I51" s="100"/>
      <c r="J51" s="100"/>
      <c r="K51" s="100"/>
      <c r="L51" s="101"/>
      <c r="M51" s="101"/>
      <c r="N51" s="112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</row>
    <row r="52" spans="1:29" ht="13">
      <c r="A52" s="115"/>
      <c r="B52" s="97"/>
      <c r="C52" s="115"/>
      <c r="D52" s="115"/>
      <c r="E52" s="115"/>
      <c r="F52" s="115"/>
      <c r="G52" s="99"/>
      <c r="H52" s="98"/>
      <c r="I52" s="100"/>
      <c r="J52" s="100"/>
      <c r="K52" s="100"/>
      <c r="L52" s="101"/>
      <c r="M52" s="101"/>
      <c r="N52" s="112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</row>
    <row r="53" spans="1:29" ht="13">
      <c r="A53" s="115"/>
      <c r="B53" s="97"/>
      <c r="C53" s="115"/>
      <c r="D53" s="115"/>
      <c r="E53" s="115"/>
      <c r="F53" s="115"/>
      <c r="G53" s="99"/>
      <c r="H53" s="98"/>
      <c r="I53" s="100"/>
      <c r="J53" s="100"/>
      <c r="K53" s="100"/>
      <c r="L53" s="101"/>
      <c r="M53" s="101"/>
      <c r="N53" s="112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</row>
    <row r="54" spans="1:29" ht="13">
      <c r="A54" s="115"/>
      <c r="B54" s="97"/>
      <c r="C54" s="115"/>
      <c r="D54" s="115"/>
      <c r="E54" s="115"/>
      <c r="F54" s="115"/>
      <c r="G54" s="99"/>
      <c r="H54" s="98"/>
      <c r="I54" s="100"/>
      <c r="J54" s="100"/>
      <c r="K54" s="100"/>
      <c r="L54" s="101"/>
      <c r="M54" s="101"/>
      <c r="N54" s="112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</row>
    <row r="55" spans="1:29" ht="13">
      <c r="A55" s="115"/>
      <c r="B55" s="97"/>
      <c r="C55" s="115"/>
      <c r="D55" s="115"/>
      <c r="E55" s="115"/>
      <c r="F55" s="115"/>
      <c r="G55" s="99"/>
      <c r="H55" s="98"/>
      <c r="I55" s="100"/>
      <c r="J55" s="100"/>
      <c r="K55" s="100"/>
      <c r="L55" s="101"/>
      <c r="M55" s="101"/>
      <c r="N55" s="112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</row>
    <row r="56" spans="1:29" ht="13">
      <c r="A56" s="115"/>
      <c r="B56" s="97"/>
      <c r="C56" s="115"/>
      <c r="D56" s="115"/>
      <c r="E56" s="115"/>
      <c r="F56" s="115"/>
      <c r="G56" s="99"/>
      <c r="H56" s="98"/>
      <c r="I56" s="100"/>
      <c r="J56" s="100"/>
      <c r="K56" s="100"/>
      <c r="L56" s="101"/>
      <c r="M56" s="101"/>
      <c r="N56" s="112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</row>
    <row r="57" spans="1:29" ht="13">
      <c r="A57" s="115"/>
      <c r="B57" s="97"/>
      <c r="C57" s="115"/>
      <c r="D57" s="115"/>
      <c r="E57" s="115"/>
      <c r="F57" s="115"/>
      <c r="G57" s="99"/>
      <c r="H57" s="98"/>
      <c r="I57" s="100"/>
      <c r="J57" s="100"/>
      <c r="K57" s="100"/>
      <c r="L57" s="101"/>
      <c r="M57" s="101"/>
      <c r="N57" s="112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</row>
    <row r="58" spans="1:29" ht="13">
      <c r="A58" s="115"/>
      <c r="B58" s="97"/>
      <c r="C58" s="115"/>
      <c r="D58" s="115"/>
      <c r="E58" s="115"/>
      <c r="F58" s="115"/>
      <c r="G58" s="99"/>
      <c r="H58" s="98"/>
      <c r="I58" s="100"/>
      <c r="J58" s="100"/>
      <c r="K58" s="100"/>
      <c r="L58" s="101"/>
      <c r="M58" s="101"/>
      <c r="N58" s="112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</row>
    <row r="59" spans="1:29" ht="13">
      <c r="A59" s="115"/>
      <c r="B59" s="97"/>
      <c r="C59" s="115"/>
      <c r="D59" s="115"/>
      <c r="E59" s="115"/>
      <c r="F59" s="115"/>
      <c r="G59" s="99"/>
      <c r="H59" s="98"/>
      <c r="I59" s="100"/>
      <c r="J59" s="100"/>
      <c r="K59" s="100"/>
      <c r="L59" s="101"/>
      <c r="M59" s="101"/>
      <c r="N59" s="112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</row>
    <row r="60" spans="1:29" ht="13">
      <c r="A60" s="115"/>
      <c r="B60" s="97"/>
      <c r="C60" s="115"/>
      <c r="D60" s="115"/>
      <c r="E60" s="115"/>
      <c r="F60" s="115"/>
      <c r="G60" s="99"/>
      <c r="H60" s="98"/>
      <c r="I60" s="100"/>
      <c r="J60" s="100"/>
      <c r="K60" s="100"/>
      <c r="L60" s="101"/>
      <c r="M60" s="101"/>
      <c r="N60" s="112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</row>
    <row r="61" spans="1:29" ht="13">
      <c r="A61" s="115"/>
      <c r="B61" s="97"/>
      <c r="C61" s="115"/>
      <c r="D61" s="115"/>
      <c r="E61" s="115"/>
      <c r="F61" s="115"/>
      <c r="G61" s="99"/>
      <c r="H61" s="98"/>
      <c r="I61" s="100"/>
      <c r="J61" s="100"/>
      <c r="K61" s="100"/>
      <c r="L61" s="101"/>
      <c r="M61" s="101"/>
      <c r="N61" s="112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</row>
    <row r="62" spans="1:29" ht="13">
      <c r="A62" s="115"/>
      <c r="B62" s="97"/>
      <c r="C62" s="115"/>
      <c r="D62" s="115"/>
      <c r="E62" s="115"/>
      <c r="F62" s="115"/>
      <c r="G62" s="99"/>
      <c r="H62" s="98"/>
      <c r="I62" s="100"/>
      <c r="J62" s="100"/>
      <c r="K62" s="100"/>
      <c r="L62" s="101"/>
      <c r="M62" s="101"/>
      <c r="N62" s="112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</row>
    <row r="63" spans="1:29" ht="13">
      <c r="A63" s="115"/>
      <c r="B63" s="97"/>
      <c r="C63" s="115"/>
      <c r="D63" s="115"/>
      <c r="E63" s="115"/>
      <c r="F63" s="115"/>
      <c r="G63" s="99"/>
      <c r="H63" s="98"/>
      <c r="I63" s="100"/>
      <c r="J63" s="100"/>
      <c r="K63" s="100"/>
      <c r="L63" s="101"/>
      <c r="M63" s="101"/>
      <c r="N63" s="112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</row>
    <row r="64" spans="1:29" ht="13">
      <c r="A64" s="115"/>
      <c r="B64" s="97"/>
      <c r="C64" s="115"/>
      <c r="D64" s="115"/>
      <c r="E64" s="115"/>
      <c r="F64" s="115"/>
      <c r="G64" s="99"/>
      <c r="H64" s="98"/>
      <c r="I64" s="100"/>
      <c r="J64" s="100"/>
      <c r="K64" s="100"/>
      <c r="L64" s="101"/>
      <c r="M64" s="101"/>
      <c r="N64" s="112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</row>
    <row r="65" spans="1:29" ht="13">
      <c r="A65" s="115"/>
      <c r="B65" s="97"/>
      <c r="C65" s="115"/>
      <c r="D65" s="115"/>
      <c r="E65" s="115"/>
      <c r="F65" s="115"/>
      <c r="G65" s="99"/>
      <c r="H65" s="98"/>
      <c r="I65" s="100"/>
      <c r="J65" s="100"/>
      <c r="K65" s="100"/>
      <c r="L65" s="101"/>
      <c r="M65" s="101"/>
      <c r="N65" s="112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</row>
    <row r="66" spans="1:29" ht="13">
      <c r="A66" s="115"/>
      <c r="B66" s="97"/>
      <c r="C66" s="115"/>
      <c r="D66" s="115"/>
      <c r="E66" s="115"/>
      <c r="F66" s="115"/>
      <c r="G66" s="99"/>
      <c r="H66" s="98"/>
      <c r="I66" s="100"/>
      <c r="J66" s="100"/>
      <c r="K66" s="100"/>
      <c r="L66" s="101"/>
      <c r="M66" s="101"/>
      <c r="N66" s="112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</row>
    <row r="67" spans="1:29" ht="13">
      <c r="A67" s="115"/>
      <c r="B67" s="97"/>
      <c r="C67" s="115"/>
      <c r="D67" s="115"/>
      <c r="E67" s="115"/>
      <c r="F67" s="115"/>
      <c r="G67" s="99"/>
      <c r="H67" s="98"/>
      <c r="I67" s="100"/>
      <c r="J67" s="100"/>
      <c r="K67" s="100"/>
      <c r="L67" s="101"/>
      <c r="M67" s="101"/>
      <c r="N67" s="112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</row>
    <row r="68" spans="1:29" ht="13">
      <c r="A68" s="115"/>
      <c r="B68" s="97"/>
      <c r="C68" s="115"/>
      <c r="D68" s="115"/>
      <c r="E68" s="115"/>
      <c r="F68" s="115"/>
      <c r="G68" s="99"/>
      <c r="H68" s="98"/>
      <c r="I68" s="100"/>
      <c r="J68" s="100"/>
      <c r="K68" s="100"/>
      <c r="L68" s="101"/>
      <c r="M68" s="101"/>
      <c r="N68" s="112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</row>
    <row r="69" spans="1:29" ht="13">
      <c r="A69" s="115"/>
      <c r="B69" s="97"/>
      <c r="C69" s="115"/>
      <c r="D69" s="115"/>
      <c r="E69" s="115"/>
      <c r="F69" s="115"/>
      <c r="G69" s="99"/>
      <c r="H69" s="98"/>
      <c r="I69" s="100"/>
      <c r="J69" s="100"/>
      <c r="K69" s="100"/>
      <c r="L69" s="101"/>
      <c r="M69" s="101"/>
      <c r="N69" s="112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</row>
    <row r="70" spans="1:29" ht="13">
      <c r="A70" s="115"/>
      <c r="B70" s="97"/>
      <c r="C70" s="115"/>
      <c r="D70" s="115"/>
      <c r="E70" s="115"/>
      <c r="F70" s="115"/>
      <c r="G70" s="99"/>
      <c r="H70" s="98"/>
      <c r="I70" s="100"/>
      <c r="J70" s="100"/>
      <c r="K70" s="100"/>
      <c r="L70" s="101"/>
      <c r="M70" s="101"/>
      <c r="N70" s="112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</row>
    <row r="71" spans="1:29" ht="13">
      <c r="A71" s="115"/>
      <c r="B71" s="97"/>
      <c r="C71" s="115"/>
      <c r="D71" s="115"/>
      <c r="E71" s="115"/>
      <c r="F71" s="115"/>
      <c r="G71" s="99"/>
      <c r="H71" s="98"/>
      <c r="I71" s="100"/>
      <c r="J71" s="100"/>
      <c r="K71" s="100"/>
      <c r="L71" s="101"/>
      <c r="M71" s="101"/>
      <c r="N71" s="112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</row>
    <row r="72" spans="1:29" ht="13">
      <c r="A72" s="115"/>
      <c r="B72" s="97"/>
      <c r="C72" s="115"/>
      <c r="D72" s="115"/>
      <c r="E72" s="115"/>
      <c r="F72" s="115"/>
      <c r="G72" s="99"/>
      <c r="H72" s="98"/>
      <c r="I72" s="100"/>
      <c r="J72" s="100"/>
      <c r="K72" s="100"/>
      <c r="L72" s="101"/>
      <c r="M72" s="101"/>
      <c r="N72" s="112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</row>
    <row r="73" spans="1:29" ht="13">
      <c r="A73" s="115"/>
      <c r="B73" s="97"/>
      <c r="C73" s="115"/>
      <c r="D73" s="115"/>
      <c r="E73" s="115"/>
      <c r="F73" s="115"/>
      <c r="G73" s="99"/>
      <c r="H73" s="98"/>
      <c r="I73" s="100"/>
      <c r="J73" s="100"/>
      <c r="K73" s="100"/>
      <c r="L73" s="101"/>
      <c r="M73" s="101"/>
      <c r="N73" s="112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</row>
    <row r="74" spans="1:29" ht="13">
      <c r="A74" s="115"/>
      <c r="B74" s="97"/>
      <c r="C74" s="115"/>
      <c r="D74" s="115"/>
      <c r="E74" s="115"/>
      <c r="F74" s="115"/>
      <c r="G74" s="99"/>
      <c r="H74" s="98"/>
      <c r="I74" s="100"/>
      <c r="J74" s="100"/>
      <c r="K74" s="100"/>
      <c r="L74" s="101"/>
      <c r="M74" s="101"/>
      <c r="N74" s="112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</row>
    <row r="75" spans="1:29" ht="13">
      <c r="A75" s="115"/>
      <c r="B75" s="97"/>
      <c r="C75" s="115"/>
      <c r="D75" s="115"/>
      <c r="E75" s="115"/>
      <c r="F75" s="115"/>
      <c r="G75" s="99"/>
      <c r="H75" s="98"/>
      <c r="I75" s="100"/>
      <c r="J75" s="100"/>
      <c r="K75" s="100"/>
      <c r="L75" s="101"/>
      <c r="M75" s="101"/>
      <c r="N75" s="112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</row>
    <row r="76" spans="1:29" ht="13">
      <c r="A76" s="115"/>
      <c r="B76" s="97"/>
      <c r="C76" s="115"/>
      <c r="D76" s="115"/>
      <c r="E76" s="115"/>
      <c r="F76" s="115"/>
      <c r="G76" s="99"/>
      <c r="H76" s="98"/>
      <c r="I76" s="100"/>
      <c r="J76" s="100"/>
      <c r="K76" s="100"/>
      <c r="L76" s="101"/>
      <c r="M76" s="101"/>
      <c r="N76" s="112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</row>
    <row r="77" spans="1:29" ht="13">
      <c r="A77" s="115"/>
      <c r="B77" s="97"/>
      <c r="C77" s="115"/>
      <c r="D77" s="115"/>
      <c r="E77" s="115"/>
      <c r="F77" s="115"/>
      <c r="G77" s="99"/>
      <c r="H77" s="98"/>
      <c r="I77" s="100"/>
      <c r="J77" s="100"/>
      <c r="K77" s="100"/>
      <c r="L77" s="101"/>
      <c r="M77" s="101"/>
      <c r="N77" s="112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</row>
    <row r="78" spans="1:29" ht="13">
      <c r="A78" s="115"/>
      <c r="B78" s="97"/>
      <c r="C78" s="115"/>
      <c r="D78" s="115"/>
      <c r="E78" s="115"/>
      <c r="F78" s="115"/>
      <c r="G78" s="99"/>
      <c r="H78" s="98"/>
      <c r="I78" s="100"/>
      <c r="J78" s="100"/>
      <c r="K78" s="100"/>
      <c r="L78" s="101"/>
      <c r="M78" s="101"/>
      <c r="N78" s="112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</row>
    <row r="79" spans="1:29" ht="13">
      <c r="A79" s="115"/>
      <c r="B79" s="97"/>
      <c r="C79" s="115"/>
      <c r="D79" s="115"/>
      <c r="E79" s="115"/>
      <c r="F79" s="115"/>
      <c r="G79" s="99"/>
      <c r="H79" s="98"/>
      <c r="I79" s="100"/>
      <c r="J79" s="100"/>
      <c r="K79" s="100"/>
      <c r="L79" s="101"/>
      <c r="M79" s="101"/>
      <c r="N79" s="112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</row>
    <row r="80" spans="1:29" ht="13">
      <c r="A80" s="115"/>
      <c r="B80" s="97"/>
      <c r="C80" s="115"/>
      <c r="D80" s="115"/>
      <c r="E80" s="115"/>
      <c r="F80" s="115"/>
      <c r="G80" s="99"/>
      <c r="H80" s="98"/>
      <c r="I80" s="100"/>
      <c r="J80" s="100"/>
      <c r="K80" s="100"/>
      <c r="L80" s="101"/>
      <c r="M80" s="101"/>
      <c r="N80" s="112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</row>
    <row r="81" spans="1:29" ht="13">
      <c r="A81" s="115"/>
      <c r="B81" s="97"/>
      <c r="C81" s="115"/>
      <c r="D81" s="115"/>
      <c r="E81" s="115"/>
      <c r="F81" s="115"/>
      <c r="G81" s="99"/>
      <c r="H81" s="98"/>
      <c r="I81" s="100"/>
      <c r="J81" s="100"/>
      <c r="K81" s="100"/>
      <c r="L81" s="101"/>
      <c r="M81" s="101"/>
      <c r="N81" s="112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</row>
    <row r="82" spans="1:29" ht="13">
      <c r="A82" s="115"/>
      <c r="B82" s="97"/>
      <c r="C82" s="115"/>
      <c r="D82" s="115"/>
      <c r="E82" s="115"/>
      <c r="F82" s="115"/>
      <c r="G82" s="99"/>
      <c r="H82" s="98"/>
      <c r="I82" s="100"/>
      <c r="J82" s="100"/>
      <c r="K82" s="100"/>
      <c r="L82" s="101"/>
      <c r="M82" s="101"/>
      <c r="N82" s="112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</row>
    <row r="83" spans="1:29" ht="13">
      <c r="A83" s="115"/>
      <c r="B83" s="97"/>
      <c r="C83" s="115"/>
      <c r="D83" s="115"/>
      <c r="E83" s="115"/>
      <c r="F83" s="115"/>
      <c r="G83" s="99"/>
      <c r="H83" s="98"/>
      <c r="I83" s="100"/>
      <c r="J83" s="100"/>
      <c r="K83" s="100"/>
      <c r="L83" s="101"/>
      <c r="M83" s="101"/>
      <c r="N83" s="112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</row>
    <row r="84" spans="1:29" ht="13">
      <c r="A84" s="115"/>
      <c r="B84" s="97"/>
      <c r="C84" s="115"/>
      <c r="D84" s="115"/>
      <c r="E84" s="115"/>
      <c r="F84" s="115"/>
      <c r="G84" s="99"/>
      <c r="H84" s="98"/>
      <c r="I84" s="100"/>
      <c r="J84" s="100"/>
      <c r="K84" s="100"/>
      <c r="L84" s="101"/>
      <c r="M84" s="101"/>
      <c r="N84" s="112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</row>
    <row r="85" spans="1:29" ht="13">
      <c r="A85" s="115"/>
      <c r="B85" s="97"/>
      <c r="C85" s="115"/>
      <c r="D85" s="115"/>
      <c r="E85" s="115"/>
      <c r="F85" s="115"/>
      <c r="G85" s="99"/>
      <c r="H85" s="98"/>
      <c r="I85" s="100"/>
      <c r="J85" s="100"/>
      <c r="K85" s="100"/>
      <c r="L85" s="101"/>
      <c r="M85" s="101"/>
      <c r="N85" s="112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</row>
    <row r="86" spans="1:29" ht="13">
      <c r="A86" s="115"/>
      <c r="B86" s="97"/>
      <c r="C86" s="115"/>
      <c r="D86" s="115"/>
      <c r="E86" s="115"/>
      <c r="F86" s="115"/>
      <c r="G86" s="99"/>
      <c r="H86" s="98"/>
      <c r="I86" s="100"/>
      <c r="J86" s="100"/>
      <c r="K86" s="100"/>
      <c r="L86" s="101"/>
      <c r="M86" s="101"/>
      <c r="N86" s="112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</row>
    <row r="87" spans="1:29" ht="13">
      <c r="A87" s="115"/>
      <c r="B87" s="97"/>
      <c r="C87" s="115"/>
      <c r="D87" s="115"/>
      <c r="E87" s="115"/>
      <c r="F87" s="115"/>
      <c r="G87" s="99"/>
      <c r="H87" s="98"/>
      <c r="I87" s="100"/>
      <c r="J87" s="100"/>
      <c r="K87" s="100"/>
      <c r="L87" s="101"/>
      <c r="M87" s="101"/>
      <c r="N87" s="112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</row>
    <row r="88" spans="1:29" ht="13">
      <c r="A88" s="115"/>
      <c r="B88" s="97"/>
      <c r="C88" s="115"/>
      <c r="D88" s="115"/>
      <c r="E88" s="115"/>
      <c r="F88" s="115"/>
      <c r="G88" s="99"/>
      <c r="H88" s="98"/>
      <c r="I88" s="100"/>
      <c r="J88" s="100"/>
      <c r="K88" s="100"/>
      <c r="L88" s="101"/>
      <c r="M88" s="101"/>
      <c r="N88" s="112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</row>
    <row r="89" spans="1:29" ht="13">
      <c r="A89" s="115"/>
      <c r="B89" s="97"/>
      <c r="C89" s="115"/>
      <c r="D89" s="115"/>
      <c r="E89" s="115"/>
      <c r="F89" s="115"/>
      <c r="G89" s="99"/>
      <c r="H89" s="98"/>
      <c r="I89" s="100"/>
      <c r="J89" s="100"/>
      <c r="K89" s="100"/>
      <c r="L89" s="101"/>
      <c r="M89" s="101"/>
      <c r="N89" s="112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</row>
    <row r="90" spans="1:29" ht="13">
      <c r="A90" s="115"/>
      <c r="B90" s="97"/>
      <c r="C90" s="115"/>
      <c r="D90" s="115"/>
      <c r="E90" s="115"/>
      <c r="F90" s="115"/>
      <c r="G90" s="99"/>
      <c r="H90" s="98"/>
      <c r="I90" s="100"/>
      <c r="J90" s="100"/>
      <c r="K90" s="100"/>
      <c r="L90" s="101"/>
      <c r="M90" s="101"/>
      <c r="N90" s="112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</row>
    <row r="91" spans="1:29" ht="13">
      <c r="A91" s="115"/>
      <c r="B91" s="97"/>
      <c r="C91" s="115"/>
      <c r="D91" s="115"/>
      <c r="E91" s="115"/>
      <c r="F91" s="115"/>
      <c r="G91" s="99"/>
      <c r="H91" s="98"/>
      <c r="I91" s="100"/>
      <c r="J91" s="100"/>
      <c r="K91" s="100"/>
      <c r="L91" s="101"/>
      <c r="M91" s="101"/>
      <c r="N91" s="112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</row>
    <row r="92" spans="1:29" ht="13">
      <c r="A92" s="115"/>
      <c r="B92" s="97"/>
      <c r="C92" s="115"/>
      <c r="D92" s="115"/>
      <c r="E92" s="115"/>
      <c r="F92" s="115"/>
      <c r="G92" s="99"/>
      <c r="H92" s="98"/>
      <c r="I92" s="100"/>
      <c r="J92" s="100"/>
      <c r="K92" s="100"/>
      <c r="L92" s="101"/>
      <c r="M92" s="101"/>
      <c r="N92" s="112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</row>
    <row r="93" spans="1:29" ht="13">
      <c r="A93" s="115"/>
      <c r="B93" s="97"/>
      <c r="C93" s="115"/>
      <c r="D93" s="115"/>
      <c r="E93" s="115"/>
      <c r="F93" s="115"/>
      <c r="G93" s="99"/>
      <c r="H93" s="98"/>
      <c r="I93" s="100"/>
      <c r="J93" s="100"/>
      <c r="K93" s="100"/>
      <c r="L93" s="101"/>
      <c r="M93" s="101"/>
      <c r="N93" s="112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</row>
    <row r="94" spans="1:29" ht="13">
      <c r="A94" s="115"/>
      <c r="B94" s="97"/>
      <c r="C94" s="115"/>
      <c r="D94" s="115"/>
      <c r="E94" s="115"/>
      <c r="F94" s="115"/>
      <c r="G94" s="99"/>
      <c r="H94" s="98"/>
      <c r="I94" s="100"/>
      <c r="J94" s="100"/>
      <c r="K94" s="100"/>
      <c r="L94" s="101"/>
      <c r="M94" s="101"/>
      <c r="N94" s="112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</row>
    <row r="95" spans="1:29" ht="13">
      <c r="A95" s="115"/>
      <c r="B95" s="97"/>
      <c r="C95" s="115"/>
      <c r="D95" s="115"/>
      <c r="E95" s="115"/>
      <c r="F95" s="115"/>
      <c r="G95" s="99"/>
      <c r="H95" s="98"/>
      <c r="I95" s="100"/>
      <c r="J95" s="100"/>
      <c r="K95" s="100"/>
      <c r="L95" s="101"/>
      <c r="M95" s="101"/>
      <c r="N95" s="112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</row>
    <row r="96" spans="1:29" ht="13">
      <c r="A96" s="115"/>
      <c r="B96" s="97"/>
      <c r="C96" s="115"/>
      <c r="D96" s="115"/>
      <c r="E96" s="115"/>
      <c r="F96" s="115"/>
      <c r="G96" s="99"/>
      <c r="H96" s="98"/>
      <c r="I96" s="100"/>
      <c r="J96" s="100"/>
      <c r="K96" s="100"/>
      <c r="L96" s="101"/>
      <c r="M96" s="101"/>
      <c r="N96" s="112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</row>
    <row r="97" spans="1:29" ht="13">
      <c r="A97" s="115"/>
      <c r="B97" s="97"/>
      <c r="C97" s="115"/>
      <c r="D97" s="115"/>
      <c r="E97" s="115"/>
      <c r="F97" s="115"/>
      <c r="G97" s="99"/>
      <c r="H97" s="98"/>
      <c r="I97" s="100"/>
      <c r="J97" s="100"/>
      <c r="K97" s="100"/>
      <c r="L97" s="101"/>
      <c r="M97" s="101"/>
      <c r="N97" s="112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</row>
    <row r="98" spans="1:29" ht="13">
      <c r="A98" s="115"/>
      <c r="B98" s="97"/>
      <c r="C98" s="115"/>
      <c r="D98" s="115"/>
      <c r="E98" s="115"/>
      <c r="F98" s="115"/>
      <c r="G98" s="99"/>
      <c r="H98" s="98"/>
      <c r="I98" s="100"/>
      <c r="J98" s="100"/>
      <c r="K98" s="100"/>
      <c r="L98" s="101"/>
      <c r="M98" s="101"/>
      <c r="N98" s="112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</row>
    <row r="99" spans="1:29" ht="13">
      <c r="A99" s="115"/>
      <c r="B99" s="97"/>
      <c r="C99" s="115"/>
      <c r="D99" s="115"/>
      <c r="E99" s="115"/>
      <c r="F99" s="115"/>
      <c r="G99" s="99"/>
      <c r="H99" s="98"/>
      <c r="I99" s="100"/>
      <c r="J99" s="100"/>
      <c r="K99" s="100"/>
      <c r="L99" s="101"/>
      <c r="M99" s="101"/>
      <c r="N99" s="112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</row>
    <row r="100" spans="1:29" ht="13">
      <c r="A100" s="115"/>
      <c r="B100" s="97"/>
      <c r="C100" s="115"/>
      <c r="D100" s="115"/>
      <c r="E100" s="115"/>
      <c r="F100" s="115"/>
      <c r="G100" s="99"/>
      <c r="H100" s="98"/>
      <c r="I100" s="100"/>
      <c r="J100" s="100"/>
      <c r="K100" s="100"/>
      <c r="L100" s="101"/>
      <c r="M100" s="101"/>
      <c r="N100" s="112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</row>
    <row r="101" spans="1:29" ht="13">
      <c r="A101" s="115"/>
      <c r="B101" s="97"/>
      <c r="C101" s="115"/>
      <c r="D101" s="115"/>
      <c r="E101" s="115"/>
      <c r="F101" s="115"/>
      <c r="G101" s="99"/>
      <c r="H101" s="98"/>
      <c r="I101" s="100"/>
      <c r="J101" s="100"/>
      <c r="K101" s="100"/>
      <c r="L101" s="101"/>
      <c r="M101" s="101"/>
      <c r="N101" s="112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</row>
    <row r="102" spans="1:29" ht="13">
      <c r="A102" s="115"/>
      <c r="B102" s="97"/>
      <c r="C102" s="115"/>
      <c r="D102" s="115"/>
      <c r="E102" s="115"/>
      <c r="F102" s="115"/>
      <c r="G102" s="99"/>
      <c r="H102" s="98"/>
      <c r="I102" s="100"/>
      <c r="J102" s="100"/>
      <c r="K102" s="100"/>
      <c r="L102" s="101"/>
      <c r="M102" s="101"/>
      <c r="N102" s="112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</row>
    <row r="103" spans="1:29" ht="13">
      <c r="A103" s="115"/>
      <c r="B103" s="97"/>
      <c r="C103" s="115"/>
      <c r="D103" s="115"/>
      <c r="E103" s="115"/>
      <c r="F103" s="115"/>
      <c r="G103" s="99"/>
      <c r="H103" s="98"/>
      <c r="I103" s="100"/>
      <c r="J103" s="100"/>
      <c r="K103" s="100"/>
      <c r="L103" s="101"/>
      <c r="M103" s="101"/>
      <c r="N103" s="112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</row>
    <row r="104" spans="1:29" ht="13">
      <c r="A104" s="115"/>
      <c r="B104" s="97"/>
      <c r="C104" s="115"/>
      <c r="D104" s="115"/>
      <c r="E104" s="115"/>
      <c r="F104" s="115"/>
      <c r="G104" s="99"/>
      <c r="H104" s="98"/>
      <c r="I104" s="100"/>
      <c r="J104" s="100"/>
      <c r="K104" s="100"/>
      <c r="L104" s="101"/>
      <c r="M104" s="101"/>
      <c r="N104" s="112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</row>
    <row r="105" spans="1:29" ht="13">
      <c r="A105" s="115"/>
      <c r="B105" s="97"/>
      <c r="C105" s="115"/>
      <c r="D105" s="115"/>
      <c r="E105" s="115"/>
      <c r="F105" s="115"/>
      <c r="G105" s="99"/>
      <c r="H105" s="98"/>
      <c r="I105" s="100"/>
      <c r="J105" s="100"/>
      <c r="K105" s="100"/>
      <c r="L105" s="101"/>
      <c r="M105" s="101"/>
      <c r="N105" s="112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</row>
    <row r="106" spans="1:29" ht="13">
      <c r="A106" s="115"/>
      <c r="B106" s="97"/>
      <c r="C106" s="115"/>
      <c r="D106" s="115"/>
      <c r="E106" s="115"/>
      <c r="F106" s="115"/>
      <c r="G106" s="99"/>
      <c r="H106" s="98"/>
      <c r="I106" s="100"/>
      <c r="J106" s="100"/>
      <c r="K106" s="100"/>
      <c r="L106" s="101"/>
      <c r="M106" s="101"/>
      <c r="N106" s="112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</row>
    <row r="107" spans="1:29" ht="13">
      <c r="A107" s="115"/>
      <c r="B107" s="97"/>
      <c r="C107" s="115"/>
      <c r="D107" s="115"/>
      <c r="E107" s="115"/>
      <c r="F107" s="115"/>
      <c r="G107" s="99"/>
      <c r="H107" s="98"/>
      <c r="I107" s="100"/>
      <c r="J107" s="100"/>
      <c r="K107" s="100"/>
      <c r="L107" s="101"/>
      <c r="M107" s="101"/>
      <c r="N107" s="112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</row>
    <row r="108" spans="1:29" ht="13">
      <c r="A108" s="115"/>
      <c r="B108" s="97"/>
      <c r="C108" s="115"/>
      <c r="D108" s="115"/>
      <c r="E108" s="115"/>
      <c r="F108" s="115"/>
      <c r="G108" s="99"/>
      <c r="H108" s="98"/>
      <c r="I108" s="100"/>
      <c r="J108" s="100"/>
      <c r="K108" s="100"/>
      <c r="L108" s="101"/>
      <c r="M108" s="101"/>
      <c r="N108" s="112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</row>
    <row r="109" spans="1:29" ht="13">
      <c r="A109" s="115"/>
      <c r="B109" s="97"/>
      <c r="C109" s="115"/>
      <c r="D109" s="115"/>
      <c r="E109" s="115"/>
      <c r="F109" s="115"/>
      <c r="G109" s="99"/>
      <c r="H109" s="98"/>
      <c r="I109" s="100"/>
      <c r="J109" s="100"/>
      <c r="K109" s="100"/>
      <c r="L109" s="101"/>
      <c r="M109" s="101"/>
      <c r="N109" s="112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</row>
    <row r="110" spans="1:29" ht="13">
      <c r="A110" s="115"/>
      <c r="B110" s="97"/>
      <c r="C110" s="115"/>
      <c r="D110" s="115"/>
      <c r="E110" s="115"/>
      <c r="F110" s="115"/>
      <c r="G110" s="99"/>
      <c r="H110" s="98"/>
      <c r="I110" s="100"/>
      <c r="J110" s="100"/>
      <c r="K110" s="100"/>
      <c r="L110" s="101"/>
      <c r="M110" s="101"/>
      <c r="N110" s="112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</row>
    <row r="111" spans="1:29" ht="13">
      <c r="A111" s="115"/>
      <c r="B111" s="97"/>
      <c r="C111" s="115"/>
      <c r="D111" s="115"/>
      <c r="E111" s="115"/>
      <c r="F111" s="115"/>
      <c r="G111" s="99"/>
      <c r="H111" s="98"/>
      <c r="I111" s="100"/>
      <c r="J111" s="100"/>
      <c r="K111" s="100"/>
      <c r="L111" s="101"/>
      <c r="M111" s="101"/>
      <c r="N111" s="112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</row>
    <row r="112" spans="1:29" ht="13">
      <c r="A112" s="115"/>
      <c r="B112" s="97"/>
      <c r="C112" s="115"/>
      <c r="D112" s="115"/>
      <c r="E112" s="115"/>
      <c r="F112" s="115"/>
      <c r="G112" s="99"/>
      <c r="H112" s="98"/>
      <c r="I112" s="100"/>
      <c r="J112" s="100"/>
      <c r="K112" s="100"/>
      <c r="L112" s="101"/>
      <c r="M112" s="101"/>
      <c r="N112" s="112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</row>
    <row r="113" spans="1:29" ht="13">
      <c r="A113" s="115"/>
      <c r="B113" s="97"/>
      <c r="C113" s="115"/>
      <c r="D113" s="115"/>
      <c r="E113" s="115"/>
      <c r="F113" s="115"/>
      <c r="G113" s="99"/>
      <c r="H113" s="98"/>
      <c r="I113" s="100"/>
      <c r="J113" s="100"/>
      <c r="K113" s="100"/>
      <c r="L113" s="101"/>
      <c r="M113" s="101"/>
      <c r="N113" s="112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</row>
    <row r="114" spans="1:29" ht="13">
      <c r="A114" s="115"/>
      <c r="B114" s="97"/>
      <c r="C114" s="115"/>
      <c r="D114" s="115"/>
      <c r="E114" s="115"/>
      <c r="F114" s="115"/>
      <c r="G114" s="99"/>
      <c r="H114" s="98"/>
      <c r="I114" s="100"/>
      <c r="J114" s="100"/>
      <c r="K114" s="100"/>
      <c r="L114" s="101"/>
      <c r="M114" s="101"/>
      <c r="N114" s="112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</row>
    <row r="115" spans="1:29" ht="13">
      <c r="A115" s="115"/>
      <c r="B115" s="97"/>
      <c r="C115" s="115"/>
      <c r="D115" s="115"/>
      <c r="E115" s="115"/>
      <c r="F115" s="115"/>
      <c r="G115" s="99"/>
      <c r="H115" s="98"/>
      <c r="I115" s="100"/>
      <c r="J115" s="100"/>
      <c r="K115" s="100"/>
      <c r="L115" s="101"/>
      <c r="M115" s="101"/>
      <c r="N115" s="112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</row>
    <row r="116" spans="1:29" ht="13">
      <c r="A116" s="115"/>
      <c r="B116" s="97"/>
      <c r="C116" s="115"/>
      <c r="D116" s="115"/>
      <c r="E116" s="115"/>
      <c r="F116" s="115"/>
      <c r="G116" s="99"/>
      <c r="H116" s="98"/>
      <c r="I116" s="100"/>
      <c r="J116" s="100"/>
      <c r="K116" s="100"/>
      <c r="L116" s="101"/>
      <c r="M116" s="101"/>
      <c r="N116" s="112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</row>
    <row r="117" spans="1:29" ht="13">
      <c r="A117" s="115"/>
      <c r="B117" s="97"/>
      <c r="C117" s="115"/>
      <c r="D117" s="115"/>
      <c r="E117" s="115"/>
      <c r="F117" s="115"/>
      <c r="G117" s="99"/>
      <c r="H117" s="98"/>
      <c r="I117" s="100"/>
      <c r="J117" s="100"/>
      <c r="K117" s="100"/>
      <c r="L117" s="101"/>
      <c r="M117" s="101"/>
      <c r="N117" s="112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</row>
    <row r="118" spans="1:29" ht="13">
      <c r="A118" s="115"/>
      <c r="B118" s="97"/>
      <c r="C118" s="115"/>
      <c r="D118" s="115"/>
      <c r="E118" s="115"/>
      <c r="F118" s="115"/>
      <c r="G118" s="99"/>
      <c r="H118" s="98"/>
      <c r="I118" s="100"/>
      <c r="J118" s="100"/>
      <c r="K118" s="100"/>
      <c r="L118" s="101"/>
      <c r="M118" s="101"/>
      <c r="N118" s="112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</row>
    <row r="119" spans="1:29" ht="13">
      <c r="A119" s="115"/>
      <c r="B119" s="97"/>
      <c r="C119" s="115"/>
      <c r="D119" s="115"/>
      <c r="E119" s="115"/>
      <c r="F119" s="115"/>
      <c r="G119" s="99"/>
      <c r="H119" s="98"/>
      <c r="I119" s="100"/>
      <c r="J119" s="100"/>
      <c r="K119" s="100"/>
      <c r="L119" s="101"/>
      <c r="M119" s="101"/>
      <c r="N119" s="112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</row>
    <row r="120" spans="1:29" ht="13">
      <c r="A120" s="115"/>
      <c r="B120" s="97"/>
      <c r="C120" s="115"/>
      <c r="D120" s="115"/>
      <c r="E120" s="115"/>
      <c r="F120" s="115"/>
      <c r="G120" s="99"/>
      <c r="H120" s="98"/>
      <c r="I120" s="100"/>
      <c r="J120" s="100"/>
      <c r="K120" s="100"/>
      <c r="L120" s="101"/>
      <c r="M120" s="101"/>
      <c r="N120" s="112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</row>
    <row r="121" spans="1:29" ht="13">
      <c r="A121" s="115"/>
      <c r="B121" s="97"/>
      <c r="C121" s="115"/>
      <c r="D121" s="115"/>
      <c r="E121" s="115"/>
      <c r="F121" s="115"/>
      <c r="G121" s="99"/>
      <c r="H121" s="98"/>
      <c r="I121" s="100"/>
      <c r="J121" s="100"/>
      <c r="K121" s="100"/>
      <c r="L121" s="101"/>
      <c r="M121" s="101"/>
      <c r="N121" s="112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</row>
    <row r="122" spans="1:29" ht="13">
      <c r="A122" s="115"/>
      <c r="B122" s="97"/>
      <c r="C122" s="115"/>
      <c r="D122" s="115"/>
      <c r="E122" s="115"/>
      <c r="F122" s="115"/>
      <c r="G122" s="99"/>
      <c r="H122" s="98"/>
      <c r="I122" s="100"/>
      <c r="J122" s="100"/>
      <c r="K122" s="100"/>
      <c r="L122" s="101"/>
      <c r="M122" s="101"/>
      <c r="N122" s="112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</row>
    <row r="123" spans="1:29" ht="13">
      <c r="A123" s="115"/>
      <c r="B123" s="97"/>
      <c r="C123" s="115"/>
      <c r="D123" s="115"/>
      <c r="E123" s="115"/>
      <c r="F123" s="115"/>
      <c r="G123" s="99"/>
      <c r="H123" s="98"/>
      <c r="I123" s="100"/>
      <c r="J123" s="100"/>
      <c r="K123" s="100"/>
      <c r="L123" s="101"/>
      <c r="M123" s="101"/>
      <c r="N123" s="112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</row>
    <row r="124" spans="1:29" ht="13">
      <c r="A124" s="115"/>
      <c r="B124" s="97"/>
      <c r="C124" s="115"/>
      <c r="D124" s="115"/>
      <c r="E124" s="115"/>
      <c r="F124" s="115"/>
      <c r="G124" s="99"/>
      <c r="H124" s="98"/>
      <c r="I124" s="100"/>
      <c r="J124" s="100"/>
      <c r="K124" s="100"/>
      <c r="L124" s="101"/>
      <c r="M124" s="101"/>
      <c r="N124" s="112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</row>
    <row r="125" spans="1:29" ht="13">
      <c r="A125" s="115"/>
      <c r="B125" s="97"/>
      <c r="C125" s="115"/>
      <c r="D125" s="115"/>
      <c r="E125" s="115"/>
      <c r="F125" s="115"/>
      <c r="G125" s="99"/>
      <c r="H125" s="98"/>
      <c r="I125" s="100"/>
      <c r="J125" s="100"/>
      <c r="K125" s="100"/>
      <c r="L125" s="101"/>
      <c r="M125" s="101"/>
      <c r="N125" s="112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</row>
    <row r="126" spans="1:29" ht="13">
      <c r="A126" s="115"/>
      <c r="B126" s="97"/>
      <c r="C126" s="115"/>
      <c r="D126" s="115"/>
      <c r="E126" s="115"/>
      <c r="F126" s="115"/>
      <c r="G126" s="99"/>
      <c r="H126" s="98"/>
      <c r="I126" s="100"/>
      <c r="J126" s="100"/>
      <c r="K126" s="100"/>
      <c r="L126" s="101"/>
      <c r="M126" s="101"/>
      <c r="N126" s="112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</row>
    <row r="127" spans="1:29" ht="13">
      <c r="A127" s="115"/>
      <c r="B127" s="97"/>
      <c r="C127" s="115"/>
      <c r="D127" s="115"/>
      <c r="E127" s="115"/>
      <c r="F127" s="115"/>
      <c r="G127" s="99"/>
      <c r="H127" s="98"/>
      <c r="I127" s="100"/>
      <c r="J127" s="100"/>
      <c r="K127" s="100"/>
      <c r="L127" s="101"/>
      <c r="M127" s="101"/>
      <c r="N127" s="112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</row>
    <row r="128" spans="1:29" ht="13">
      <c r="A128" s="115"/>
      <c r="B128" s="97"/>
      <c r="C128" s="115"/>
      <c r="D128" s="115"/>
      <c r="E128" s="115"/>
      <c r="F128" s="115"/>
      <c r="G128" s="99"/>
      <c r="H128" s="98"/>
      <c r="I128" s="100"/>
      <c r="J128" s="100"/>
      <c r="K128" s="100"/>
      <c r="L128" s="101"/>
      <c r="M128" s="101"/>
      <c r="N128" s="112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</row>
    <row r="129" spans="1:29" ht="13">
      <c r="A129" s="115"/>
      <c r="B129" s="97"/>
      <c r="C129" s="115"/>
      <c r="D129" s="115"/>
      <c r="E129" s="115"/>
      <c r="F129" s="115"/>
      <c r="G129" s="99"/>
      <c r="H129" s="98"/>
      <c r="I129" s="100"/>
      <c r="J129" s="100"/>
      <c r="K129" s="100"/>
      <c r="L129" s="101"/>
      <c r="M129" s="101"/>
      <c r="N129" s="112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</row>
    <row r="130" spans="1:29" ht="13">
      <c r="A130" s="115"/>
      <c r="B130" s="97"/>
      <c r="C130" s="115"/>
      <c r="D130" s="115"/>
      <c r="E130" s="115"/>
      <c r="F130" s="115"/>
      <c r="G130" s="99"/>
      <c r="H130" s="98"/>
      <c r="I130" s="100"/>
      <c r="J130" s="100"/>
      <c r="K130" s="100"/>
      <c r="L130" s="101"/>
      <c r="M130" s="101"/>
      <c r="N130" s="112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</row>
    <row r="131" spans="1:29" ht="13">
      <c r="A131" s="115"/>
      <c r="B131" s="97"/>
      <c r="C131" s="115"/>
      <c r="D131" s="115"/>
      <c r="E131" s="115"/>
      <c r="F131" s="115"/>
      <c r="G131" s="99"/>
      <c r="H131" s="98"/>
      <c r="I131" s="100"/>
      <c r="J131" s="100"/>
      <c r="K131" s="100"/>
      <c r="L131" s="101"/>
      <c r="M131" s="101"/>
      <c r="N131" s="112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</row>
    <row r="132" spans="1:29" ht="13">
      <c r="A132" s="115"/>
      <c r="B132" s="97"/>
      <c r="C132" s="115"/>
      <c r="D132" s="115"/>
      <c r="E132" s="115"/>
      <c r="F132" s="115"/>
      <c r="G132" s="99"/>
      <c r="H132" s="98"/>
      <c r="I132" s="100"/>
      <c r="J132" s="100"/>
      <c r="K132" s="100"/>
      <c r="L132" s="101"/>
      <c r="M132" s="101"/>
      <c r="N132" s="112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</row>
    <row r="133" spans="1:29" ht="13">
      <c r="A133" s="115"/>
      <c r="B133" s="97"/>
      <c r="C133" s="115"/>
      <c r="D133" s="115"/>
      <c r="E133" s="115"/>
      <c r="F133" s="115"/>
      <c r="G133" s="99"/>
      <c r="H133" s="98"/>
      <c r="I133" s="100"/>
      <c r="J133" s="100"/>
      <c r="K133" s="100"/>
      <c r="L133" s="101"/>
      <c r="M133" s="101"/>
      <c r="N133" s="112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</row>
    <row r="134" spans="1:29" ht="13">
      <c r="A134" s="115"/>
      <c r="B134" s="97"/>
      <c r="C134" s="115"/>
      <c r="D134" s="115"/>
      <c r="E134" s="115"/>
      <c r="F134" s="115"/>
      <c r="G134" s="99"/>
      <c r="H134" s="98"/>
      <c r="I134" s="100"/>
      <c r="J134" s="100"/>
      <c r="K134" s="100"/>
      <c r="L134" s="101"/>
      <c r="M134" s="101"/>
      <c r="N134" s="112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</row>
    <row r="135" spans="1:29" ht="13">
      <c r="A135" s="115"/>
      <c r="B135" s="97"/>
      <c r="C135" s="115"/>
      <c r="D135" s="115"/>
      <c r="E135" s="115"/>
      <c r="F135" s="115"/>
      <c r="G135" s="99"/>
      <c r="H135" s="98"/>
      <c r="I135" s="100"/>
      <c r="J135" s="100"/>
      <c r="K135" s="100"/>
      <c r="L135" s="101"/>
      <c r="M135" s="101"/>
      <c r="N135" s="112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</row>
    <row r="136" spans="1:29" ht="13">
      <c r="A136" s="115"/>
      <c r="B136" s="97"/>
      <c r="C136" s="115"/>
      <c r="D136" s="115"/>
      <c r="E136" s="115"/>
      <c r="F136" s="115"/>
      <c r="G136" s="99"/>
      <c r="H136" s="98"/>
      <c r="I136" s="100"/>
      <c r="J136" s="100"/>
      <c r="K136" s="100"/>
      <c r="L136" s="101"/>
      <c r="M136" s="101"/>
      <c r="N136" s="112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</row>
    <row r="137" spans="1:29" ht="13">
      <c r="A137" s="115"/>
      <c r="B137" s="97"/>
      <c r="C137" s="115"/>
      <c r="D137" s="115"/>
      <c r="E137" s="115"/>
      <c r="F137" s="115"/>
      <c r="G137" s="99"/>
      <c r="H137" s="98"/>
      <c r="I137" s="100"/>
      <c r="J137" s="100"/>
      <c r="K137" s="100"/>
      <c r="L137" s="101"/>
      <c r="M137" s="101"/>
      <c r="N137" s="112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</row>
    <row r="138" spans="1:29" ht="13">
      <c r="A138" s="115"/>
      <c r="B138" s="97"/>
      <c r="C138" s="115"/>
      <c r="D138" s="115"/>
      <c r="E138" s="115"/>
      <c r="F138" s="115"/>
      <c r="G138" s="99"/>
      <c r="H138" s="98"/>
      <c r="I138" s="100"/>
      <c r="J138" s="100"/>
      <c r="K138" s="100"/>
      <c r="L138" s="101"/>
      <c r="M138" s="101"/>
      <c r="N138" s="112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</row>
    <row r="139" spans="1:29" ht="13">
      <c r="A139" s="115"/>
      <c r="B139" s="97"/>
      <c r="C139" s="115"/>
      <c r="D139" s="115"/>
      <c r="E139" s="115"/>
      <c r="F139" s="115"/>
      <c r="G139" s="99"/>
      <c r="H139" s="98"/>
      <c r="I139" s="100"/>
      <c r="J139" s="100"/>
      <c r="K139" s="100"/>
      <c r="L139" s="101"/>
      <c r="M139" s="101"/>
      <c r="N139" s="112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</row>
    <row r="140" spans="1:29" ht="13">
      <c r="A140" s="115"/>
      <c r="B140" s="97"/>
      <c r="C140" s="115"/>
      <c r="D140" s="115"/>
      <c r="E140" s="115"/>
      <c r="F140" s="115"/>
      <c r="G140" s="99"/>
      <c r="H140" s="98"/>
      <c r="I140" s="100"/>
      <c r="J140" s="100"/>
      <c r="K140" s="100"/>
      <c r="L140" s="101"/>
      <c r="M140" s="101"/>
      <c r="N140" s="112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</row>
    <row r="141" spans="1:29" ht="13">
      <c r="A141" s="115"/>
      <c r="B141" s="97"/>
      <c r="C141" s="115"/>
      <c r="D141" s="115"/>
      <c r="E141" s="115"/>
      <c r="F141" s="115"/>
      <c r="G141" s="99"/>
      <c r="H141" s="98"/>
      <c r="I141" s="100"/>
      <c r="J141" s="100"/>
      <c r="K141" s="100"/>
      <c r="L141" s="101"/>
      <c r="M141" s="101"/>
      <c r="N141" s="112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</row>
    <row r="142" spans="1:29" ht="13">
      <c r="A142" s="115"/>
      <c r="B142" s="97"/>
      <c r="C142" s="115"/>
      <c r="D142" s="115"/>
      <c r="E142" s="115"/>
      <c r="F142" s="115"/>
      <c r="G142" s="99"/>
      <c r="H142" s="98"/>
      <c r="I142" s="100"/>
      <c r="J142" s="100"/>
      <c r="K142" s="100"/>
      <c r="L142" s="101"/>
      <c r="M142" s="101"/>
      <c r="N142" s="112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</row>
    <row r="143" spans="1:29" ht="13">
      <c r="A143" s="115"/>
      <c r="B143" s="97"/>
      <c r="C143" s="115"/>
      <c r="D143" s="115"/>
      <c r="E143" s="115"/>
      <c r="F143" s="115"/>
      <c r="G143" s="99"/>
      <c r="H143" s="98"/>
      <c r="I143" s="100"/>
      <c r="J143" s="100"/>
      <c r="K143" s="100"/>
      <c r="L143" s="101"/>
      <c r="M143" s="101"/>
      <c r="N143" s="112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</row>
    <row r="144" spans="1:29" ht="13">
      <c r="A144" s="115"/>
      <c r="B144" s="97"/>
      <c r="C144" s="115"/>
      <c r="D144" s="115"/>
      <c r="E144" s="115"/>
      <c r="F144" s="115"/>
      <c r="G144" s="99"/>
      <c r="H144" s="98"/>
      <c r="I144" s="100"/>
      <c r="J144" s="100"/>
      <c r="K144" s="100"/>
      <c r="L144" s="101"/>
      <c r="M144" s="101"/>
      <c r="N144" s="112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</row>
    <row r="145" spans="1:29" ht="13">
      <c r="A145" s="115"/>
      <c r="B145" s="97"/>
      <c r="C145" s="115"/>
      <c r="D145" s="115"/>
      <c r="E145" s="115"/>
      <c r="F145" s="115"/>
      <c r="G145" s="99"/>
      <c r="H145" s="98"/>
      <c r="I145" s="100"/>
      <c r="J145" s="100"/>
      <c r="K145" s="100"/>
      <c r="L145" s="101"/>
      <c r="M145" s="101"/>
      <c r="N145" s="112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</row>
    <row r="146" spans="1:29" ht="13">
      <c r="A146" s="115"/>
      <c r="B146" s="97"/>
      <c r="C146" s="115"/>
      <c r="D146" s="115"/>
      <c r="E146" s="115"/>
      <c r="F146" s="115"/>
      <c r="G146" s="99"/>
      <c r="H146" s="98"/>
      <c r="I146" s="100"/>
      <c r="J146" s="100"/>
      <c r="K146" s="100"/>
      <c r="L146" s="101"/>
      <c r="M146" s="101"/>
      <c r="N146" s="112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</row>
    <row r="147" spans="1:29" ht="13">
      <c r="A147" s="115"/>
      <c r="B147" s="97"/>
      <c r="C147" s="115"/>
      <c r="D147" s="115"/>
      <c r="E147" s="115"/>
      <c r="F147" s="115"/>
      <c r="G147" s="99"/>
      <c r="H147" s="98"/>
      <c r="I147" s="100"/>
      <c r="J147" s="100"/>
      <c r="K147" s="100"/>
      <c r="L147" s="101"/>
      <c r="M147" s="101"/>
      <c r="N147" s="112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</row>
    <row r="148" spans="1:29" ht="13">
      <c r="A148" s="115"/>
      <c r="B148" s="97"/>
      <c r="C148" s="115"/>
      <c r="D148" s="115"/>
      <c r="E148" s="115"/>
      <c r="F148" s="115"/>
      <c r="G148" s="99"/>
      <c r="H148" s="98"/>
      <c r="I148" s="100"/>
      <c r="J148" s="100"/>
      <c r="K148" s="100"/>
      <c r="L148" s="101"/>
      <c r="M148" s="101"/>
      <c r="N148" s="112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</row>
    <row r="149" spans="1:29" ht="13">
      <c r="A149" s="115"/>
      <c r="B149" s="97"/>
      <c r="C149" s="115"/>
      <c r="D149" s="115"/>
      <c r="E149" s="115"/>
      <c r="F149" s="115"/>
      <c r="G149" s="99"/>
      <c r="H149" s="98"/>
      <c r="I149" s="100"/>
      <c r="J149" s="100"/>
      <c r="K149" s="100"/>
      <c r="L149" s="101"/>
      <c r="M149" s="101"/>
      <c r="N149" s="112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</row>
    <row r="150" spans="1:29" ht="13">
      <c r="A150" s="115"/>
      <c r="B150" s="97"/>
      <c r="C150" s="115"/>
      <c r="D150" s="115"/>
      <c r="E150" s="115"/>
      <c r="F150" s="115"/>
      <c r="G150" s="99"/>
      <c r="H150" s="98"/>
      <c r="I150" s="100"/>
      <c r="J150" s="100"/>
      <c r="K150" s="100"/>
      <c r="L150" s="101"/>
      <c r="M150" s="101"/>
      <c r="N150" s="112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</row>
    <row r="151" spans="1:29" ht="13">
      <c r="A151" s="115"/>
      <c r="B151" s="97"/>
      <c r="C151" s="115"/>
      <c r="D151" s="115"/>
      <c r="E151" s="115"/>
      <c r="F151" s="115"/>
      <c r="G151" s="99"/>
      <c r="H151" s="98"/>
      <c r="I151" s="100"/>
      <c r="J151" s="100"/>
      <c r="K151" s="100"/>
      <c r="L151" s="101"/>
      <c r="M151" s="101"/>
      <c r="N151" s="112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</row>
    <row r="152" spans="1:29" ht="13">
      <c r="A152" s="115"/>
      <c r="B152" s="97"/>
      <c r="C152" s="115"/>
      <c r="D152" s="115"/>
      <c r="E152" s="115"/>
      <c r="F152" s="115"/>
      <c r="G152" s="99"/>
      <c r="H152" s="98"/>
      <c r="I152" s="100"/>
      <c r="J152" s="100"/>
      <c r="K152" s="100"/>
      <c r="L152" s="101"/>
      <c r="M152" s="101"/>
      <c r="N152" s="112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</row>
    <row r="153" spans="1:29" ht="13">
      <c r="A153" s="115"/>
      <c r="B153" s="97"/>
      <c r="C153" s="115"/>
      <c r="D153" s="115"/>
      <c r="E153" s="115"/>
      <c r="F153" s="115"/>
      <c r="G153" s="99"/>
      <c r="H153" s="98"/>
      <c r="I153" s="100"/>
      <c r="J153" s="100"/>
      <c r="K153" s="100"/>
      <c r="L153" s="101"/>
      <c r="M153" s="101"/>
      <c r="N153" s="112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</row>
    <row r="154" spans="1:29" ht="13">
      <c r="A154" s="115"/>
      <c r="B154" s="97"/>
      <c r="C154" s="115"/>
      <c r="D154" s="115"/>
      <c r="E154" s="115"/>
      <c r="F154" s="115"/>
      <c r="G154" s="99"/>
      <c r="H154" s="98"/>
      <c r="I154" s="100"/>
      <c r="J154" s="100"/>
      <c r="K154" s="100"/>
      <c r="L154" s="101"/>
      <c r="M154" s="101"/>
      <c r="N154" s="112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</row>
    <row r="155" spans="1:29" ht="13">
      <c r="A155" s="115"/>
      <c r="B155" s="97"/>
      <c r="C155" s="115"/>
      <c r="D155" s="115"/>
      <c r="E155" s="115"/>
      <c r="F155" s="115"/>
      <c r="G155" s="99"/>
      <c r="H155" s="98"/>
      <c r="I155" s="100"/>
      <c r="J155" s="100"/>
      <c r="K155" s="100"/>
      <c r="L155" s="101"/>
      <c r="M155" s="101"/>
      <c r="N155" s="112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</row>
    <row r="156" spans="1:29" ht="13">
      <c r="A156" s="115"/>
      <c r="B156" s="97"/>
      <c r="C156" s="115"/>
      <c r="D156" s="115"/>
      <c r="E156" s="115"/>
      <c r="F156" s="115"/>
      <c r="G156" s="99"/>
      <c r="H156" s="98"/>
      <c r="I156" s="100"/>
      <c r="J156" s="100"/>
      <c r="K156" s="100"/>
      <c r="L156" s="101"/>
      <c r="M156" s="101"/>
      <c r="N156" s="112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</row>
    <row r="157" spans="1:29" ht="13">
      <c r="A157" s="115"/>
      <c r="B157" s="97"/>
      <c r="C157" s="115"/>
      <c r="D157" s="115"/>
      <c r="E157" s="115"/>
      <c r="F157" s="115"/>
      <c r="G157" s="99"/>
      <c r="H157" s="98"/>
      <c r="I157" s="100"/>
      <c r="J157" s="100"/>
      <c r="K157" s="100"/>
      <c r="L157" s="101"/>
      <c r="M157" s="101"/>
      <c r="N157" s="112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</row>
    <row r="158" spans="1:29" ht="13">
      <c r="A158" s="115"/>
      <c r="B158" s="97"/>
      <c r="C158" s="115"/>
      <c r="D158" s="115"/>
      <c r="E158" s="115"/>
      <c r="F158" s="115"/>
      <c r="G158" s="99"/>
      <c r="H158" s="98"/>
      <c r="I158" s="100"/>
      <c r="J158" s="100"/>
      <c r="K158" s="100"/>
      <c r="L158" s="101"/>
      <c r="M158" s="101"/>
      <c r="N158" s="112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</row>
    <row r="159" spans="1:29" ht="13">
      <c r="A159" s="115"/>
      <c r="B159" s="97"/>
      <c r="C159" s="115"/>
      <c r="D159" s="115"/>
      <c r="E159" s="115"/>
      <c r="F159" s="115"/>
      <c r="G159" s="99"/>
      <c r="H159" s="98"/>
      <c r="I159" s="100"/>
      <c r="J159" s="100"/>
      <c r="K159" s="100"/>
      <c r="L159" s="101"/>
      <c r="M159" s="101"/>
      <c r="N159" s="112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</row>
    <row r="160" spans="1:29" ht="13">
      <c r="A160" s="115"/>
      <c r="B160" s="97"/>
      <c r="C160" s="115"/>
      <c r="D160" s="115"/>
      <c r="E160" s="115"/>
      <c r="F160" s="115"/>
      <c r="G160" s="99"/>
      <c r="H160" s="98"/>
      <c r="I160" s="100"/>
      <c r="J160" s="100"/>
      <c r="K160" s="100"/>
      <c r="L160" s="101"/>
      <c r="M160" s="101"/>
      <c r="N160" s="112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</row>
    <row r="161" spans="1:29" ht="13">
      <c r="A161" s="115"/>
      <c r="B161" s="97"/>
      <c r="C161" s="115"/>
      <c r="D161" s="115"/>
      <c r="E161" s="115"/>
      <c r="F161" s="115"/>
      <c r="G161" s="99"/>
      <c r="H161" s="98"/>
      <c r="I161" s="100"/>
      <c r="J161" s="100"/>
      <c r="K161" s="100"/>
      <c r="L161" s="101"/>
      <c r="M161" s="101"/>
      <c r="N161" s="112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</row>
    <row r="162" spans="1:29" ht="13">
      <c r="A162" s="115"/>
      <c r="B162" s="97"/>
      <c r="C162" s="115"/>
      <c r="D162" s="115"/>
      <c r="E162" s="115"/>
      <c r="F162" s="115"/>
      <c r="G162" s="99"/>
      <c r="H162" s="98"/>
      <c r="I162" s="100"/>
      <c r="J162" s="100"/>
      <c r="K162" s="100"/>
      <c r="L162" s="101"/>
      <c r="M162" s="101"/>
      <c r="N162" s="112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</row>
    <row r="163" spans="1:29" ht="13">
      <c r="A163" s="115"/>
      <c r="B163" s="97"/>
      <c r="C163" s="115"/>
      <c r="D163" s="115"/>
      <c r="E163" s="115"/>
      <c r="F163" s="115"/>
      <c r="G163" s="99"/>
      <c r="H163" s="98"/>
      <c r="I163" s="100"/>
      <c r="J163" s="100"/>
      <c r="K163" s="100"/>
      <c r="L163" s="101"/>
      <c r="M163" s="101"/>
      <c r="N163" s="112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</row>
    <row r="164" spans="1:29" ht="13">
      <c r="A164" s="115"/>
      <c r="B164" s="97"/>
      <c r="C164" s="115"/>
      <c r="D164" s="115"/>
      <c r="E164" s="115"/>
      <c r="F164" s="115"/>
      <c r="G164" s="99"/>
      <c r="H164" s="98"/>
      <c r="I164" s="100"/>
      <c r="J164" s="100"/>
      <c r="K164" s="100"/>
      <c r="L164" s="101"/>
      <c r="M164" s="101"/>
      <c r="N164" s="112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</row>
    <row r="165" spans="1:29" ht="13">
      <c r="A165" s="115"/>
      <c r="B165" s="97"/>
      <c r="C165" s="115"/>
      <c r="D165" s="115"/>
      <c r="E165" s="115"/>
      <c r="F165" s="115"/>
      <c r="G165" s="99"/>
      <c r="H165" s="98"/>
      <c r="I165" s="100"/>
      <c r="J165" s="100"/>
      <c r="K165" s="100"/>
      <c r="L165" s="101"/>
      <c r="M165" s="101"/>
      <c r="N165" s="112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</row>
    <row r="166" spans="1:29" ht="13">
      <c r="A166" s="115"/>
      <c r="B166" s="97"/>
      <c r="C166" s="115"/>
      <c r="D166" s="115"/>
      <c r="E166" s="115"/>
      <c r="F166" s="115"/>
      <c r="G166" s="99"/>
      <c r="H166" s="98"/>
      <c r="I166" s="100"/>
      <c r="J166" s="100"/>
      <c r="K166" s="100"/>
      <c r="L166" s="101"/>
      <c r="M166" s="101"/>
      <c r="N166" s="112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</row>
    <row r="167" spans="1:29" ht="13">
      <c r="A167" s="115"/>
      <c r="B167" s="97"/>
      <c r="C167" s="115"/>
      <c r="D167" s="115"/>
      <c r="E167" s="115"/>
      <c r="F167" s="115"/>
      <c r="G167" s="99"/>
      <c r="H167" s="98"/>
      <c r="I167" s="100"/>
      <c r="J167" s="100"/>
      <c r="K167" s="100"/>
      <c r="L167" s="101"/>
      <c r="M167" s="101"/>
      <c r="N167" s="112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</row>
    <row r="168" spans="1:29" ht="13">
      <c r="A168" s="115"/>
      <c r="B168" s="97"/>
      <c r="C168" s="115"/>
      <c r="D168" s="115"/>
      <c r="E168" s="115"/>
      <c r="F168" s="115"/>
      <c r="G168" s="99"/>
      <c r="H168" s="98"/>
      <c r="I168" s="100"/>
      <c r="J168" s="100"/>
      <c r="K168" s="100"/>
      <c r="L168" s="101"/>
      <c r="M168" s="101"/>
      <c r="N168" s="112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</row>
    <row r="169" spans="1:29" ht="13">
      <c r="A169" s="115"/>
      <c r="B169" s="97"/>
      <c r="C169" s="115"/>
      <c r="D169" s="115"/>
      <c r="E169" s="115"/>
      <c r="F169" s="115"/>
      <c r="G169" s="99"/>
      <c r="H169" s="98"/>
      <c r="I169" s="100"/>
      <c r="J169" s="100"/>
      <c r="K169" s="100"/>
      <c r="L169" s="101"/>
      <c r="M169" s="101"/>
      <c r="N169" s="112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</row>
    <row r="170" spans="1:29" ht="13">
      <c r="A170" s="115"/>
      <c r="B170" s="97"/>
      <c r="C170" s="115"/>
      <c r="D170" s="115"/>
      <c r="E170" s="115"/>
      <c r="F170" s="115"/>
      <c r="G170" s="99"/>
      <c r="H170" s="98"/>
      <c r="I170" s="100"/>
      <c r="J170" s="100"/>
      <c r="K170" s="100"/>
      <c r="L170" s="101"/>
      <c r="M170" s="101"/>
      <c r="N170" s="112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</row>
    <row r="171" spans="1:29" ht="13">
      <c r="A171" s="115"/>
      <c r="B171" s="97"/>
      <c r="C171" s="115"/>
      <c r="D171" s="115"/>
      <c r="E171" s="115"/>
      <c r="F171" s="115"/>
      <c r="G171" s="99"/>
      <c r="H171" s="98"/>
      <c r="I171" s="100"/>
      <c r="J171" s="100"/>
      <c r="K171" s="100"/>
      <c r="L171" s="101"/>
      <c r="M171" s="101"/>
      <c r="N171" s="112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</row>
    <row r="172" spans="1:29" ht="13">
      <c r="A172" s="115"/>
      <c r="B172" s="97"/>
      <c r="C172" s="115"/>
      <c r="D172" s="115"/>
      <c r="E172" s="115"/>
      <c r="F172" s="115"/>
      <c r="G172" s="99"/>
      <c r="H172" s="98"/>
      <c r="I172" s="100"/>
      <c r="J172" s="100"/>
      <c r="K172" s="100"/>
      <c r="L172" s="101"/>
      <c r="M172" s="101"/>
      <c r="N172" s="112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</row>
    <row r="173" spans="1:29" ht="13">
      <c r="A173" s="115"/>
      <c r="B173" s="97"/>
      <c r="C173" s="115"/>
      <c r="D173" s="115"/>
      <c r="E173" s="115"/>
      <c r="F173" s="115"/>
      <c r="G173" s="99"/>
      <c r="H173" s="98"/>
      <c r="I173" s="100"/>
      <c r="J173" s="100"/>
      <c r="K173" s="100"/>
      <c r="L173" s="101"/>
      <c r="M173" s="101"/>
      <c r="N173" s="112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</row>
    <row r="174" spans="1:29" ht="13">
      <c r="A174" s="115"/>
      <c r="B174" s="97"/>
      <c r="C174" s="115"/>
      <c r="D174" s="115"/>
      <c r="E174" s="115"/>
      <c r="F174" s="115"/>
      <c r="G174" s="99"/>
      <c r="H174" s="98"/>
      <c r="I174" s="100"/>
      <c r="J174" s="100"/>
      <c r="K174" s="100"/>
      <c r="L174" s="101"/>
      <c r="M174" s="101"/>
      <c r="N174" s="112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</row>
    <row r="175" spans="1:29" ht="13">
      <c r="A175" s="115"/>
      <c r="B175" s="97"/>
      <c r="C175" s="115"/>
      <c r="D175" s="115"/>
      <c r="E175" s="115"/>
      <c r="F175" s="115"/>
      <c r="G175" s="99"/>
      <c r="H175" s="98"/>
      <c r="I175" s="100"/>
      <c r="J175" s="100"/>
      <c r="K175" s="100"/>
      <c r="L175" s="101"/>
      <c r="M175" s="101"/>
      <c r="N175" s="112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</row>
    <row r="176" spans="1:29" ht="13">
      <c r="A176" s="115"/>
      <c r="B176" s="97"/>
      <c r="C176" s="115"/>
      <c r="D176" s="115"/>
      <c r="E176" s="115"/>
      <c r="F176" s="115"/>
      <c r="G176" s="99"/>
      <c r="H176" s="98"/>
      <c r="I176" s="100"/>
      <c r="J176" s="100"/>
      <c r="K176" s="100"/>
      <c r="L176" s="101"/>
      <c r="M176" s="101"/>
      <c r="N176" s="112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</row>
    <row r="177" spans="1:29" ht="13">
      <c r="A177" s="115"/>
      <c r="B177" s="97"/>
      <c r="C177" s="115"/>
      <c r="D177" s="115"/>
      <c r="E177" s="115"/>
      <c r="F177" s="115"/>
      <c r="G177" s="99"/>
      <c r="H177" s="98"/>
      <c r="I177" s="100"/>
      <c r="J177" s="100"/>
      <c r="K177" s="100"/>
      <c r="L177" s="101"/>
      <c r="M177" s="101"/>
      <c r="N177" s="112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</row>
    <row r="178" spans="1:29" ht="13">
      <c r="A178" s="115"/>
      <c r="B178" s="97"/>
      <c r="C178" s="115"/>
      <c r="D178" s="115"/>
      <c r="E178" s="115"/>
      <c r="F178" s="115"/>
      <c r="G178" s="99"/>
      <c r="H178" s="98"/>
      <c r="I178" s="100"/>
      <c r="J178" s="100"/>
      <c r="K178" s="100"/>
      <c r="L178" s="101"/>
      <c r="M178" s="101"/>
      <c r="N178" s="112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</row>
    <row r="179" spans="1:29" ht="13">
      <c r="A179" s="115"/>
      <c r="B179" s="97"/>
      <c r="C179" s="115"/>
      <c r="D179" s="115"/>
      <c r="E179" s="115"/>
      <c r="F179" s="115"/>
      <c r="G179" s="99"/>
      <c r="H179" s="98"/>
      <c r="I179" s="100"/>
      <c r="J179" s="100"/>
      <c r="K179" s="100"/>
      <c r="L179" s="101"/>
      <c r="M179" s="101"/>
      <c r="N179" s="112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</row>
    <row r="180" spans="1:29" ht="13">
      <c r="A180" s="115"/>
      <c r="B180" s="97"/>
      <c r="C180" s="115"/>
      <c r="D180" s="115"/>
      <c r="E180" s="115"/>
      <c r="F180" s="115"/>
      <c r="G180" s="99"/>
      <c r="H180" s="98"/>
      <c r="I180" s="100"/>
      <c r="J180" s="100"/>
      <c r="K180" s="100"/>
      <c r="L180" s="101"/>
      <c r="M180" s="101"/>
      <c r="N180" s="112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</row>
    <row r="181" spans="1:29" ht="13">
      <c r="A181" s="115"/>
      <c r="B181" s="97"/>
      <c r="C181" s="115"/>
      <c r="D181" s="115"/>
      <c r="E181" s="115"/>
      <c r="F181" s="115"/>
      <c r="G181" s="99"/>
      <c r="H181" s="98"/>
      <c r="I181" s="100"/>
      <c r="J181" s="100"/>
      <c r="K181" s="100"/>
      <c r="L181" s="101"/>
      <c r="M181" s="101"/>
      <c r="N181" s="112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</row>
    <row r="182" spans="1:29" ht="13">
      <c r="A182" s="115"/>
      <c r="B182" s="97"/>
      <c r="C182" s="115"/>
      <c r="D182" s="115"/>
      <c r="E182" s="115"/>
      <c r="F182" s="115"/>
      <c r="G182" s="99"/>
      <c r="H182" s="98"/>
      <c r="I182" s="100"/>
      <c r="J182" s="100"/>
      <c r="K182" s="100"/>
      <c r="L182" s="101"/>
      <c r="M182" s="101"/>
      <c r="N182" s="112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</row>
    <row r="183" spans="1:29" ht="13">
      <c r="A183" s="115"/>
      <c r="B183" s="97"/>
      <c r="C183" s="115"/>
      <c r="D183" s="115"/>
      <c r="E183" s="115"/>
      <c r="F183" s="115"/>
      <c r="G183" s="99"/>
      <c r="H183" s="98"/>
      <c r="I183" s="100"/>
      <c r="J183" s="100"/>
      <c r="K183" s="100"/>
      <c r="L183" s="101"/>
      <c r="M183" s="101"/>
      <c r="N183" s="112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</row>
    <row r="184" spans="1:29" ht="13">
      <c r="A184" s="115"/>
      <c r="B184" s="97"/>
      <c r="C184" s="115"/>
      <c r="D184" s="115"/>
      <c r="E184" s="115"/>
      <c r="F184" s="115"/>
      <c r="G184" s="99"/>
      <c r="H184" s="98"/>
      <c r="I184" s="100"/>
      <c r="J184" s="100"/>
      <c r="K184" s="100"/>
      <c r="L184" s="101"/>
      <c r="M184" s="101"/>
      <c r="N184" s="112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</row>
    <row r="185" spans="1:29" ht="13">
      <c r="A185" s="115"/>
      <c r="B185" s="97"/>
      <c r="C185" s="115"/>
      <c r="D185" s="115"/>
      <c r="E185" s="115"/>
      <c r="F185" s="115"/>
      <c r="G185" s="99"/>
      <c r="H185" s="98"/>
      <c r="I185" s="100"/>
      <c r="J185" s="100"/>
      <c r="K185" s="100"/>
      <c r="L185" s="101"/>
      <c r="M185" s="101"/>
      <c r="N185" s="112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</row>
    <row r="186" spans="1:29" ht="13">
      <c r="A186" s="115"/>
      <c r="B186" s="97"/>
      <c r="C186" s="115"/>
      <c r="D186" s="115"/>
      <c r="E186" s="115"/>
      <c r="F186" s="115"/>
      <c r="G186" s="99"/>
      <c r="H186" s="98"/>
      <c r="I186" s="100"/>
      <c r="J186" s="100"/>
      <c r="K186" s="100"/>
      <c r="L186" s="101"/>
      <c r="M186" s="101"/>
      <c r="N186" s="112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</row>
    <row r="187" spans="1:29" ht="13">
      <c r="A187" s="115"/>
      <c r="B187" s="97"/>
      <c r="C187" s="115"/>
      <c r="D187" s="115"/>
      <c r="E187" s="115"/>
      <c r="F187" s="115"/>
      <c r="G187" s="99"/>
      <c r="H187" s="98"/>
      <c r="I187" s="100"/>
      <c r="J187" s="100"/>
      <c r="K187" s="100"/>
      <c r="L187" s="101"/>
      <c r="M187" s="101"/>
      <c r="N187" s="112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</row>
    <row r="188" spans="1:29" ht="13">
      <c r="A188" s="115"/>
      <c r="B188" s="97"/>
      <c r="C188" s="115"/>
      <c r="D188" s="115"/>
      <c r="E188" s="115"/>
      <c r="F188" s="115"/>
      <c r="G188" s="99"/>
      <c r="H188" s="98"/>
      <c r="I188" s="100"/>
      <c r="J188" s="100"/>
      <c r="K188" s="100"/>
      <c r="L188" s="101"/>
      <c r="M188" s="101"/>
      <c r="N188" s="112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</row>
    <row r="189" spans="1:29" ht="13">
      <c r="A189" s="115"/>
      <c r="B189" s="97"/>
      <c r="C189" s="115"/>
      <c r="D189" s="115"/>
      <c r="E189" s="115"/>
      <c r="F189" s="115"/>
      <c r="G189" s="99"/>
      <c r="H189" s="98"/>
      <c r="I189" s="100"/>
      <c r="J189" s="100"/>
      <c r="K189" s="100"/>
      <c r="L189" s="101"/>
      <c r="M189" s="101"/>
      <c r="N189" s="112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</row>
    <row r="190" spans="1:29" ht="13">
      <c r="A190" s="115"/>
      <c r="B190" s="97"/>
      <c r="C190" s="115"/>
      <c r="D190" s="115"/>
      <c r="E190" s="115"/>
      <c r="F190" s="115"/>
      <c r="G190" s="99"/>
      <c r="H190" s="98"/>
      <c r="I190" s="100"/>
      <c r="J190" s="100"/>
      <c r="K190" s="100"/>
      <c r="L190" s="101"/>
      <c r="M190" s="101"/>
      <c r="N190" s="112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</row>
    <row r="191" spans="1:29" ht="13">
      <c r="A191" s="115"/>
      <c r="B191" s="97"/>
      <c r="C191" s="115"/>
      <c r="D191" s="115"/>
      <c r="E191" s="115"/>
      <c r="F191" s="115"/>
      <c r="G191" s="99"/>
      <c r="H191" s="98"/>
      <c r="I191" s="100"/>
      <c r="J191" s="100"/>
      <c r="K191" s="100"/>
      <c r="L191" s="101"/>
      <c r="M191" s="101"/>
      <c r="N191" s="112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</row>
    <row r="192" spans="1:29" ht="13">
      <c r="A192" s="115"/>
      <c r="B192" s="97"/>
      <c r="C192" s="115"/>
      <c r="D192" s="115"/>
      <c r="E192" s="115"/>
      <c r="F192" s="115"/>
      <c r="G192" s="99"/>
      <c r="H192" s="98"/>
      <c r="I192" s="100"/>
      <c r="J192" s="100"/>
      <c r="K192" s="100"/>
      <c r="L192" s="101"/>
      <c r="M192" s="101"/>
      <c r="N192" s="112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</row>
    <row r="193" spans="1:29" ht="13">
      <c r="A193" s="115"/>
      <c r="B193" s="97"/>
      <c r="C193" s="115"/>
      <c r="D193" s="115"/>
      <c r="E193" s="115"/>
      <c r="F193" s="115"/>
      <c r="G193" s="99"/>
      <c r="H193" s="98"/>
      <c r="I193" s="100"/>
      <c r="J193" s="100"/>
      <c r="K193" s="100"/>
      <c r="L193" s="101"/>
      <c r="M193" s="101"/>
      <c r="N193" s="112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</row>
    <row r="194" spans="1:29" ht="13">
      <c r="A194" s="115"/>
      <c r="B194" s="97"/>
      <c r="C194" s="115"/>
      <c r="D194" s="115"/>
      <c r="E194" s="115"/>
      <c r="F194" s="115"/>
      <c r="G194" s="99"/>
      <c r="H194" s="98"/>
      <c r="I194" s="100"/>
      <c r="J194" s="100"/>
      <c r="K194" s="100"/>
      <c r="L194" s="101"/>
      <c r="M194" s="101"/>
      <c r="N194" s="112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</row>
    <row r="195" spans="1:29" ht="13">
      <c r="A195" s="115"/>
      <c r="B195" s="97"/>
      <c r="C195" s="115"/>
      <c r="D195" s="115"/>
      <c r="E195" s="115"/>
      <c r="F195" s="115"/>
      <c r="G195" s="99"/>
      <c r="H195" s="98"/>
      <c r="I195" s="100"/>
      <c r="J195" s="100"/>
      <c r="K195" s="100"/>
      <c r="L195" s="101"/>
      <c r="M195" s="101"/>
      <c r="N195" s="112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</row>
    <row r="196" spans="1:29" ht="13">
      <c r="A196" s="115"/>
      <c r="B196" s="97"/>
      <c r="C196" s="115"/>
      <c r="D196" s="115"/>
      <c r="E196" s="115"/>
      <c r="F196" s="115"/>
      <c r="G196" s="99"/>
      <c r="H196" s="98"/>
      <c r="I196" s="100"/>
      <c r="J196" s="100"/>
      <c r="K196" s="100"/>
      <c r="L196" s="101"/>
      <c r="M196" s="101"/>
      <c r="N196" s="112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</row>
    <row r="197" spans="1:29" ht="13">
      <c r="A197" s="115"/>
      <c r="B197" s="97"/>
      <c r="C197" s="115"/>
      <c r="D197" s="115"/>
      <c r="E197" s="115"/>
      <c r="F197" s="115"/>
      <c r="G197" s="99"/>
      <c r="H197" s="98"/>
      <c r="I197" s="100"/>
      <c r="J197" s="100"/>
      <c r="K197" s="100"/>
      <c r="L197" s="101"/>
      <c r="M197" s="101"/>
      <c r="N197" s="112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</row>
    <row r="198" spans="1:29" ht="13">
      <c r="A198" s="115"/>
      <c r="B198" s="97"/>
      <c r="C198" s="115"/>
      <c r="D198" s="115"/>
      <c r="E198" s="115"/>
      <c r="F198" s="115"/>
      <c r="G198" s="99"/>
      <c r="H198" s="98"/>
      <c r="I198" s="100"/>
      <c r="J198" s="100"/>
      <c r="K198" s="100"/>
      <c r="L198" s="101"/>
      <c r="M198" s="101"/>
      <c r="N198" s="112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</row>
    <row r="199" spans="1:29" ht="13">
      <c r="A199" s="115"/>
      <c r="B199" s="97"/>
      <c r="C199" s="115"/>
      <c r="D199" s="115"/>
      <c r="E199" s="115"/>
      <c r="F199" s="115"/>
      <c r="G199" s="99"/>
      <c r="H199" s="98"/>
      <c r="I199" s="100"/>
      <c r="J199" s="100"/>
      <c r="K199" s="100"/>
      <c r="L199" s="101"/>
      <c r="M199" s="101"/>
      <c r="N199" s="112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</row>
    <row r="200" spans="1:29" ht="13">
      <c r="A200" s="115"/>
      <c r="B200" s="97"/>
      <c r="C200" s="115"/>
      <c r="D200" s="115"/>
      <c r="E200" s="115"/>
      <c r="F200" s="115"/>
      <c r="G200" s="99"/>
      <c r="H200" s="98"/>
      <c r="I200" s="100"/>
      <c r="J200" s="100"/>
      <c r="K200" s="100"/>
      <c r="L200" s="101"/>
      <c r="M200" s="101"/>
      <c r="N200" s="112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</row>
    <row r="201" spans="1:29" ht="13">
      <c r="A201" s="115"/>
      <c r="B201" s="97"/>
      <c r="C201" s="115"/>
      <c r="D201" s="115"/>
      <c r="E201" s="115"/>
      <c r="F201" s="115"/>
      <c r="G201" s="99"/>
      <c r="H201" s="98"/>
      <c r="I201" s="100"/>
      <c r="J201" s="100"/>
      <c r="K201" s="100"/>
      <c r="L201" s="101"/>
      <c r="M201" s="101"/>
      <c r="N201" s="112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</row>
    <row r="202" spans="1:29" ht="13">
      <c r="A202" s="115"/>
      <c r="B202" s="97"/>
      <c r="C202" s="115"/>
      <c r="D202" s="115"/>
      <c r="E202" s="115"/>
      <c r="F202" s="115"/>
      <c r="G202" s="99"/>
      <c r="H202" s="98"/>
      <c r="I202" s="100"/>
      <c r="J202" s="100"/>
      <c r="K202" s="100"/>
      <c r="L202" s="101"/>
      <c r="M202" s="101"/>
      <c r="N202" s="112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</row>
    <row r="203" spans="1:29" ht="13">
      <c r="A203" s="115"/>
      <c r="B203" s="97"/>
      <c r="C203" s="115"/>
      <c r="D203" s="115"/>
      <c r="E203" s="115"/>
      <c r="F203" s="115"/>
      <c r="G203" s="99"/>
      <c r="H203" s="98"/>
      <c r="I203" s="100"/>
      <c r="J203" s="100"/>
      <c r="K203" s="100"/>
      <c r="L203" s="101"/>
      <c r="M203" s="101"/>
      <c r="N203" s="112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</row>
    <row r="204" spans="1:29" ht="13">
      <c r="A204" s="115"/>
      <c r="B204" s="97"/>
      <c r="C204" s="115"/>
      <c r="D204" s="115"/>
      <c r="E204" s="115"/>
      <c r="F204" s="115"/>
      <c r="G204" s="99"/>
      <c r="H204" s="98"/>
      <c r="I204" s="100"/>
      <c r="J204" s="100"/>
      <c r="K204" s="100"/>
      <c r="L204" s="101"/>
      <c r="M204" s="101"/>
      <c r="N204" s="112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</row>
    <row r="205" spans="1:29" ht="13">
      <c r="A205" s="115"/>
      <c r="B205" s="97"/>
      <c r="C205" s="115"/>
      <c r="D205" s="115"/>
      <c r="E205" s="115"/>
      <c r="F205" s="115"/>
      <c r="G205" s="99"/>
      <c r="H205" s="98"/>
      <c r="I205" s="100"/>
      <c r="J205" s="100"/>
      <c r="K205" s="100"/>
      <c r="L205" s="101"/>
      <c r="M205" s="101"/>
      <c r="N205" s="112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</row>
    <row r="206" spans="1:29" ht="13">
      <c r="A206" s="115"/>
      <c r="B206" s="97"/>
      <c r="C206" s="115"/>
      <c r="D206" s="115"/>
      <c r="E206" s="115"/>
      <c r="F206" s="115"/>
      <c r="G206" s="99"/>
      <c r="H206" s="98"/>
      <c r="I206" s="100"/>
      <c r="J206" s="100"/>
      <c r="K206" s="100"/>
      <c r="L206" s="101"/>
      <c r="M206" s="101"/>
      <c r="N206" s="112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</row>
    <row r="207" spans="1:29" ht="13">
      <c r="A207" s="115"/>
      <c r="B207" s="97"/>
      <c r="C207" s="115"/>
      <c r="D207" s="115"/>
      <c r="E207" s="115"/>
      <c r="F207" s="115"/>
      <c r="G207" s="99"/>
      <c r="H207" s="98"/>
      <c r="I207" s="100"/>
      <c r="J207" s="100"/>
      <c r="K207" s="100"/>
      <c r="L207" s="101"/>
      <c r="M207" s="101"/>
      <c r="N207" s="112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</row>
    <row r="208" spans="1:29" ht="13">
      <c r="A208" s="115"/>
      <c r="B208" s="97"/>
      <c r="C208" s="115"/>
      <c r="D208" s="115"/>
      <c r="E208" s="115"/>
      <c r="F208" s="115"/>
      <c r="G208" s="99"/>
      <c r="H208" s="98"/>
      <c r="I208" s="100"/>
      <c r="J208" s="100"/>
      <c r="K208" s="100"/>
      <c r="L208" s="101"/>
      <c r="M208" s="101"/>
      <c r="N208" s="112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</row>
    <row r="209" spans="1:29" ht="13">
      <c r="A209" s="115"/>
      <c r="B209" s="97"/>
      <c r="C209" s="115"/>
      <c r="D209" s="115"/>
      <c r="E209" s="115"/>
      <c r="F209" s="115"/>
      <c r="G209" s="99"/>
      <c r="H209" s="98"/>
      <c r="I209" s="100"/>
      <c r="J209" s="100"/>
      <c r="K209" s="100"/>
      <c r="L209" s="101"/>
      <c r="M209" s="101"/>
      <c r="N209" s="112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</row>
    <row r="210" spans="1:29" ht="13">
      <c r="A210" s="115"/>
      <c r="B210" s="97"/>
      <c r="C210" s="115"/>
      <c r="D210" s="115"/>
      <c r="E210" s="115"/>
      <c r="F210" s="115"/>
      <c r="G210" s="99"/>
      <c r="H210" s="98"/>
      <c r="I210" s="100"/>
      <c r="J210" s="100"/>
      <c r="K210" s="100"/>
      <c r="L210" s="101"/>
      <c r="M210" s="101"/>
      <c r="N210" s="112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</row>
    <row r="211" spans="1:29" ht="13">
      <c r="A211" s="115"/>
      <c r="B211" s="97"/>
      <c r="C211" s="115"/>
      <c r="D211" s="115"/>
      <c r="E211" s="115"/>
      <c r="F211" s="115"/>
      <c r="G211" s="99"/>
      <c r="H211" s="98"/>
      <c r="I211" s="100"/>
      <c r="J211" s="100"/>
      <c r="K211" s="100"/>
      <c r="L211" s="101"/>
      <c r="M211" s="101"/>
      <c r="N211" s="112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</row>
    <row r="212" spans="1:29" ht="13">
      <c r="A212" s="115"/>
      <c r="B212" s="97"/>
      <c r="C212" s="115"/>
      <c r="D212" s="115"/>
      <c r="E212" s="115"/>
      <c r="F212" s="115"/>
      <c r="G212" s="99"/>
      <c r="H212" s="98"/>
      <c r="I212" s="100"/>
      <c r="J212" s="100"/>
      <c r="K212" s="100"/>
      <c r="L212" s="101"/>
      <c r="M212" s="101"/>
      <c r="N212" s="112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</row>
    <row r="213" spans="1:29" ht="13">
      <c r="A213" s="115"/>
      <c r="B213" s="97"/>
      <c r="C213" s="115"/>
      <c r="D213" s="115"/>
      <c r="E213" s="115"/>
      <c r="F213" s="115"/>
      <c r="G213" s="99"/>
      <c r="H213" s="98"/>
      <c r="I213" s="100"/>
      <c r="J213" s="100"/>
      <c r="K213" s="100"/>
      <c r="L213" s="101"/>
      <c r="M213" s="101"/>
      <c r="N213" s="112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</row>
    <row r="214" spans="1:29" ht="13">
      <c r="A214" s="115"/>
      <c r="B214" s="97"/>
      <c r="C214" s="115"/>
      <c r="D214" s="115"/>
      <c r="E214" s="115"/>
      <c r="F214" s="115"/>
      <c r="G214" s="99"/>
      <c r="H214" s="98"/>
      <c r="I214" s="100"/>
      <c r="J214" s="100"/>
      <c r="K214" s="100"/>
      <c r="L214" s="101"/>
      <c r="M214" s="101"/>
      <c r="N214" s="112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</row>
    <row r="215" spans="1:29" ht="13">
      <c r="A215" s="115"/>
      <c r="B215" s="97"/>
      <c r="C215" s="115"/>
      <c r="D215" s="115"/>
      <c r="E215" s="115"/>
      <c r="F215" s="115"/>
      <c r="G215" s="99"/>
      <c r="H215" s="98"/>
      <c r="I215" s="100"/>
      <c r="J215" s="100"/>
      <c r="K215" s="100"/>
      <c r="L215" s="101"/>
      <c r="M215" s="101"/>
      <c r="N215" s="112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</row>
    <row r="216" spans="1:29" ht="13">
      <c r="A216" s="115"/>
      <c r="B216" s="97"/>
      <c r="C216" s="115"/>
      <c r="D216" s="115"/>
      <c r="E216" s="115"/>
      <c r="F216" s="115"/>
      <c r="G216" s="99"/>
      <c r="H216" s="98"/>
      <c r="I216" s="100"/>
      <c r="J216" s="100"/>
      <c r="K216" s="100"/>
      <c r="L216" s="101"/>
      <c r="M216" s="101"/>
      <c r="N216" s="112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</row>
    <row r="217" spans="1:29" ht="13">
      <c r="A217" s="115"/>
      <c r="B217" s="97"/>
      <c r="C217" s="115"/>
      <c r="D217" s="115"/>
      <c r="E217" s="115"/>
      <c r="F217" s="115"/>
      <c r="G217" s="99"/>
      <c r="H217" s="98"/>
      <c r="I217" s="100"/>
      <c r="J217" s="100"/>
      <c r="K217" s="100"/>
      <c r="L217" s="101"/>
      <c r="M217" s="101"/>
      <c r="N217" s="112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</row>
    <row r="218" spans="1:29" ht="13">
      <c r="A218" s="115"/>
      <c r="B218" s="97"/>
      <c r="C218" s="115"/>
      <c r="D218" s="115"/>
      <c r="E218" s="115"/>
      <c r="F218" s="115"/>
      <c r="G218" s="99"/>
      <c r="H218" s="98"/>
      <c r="I218" s="100"/>
      <c r="J218" s="100"/>
      <c r="K218" s="100"/>
      <c r="L218" s="101"/>
      <c r="M218" s="101"/>
      <c r="N218" s="112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</row>
    <row r="219" spans="1:29" ht="13">
      <c r="A219" s="115"/>
      <c r="B219" s="97"/>
      <c r="C219" s="115"/>
      <c r="D219" s="115"/>
      <c r="E219" s="115"/>
      <c r="F219" s="115"/>
      <c r="G219" s="99"/>
      <c r="H219" s="98"/>
      <c r="I219" s="100"/>
      <c r="J219" s="100"/>
      <c r="K219" s="100"/>
      <c r="L219" s="101"/>
      <c r="M219" s="101"/>
      <c r="N219" s="112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</row>
    <row r="220" spans="1:29" ht="13">
      <c r="A220" s="115"/>
      <c r="B220" s="97"/>
      <c r="C220" s="115"/>
      <c r="D220" s="115"/>
      <c r="E220" s="115"/>
      <c r="F220" s="115"/>
      <c r="G220" s="99"/>
      <c r="H220" s="98"/>
      <c r="I220" s="100"/>
      <c r="J220" s="100"/>
      <c r="K220" s="100"/>
      <c r="L220" s="101"/>
      <c r="M220" s="101"/>
      <c r="N220" s="112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</row>
    <row r="221" spans="1:29" ht="13">
      <c r="A221" s="115"/>
      <c r="B221" s="97"/>
      <c r="C221" s="115"/>
      <c r="D221" s="115"/>
      <c r="E221" s="115"/>
      <c r="F221" s="115"/>
      <c r="G221" s="99"/>
      <c r="H221" s="98"/>
      <c r="I221" s="100"/>
      <c r="J221" s="100"/>
      <c r="K221" s="100"/>
      <c r="L221" s="101"/>
      <c r="M221" s="101"/>
      <c r="N221" s="112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</row>
    <row r="222" spans="1:29" ht="13">
      <c r="A222" s="115"/>
      <c r="B222" s="97"/>
      <c r="C222" s="115"/>
      <c r="D222" s="115"/>
      <c r="E222" s="115"/>
      <c r="F222" s="115"/>
      <c r="G222" s="99"/>
      <c r="H222" s="98"/>
      <c r="I222" s="100"/>
      <c r="J222" s="100"/>
      <c r="K222" s="100"/>
      <c r="L222" s="101"/>
      <c r="M222" s="101"/>
      <c r="N222" s="112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</row>
    <row r="223" spans="1:29" ht="13">
      <c r="A223" s="115"/>
      <c r="B223" s="97"/>
      <c r="C223" s="115"/>
      <c r="D223" s="115"/>
      <c r="E223" s="115"/>
      <c r="F223" s="115"/>
      <c r="G223" s="99"/>
      <c r="H223" s="98"/>
      <c r="I223" s="100"/>
      <c r="J223" s="100"/>
      <c r="K223" s="100"/>
      <c r="L223" s="101"/>
      <c r="M223" s="101"/>
      <c r="N223" s="112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</row>
    <row r="224" spans="1:29" ht="13">
      <c r="A224" s="115"/>
      <c r="B224" s="97"/>
      <c r="C224" s="115"/>
      <c r="D224" s="115"/>
      <c r="E224" s="115"/>
      <c r="F224" s="115"/>
      <c r="G224" s="99"/>
      <c r="H224" s="98"/>
      <c r="I224" s="100"/>
      <c r="J224" s="100"/>
      <c r="K224" s="100"/>
      <c r="L224" s="101"/>
      <c r="M224" s="101"/>
      <c r="N224" s="112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</row>
    <row r="225" spans="1:29" ht="13">
      <c r="A225" s="115"/>
      <c r="B225" s="97"/>
      <c r="C225" s="115"/>
      <c r="D225" s="115"/>
      <c r="E225" s="115"/>
      <c r="F225" s="115"/>
      <c r="G225" s="99"/>
      <c r="H225" s="98"/>
      <c r="I225" s="100"/>
      <c r="J225" s="100"/>
      <c r="K225" s="100"/>
      <c r="L225" s="101"/>
      <c r="M225" s="101"/>
      <c r="N225" s="112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</row>
    <row r="226" spans="1:29" ht="13">
      <c r="A226" s="115"/>
      <c r="B226" s="97"/>
      <c r="C226" s="115"/>
      <c r="D226" s="115"/>
      <c r="E226" s="115"/>
      <c r="F226" s="115"/>
      <c r="G226" s="99"/>
      <c r="H226" s="98"/>
      <c r="I226" s="100"/>
      <c r="J226" s="100"/>
      <c r="K226" s="100"/>
      <c r="L226" s="101"/>
      <c r="M226" s="101"/>
      <c r="N226" s="112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</row>
    <row r="227" spans="1:29" ht="13">
      <c r="A227" s="115"/>
      <c r="B227" s="97"/>
      <c r="C227" s="115"/>
      <c r="D227" s="115"/>
      <c r="E227" s="115"/>
      <c r="F227" s="115"/>
      <c r="G227" s="99"/>
      <c r="H227" s="98"/>
      <c r="I227" s="100"/>
      <c r="J227" s="100"/>
      <c r="K227" s="100"/>
      <c r="L227" s="101"/>
      <c r="M227" s="101"/>
      <c r="N227" s="112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</row>
    <row r="228" spans="1:29" ht="13">
      <c r="A228" s="115"/>
      <c r="B228" s="97"/>
      <c r="C228" s="115"/>
      <c r="D228" s="115"/>
      <c r="E228" s="115"/>
      <c r="F228" s="115"/>
      <c r="G228" s="99"/>
      <c r="H228" s="98"/>
      <c r="I228" s="100"/>
      <c r="J228" s="100"/>
      <c r="K228" s="100"/>
      <c r="L228" s="101"/>
      <c r="M228" s="101"/>
      <c r="N228" s="112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</row>
    <row r="229" spans="1:29" ht="13">
      <c r="A229" s="115"/>
      <c r="B229" s="97"/>
      <c r="C229" s="115"/>
      <c r="D229" s="115"/>
      <c r="E229" s="115"/>
      <c r="F229" s="115"/>
      <c r="G229" s="99"/>
      <c r="H229" s="98"/>
      <c r="I229" s="100"/>
      <c r="J229" s="100"/>
      <c r="K229" s="100"/>
      <c r="L229" s="101"/>
      <c r="M229" s="101"/>
      <c r="N229" s="112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</row>
    <row r="230" spans="1:29" ht="13">
      <c r="A230" s="115"/>
      <c r="B230" s="97"/>
      <c r="C230" s="115"/>
      <c r="D230" s="115"/>
      <c r="E230" s="115"/>
      <c r="F230" s="115"/>
      <c r="G230" s="99"/>
      <c r="H230" s="98"/>
      <c r="I230" s="100"/>
      <c r="J230" s="100"/>
      <c r="K230" s="100"/>
      <c r="L230" s="101"/>
      <c r="M230" s="101"/>
      <c r="N230" s="112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</row>
    <row r="231" spans="1:29" ht="13">
      <c r="A231" s="115"/>
      <c r="B231" s="97"/>
      <c r="C231" s="115"/>
      <c r="D231" s="115"/>
      <c r="E231" s="115"/>
      <c r="F231" s="115"/>
      <c r="G231" s="99"/>
      <c r="H231" s="98"/>
      <c r="I231" s="100"/>
      <c r="J231" s="100"/>
      <c r="K231" s="100"/>
      <c r="L231" s="101"/>
      <c r="M231" s="101"/>
      <c r="N231" s="112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</row>
    <row r="232" spans="1:29" ht="13">
      <c r="A232" s="115"/>
      <c r="B232" s="97"/>
      <c r="C232" s="115"/>
      <c r="D232" s="115"/>
      <c r="E232" s="115"/>
      <c r="F232" s="115"/>
      <c r="G232" s="99"/>
      <c r="H232" s="98"/>
      <c r="I232" s="100"/>
      <c r="J232" s="100"/>
      <c r="K232" s="100"/>
      <c r="L232" s="101"/>
      <c r="M232" s="101"/>
      <c r="N232" s="112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</row>
    <row r="233" spans="1:29" ht="13">
      <c r="A233" s="115"/>
      <c r="B233" s="97"/>
      <c r="C233" s="115"/>
      <c r="D233" s="115"/>
      <c r="E233" s="115"/>
      <c r="F233" s="115"/>
      <c r="G233" s="99"/>
      <c r="H233" s="98"/>
      <c r="I233" s="100"/>
      <c r="J233" s="100"/>
      <c r="K233" s="100"/>
      <c r="L233" s="101"/>
      <c r="M233" s="101"/>
      <c r="N233" s="112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</row>
    <row r="234" spans="1:29" ht="13">
      <c r="A234" s="115"/>
      <c r="B234" s="97"/>
      <c r="C234" s="115"/>
      <c r="D234" s="115"/>
      <c r="E234" s="115"/>
      <c r="F234" s="115"/>
      <c r="G234" s="99"/>
      <c r="H234" s="98"/>
      <c r="I234" s="100"/>
      <c r="J234" s="100"/>
      <c r="K234" s="100"/>
      <c r="L234" s="101"/>
      <c r="M234" s="101"/>
      <c r="N234" s="112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</row>
    <row r="235" spans="1:29" ht="13">
      <c r="A235" s="115"/>
      <c r="B235" s="97"/>
      <c r="C235" s="115"/>
      <c r="D235" s="115"/>
      <c r="E235" s="115"/>
      <c r="F235" s="115"/>
      <c r="G235" s="99"/>
      <c r="H235" s="98"/>
      <c r="I235" s="100"/>
      <c r="J235" s="100"/>
      <c r="K235" s="100"/>
      <c r="L235" s="101"/>
      <c r="M235" s="101"/>
      <c r="N235" s="112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</row>
    <row r="236" spans="1:29" ht="13">
      <c r="A236" s="115"/>
      <c r="B236" s="97"/>
      <c r="C236" s="115"/>
      <c r="D236" s="115"/>
      <c r="E236" s="115"/>
      <c r="F236" s="115"/>
      <c r="G236" s="99"/>
      <c r="H236" s="98"/>
      <c r="I236" s="100"/>
      <c r="J236" s="100"/>
      <c r="K236" s="100"/>
      <c r="L236" s="101"/>
      <c r="M236" s="101"/>
      <c r="N236" s="112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</row>
    <row r="237" spans="1:29" ht="13">
      <c r="A237" s="115"/>
      <c r="B237" s="97"/>
      <c r="C237" s="115"/>
      <c r="D237" s="115"/>
      <c r="E237" s="115"/>
      <c r="F237" s="115"/>
      <c r="G237" s="99"/>
      <c r="H237" s="98"/>
      <c r="I237" s="100"/>
      <c r="J237" s="100"/>
      <c r="K237" s="100"/>
      <c r="L237" s="101"/>
      <c r="M237" s="101"/>
      <c r="N237" s="112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</row>
    <row r="238" spans="1:29" ht="13">
      <c r="A238" s="115"/>
      <c r="B238" s="97"/>
      <c r="C238" s="115"/>
      <c r="D238" s="115"/>
      <c r="E238" s="115"/>
      <c r="F238" s="115"/>
      <c r="G238" s="99"/>
      <c r="H238" s="98"/>
      <c r="I238" s="100"/>
      <c r="J238" s="100"/>
      <c r="K238" s="100"/>
      <c r="L238" s="101"/>
      <c r="M238" s="101"/>
      <c r="N238" s="112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</row>
    <row r="239" spans="1:29" ht="13">
      <c r="A239" s="115"/>
      <c r="B239" s="97"/>
      <c r="C239" s="115"/>
      <c r="D239" s="115"/>
      <c r="E239" s="115"/>
      <c r="F239" s="115"/>
      <c r="G239" s="99"/>
      <c r="H239" s="98"/>
      <c r="I239" s="100"/>
      <c r="J239" s="100"/>
      <c r="K239" s="100"/>
      <c r="L239" s="101"/>
      <c r="M239" s="101"/>
      <c r="N239" s="112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</row>
    <row r="240" spans="1:29" ht="13">
      <c r="A240" s="115"/>
      <c r="B240" s="97"/>
      <c r="C240" s="115"/>
      <c r="D240" s="115"/>
      <c r="E240" s="115"/>
      <c r="F240" s="115"/>
      <c r="G240" s="99"/>
      <c r="H240" s="98"/>
      <c r="I240" s="100"/>
      <c r="J240" s="100"/>
      <c r="K240" s="100"/>
      <c r="L240" s="101"/>
      <c r="M240" s="101"/>
      <c r="N240" s="112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</row>
    <row r="241" spans="1:29" ht="13">
      <c r="A241" s="115"/>
      <c r="B241" s="97"/>
      <c r="C241" s="115"/>
      <c r="D241" s="115"/>
      <c r="E241" s="115"/>
      <c r="F241" s="115"/>
      <c r="G241" s="99"/>
      <c r="H241" s="98"/>
      <c r="I241" s="100"/>
      <c r="J241" s="100"/>
      <c r="K241" s="100"/>
      <c r="L241" s="101"/>
      <c r="M241" s="101"/>
      <c r="N241" s="112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</row>
    <row r="242" spans="1:29" ht="13">
      <c r="A242" s="115"/>
      <c r="B242" s="97"/>
      <c r="C242" s="115"/>
      <c r="D242" s="115"/>
      <c r="E242" s="115"/>
      <c r="F242" s="115"/>
      <c r="G242" s="99"/>
      <c r="H242" s="98"/>
      <c r="I242" s="100"/>
      <c r="J242" s="100"/>
      <c r="K242" s="100"/>
      <c r="L242" s="101"/>
      <c r="M242" s="101"/>
      <c r="N242" s="112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</row>
    <row r="243" spans="1:29" ht="13">
      <c r="A243" s="115"/>
      <c r="B243" s="97"/>
      <c r="C243" s="115"/>
      <c r="D243" s="115"/>
      <c r="E243" s="115"/>
      <c r="F243" s="115"/>
      <c r="G243" s="99"/>
      <c r="H243" s="98"/>
      <c r="I243" s="100"/>
      <c r="J243" s="100"/>
      <c r="K243" s="100"/>
      <c r="L243" s="101"/>
      <c r="M243" s="101"/>
      <c r="N243" s="112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</row>
    <row r="244" spans="1:29" ht="13">
      <c r="A244" s="115"/>
      <c r="B244" s="97"/>
      <c r="C244" s="115"/>
      <c r="D244" s="115"/>
      <c r="E244" s="115"/>
      <c r="F244" s="115"/>
      <c r="G244" s="99"/>
      <c r="H244" s="98"/>
      <c r="I244" s="100"/>
      <c r="J244" s="100"/>
      <c r="K244" s="100"/>
      <c r="L244" s="101"/>
      <c r="M244" s="101"/>
      <c r="N244" s="112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</row>
    <row r="245" spans="1:29" ht="13">
      <c r="A245" s="115"/>
      <c r="B245" s="97"/>
      <c r="C245" s="115"/>
      <c r="D245" s="115"/>
      <c r="E245" s="115"/>
      <c r="F245" s="115"/>
      <c r="G245" s="99"/>
      <c r="H245" s="98"/>
      <c r="I245" s="100"/>
      <c r="J245" s="100"/>
      <c r="K245" s="100"/>
      <c r="L245" s="101"/>
      <c r="M245" s="101"/>
      <c r="N245" s="112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</row>
    <row r="246" spans="1:29" ht="13">
      <c r="A246" s="115"/>
      <c r="B246" s="97"/>
      <c r="C246" s="115"/>
      <c r="D246" s="115"/>
      <c r="E246" s="115"/>
      <c r="F246" s="115"/>
      <c r="G246" s="99"/>
      <c r="H246" s="98"/>
      <c r="I246" s="100"/>
      <c r="J246" s="100"/>
      <c r="K246" s="100"/>
      <c r="L246" s="101"/>
      <c r="M246" s="101"/>
      <c r="N246" s="112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</row>
    <row r="247" spans="1:29" ht="13">
      <c r="A247" s="115"/>
      <c r="B247" s="97"/>
      <c r="C247" s="115"/>
      <c r="D247" s="115"/>
      <c r="E247" s="115"/>
      <c r="F247" s="115"/>
      <c r="G247" s="99"/>
      <c r="H247" s="98"/>
      <c r="I247" s="100"/>
      <c r="J247" s="100"/>
      <c r="K247" s="100"/>
      <c r="L247" s="101"/>
      <c r="M247" s="101"/>
      <c r="N247" s="112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</row>
    <row r="248" spans="1:29" ht="13">
      <c r="A248" s="115"/>
      <c r="B248" s="97"/>
      <c r="C248" s="115"/>
      <c r="D248" s="115"/>
      <c r="E248" s="115"/>
      <c r="F248" s="115"/>
      <c r="G248" s="99"/>
      <c r="H248" s="98"/>
      <c r="I248" s="100"/>
      <c r="J248" s="100"/>
      <c r="K248" s="100"/>
      <c r="L248" s="101"/>
      <c r="M248" s="101"/>
      <c r="N248" s="112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</row>
    <row r="249" spans="1:29" ht="13">
      <c r="A249" s="115"/>
      <c r="B249" s="97"/>
      <c r="C249" s="115"/>
      <c r="D249" s="115"/>
      <c r="E249" s="115"/>
      <c r="F249" s="115"/>
      <c r="G249" s="99"/>
      <c r="H249" s="98"/>
      <c r="I249" s="100"/>
      <c r="J249" s="100"/>
      <c r="K249" s="100"/>
      <c r="L249" s="101"/>
      <c r="M249" s="101"/>
      <c r="N249" s="112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</row>
    <row r="250" spans="1:29" ht="13">
      <c r="A250" s="115"/>
      <c r="B250" s="97"/>
      <c r="C250" s="115"/>
      <c r="D250" s="115"/>
      <c r="E250" s="115"/>
      <c r="F250" s="115"/>
      <c r="G250" s="99"/>
      <c r="H250" s="98"/>
      <c r="I250" s="100"/>
      <c r="J250" s="100"/>
      <c r="K250" s="100"/>
      <c r="L250" s="101"/>
      <c r="M250" s="101"/>
      <c r="N250" s="112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</row>
    <row r="251" spans="1:29" ht="13">
      <c r="A251" s="115"/>
      <c r="B251" s="97"/>
      <c r="C251" s="115"/>
      <c r="D251" s="115"/>
      <c r="E251" s="115"/>
      <c r="F251" s="115"/>
      <c r="G251" s="99"/>
      <c r="H251" s="98"/>
      <c r="I251" s="100"/>
      <c r="J251" s="100"/>
      <c r="K251" s="100"/>
      <c r="L251" s="101"/>
      <c r="M251" s="101"/>
      <c r="N251" s="112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</row>
    <row r="252" spans="1:29" ht="13">
      <c r="A252" s="115"/>
      <c r="B252" s="97"/>
      <c r="C252" s="115"/>
      <c r="D252" s="115"/>
      <c r="E252" s="115"/>
      <c r="F252" s="115"/>
      <c r="G252" s="99"/>
      <c r="H252" s="98"/>
      <c r="I252" s="100"/>
      <c r="J252" s="100"/>
      <c r="K252" s="100"/>
      <c r="L252" s="101"/>
      <c r="M252" s="101"/>
      <c r="N252" s="112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</row>
    <row r="253" spans="1:29" ht="13">
      <c r="A253" s="115"/>
      <c r="B253" s="97"/>
      <c r="C253" s="115"/>
      <c r="D253" s="115"/>
      <c r="E253" s="115"/>
      <c r="F253" s="115"/>
      <c r="G253" s="99"/>
      <c r="H253" s="98"/>
      <c r="I253" s="100"/>
      <c r="J253" s="100"/>
      <c r="K253" s="100"/>
      <c r="L253" s="101"/>
      <c r="M253" s="101"/>
      <c r="N253" s="112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</row>
    <row r="254" spans="1:29" ht="13">
      <c r="A254" s="115"/>
      <c r="B254" s="97"/>
      <c r="C254" s="115"/>
      <c r="D254" s="115"/>
      <c r="E254" s="115"/>
      <c r="F254" s="115"/>
      <c r="G254" s="99"/>
      <c r="H254" s="98"/>
      <c r="I254" s="100"/>
      <c r="J254" s="100"/>
      <c r="K254" s="100"/>
      <c r="L254" s="101"/>
      <c r="M254" s="101"/>
      <c r="N254" s="112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</row>
    <row r="255" spans="1:29" ht="13">
      <c r="A255" s="115"/>
      <c r="B255" s="97"/>
      <c r="C255" s="115"/>
      <c r="D255" s="115"/>
      <c r="E255" s="115"/>
      <c r="F255" s="115"/>
      <c r="G255" s="99"/>
      <c r="H255" s="98"/>
      <c r="I255" s="100"/>
      <c r="J255" s="100"/>
      <c r="K255" s="100"/>
      <c r="L255" s="101"/>
      <c r="M255" s="101"/>
      <c r="N255" s="112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</row>
    <row r="256" spans="1:29" ht="13">
      <c r="A256" s="115"/>
      <c r="B256" s="97"/>
      <c r="C256" s="115"/>
      <c r="D256" s="115"/>
      <c r="E256" s="115"/>
      <c r="F256" s="115"/>
      <c r="G256" s="99"/>
      <c r="H256" s="98"/>
      <c r="I256" s="100"/>
      <c r="J256" s="100"/>
      <c r="K256" s="100"/>
      <c r="L256" s="101"/>
      <c r="M256" s="101"/>
      <c r="N256" s="112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</row>
    <row r="257" spans="1:29" ht="13">
      <c r="A257" s="115"/>
      <c r="B257" s="97"/>
      <c r="C257" s="115"/>
      <c r="D257" s="115"/>
      <c r="E257" s="115"/>
      <c r="F257" s="115"/>
      <c r="G257" s="99"/>
      <c r="H257" s="98"/>
      <c r="I257" s="100"/>
      <c r="J257" s="100"/>
      <c r="K257" s="100"/>
      <c r="L257" s="101"/>
      <c r="M257" s="101"/>
      <c r="N257" s="112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</row>
    <row r="258" spans="1:29" ht="13">
      <c r="A258" s="115"/>
      <c r="B258" s="97"/>
      <c r="C258" s="115"/>
      <c r="D258" s="115"/>
      <c r="E258" s="115"/>
      <c r="F258" s="115"/>
      <c r="G258" s="99"/>
      <c r="H258" s="98"/>
      <c r="I258" s="100"/>
      <c r="J258" s="100"/>
      <c r="K258" s="100"/>
      <c r="L258" s="101"/>
      <c r="M258" s="101"/>
      <c r="N258" s="112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</row>
    <row r="259" spans="1:29" ht="13">
      <c r="A259" s="115"/>
      <c r="B259" s="97"/>
      <c r="C259" s="115"/>
      <c r="D259" s="115"/>
      <c r="E259" s="115"/>
      <c r="F259" s="115"/>
      <c r="G259" s="99"/>
      <c r="H259" s="98"/>
      <c r="I259" s="100"/>
      <c r="J259" s="100"/>
      <c r="K259" s="100"/>
      <c r="L259" s="101"/>
      <c r="M259" s="101"/>
      <c r="N259" s="112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</row>
    <row r="260" spans="1:29" ht="13">
      <c r="A260" s="115"/>
      <c r="B260" s="97"/>
      <c r="C260" s="115"/>
      <c r="D260" s="115"/>
      <c r="E260" s="115"/>
      <c r="F260" s="115"/>
      <c r="G260" s="99"/>
      <c r="H260" s="98"/>
      <c r="I260" s="100"/>
      <c r="J260" s="100"/>
      <c r="K260" s="100"/>
      <c r="L260" s="101"/>
      <c r="M260" s="101"/>
      <c r="N260" s="112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</row>
    <row r="261" spans="1:29" ht="13">
      <c r="A261" s="115"/>
      <c r="B261" s="97"/>
      <c r="C261" s="115"/>
      <c r="D261" s="115"/>
      <c r="E261" s="115"/>
      <c r="F261" s="115"/>
      <c r="G261" s="99"/>
      <c r="H261" s="98"/>
      <c r="I261" s="100"/>
      <c r="J261" s="100"/>
      <c r="K261" s="100"/>
      <c r="L261" s="101"/>
      <c r="M261" s="101"/>
      <c r="N261" s="112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</row>
    <row r="262" spans="1:29" ht="13">
      <c r="A262" s="115"/>
      <c r="B262" s="97"/>
      <c r="C262" s="115"/>
      <c r="D262" s="115"/>
      <c r="E262" s="115"/>
      <c r="F262" s="115"/>
      <c r="G262" s="99"/>
      <c r="H262" s="98"/>
      <c r="I262" s="100"/>
      <c r="J262" s="100"/>
      <c r="K262" s="100"/>
      <c r="L262" s="101"/>
      <c r="M262" s="101"/>
      <c r="N262" s="112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</row>
    <row r="263" spans="1:29" ht="13">
      <c r="A263" s="115"/>
      <c r="B263" s="97"/>
      <c r="C263" s="115"/>
      <c r="D263" s="115"/>
      <c r="E263" s="115"/>
      <c r="F263" s="115"/>
      <c r="G263" s="99"/>
      <c r="H263" s="98"/>
      <c r="I263" s="100"/>
      <c r="J263" s="100"/>
      <c r="K263" s="100"/>
      <c r="L263" s="101"/>
      <c r="M263" s="101"/>
      <c r="N263" s="112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</row>
    <row r="264" spans="1:29" ht="13">
      <c r="A264" s="115"/>
      <c r="B264" s="97"/>
      <c r="C264" s="115"/>
      <c r="D264" s="115"/>
      <c r="E264" s="115"/>
      <c r="F264" s="115"/>
      <c r="G264" s="99"/>
      <c r="H264" s="98"/>
      <c r="I264" s="100"/>
      <c r="J264" s="100"/>
      <c r="K264" s="100"/>
      <c r="L264" s="101"/>
      <c r="M264" s="101"/>
      <c r="N264" s="112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</row>
    <row r="265" spans="1:29" ht="13">
      <c r="A265" s="115"/>
      <c r="B265" s="97"/>
      <c r="C265" s="115"/>
      <c r="D265" s="115"/>
      <c r="E265" s="115"/>
      <c r="F265" s="115"/>
      <c r="G265" s="99"/>
      <c r="H265" s="98"/>
      <c r="I265" s="100"/>
      <c r="J265" s="100"/>
      <c r="K265" s="100"/>
      <c r="L265" s="101"/>
      <c r="M265" s="101"/>
      <c r="N265" s="112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</row>
    <row r="266" spans="1:29" ht="13">
      <c r="A266" s="115"/>
      <c r="B266" s="97"/>
      <c r="C266" s="115"/>
      <c r="D266" s="115"/>
      <c r="E266" s="115"/>
      <c r="F266" s="115"/>
      <c r="G266" s="99"/>
      <c r="H266" s="98"/>
      <c r="I266" s="100"/>
      <c r="J266" s="100"/>
      <c r="K266" s="100"/>
      <c r="L266" s="101"/>
      <c r="M266" s="101"/>
      <c r="N266" s="112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</row>
    <row r="267" spans="1:29" ht="13">
      <c r="A267" s="115"/>
      <c r="B267" s="97"/>
      <c r="C267" s="115"/>
      <c r="D267" s="115"/>
      <c r="E267" s="115"/>
      <c r="F267" s="115"/>
      <c r="G267" s="99"/>
      <c r="H267" s="98"/>
      <c r="I267" s="100"/>
      <c r="J267" s="100"/>
      <c r="K267" s="100"/>
      <c r="L267" s="101"/>
      <c r="M267" s="101"/>
      <c r="N267" s="112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</row>
    <row r="268" spans="1:29" ht="13">
      <c r="A268" s="115"/>
      <c r="B268" s="97"/>
      <c r="C268" s="115"/>
      <c r="D268" s="115"/>
      <c r="E268" s="115"/>
      <c r="F268" s="115"/>
      <c r="G268" s="99"/>
      <c r="H268" s="98"/>
      <c r="I268" s="100"/>
      <c r="J268" s="100"/>
      <c r="K268" s="100"/>
      <c r="L268" s="101"/>
      <c r="M268" s="101"/>
      <c r="N268" s="112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</row>
    <row r="269" spans="1:29" ht="13">
      <c r="A269" s="115"/>
      <c r="B269" s="97"/>
      <c r="C269" s="115"/>
      <c r="D269" s="115"/>
      <c r="E269" s="115"/>
      <c r="F269" s="115"/>
      <c r="G269" s="99"/>
      <c r="H269" s="98"/>
      <c r="I269" s="100"/>
      <c r="J269" s="100"/>
      <c r="K269" s="100"/>
      <c r="L269" s="101"/>
      <c r="M269" s="101"/>
      <c r="N269" s="112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</row>
    <row r="270" spans="1:29" ht="13">
      <c r="A270" s="115"/>
      <c r="B270" s="97"/>
      <c r="C270" s="115"/>
      <c r="D270" s="115"/>
      <c r="E270" s="115"/>
      <c r="F270" s="115"/>
      <c r="G270" s="99"/>
      <c r="H270" s="98"/>
      <c r="I270" s="100"/>
      <c r="J270" s="100"/>
      <c r="K270" s="100"/>
      <c r="L270" s="101"/>
      <c r="M270" s="101"/>
      <c r="N270" s="112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</row>
    <row r="271" spans="1:29" ht="13">
      <c r="A271" s="115"/>
      <c r="B271" s="97"/>
      <c r="C271" s="115"/>
      <c r="D271" s="115"/>
      <c r="E271" s="115"/>
      <c r="F271" s="115"/>
      <c r="G271" s="99"/>
      <c r="H271" s="98"/>
      <c r="I271" s="100"/>
      <c r="J271" s="100"/>
      <c r="K271" s="100"/>
      <c r="L271" s="101"/>
      <c r="M271" s="101"/>
      <c r="N271" s="112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</row>
    <row r="272" spans="1:29" ht="13">
      <c r="A272" s="115"/>
      <c r="B272" s="97"/>
      <c r="C272" s="115"/>
      <c r="D272" s="115"/>
      <c r="E272" s="115"/>
      <c r="F272" s="115"/>
      <c r="G272" s="99"/>
      <c r="H272" s="98"/>
      <c r="I272" s="100"/>
      <c r="J272" s="100"/>
      <c r="K272" s="100"/>
      <c r="L272" s="101"/>
      <c r="M272" s="101"/>
      <c r="N272" s="112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</row>
    <row r="273" spans="1:29" ht="13">
      <c r="A273" s="115"/>
      <c r="B273" s="97"/>
      <c r="C273" s="115"/>
      <c r="D273" s="115"/>
      <c r="E273" s="115"/>
      <c r="F273" s="115"/>
      <c r="G273" s="99"/>
      <c r="H273" s="98"/>
      <c r="I273" s="100"/>
      <c r="J273" s="100"/>
      <c r="K273" s="100"/>
      <c r="L273" s="101"/>
      <c r="M273" s="101"/>
      <c r="N273" s="112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</row>
    <row r="274" spans="1:29" ht="13">
      <c r="A274" s="115"/>
      <c r="B274" s="97"/>
      <c r="C274" s="115"/>
      <c r="D274" s="115"/>
      <c r="E274" s="115"/>
      <c r="F274" s="115"/>
      <c r="G274" s="99"/>
      <c r="H274" s="98"/>
      <c r="I274" s="100"/>
      <c r="J274" s="100"/>
      <c r="K274" s="100"/>
      <c r="L274" s="101"/>
      <c r="M274" s="101"/>
      <c r="N274" s="112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</row>
    <row r="275" spans="1:29" ht="13">
      <c r="A275" s="115"/>
      <c r="B275" s="97"/>
      <c r="C275" s="115"/>
      <c r="D275" s="115"/>
      <c r="E275" s="115"/>
      <c r="F275" s="115"/>
      <c r="G275" s="99"/>
      <c r="H275" s="98"/>
      <c r="I275" s="100"/>
      <c r="J275" s="100"/>
      <c r="K275" s="100"/>
      <c r="L275" s="101"/>
      <c r="M275" s="101"/>
      <c r="N275" s="112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</row>
    <row r="276" spans="1:29" ht="13">
      <c r="A276" s="115"/>
      <c r="B276" s="97"/>
      <c r="C276" s="115"/>
      <c r="D276" s="115"/>
      <c r="E276" s="115"/>
      <c r="F276" s="115"/>
      <c r="G276" s="99"/>
      <c r="H276" s="98"/>
      <c r="I276" s="100"/>
      <c r="J276" s="100"/>
      <c r="K276" s="100"/>
      <c r="L276" s="101"/>
      <c r="M276" s="101"/>
      <c r="N276" s="112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</row>
    <row r="277" spans="1:29" ht="13">
      <c r="A277" s="115"/>
      <c r="B277" s="97"/>
      <c r="C277" s="115"/>
      <c r="D277" s="115"/>
      <c r="E277" s="115"/>
      <c r="F277" s="115"/>
      <c r="G277" s="99"/>
      <c r="H277" s="98"/>
      <c r="I277" s="100"/>
      <c r="J277" s="100"/>
      <c r="K277" s="100"/>
      <c r="L277" s="101"/>
      <c r="M277" s="101"/>
      <c r="N277" s="112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</row>
    <row r="278" spans="1:29" ht="13">
      <c r="A278" s="115"/>
      <c r="B278" s="97"/>
      <c r="C278" s="115"/>
      <c r="D278" s="115"/>
      <c r="E278" s="115"/>
      <c r="F278" s="115"/>
      <c r="G278" s="99"/>
      <c r="H278" s="98"/>
      <c r="I278" s="100"/>
      <c r="J278" s="100"/>
      <c r="K278" s="100"/>
      <c r="L278" s="101"/>
      <c r="M278" s="101"/>
      <c r="N278" s="112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</row>
    <row r="279" spans="1:29" ht="13">
      <c r="A279" s="115"/>
      <c r="B279" s="97"/>
      <c r="C279" s="115"/>
      <c r="D279" s="115"/>
      <c r="E279" s="115"/>
      <c r="F279" s="115"/>
      <c r="G279" s="99"/>
      <c r="H279" s="98"/>
      <c r="I279" s="100"/>
      <c r="J279" s="100"/>
      <c r="K279" s="100"/>
      <c r="L279" s="101"/>
      <c r="M279" s="101"/>
      <c r="N279" s="112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</row>
    <row r="280" spans="1:29" ht="13">
      <c r="A280" s="115"/>
      <c r="B280" s="97"/>
      <c r="C280" s="115"/>
      <c r="D280" s="115"/>
      <c r="E280" s="115"/>
      <c r="F280" s="115"/>
      <c r="G280" s="99"/>
      <c r="H280" s="98"/>
      <c r="I280" s="100"/>
      <c r="J280" s="100"/>
      <c r="K280" s="100"/>
      <c r="L280" s="101"/>
      <c r="M280" s="101"/>
      <c r="N280" s="112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</row>
    <row r="281" spans="1:29" ht="13">
      <c r="A281" s="115"/>
      <c r="B281" s="97"/>
      <c r="C281" s="115"/>
      <c r="D281" s="115"/>
      <c r="E281" s="115"/>
      <c r="F281" s="115"/>
      <c r="G281" s="99"/>
      <c r="H281" s="98"/>
      <c r="I281" s="100"/>
      <c r="J281" s="100"/>
      <c r="K281" s="100"/>
      <c r="L281" s="101"/>
      <c r="M281" s="101"/>
      <c r="N281" s="112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</row>
    <row r="282" spans="1:29" ht="13">
      <c r="A282" s="115"/>
      <c r="B282" s="97"/>
      <c r="C282" s="115"/>
      <c r="D282" s="115"/>
      <c r="E282" s="115"/>
      <c r="F282" s="115"/>
      <c r="G282" s="99"/>
      <c r="H282" s="98"/>
      <c r="I282" s="100"/>
      <c r="J282" s="100"/>
      <c r="K282" s="100"/>
      <c r="L282" s="101"/>
      <c r="M282" s="101"/>
      <c r="N282" s="112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</row>
    <row r="283" spans="1:29" ht="13">
      <c r="A283" s="115"/>
      <c r="B283" s="97"/>
      <c r="C283" s="115"/>
      <c r="D283" s="115"/>
      <c r="E283" s="115"/>
      <c r="F283" s="115"/>
      <c r="G283" s="99"/>
      <c r="H283" s="98"/>
      <c r="I283" s="100"/>
      <c r="J283" s="100"/>
      <c r="K283" s="100"/>
      <c r="L283" s="101"/>
      <c r="M283" s="101"/>
      <c r="N283" s="112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</row>
    <row r="284" spans="1:29" ht="13">
      <c r="A284" s="115"/>
      <c r="B284" s="97"/>
      <c r="C284" s="115"/>
      <c r="D284" s="115"/>
      <c r="E284" s="115"/>
      <c r="F284" s="115"/>
      <c r="G284" s="99"/>
      <c r="H284" s="98"/>
      <c r="I284" s="100"/>
      <c r="J284" s="100"/>
      <c r="K284" s="100"/>
      <c r="L284" s="101"/>
      <c r="M284" s="101"/>
      <c r="N284" s="112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</row>
    <row r="285" spans="1:29" ht="13">
      <c r="A285" s="115"/>
      <c r="B285" s="97"/>
      <c r="C285" s="115"/>
      <c r="D285" s="115"/>
      <c r="E285" s="115"/>
      <c r="F285" s="115"/>
      <c r="G285" s="99"/>
      <c r="H285" s="98"/>
      <c r="I285" s="100"/>
      <c r="J285" s="100"/>
      <c r="K285" s="100"/>
      <c r="L285" s="101"/>
      <c r="M285" s="101"/>
      <c r="N285" s="112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</row>
    <row r="286" spans="1:29" ht="13">
      <c r="A286" s="115"/>
      <c r="B286" s="97"/>
      <c r="C286" s="115"/>
      <c r="D286" s="115"/>
      <c r="E286" s="115"/>
      <c r="F286" s="115"/>
      <c r="G286" s="99"/>
      <c r="H286" s="98"/>
      <c r="I286" s="100"/>
      <c r="J286" s="100"/>
      <c r="K286" s="100"/>
      <c r="L286" s="101"/>
      <c r="M286" s="101"/>
      <c r="N286" s="112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</row>
    <row r="287" spans="1:29" ht="13">
      <c r="A287" s="115"/>
      <c r="B287" s="97"/>
      <c r="C287" s="115"/>
      <c r="D287" s="115"/>
      <c r="E287" s="115"/>
      <c r="F287" s="115"/>
      <c r="G287" s="99"/>
      <c r="H287" s="98"/>
      <c r="I287" s="100"/>
      <c r="J287" s="100"/>
      <c r="K287" s="100"/>
      <c r="L287" s="101"/>
      <c r="M287" s="101"/>
      <c r="N287" s="112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</row>
    <row r="288" spans="1:29" ht="13">
      <c r="A288" s="115"/>
      <c r="B288" s="97"/>
      <c r="C288" s="115"/>
      <c r="D288" s="115"/>
      <c r="E288" s="115"/>
      <c r="F288" s="115"/>
      <c r="G288" s="99"/>
      <c r="H288" s="98"/>
      <c r="I288" s="100"/>
      <c r="J288" s="100"/>
      <c r="K288" s="100"/>
      <c r="L288" s="101"/>
      <c r="M288" s="101"/>
      <c r="N288" s="112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</row>
    <row r="289" spans="1:29" ht="13">
      <c r="A289" s="115"/>
      <c r="B289" s="97"/>
      <c r="C289" s="115"/>
      <c r="D289" s="115"/>
      <c r="E289" s="115"/>
      <c r="F289" s="115"/>
      <c r="G289" s="99"/>
      <c r="H289" s="98"/>
      <c r="I289" s="100"/>
      <c r="J289" s="100"/>
      <c r="K289" s="100"/>
      <c r="L289" s="101"/>
      <c r="M289" s="101"/>
      <c r="N289" s="112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</row>
    <row r="290" spans="1:29" ht="13">
      <c r="A290" s="115"/>
      <c r="B290" s="97"/>
      <c r="C290" s="115"/>
      <c r="D290" s="115"/>
      <c r="E290" s="115"/>
      <c r="F290" s="115"/>
      <c r="G290" s="99"/>
      <c r="H290" s="98"/>
      <c r="I290" s="100"/>
      <c r="J290" s="100"/>
      <c r="K290" s="100"/>
      <c r="L290" s="101"/>
      <c r="M290" s="101"/>
      <c r="N290" s="112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</row>
    <row r="291" spans="1:29" ht="13">
      <c r="A291" s="115"/>
      <c r="B291" s="97"/>
      <c r="C291" s="115"/>
      <c r="D291" s="115"/>
      <c r="E291" s="115"/>
      <c r="F291" s="115"/>
      <c r="G291" s="99"/>
      <c r="H291" s="98"/>
      <c r="I291" s="100"/>
      <c r="J291" s="100"/>
      <c r="K291" s="100"/>
      <c r="L291" s="101"/>
      <c r="M291" s="101"/>
      <c r="N291" s="112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</row>
    <row r="292" spans="1:29" ht="13">
      <c r="A292" s="115"/>
      <c r="B292" s="97"/>
      <c r="C292" s="115"/>
      <c r="D292" s="115"/>
      <c r="E292" s="115"/>
      <c r="F292" s="115"/>
      <c r="G292" s="99"/>
      <c r="H292" s="98"/>
      <c r="I292" s="100"/>
      <c r="J292" s="100"/>
      <c r="K292" s="100"/>
      <c r="L292" s="101"/>
      <c r="M292" s="101"/>
      <c r="N292" s="112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</row>
    <row r="293" spans="1:29" ht="13">
      <c r="A293" s="115"/>
      <c r="B293" s="97"/>
      <c r="C293" s="115"/>
      <c r="D293" s="115"/>
      <c r="E293" s="115"/>
      <c r="F293" s="115"/>
      <c r="G293" s="99"/>
      <c r="H293" s="98"/>
      <c r="I293" s="100"/>
      <c r="J293" s="100"/>
      <c r="K293" s="100"/>
      <c r="L293" s="101"/>
      <c r="M293" s="101"/>
      <c r="N293" s="112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</row>
    <row r="294" spans="1:29" ht="13">
      <c r="A294" s="115"/>
      <c r="B294" s="97"/>
      <c r="C294" s="115"/>
      <c r="D294" s="115"/>
      <c r="E294" s="115"/>
      <c r="F294" s="115"/>
      <c r="G294" s="99"/>
      <c r="H294" s="98"/>
      <c r="I294" s="100"/>
      <c r="J294" s="100"/>
      <c r="K294" s="100"/>
      <c r="L294" s="101"/>
      <c r="M294" s="101"/>
      <c r="N294" s="112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</row>
    <row r="295" spans="1:29" ht="13">
      <c r="A295" s="115"/>
      <c r="B295" s="97"/>
      <c r="C295" s="115"/>
      <c r="D295" s="115"/>
      <c r="E295" s="115"/>
      <c r="F295" s="115"/>
      <c r="G295" s="99"/>
      <c r="H295" s="98"/>
      <c r="I295" s="100"/>
      <c r="J295" s="100"/>
      <c r="K295" s="100"/>
      <c r="L295" s="101"/>
      <c r="M295" s="101"/>
      <c r="N295" s="112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</row>
    <row r="296" spans="1:29" ht="13">
      <c r="A296" s="115"/>
      <c r="B296" s="97"/>
      <c r="C296" s="115"/>
      <c r="D296" s="115"/>
      <c r="E296" s="115"/>
      <c r="F296" s="115"/>
      <c r="G296" s="99"/>
      <c r="H296" s="98"/>
      <c r="I296" s="100"/>
      <c r="J296" s="100"/>
      <c r="K296" s="100"/>
      <c r="L296" s="101"/>
      <c r="M296" s="101"/>
      <c r="N296" s="112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</row>
    <row r="297" spans="1:29" ht="13">
      <c r="A297" s="115"/>
      <c r="B297" s="97"/>
      <c r="C297" s="115"/>
      <c r="D297" s="115"/>
      <c r="E297" s="115"/>
      <c r="F297" s="115"/>
      <c r="G297" s="99"/>
      <c r="H297" s="98"/>
      <c r="I297" s="100"/>
      <c r="J297" s="100"/>
      <c r="K297" s="100"/>
      <c r="L297" s="101"/>
      <c r="M297" s="101"/>
      <c r="N297" s="112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</row>
    <row r="298" spans="1:29" ht="13">
      <c r="A298" s="115"/>
      <c r="B298" s="97"/>
      <c r="C298" s="115"/>
      <c r="D298" s="115"/>
      <c r="E298" s="115"/>
      <c r="F298" s="115"/>
      <c r="G298" s="99"/>
      <c r="H298" s="98"/>
      <c r="I298" s="100"/>
      <c r="J298" s="100"/>
      <c r="K298" s="100"/>
      <c r="L298" s="101"/>
      <c r="M298" s="101"/>
      <c r="N298" s="112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</row>
    <row r="299" spans="1:29" ht="13">
      <c r="A299" s="115"/>
      <c r="B299" s="97"/>
      <c r="C299" s="115"/>
      <c r="D299" s="115"/>
      <c r="E299" s="115"/>
      <c r="F299" s="115"/>
      <c r="G299" s="99"/>
      <c r="H299" s="98"/>
      <c r="I299" s="100"/>
      <c r="J299" s="100"/>
      <c r="K299" s="100"/>
      <c r="L299" s="101"/>
      <c r="M299" s="101"/>
      <c r="N299" s="112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</row>
    <row r="300" spans="1:29" ht="13">
      <c r="A300" s="115"/>
      <c r="B300" s="97"/>
      <c r="C300" s="115"/>
      <c r="D300" s="115"/>
      <c r="E300" s="115"/>
      <c r="F300" s="115"/>
      <c r="G300" s="99"/>
      <c r="H300" s="98"/>
      <c r="I300" s="100"/>
      <c r="J300" s="100"/>
      <c r="K300" s="100"/>
      <c r="L300" s="101"/>
      <c r="M300" s="101"/>
      <c r="N300" s="112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</row>
    <row r="301" spans="1:29" ht="13">
      <c r="A301" s="115"/>
      <c r="B301" s="97"/>
      <c r="C301" s="115"/>
      <c r="D301" s="115"/>
      <c r="E301" s="115"/>
      <c r="F301" s="115"/>
      <c r="G301" s="99"/>
      <c r="H301" s="98"/>
      <c r="I301" s="100"/>
      <c r="J301" s="100"/>
      <c r="K301" s="100"/>
      <c r="L301" s="101"/>
      <c r="M301" s="101"/>
      <c r="N301" s="112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</row>
    <row r="302" spans="1:29" ht="13">
      <c r="A302" s="115"/>
      <c r="B302" s="97"/>
      <c r="C302" s="115"/>
      <c r="D302" s="115"/>
      <c r="E302" s="115"/>
      <c r="F302" s="115"/>
      <c r="G302" s="99"/>
      <c r="H302" s="98"/>
      <c r="I302" s="100"/>
      <c r="J302" s="100"/>
      <c r="K302" s="100"/>
      <c r="L302" s="101"/>
      <c r="M302" s="101"/>
      <c r="N302" s="112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</row>
    <row r="303" spans="1:29" ht="13">
      <c r="A303" s="115"/>
      <c r="B303" s="97"/>
      <c r="C303" s="115"/>
      <c r="D303" s="115"/>
      <c r="E303" s="115"/>
      <c r="F303" s="115"/>
      <c r="G303" s="99"/>
      <c r="H303" s="98"/>
      <c r="I303" s="100"/>
      <c r="J303" s="100"/>
      <c r="K303" s="100"/>
      <c r="L303" s="101"/>
      <c r="M303" s="101"/>
      <c r="N303" s="112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</row>
    <row r="304" spans="1:29" ht="13">
      <c r="A304" s="115"/>
      <c r="B304" s="97"/>
      <c r="C304" s="115"/>
      <c r="D304" s="115"/>
      <c r="E304" s="115"/>
      <c r="F304" s="115"/>
      <c r="G304" s="99"/>
      <c r="H304" s="98"/>
      <c r="I304" s="100"/>
      <c r="J304" s="100"/>
      <c r="K304" s="100"/>
      <c r="L304" s="101"/>
      <c r="M304" s="101"/>
      <c r="N304" s="112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</row>
    <row r="305" spans="1:29" ht="13">
      <c r="A305" s="115"/>
      <c r="B305" s="97"/>
      <c r="C305" s="115"/>
      <c r="D305" s="115"/>
      <c r="E305" s="115"/>
      <c r="F305" s="115"/>
      <c r="G305" s="99"/>
      <c r="H305" s="98"/>
      <c r="I305" s="100"/>
      <c r="J305" s="100"/>
      <c r="K305" s="100"/>
      <c r="L305" s="101"/>
      <c r="M305" s="101"/>
      <c r="N305" s="112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</row>
    <row r="306" spans="1:29" ht="13">
      <c r="A306" s="115"/>
      <c r="B306" s="97"/>
      <c r="C306" s="115"/>
      <c r="D306" s="115"/>
      <c r="E306" s="115"/>
      <c r="F306" s="115"/>
      <c r="G306" s="99"/>
      <c r="H306" s="98"/>
      <c r="I306" s="100"/>
      <c r="J306" s="100"/>
      <c r="K306" s="100"/>
      <c r="L306" s="101"/>
      <c r="M306" s="101"/>
      <c r="N306" s="112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</row>
    <row r="307" spans="1:29" ht="13">
      <c r="A307" s="115"/>
      <c r="B307" s="97"/>
      <c r="C307" s="115"/>
      <c r="D307" s="115"/>
      <c r="E307" s="115"/>
      <c r="F307" s="115"/>
      <c r="G307" s="99"/>
      <c r="H307" s="98"/>
      <c r="I307" s="100"/>
      <c r="J307" s="100"/>
      <c r="K307" s="100"/>
      <c r="L307" s="101"/>
      <c r="M307" s="101"/>
      <c r="N307" s="112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</row>
    <row r="308" spans="1:29" ht="13">
      <c r="A308" s="115"/>
      <c r="B308" s="97"/>
      <c r="C308" s="115"/>
      <c r="D308" s="115"/>
      <c r="E308" s="115"/>
      <c r="F308" s="115"/>
      <c r="G308" s="99"/>
      <c r="H308" s="98"/>
      <c r="I308" s="100"/>
      <c r="J308" s="100"/>
      <c r="K308" s="100"/>
      <c r="L308" s="101"/>
      <c r="M308" s="101"/>
      <c r="N308" s="112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</row>
    <row r="309" spans="1:29" ht="13">
      <c r="A309" s="115"/>
      <c r="B309" s="97"/>
      <c r="C309" s="115"/>
      <c r="D309" s="115"/>
      <c r="E309" s="115"/>
      <c r="F309" s="115"/>
      <c r="G309" s="99"/>
      <c r="H309" s="98"/>
      <c r="I309" s="100"/>
      <c r="J309" s="100"/>
      <c r="K309" s="100"/>
      <c r="L309" s="101"/>
      <c r="M309" s="101"/>
      <c r="N309" s="112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</row>
    <row r="310" spans="1:29" ht="13">
      <c r="A310" s="115"/>
      <c r="B310" s="97"/>
      <c r="C310" s="115"/>
      <c r="D310" s="115"/>
      <c r="E310" s="115"/>
      <c r="F310" s="115"/>
      <c r="G310" s="99"/>
      <c r="H310" s="98"/>
      <c r="I310" s="100"/>
      <c r="J310" s="100"/>
      <c r="K310" s="100"/>
      <c r="L310" s="101"/>
      <c r="M310" s="101"/>
      <c r="N310" s="112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</row>
    <row r="311" spans="1:29" ht="13">
      <c r="A311" s="115"/>
      <c r="B311" s="97"/>
      <c r="C311" s="115"/>
      <c r="D311" s="115"/>
      <c r="E311" s="115"/>
      <c r="F311" s="115"/>
      <c r="G311" s="99"/>
      <c r="H311" s="98"/>
      <c r="I311" s="100"/>
      <c r="J311" s="100"/>
      <c r="K311" s="100"/>
      <c r="L311" s="101"/>
      <c r="M311" s="101"/>
      <c r="N311" s="112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</row>
    <row r="312" spans="1:29" ht="13">
      <c r="A312" s="115"/>
      <c r="B312" s="97"/>
      <c r="C312" s="115"/>
      <c r="D312" s="115"/>
      <c r="E312" s="115"/>
      <c r="F312" s="115"/>
      <c r="G312" s="99"/>
      <c r="H312" s="98"/>
      <c r="I312" s="100"/>
      <c r="J312" s="100"/>
      <c r="K312" s="100"/>
      <c r="L312" s="101"/>
      <c r="M312" s="101"/>
      <c r="N312" s="112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</row>
    <row r="313" spans="1:29" ht="13">
      <c r="A313" s="115"/>
      <c r="B313" s="97"/>
      <c r="C313" s="115"/>
      <c r="D313" s="115"/>
      <c r="E313" s="115"/>
      <c r="F313" s="115"/>
      <c r="G313" s="99"/>
      <c r="H313" s="98"/>
      <c r="I313" s="100"/>
      <c r="J313" s="100"/>
      <c r="K313" s="100"/>
      <c r="L313" s="101"/>
      <c r="M313" s="101"/>
      <c r="N313" s="112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</row>
    <row r="314" spans="1:29" ht="13">
      <c r="A314" s="115"/>
      <c r="B314" s="97"/>
      <c r="C314" s="115"/>
      <c r="D314" s="115"/>
      <c r="E314" s="115"/>
      <c r="F314" s="115"/>
      <c r="G314" s="99"/>
      <c r="H314" s="98"/>
      <c r="I314" s="100"/>
      <c r="J314" s="100"/>
      <c r="K314" s="100"/>
      <c r="L314" s="101"/>
      <c r="M314" s="101"/>
      <c r="N314" s="112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</row>
    <row r="315" spans="1:29" ht="13">
      <c r="A315" s="115"/>
      <c r="B315" s="97"/>
      <c r="C315" s="115"/>
      <c r="D315" s="115"/>
      <c r="E315" s="115"/>
      <c r="F315" s="115"/>
      <c r="G315" s="99"/>
      <c r="H315" s="98"/>
      <c r="I315" s="100"/>
      <c r="J315" s="100"/>
      <c r="K315" s="100"/>
      <c r="L315" s="101"/>
      <c r="M315" s="101"/>
      <c r="N315" s="112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</row>
    <row r="316" spans="1:29" ht="13">
      <c r="A316" s="115"/>
      <c r="B316" s="97"/>
      <c r="C316" s="115"/>
      <c r="D316" s="115"/>
      <c r="E316" s="115"/>
      <c r="F316" s="115"/>
      <c r="G316" s="99"/>
      <c r="H316" s="98"/>
      <c r="I316" s="100"/>
      <c r="J316" s="100"/>
      <c r="K316" s="100"/>
      <c r="L316" s="101"/>
      <c r="M316" s="101"/>
      <c r="N316" s="112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</row>
    <row r="317" spans="1:29" ht="13">
      <c r="A317" s="115"/>
      <c r="B317" s="97"/>
      <c r="C317" s="115"/>
      <c r="D317" s="115"/>
      <c r="E317" s="115"/>
      <c r="F317" s="115"/>
      <c r="G317" s="99"/>
      <c r="H317" s="98"/>
      <c r="I317" s="100"/>
      <c r="J317" s="100"/>
      <c r="K317" s="100"/>
      <c r="L317" s="101"/>
      <c r="M317" s="101"/>
      <c r="N317" s="112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</row>
    <row r="318" spans="1:29" ht="13">
      <c r="A318" s="115"/>
      <c r="B318" s="97"/>
      <c r="C318" s="115"/>
      <c r="D318" s="115"/>
      <c r="E318" s="115"/>
      <c r="F318" s="115"/>
      <c r="G318" s="99"/>
      <c r="H318" s="98"/>
      <c r="I318" s="100"/>
      <c r="J318" s="100"/>
      <c r="K318" s="100"/>
      <c r="L318" s="101"/>
      <c r="M318" s="101"/>
      <c r="N318" s="112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</row>
    <row r="319" spans="1:29" ht="13">
      <c r="A319" s="115"/>
      <c r="B319" s="97"/>
      <c r="C319" s="115"/>
      <c r="D319" s="115"/>
      <c r="E319" s="115"/>
      <c r="F319" s="115"/>
      <c r="G319" s="99"/>
      <c r="H319" s="98"/>
      <c r="I319" s="100"/>
      <c r="J319" s="100"/>
      <c r="K319" s="100"/>
      <c r="L319" s="101"/>
      <c r="M319" s="101"/>
      <c r="N319" s="112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</row>
    <row r="320" spans="1:29" ht="13">
      <c r="A320" s="115"/>
      <c r="B320" s="97"/>
      <c r="C320" s="115"/>
      <c r="D320" s="115"/>
      <c r="E320" s="115"/>
      <c r="F320" s="115"/>
      <c r="G320" s="99"/>
      <c r="H320" s="98"/>
      <c r="I320" s="100"/>
      <c r="J320" s="100"/>
      <c r="K320" s="100"/>
      <c r="L320" s="101"/>
      <c r="M320" s="101"/>
      <c r="N320" s="112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</row>
    <row r="321" spans="1:29" ht="13">
      <c r="A321" s="115"/>
      <c r="B321" s="97"/>
      <c r="C321" s="115"/>
      <c r="D321" s="115"/>
      <c r="E321" s="115"/>
      <c r="F321" s="115"/>
      <c r="G321" s="99"/>
      <c r="H321" s="98"/>
      <c r="I321" s="100"/>
      <c r="J321" s="100"/>
      <c r="K321" s="100"/>
      <c r="L321" s="101"/>
      <c r="M321" s="101"/>
      <c r="N321" s="112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</row>
    <row r="322" spans="1:29" ht="13">
      <c r="A322" s="115"/>
      <c r="B322" s="97"/>
      <c r="C322" s="115"/>
      <c r="D322" s="115"/>
      <c r="E322" s="115"/>
      <c r="F322" s="115"/>
      <c r="G322" s="99"/>
      <c r="H322" s="98"/>
      <c r="I322" s="100"/>
      <c r="J322" s="100"/>
      <c r="K322" s="100"/>
      <c r="L322" s="101"/>
      <c r="M322" s="101"/>
      <c r="N322" s="112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</row>
    <row r="323" spans="1:29" ht="13">
      <c r="A323" s="115"/>
      <c r="B323" s="97"/>
      <c r="C323" s="115"/>
      <c r="D323" s="115"/>
      <c r="E323" s="115"/>
      <c r="F323" s="115"/>
      <c r="G323" s="99"/>
      <c r="H323" s="98"/>
      <c r="I323" s="100"/>
      <c r="J323" s="100"/>
      <c r="K323" s="100"/>
      <c r="L323" s="101"/>
      <c r="M323" s="101"/>
      <c r="N323" s="112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</row>
    <row r="324" spans="1:29" ht="13">
      <c r="A324" s="115"/>
      <c r="B324" s="97"/>
      <c r="C324" s="115"/>
      <c r="D324" s="115"/>
      <c r="E324" s="115"/>
      <c r="F324" s="115"/>
      <c r="G324" s="99"/>
      <c r="H324" s="98"/>
      <c r="I324" s="100"/>
      <c r="J324" s="100"/>
      <c r="K324" s="100"/>
      <c r="L324" s="101"/>
      <c r="M324" s="101"/>
      <c r="N324" s="112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</row>
    <row r="325" spans="1:29" ht="13">
      <c r="A325" s="115"/>
      <c r="B325" s="97"/>
      <c r="C325" s="115"/>
      <c r="D325" s="115"/>
      <c r="E325" s="115"/>
      <c r="F325" s="115"/>
      <c r="G325" s="99"/>
      <c r="H325" s="98"/>
      <c r="I325" s="100"/>
      <c r="J325" s="100"/>
      <c r="K325" s="100"/>
      <c r="L325" s="101"/>
      <c r="M325" s="101"/>
      <c r="N325" s="112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</row>
    <row r="326" spans="1:29" ht="13">
      <c r="A326" s="115"/>
      <c r="B326" s="97"/>
      <c r="C326" s="115"/>
      <c r="D326" s="115"/>
      <c r="E326" s="115"/>
      <c r="F326" s="115"/>
      <c r="G326" s="99"/>
      <c r="H326" s="98"/>
      <c r="I326" s="100"/>
      <c r="J326" s="100"/>
      <c r="K326" s="100"/>
      <c r="L326" s="101"/>
      <c r="M326" s="101"/>
      <c r="N326" s="112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</row>
    <row r="327" spans="1:29" ht="13">
      <c r="A327" s="115"/>
      <c r="B327" s="97"/>
      <c r="C327" s="115"/>
      <c r="D327" s="115"/>
      <c r="E327" s="115"/>
      <c r="F327" s="115"/>
      <c r="G327" s="99"/>
      <c r="H327" s="98"/>
      <c r="I327" s="100"/>
      <c r="J327" s="100"/>
      <c r="K327" s="100"/>
      <c r="L327" s="101"/>
      <c r="M327" s="101"/>
      <c r="N327" s="112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</row>
    <row r="328" spans="1:29" ht="13">
      <c r="A328" s="115"/>
      <c r="B328" s="97"/>
      <c r="C328" s="115"/>
      <c r="D328" s="115"/>
      <c r="E328" s="115"/>
      <c r="F328" s="115"/>
      <c r="G328" s="99"/>
      <c r="H328" s="98"/>
      <c r="I328" s="100"/>
      <c r="J328" s="100"/>
      <c r="K328" s="100"/>
      <c r="L328" s="101"/>
      <c r="M328" s="101"/>
      <c r="N328" s="112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</row>
    <row r="329" spans="1:29" ht="13">
      <c r="A329" s="115"/>
      <c r="B329" s="97"/>
      <c r="C329" s="115"/>
      <c r="D329" s="115"/>
      <c r="E329" s="115"/>
      <c r="F329" s="115"/>
      <c r="G329" s="99"/>
      <c r="H329" s="98"/>
      <c r="I329" s="100"/>
      <c r="J329" s="100"/>
      <c r="K329" s="100"/>
      <c r="L329" s="101"/>
      <c r="M329" s="101"/>
      <c r="N329" s="112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</row>
    <row r="330" spans="1:29" ht="13">
      <c r="A330" s="115"/>
      <c r="B330" s="97"/>
      <c r="C330" s="115"/>
      <c r="D330" s="115"/>
      <c r="E330" s="115"/>
      <c r="F330" s="115"/>
      <c r="G330" s="99"/>
      <c r="H330" s="98"/>
      <c r="I330" s="100"/>
      <c r="J330" s="100"/>
      <c r="K330" s="100"/>
      <c r="L330" s="101"/>
      <c r="M330" s="101"/>
      <c r="N330" s="112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</row>
    <row r="331" spans="1:29" ht="13">
      <c r="A331" s="115"/>
      <c r="B331" s="97"/>
      <c r="C331" s="115"/>
      <c r="D331" s="115"/>
      <c r="E331" s="115"/>
      <c r="F331" s="115"/>
      <c r="G331" s="99"/>
      <c r="H331" s="98"/>
      <c r="I331" s="100"/>
      <c r="J331" s="100"/>
      <c r="K331" s="100"/>
      <c r="L331" s="101"/>
      <c r="M331" s="101"/>
      <c r="N331" s="112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</row>
    <row r="332" spans="1:29" ht="13">
      <c r="A332" s="115"/>
      <c r="B332" s="97"/>
      <c r="C332" s="115"/>
      <c r="D332" s="115"/>
      <c r="E332" s="115"/>
      <c r="F332" s="115"/>
      <c r="G332" s="99"/>
      <c r="H332" s="98"/>
      <c r="I332" s="100"/>
      <c r="J332" s="100"/>
      <c r="K332" s="100"/>
      <c r="L332" s="101"/>
      <c r="M332" s="101"/>
      <c r="N332" s="112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</row>
    <row r="333" spans="1:29" ht="13">
      <c r="A333" s="115"/>
      <c r="B333" s="97"/>
      <c r="C333" s="115"/>
      <c r="D333" s="115"/>
      <c r="E333" s="115"/>
      <c r="F333" s="115"/>
      <c r="G333" s="99"/>
      <c r="H333" s="98"/>
      <c r="I333" s="100"/>
      <c r="J333" s="100"/>
      <c r="K333" s="100"/>
      <c r="L333" s="101"/>
      <c r="M333" s="101"/>
      <c r="N333" s="112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</row>
    <row r="334" spans="1:29" ht="13">
      <c r="A334" s="115"/>
      <c r="B334" s="97"/>
      <c r="C334" s="115"/>
      <c r="D334" s="115"/>
      <c r="E334" s="115"/>
      <c r="F334" s="115"/>
      <c r="G334" s="99"/>
      <c r="H334" s="98"/>
      <c r="I334" s="100"/>
      <c r="J334" s="100"/>
      <c r="K334" s="100"/>
      <c r="L334" s="101"/>
      <c r="M334" s="101"/>
      <c r="N334" s="112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</row>
    <row r="335" spans="1:29" ht="13">
      <c r="A335" s="115"/>
      <c r="B335" s="97"/>
      <c r="C335" s="115"/>
      <c r="D335" s="115"/>
      <c r="E335" s="115"/>
      <c r="F335" s="115"/>
      <c r="G335" s="99"/>
      <c r="H335" s="98"/>
      <c r="I335" s="100"/>
      <c r="J335" s="100"/>
      <c r="K335" s="100"/>
      <c r="L335" s="101"/>
      <c r="M335" s="101"/>
      <c r="N335" s="112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</row>
    <row r="336" spans="1:29" ht="13">
      <c r="A336" s="115"/>
      <c r="B336" s="97"/>
      <c r="C336" s="115"/>
      <c r="D336" s="115"/>
      <c r="E336" s="115"/>
      <c r="F336" s="115"/>
      <c r="G336" s="99"/>
      <c r="H336" s="98"/>
      <c r="I336" s="100"/>
      <c r="J336" s="100"/>
      <c r="K336" s="100"/>
      <c r="L336" s="101"/>
      <c r="M336" s="101"/>
      <c r="N336" s="112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</row>
    <row r="337" spans="1:29" ht="13">
      <c r="A337" s="115"/>
      <c r="B337" s="97"/>
      <c r="C337" s="115"/>
      <c r="D337" s="115"/>
      <c r="E337" s="115"/>
      <c r="F337" s="115"/>
      <c r="G337" s="99"/>
      <c r="H337" s="98"/>
      <c r="I337" s="100"/>
      <c r="J337" s="100"/>
      <c r="K337" s="100"/>
      <c r="L337" s="101"/>
      <c r="M337" s="101"/>
      <c r="N337" s="112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</row>
    <row r="338" spans="1:29" ht="13">
      <c r="A338" s="115"/>
      <c r="B338" s="97"/>
      <c r="C338" s="115"/>
      <c r="D338" s="115"/>
      <c r="E338" s="115"/>
      <c r="F338" s="115"/>
      <c r="G338" s="99"/>
      <c r="H338" s="98"/>
      <c r="I338" s="100"/>
      <c r="J338" s="100"/>
      <c r="K338" s="100"/>
      <c r="L338" s="101"/>
      <c r="M338" s="101"/>
      <c r="N338" s="112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</row>
    <row r="339" spans="1:29" ht="13">
      <c r="A339" s="115"/>
      <c r="B339" s="97"/>
      <c r="C339" s="115"/>
      <c r="D339" s="115"/>
      <c r="E339" s="115"/>
      <c r="F339" s="115"/>
      <c r="G339" s="99"/>
      <c r="H339" s="98"/>
      <c r="I339" s="100"/>
      <c r="J339" s="100"/>
      <c r="K339" s="100"/>
      <c r="L339" s="101"/>
      <c r="M339" s="101"/>
      <c r="N339" s="112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</row>
    <row r="340" spans="1:29" ht="13">
      <c r="A340" s="115"/>
      <c r="B340" s="97"/>
      <c r="C340" s="115"/>
      <c r="D340" s="115"/>
      <c r="E340" s="115"/>
      <c r="F340" s="115"/>
      <c r="G340" s="99"/>
      <c r="H340" s="98"/>
      <c r="I340" s="100"/>
      <c r="J340" s="100"/>
      <c r="K340" s="100"/>
      <c r="L340" s="101"/>
      <c r="M340" s="101"/>
      <c r="N340" s="112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</row>
    <row r="341" spans="1:29" ht="13">
      <c r="A341" s="115"/>
      <c r="B341" s="97"/>
      <c r="C341" s="115"/>
      <c r="D341" s="115"/>
      <c r="E341" s="115"/>
      <c r="F341" s="115"/>
      <c r="G341" s="99"/>
      <c r="H341" s="98"/>
      <c r="I341" s="100"/>
      <c r="J341" s="100"/>
      <c r="K341" s="100"/>
      <c r="L341" s="101"/>
      <c r="M341" s="101"/>
      <c r="N341" s="112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</row>
    <row r="342" spans="1:29" ht="13">
      <c r="A342" s="115"/>
      <c r="B342" s="97"/>
      <c r="C342" s="115"/>
      <c r="D342" s="115"/>
      <c r="E342" s="115"/>
      <c r="F342" s="115"/>
      <c r="G342" s="99"/>
      <c r="H342" s="98"/>
      <c r="I342" s="100"/>
      <c r="J342" s="100"/>
      <c r="K342" s="100"/>
      <c r="L342" s="101"/>
      <c r="M342" s="101"/>
      <c r="N342" s="112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</row>
    <row r="343" spans="1:29" ht="13">
      <c r="A343" s="115"/>
      <c r="B343" s="97"/>
      <c r="C343" s="115"/>
      <c r="D343" s="115"/>
      <c r="E343" s="115"/>
      <c r="F343" s="115"/>
      <c r="G343" s="99"/>
      <c r="H343" s="98"/>
      <c r="I343" s="100"/>
      <c r="J343" s="100"/>
      <c r="K343" s="100"/>
      <c r="L343" s="101"/>
      <c r="M343" s="101"/>
      <c r="N343" s="112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</row>
    <row r="344" spans="1:29" ht="13">
      <c r="A344" s="115"/>
      <c r="B344" s="97"/>
      <c r="C344" s="115"/>
      <c r="D344" s="115"/>
      <c r="E344" s="115"/>
      <c r="F344" s="115"/>
      <c r="G344" s="99"/>
      <c r="H344" s="98"/>
      <c r="I344" s="100"/>
      <c r="J344" s="100"/>
      <c r="K344" s="100"/>
      <c r="L344" s="101"/>
      <c r="M344" s="101"/>
      <c r="N344" s="112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</row>
    <row r="345" spans="1:29" ht="13">
      <c r="A345" s="115"/>
      <c r="B345" s="97"/>
      <c r="C345" s="115"/>
      <c r="D345" s="115"/>
      <c r="E345" s="115"/>
      <c r="F345" s="115"/>
      <c r="G345" s="99"/>
      <c r="H345" s="98"/>
      <c r="I345" s="100"/>
      <c r="J345" s="100"/>
      <c r="K345" s="100"/>
      <c r="L345" s="101"/>
      <c r="M345" s="101"/>
      <c r="N345" s="112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</row>
    <row r="346" spans="1:29" ht="13">
      <c r="A346" s="115"/>
      <c r="B346" s="97"/>
      <c r="C346" s="115"/>
      <c r="D346" s="115"/>
      <c r="E346" s="115"/>
      <c r="F346" s="115"/>
      <c r="G346" s="99"/>
      <c r="H346" s="98"/>
      <c r="I346" s="100"/>
      <c r="J346" s="100"/>
      <c r="K346" s="100"/>
      <c r="L346" s="101"/>
      <c r="M346" s="101"/>
      <c r="N346" s="112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</row>
    <row r="347" spans="1:29" ht="13">
      <c r="A347" s="115"/>
      <c r="B347" s="97"/>
      <c r="C347" s="115"/>
      <c r="D347" s="115"/>
      <c r="E347" s="115"/>
      <c r="F347" s="115"/>
      <c r="G347" s="99"/>
      <c r="H347" s="98"/>
      <c r="I347" s="100"/>
      <c r="J347" s="100"/>
      <c r="K347" s="100"/>
      <c r="L347" s="101"/>
      <c r="M347" s="101"/>
      <c r="N347" s="112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</row>
    <row r="348" spans="1:29" ht="13">
      <c r="A348" s="115"/>
      <c r="B348" s="97"/>
      <c r="C348" s="115"/>
      <c r="D348" s="115"/>
      <c r="E348" s="115"/>
      <c r="F348" s="115"/>
      <c r="G348" s="99"/>
      <c r="H348" s="98"/>
      <c r="I348" s="100"/>
      <c r="J348" s="100"/>
      <c r="K348" s="100"/>
      <c r="L348" s="101"/>
      <c r="M348" s="101"/>
      <c r="N348" s="112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</row>
    <row r="349" spans="1:29" ht="13">
      <c r="A349" s="115"/>
      <c r="B349" s="97"/>
      <c r="C349" s="115"/>
      <c r="D349" s="115"/>
      <c r="E349" s="115"/>
      <c r="F349" s="115"/>
      <c r="G349" s="99"/>
      <c r="H349" s="98"/>
      <c r="I349" s="100"/>
      <c r="J349" s="100"/>
      <c r="K349" s="100"/>
      <c r="L349" s="101"/>
      <c r="M349" s="101"/>
      <c r="N349" s="112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</row>
    <row r="350" spans="1:29" ht="13">
      <c r="A350" s="115"/>
      <c r="B350" s="97"/>
      <c r="C350" s="115"/>
      <c r="D350" s="115"/>
      <c r="E350" s="115"/>
      <c r="F350" s="115"/>
      <c r="G350" s="99"/>
      <c r="H350" s="98"/>
      <c r="I350" s="100"/>
      <c r="J350" s="100"/>
      <c r="K350" s="100"/>
      <c r="L350" s="101"/>
      <c r="M350" s="101"/>
      <c r="N350" s="112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</row>
    <row r="351" spans="1:29" ht="13">
      <c r="A351" s="115"/>
      <c r="B351" s="97"/>
      <c r="C351" s="115"/>
      <c r="D351" s="115"/>
      <c r="E351" s="115"/>
      <c r="F351" s="115"/>
      <c r="G351" s="99"/>
      <c r="H351" s="98"/>
      <c r="I351" s="100"/>
      <c r="J351" s="100"/>
      <c r="K351" s="100"/>
      <c r="L351" s="101"/>
      <c r="M351" s="101"/>
      <c r="N351" s="112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</row>
    <row r="352" spans="1:29" ht="13">
      <c r="A352" s="115"/>
      <c r="B352" s="97"/>
      <c r="C352" s="115"/>
      <c r="D352" s="115"/>
      <c r="E352" s="115"/>
      <c r="F352" s="115"/>
      <c r="G352" s="99"/>
      <c r="H352" s="98"/>
      <c r="I352" s="100"/>
      <c r="J352" s="100"/>
      <c r="K352" s="100"/>
      <c r="L352" s="101"/>
      <c r="M352" s="101"/>
      <c r="N352" s="112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</row>
    <row r="353" spans="1:29" ht="13">
      <c r="A353" s="115"/>
      <c r="B353" s="97"/>
      <c r="C353" s="115"/>
      <c r="D353" s="115"/>
      <c r="E353" s="115"/>
      <c r="F353" s="115"/>
      <c r="G353" s="99"/>
      <c r="H353" s="98"/>
      <c r="I353" s="100"/>
      <c r="J353" s="100"/>
      <c r="K353" s="100"/>
      <c r="L353" s="101"/>
      <c r="M353" s="101"/>
      <c r="N353" s="112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</row>
    <row r="354" spans="1:29" ht="13">
      <c r="A354" s="115"/>
      <c r="B354" s="97"/>
      <c r="C354" s="115"/>
      <c r="D354" s="115"/>
      <c r="E354" s="115"/>
      <c r="F354" s="115"/>
      <c r="G354" s="99"/>
      <c r="H354" s="98"/>
      <c r="I354" s="100"/>
      <c r="J354" s="100"/>
      <c r="K354" s="100"/>
      <c r="L354" s="101"/>
      <c r="M354" s="101"/>
      <c r="N354" s="112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</row>
    <row r="355" spans="1:29" ht="13">
      <c r="A355" s="115"/>
      <c r="B355" s="97"/>
      <c r="C355" s="115"/>
      <c r="D355" s="115"/>
      <c r="E355" s="115"/>
      <c r="F355" s="115"/>
      <c r="G355" s="99"/>
      <c r="H355" s="98"/>
      <c r="I355" s="100"/>
      <c r="J355" s="100"/>
      <c r="K355" s="100"/>
      <c r="L355" s="101"/>
      <c r="M355" s="101"/>
      <c r="N355" s="112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</row>
    <row r="356" spans="1:29" ht="13">
      <c r="A356" s="115"/>
      <c r="B356" s="97"/>
      <c r="C356" s="115"/>
      <c r="D356" s="115"/>
      <c r="E356" s="115"/>
      <c r="F356" s="115"/>
      <c r="G356" s="99"/>
      <c r="H356" s="98"/>
      <c r="I356" s="100"/>
      <c r="J356" s="100"/>
      <c r="K356" s="100"/>
      <c r="L356" s="101"/>
      <c r="M356" s="101"/>
      <c r="N356" s="112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</row>
    <row r="357" spans="1:29" ht="13">
      <c r="A357" s="115"/>
      <c r="B357" s="97"/>
      <c r="C357" s="115"/>
      <c r="D357" s="115"/>
      <c r="E357" s="115"/>
      <c r="F357" s="115"/>
      <c r="G357" s="99"/>
      <c r="H357" s="98"/>
      <c r="I357" s="100"/>
      <c r="J357" s="100"/>
      <c r="K357" s="100"/>
      <c r="L357" s="101"/>
      <c r="M357" s="101"/>
      <c r="N357" s="112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</row>
    <row r="358" spans="1:29" ht="13">
      <c r="A358" s="115"/>
      <c r="B358" s="97"/>
      <c r="C358" s="115"/>
      <c r="D358" s="115"/>
      <c r="E358" s="115"/>
      <c r="F358" s="115"/>
      <c r="G358" s="99"/>
      <c r="H358" s="98"/>
      <c r="I358" s="100"/>
      <c r="J358" s="100"/>
      <c r="K358" s="100"/>
      <c r="L358" s="101"/>
      <c r="M358" s="101"/>
      <c r="N358" s="112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</row>
    <row r="359" spans="1:29" ht="13">
      <c r="A359" s="115"/>
      <c r="B359" s="97"/>
      <c r="C359" s="115"/>
      <c r="D359" s="115"/>
      <c r="E359" s="115"/>
      <c r="F359" s="115"/>
      <c r="G359" s="99"/>
      <c r="H359" s="98"/>
      <c r="I359" s="100"/>
      <c r="J359" s="100"/>
      <c r="K359" s="100"/>
      <c r="L359" s="101"/>
      <c r="M359" s="101"/>
      <c r="N359" s="112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</row>
    <row r="360" spans="1:29" ht="13">
      <c r="A360" s="115"/>
      <c r="B360" s="97"/>
      <c r="C360" s="115"/>
      <c r="D360" s="115"/>
      <c r="E360" s="115"/>
      <c r="F360" s="115"/>
      <c r="G360" s="99"/>
      <c r="H360" s="98"/>
      <c r="I360" s="100"/>
      <c r="J360" s="100"/>
      <c r="K360" s="100"/>
      <c r="L360" s="101"/>
      <c r="M360" s="101"/>
      <c r="N360" s="112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</row>
    <row r="361" spans="1:29" ht="13">
      <c r="A361" s="115"/>
      <c r="B361" s="97"/>
      <c r="C361" s="115"/>
      <c r="D361" s="115"/>
      <c r="E361" s="115"/>
      <c r="F361" s="115"/>
      <c r="G361" s="99"/>
      <c r="H361" s="98"/>
      <c r="I361" s="100"/>
      <c r="J361" s="100"/>
      <c r="K361" s="100"/>
      <c r="L361" s="101"/>
      <c r="M361" s="101"/>
      <c r="N361" s="112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</row>
    <row r="362" spans="1:29" ht="13">
      <c r="A362" s="115"/>
      <c r="B362" s="97"/>
      <c r="C362" s="115"/>
      <c r="D362" s="115"/>
      <c r="E362" s="115"/>
      <c r="F362" s="115"/>
      <c r="G362" s="99"/>
      <c r="H362" s="98"/>
      <c r="I362" s="100"/>
      <c r="J362" s="100"/>
      <c r="K362" s="100"/>
      <c r="L362" s="101"/>
      <c r="M362" s="101"/>
      <c r="N362" s="112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</row>
    <row r="363" spans="1:29" ht="13">
      <c r="A363" s="115"/>
      <c r="B363" s="97"/>
      <c r="C363" s="115"/>
      <c r="D363" s="115"/>
      <c r="E363" s="115"/>
      <c r="F363" s="115"/>
      <c r="G363" s="99"/>
      <c r="H363" s="98"/>
      <c r="I363" s="100"/>
      <c r="J363" s="100"/>
      <c r="K363" s="100"/>
      <c r="L363" s="101"/>
      <c r="M363" s="101"/>
      <c r="N363" s="112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</row>
    <row r="364" spans="1:29" ht="13">
      <c r="A364" s="115"/>
      <c r="B364" s="97"/>
      <c r="C364" s="115"/>
      <c r="D364" s="115"/>
      <c r="E364" s="115"/>
      <c r="F364" s="115"/>
      <c r="G364" s="99"/>
      <c r="H364" s="98"/>
      <c r="I364" s="100"/>
      <c r="J364" s="100"/>
      <c r="K364" s="100"/>
      <c r="L364" s="101"/>
      <c r="M364" s="101"/>
      <c r="N364" s="112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</row>
    <row r="365" spans="1:29" ht="13">
      <c r="A365" s="115"/>
      <c r="B365" s="97"/>
      <c r="C365" s="115"/>
      <c r="D365" s="115"/>
      <c r="E365" s="115"/>
      <c r="F365" s="115"/>
      <c r="G365" s="99"/>
      <c r="H365" s="98"/>
      <c r="I365" s="100"/>
      <c r="J365" s="100"/>
      <c r="K365" s="100"/>
      <c r="L365" s="101"/>
      <c r="M365" s="101"/>
      <c r="N365" s="112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</row>
    <row r="366" spans="1:29" ht="13">
      <c r="A366" s="115"/>
      <c r="B366" s="97"/>
      <c r="C366" s="115"/>
      <c r="D366" s="115"/>
      <c r="E366" s="115"/>
      <c r="F366" s="115"/>
      <c r="G366" s="99"/>
      <c r="H366" s="98"/>
      <c r="I366" s="100"/>
      <c r="J366" s="100"/>
      <c r="K366" s="100"/>
      <c r="L366" s="101"/>
      <c r="M366" s="101"/>
      <c r="N366" s="112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</row>
    <row r="367" spans="1:29" ht="13">
      <c r="A367" s="115"/>
      <c r="B367" s="97"/>
      <c r="C367" s="115"/>
      <c r="D367" s="115"/>
      <c r="E367" s="115"/>
      <c r="F367" s="115"/>
      <c r="G367" s="99"/>
      <c r="H367" s="98"/>
      <c r="I367" s="100"/>
      <c r="J367" s="100"/>
      <c r="K367" s="100"/>
      <c r="L367" s="101"/>
      <c r="M367" s="101"/>
      <c r="N367" s="112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</row>
    <row r="368" spans="1:29" ht="13">
      <c r="A368" s="115"/>
      <c r="B368" s="97"/>
      <c r="C368" s="115"/>
      <c r="D368" s="115"/>
      <c r="E368" s="115"/>
      <c r="F368" s="115"/>
      <c r="G368" s="99"/>
      <c r="H368" s="98"/>
      <c r="I368" s="100"/>
      <c r="J368" s="100"/>
      <c r="K368" s="100"/>
      <c r="L368" s="101"/>
      <c r="M368" s="101"/>
      <c r="N368" s="112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</row>
    <row r="369" spans="1:29" ht="13">
      <c r="A369" s="115"/>
      <c r="B369" s="97"/>
      <c r="C369" s="115"/>
      <c r="D369" s="115"/>
      <c r="E369" s="115"/>
      <c r="F369" s="115"/>
      <c r="G369" s="99"/>
      <c r="H369" s="98"/>
      <c r="I369" s="100"/>
      <c r="J369" s="100"/>
      <c r="K369" s="100"/>
      <c r="L369" s="101"/>
      <c r="M369" s="101"/>
      <c r="N369" s="112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</row>
    <row r="370" spans="1:29" ht="13">
      <c r="A370" s="115"/>
      <c r="B370" s="97"/>
      <c r="C370" s="115"/>
      <c r="D370" s="115"/>
      <c r="E370" s="115"/>
      <c r="F370" s="115"/>
      <c r="G370" s="99"/>
      <c r="H370" s="98"/>
      <c r="I370" s="100"/>
      <c r="J370" s="100"/>
      <c r="K370" s="100"/>
      <c r="L370" s="101"/>
      <c r="M370" s="101"/>
      <c r="N370" s="112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</row>
    <row r="371" spans="1:29" ht="13">
      <c r="A371" s="115"/>
      <c r="B371" s="97"/>
      <c r="C371" s="115"/>
      <c r="D371" s="115"/>
      <c r="E371" s="115"/>
      <c r="F371" s="115"/>
      <c r="G371" s="99"/>
      <c r="H371" s="98"/>
      <c r="I371" s="100"/>
      <c r="J371" s="100"/>
      <c r="K371" s="100"/>
      <c r="L371" s="101"/>
      <c r="M371" s="101"/>
      <c r="N371" s="112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</row>
    <row r="372" spans="1:29" ht="13">
      <c r="A372" s="115"/>
      <c r="B372" s="97"/>
      <c r="C372" s="115"/>
      <c r="D372" s="115"/>
      <c r="E372" s="115"/>
      <c r="F372" s="115"/>
      <c r="G372" s="99"/>
      <c r="H372" s="98"/>
      <c r="I372" s="100"/>
      <c r="J372" s="100"/>
      <c r="K372" s="100"/>
      <c r="L372" s="101"/>
      <c r="M372" s="101"/>
      <c r="N372" s="112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</row>
    <row r="373" spans="1:29" ht="13">
      <c r="A373" s="115"/>
      <c r="B373" s="97"/>
      <c r="C373" s="115"/>
      <c r="D373" s="115"/>
      <c r="E373" s="115"/>
      <c r="F373" s="115"/>
      <c r="G373" s="99"/>
      <c r="H373" s="98"/>
      <c r="I373" s="100"/>
      <c r="J373" s="100"/>
      <c r="K373" s="100"/>
      <c r="L373" s="101"/>
      <c r="M373" s="101"/>
      <c r="N373" s="112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</row>
    <row r="374" spans="1:29" ht="13">
      <c r="A374" s="115"/>
      <c r="B374" s="97"/>
      <c r="C374" s="115"/>
      <c r="D374" s="115"/>
      <c r="E374" s="115"/>
      <c r="F374" s="115"/>
      <c r="G374" s="99"/>
      <c r="H374" s="98"/>
      <c r="I374" s="100"/>
      <c r="J374" s="100"/>
      <c r="K374" s="100"/>
      <c r="L374" s="101"/>
      <c r="M374" s="101"/>
      <c r="N374" s="112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</row>
    <row r="375" spans="1:29" ht="13">
      <c r="A375" s="115"/>
      <c r="B375" s="97"/>
      <c r="C375" s="115"/>
      <c r="D375" s="115"/>
      <c r="E375" s="115"/>
      <c r="F375" s="115"/>
      <c r="G375" s="99"/>
      <c r="H375" s="98"/>
      <c r="I375" s="100"/>
      <c r="J375" s="100"/>
      <c r="K375" s="100"/>
      <c r="L375" s="101"/>
      <c r="M375" s="101"/>
      <c r="N375" s="112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</row>
    <row r="376" spans="1:29" ht="13">
      <c r="A376" s="115"/>
      <c r="B376" s="97"/>
      <c r="C376" s="115"/>
      <c r="D376" s="115"/>
      <c r="E376" s="115"/>
      <c r="F376" s="115"/>
      <c r="G376" s="99"/>
      <c r="H376" s="98"/>
      <c r="I376" s="100"/>
      <c r="J376" s="100"/>
      <c r="K376" s="100"/>
      <c r="L376" s="101"/>
      <c r="M376" s="101"/>
      <c r="N376" s="112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</row>
    <row r="377" spans="1:29" ht="13">
      <c r="A377" s="115"/>
      <c r="B377" s="97"/>
      <c r="C377" s="115"/>
      <c r="D377" s="115"/>
      <c r="E377" s="115"/>
      <c r="F377" s="115"/>
      <c r="G377" s="99"/>
      <c r="H377" s="98"/>
      <c r="I377" s="100"/>
      <c r="J377" s="100"/>
      <c r="K377" s="100"/>
      <c r="L377" s="101"/>
      <c r="M377" s="101"/>
      <c r="N377" s="112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</row>
    <row r="378" spans="1:29" ht="13">
      <c r="A378" s="115"/>
      <c r="B378" s="97"/>
      <c r="C378" s="115"/>
      <c r="D378" s="115"/>
      <c r="E378" s="115"/>
      <c r="F378" s="115"/>
      <c r="G378" s="99"/>
      <c r="H378" s="98"/>
      <c r="I378" s="100"/>
      <c r="J378" s="100"/>
      <c r="K378" s="100"/>
      <c r="L378" s="101"/>
      <c r="M378" s="101"/>
      <c r="N378" s="112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</row>
    <row r="379" spans="1:29" ht="13">
      <c r="A379" s="115"/>
      <c r="B379" s="97"/>
      <c r="C379" s="115"/>
      <c r="D379" s="115"/>
      <c r="E379" s="115"/>
      <c r="F379" s="115"/>
      <c r="G379" s="99"/>
      <c r="H379" s="98"/>
      <c r="I379" s="100"/>
      <c r="J379" s="100"/>
      <c r="K379" s="100"/>
      <c r="L379" s="101"/>
      <c r="M379" s="101"/>
      <c r="N379" s="112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</row>
    <row r="380" spans="1:29" ht="13">
      <c r="A380" s="115"/>
      <c r="B380" s="97"/>
      <c r="C380" s="115"/>
      <c r="D380" s="115"/>
      <c r="E380" s="115"/>
      <c r="F380" s="115"/>
      <c r="G380" s="99"/>
      <c r="H380" s="98"/>
      <c r="I380" s="100"/>
      <c r="J380" s="100"/>
      <c r="K380" s="100"/>
      <c r="L380" s="101"/>
      <c r="M380" s="101"/>
      <c r="N380" s="112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</row>
    <row r="381" spans="1:29" ht="13">
      <c r="A381" s="115"/>
      <c r="B381" s="97"/>
      <c r="C381" s="115"/>
      <c r="D381" s="115"/>
      <c r="E381" s="115"/>
      <c r="F381" s="115"/>
      <c r="G381" s="99"/>
      <c r="H381" s="98"/>
      <c r="I381" s="100"/>
      <c r="J381" s="100"/>
      <c r="K381" s="100"/>
      <c r="L381" s="101"/>
      <c r="M381" s="101"/>
      <c r="N381" s="112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</row>
    <row r="382" spans="1:29" ht="13">
      <c r="A382" s="115"/>
      <c r="B382" s="97"/>
      <c r="C382" s="115"/>
      <c r="D382" s="115"/>
      <c r="E382" s="115"/>
      <c r="F382" s="115"/>
      <c r="G382" s="99"/>
      <c r="H382" s="98"/>
      <c r="I382" s="100"/>
      <c r="J382" s="100"/>
      <c r="K382" s="100"/>
      <c r="L382" s="101"/>
      <c r="M382" s="101"/>
      <c r="N382" s="112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</row>
    <row r="383" spans="1:29" ht="13">
      <c r="A383" s="115"/>
      <c r="B383" s="97"/>
      <c r="C383" s="115"/>
      <c r="D383" s="115"/>
      <c r="E383" s="115"/>
      <c r="F383" s="115"/>
      <c r="G383" s="99"/>
      <c r="H383" s="98"/>
      <c r="I383" s="100"/>
      <c r="J383" s="100"/>
      <c r="K383" s="100"/>
      <c r="L383" s="101"/>
      <c r="M383" s="101"/>
      <c r="N383" s="112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</row>
    <row r="384" spans="1:29" ht="13">
      <c r="A384" s="115"/>
      <c r="B384" s="97"/>
      <c r="C384" s="115"/>
      <c r="D384" s="115"/>
      <c r="E384" s="115"/>
      <c r="F384" s="115"/>
      <c r="G384" s="99"/>
      <c r="H384" s="98"/>
      <c r="I384" s="100"/>
      <c r="J384" s="100"/>
      <c r="K384" s="100"/>
      <c r="L384" s="101"/>
      <c r="M384" s="101"/>
      <c r="N384" s="112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</row>
    <row r="385" spans="1:29" ht="13">
      <c r="A385" s="115"/>
      <c r="B385" s="97"/>
      <c r="C385" s="115"/>
      <c r="D385" s="115"/>
      <c r="E385" s="115"/>
      <c r="F385" s="115"/>
      <c r="G385" s="99"/>
      <c r="H385" s="98"/>
      <c r="I385" s="100"/>
      <c r="J385" s="100"/>
      <c r="K385" s="100"/>
      <c r="L385" s="101"/>
      <c r="M385" s="101"/>
      <c r="N385" s="112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</row>
    <row r="386" spans="1:29" ht="13">
      <c r="A386" s="115"/>
      <c r="B386" s="97"/>
      <c r="C386" s="115"/>
      <c r="D386" s="115"/>
      <c r="E386" s="115"/>
      <c r="F386" s="115"/>
      <c r="G386" s="99"/>
      <c r="H386" s="98"/>
      <c r="I386" s="100"/>
      <c r="J386" s="100"/>
      <c r="K386" s="100"/>
      <c r="L386" s="101"/>
      <c r="M386" s="101"/>
      <c r="N386" s="112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</row>
    <row r="387" spans="1:29" ht="13">
      <c r="A387" s="115"/>
      <c r="B387" s="97"/>
      <c r="C387" s="115"/>
      <c r="D387" s="115"/>
      <c r="E387" s="115"/>
      <c r="F387" s="115"/>
      <c r="G387" s="99"/>
      <c r="H387" s="98"/>
      <c r="I387" s="100"/>
      <c r="J387" s="100"/>
      <c r="K387" s="100"/>
      <c r="L387" s="101"/>
      <c r="M387" s="101"/>
      <c r="N387" s="112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</row>
    <row r="388" spans="1:29" ht="13">
      <c r="A388" s="115"/>
      <c r="B388" s="97"/>
      <c r="C388" s="115"/>
      <c r="D388" s="115"/>
      <c r="E388" s="115"/>
      <c r="F388" s="115"/>
      <c r="G388" s="99"/>
      <c r="H388" s="98"/>
      <c r="I388" s="100"/>
      <c r="J388" s="100"/>
      <c r="K388" s="100"/>
      <c r="L388" s="101"/>
      <c r="M388" s="101"/>
      <c r="N388" s="112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</row>
    <row r="389" spans="1:29" ht="13">
      <c r="A389" s="115"/>
      <c r="B389" s="97"/>
      <c r="C389" s="115"/>
      <c r="D389" s="115"/>
      <c r="E389" s="115"/>
      <c r="F389" s="115"/>
      <c r="G389" s="99"/>
      <c r="H389" s="98"/>
      <c r="I389" s="100"/>
      <c r="J389" s="100"/>
      <c r="K389" s="100"/>
      <c r="L389" s="101"/>
      <c r="M389" s="101"/>
      <c r="N389" s="112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</row>
    <row r="390" spans="1:29" ht="13">
      <c r="A390" s="115"/>
      <c r="B390" s="97"/>
      <c r="C390" s="115"/>
      <c r="D390" s="115"/>
      <c r="E390" s="115"/>
      <c r="F390" s="115"/>
      <c r="G390" s="99"/>
      <c r="H390" s="98"/>
      <c r="I390" s="100"/>
      <c r="J390" s="100"/>
      <c r="K390" s="100"/>
      <c r="L390" s="101"/>
      <c r="M390" s="101"/>
      <c r="N390" s="112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</row>
    <row r="391" spans="1:29" ht="13">
      <c r="A391" s="115"/>
      <c r="B391" s="97"/>
      <c r="C391" s="115"/>
      <c r="D391" s="115"/>
      <c r="E391" s="115"/>
      <c r="F391" s="115"/>
      <c r="G391" s="99"/>
      <c r="H391" s="98"/>
      <c r="I391" s="100"/>
      <c r="J391" s="100"/>
      <c r="K391" s="100"/>
      <c r="L391" s="101"/>
      <c r="M391" s="101"/>
      <c r="N391" s="112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</row>
    <row r="392" spans="1:29" ht="13">
      <c r="A392" s="115"/>
      <c r="B392" s="97"/>
      <c r="C392" s="115"/>
      <c r="D392" s="115"/>
      <c r="E392" s="115"/>
      <c r="F392" s="115"/>
      <c r="G392" s="99"/>
      <c r="H392" s="98"/>
      <c r="I392" s="100"/>
      <c r="J392" s="100"/>
      <c r="K392" s="100"/>
      <c r="L392" s="101"/>
      <c r="M392" s="101"/>
      <c r="N392" s="112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</row>
    <row r="393" spans="1:29" ht="13">
      <c r="A393" s="115"/>
      <c r="B393" s="97"/>
      <c r="C393" s="115"/>
      <c r="D393" s="115"/>
      <c r="E393" s="115"/>
      <c r="F393" s="115"/>
      <c r="G393" s="99"/>
      <c r="H393" s="98"/>
      <c r="I393" s="100"/>
      <c r="J393" s="100"/>
      <c r="K393" s="100"/>
      <c r="L393" s="101"/>
      <c r="M393" s="101"/>
      <c r="N393" s="112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</row>
    <row r="394" spans="1:29" ht="13">
      <c r="A394" s="115"/>
      <c r="B394" s="97"/>
      <c r="C394" s="115"/>
      <c r="D394" s="115"/>
      <c r="E394" s="115"/>
      <c r="F394" s="115"/>
      <c r="G394" s="99"/>
      <c r="H394" s="98"/>
      <c r="I394" s="100"/>
      <c r="J394" s="100"/>
      <c r="K394" s="100"/>
      <c r="L394" s="101"/>
      <c r="M394" s="101"/>
      <c r="N394" s="112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</row>
    <row r="395" spans="1:29" ht="13">
      <c r="A395" s="115"/>
      <c r="B395" s="97"/>
      <c r="C395" s="115"/>
      <c r="D395" s="115"/>
      <c r="E395" s="115"/>
      <c r="F395" s="115"/>
      <c r="G395" s="99"/>
      <c r="H395" s="98"/>
      <c r="I395" s="100"/>
      <c r="J395" s="100"/>
      <c r="K395" s="100"/>
      <c r="L395" s="101"/>
      <c r="M395" s="101"/>
      <c r="N395" s="112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</row>
    <row r="396" spans="1:29" ht="13">
      <c r="A396" s="115"/>
      <c r="B396" s="97"/>
      <c r="C396" s="115"/>
      <c r="D396" s="115"/>
      <c r="E396" s="115"/>
      <c r="F396" s="115"/>
      <c r="G396" s="99"/>
      <c r="H396" s="98"/>
      <c r="I396" s="100"/>
      <c r="J396" s="100"/>
      <c r="K396" s="100"/>
      <c r="L396" s="101"/>
      <c r="M396" s="101"/>
      <c r="N396" s="112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</row>
    <row r="397" spans="1:29" ht="13">
      <c r="A397" s="115"/>
      <c r="B397" s="97"/>
      <c r="C397" s="115"/>
      <c r="D397" s="115"/>
      <c r="E397" s="115"/>
      <c r="F397" s="115"/>
      <c r="G397" s="99"/>
      <c r="H397" s="98"/>
      <c r="I397" s="100"/>
      <c r="J397" s="100"/>
      <c r="K397" s="100"/>
      <c r="L397" s="101"/>
      <c r="M397" s="101"/>
      <c r="N397" s="112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</row>
    <row r="398" spans="1:29" ht="13">
      <c r="A398" s="115"/>
      <c r="B398" s="97"/>
      <c r="C398" s="115"/>
      <c r="D398" s="115"/>
      <c r="E398" s="115"/>
      <c r="F398" s="115"/>
      <c r="G398" s="99"/>
      <c r="H398" s="98"/>
      <c r="I398" s="100"/>
      <c r="J398" s="100"/>
      <c r="K398" s="100"/>
      <c r="L398" s="101"/>
      <c r="M398" s="101"/>
      <c r="N398" s="112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</row>
    <row r="399" spans="1:29" ht="13">
      <c r="A399" s="115"/>
      <c r="B399" s="97"/>
      <c r="C399" s="115"/>
      <c r="D399" s="115"/>
      <c r="E399" s="115"/>
      <c r="F399" s="115"/>
      <c r="G399" s="99"/>
      <c r="H399" s="98"/>
      <c r="I399" s="100"/>
      <c r="J399" s="100"/>
      <c r="K399" s="100"/>
      <c r="L399" s="101"/>
      <c r="M399" s="101"/>
      <c r="N399" s="112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</row>
    <row r="400" spans="1:29" ht="13">
      <c r="A400" s="115"/>
      <c r="B400" s="97"/>
      <c r="C400" s="115"/>
      <c r="D400" s="115"/>
      <c r="E400" s="115"/>
      <c r="F400" s="115"/>
      <c r="G400" s="99"/>
      <c r="H400" s="98"/>
      <c r="I400" s="100"/>
      <c r="J400" s="100"/>
      <c r="K400" s="100"/>
      <c r="L400" s="101"/>
      <c r="M400" s="101"/>
      <c r="N400" s="112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</row>
    <row r="401" spans="1:29" ht="13">
      <c r="A401" s="115"/>
      <c r="B401" s="97"/>
      <c r="C401" s="115"/>
      <c r="D401" s="115"/>
      <c r="E401" s="115"/>
      <c r="F401" s="115"/>
      <c r="G401" s="99"/>
      <c r="H401" s="98"/>
      <c r="I401" s="100"/>
      <c r="J401" s="100"/>
      <c r="K401" s="100"/>
      <c r="L401" s="101"/>
      <c r="M401" s="101"/>
      <c r="N401" s="112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</row>
    <row r="402" spans="1:29" ht="13">
      <c r="A402" s="115"/>
      <c r="B402" s="97"/>
      <c r="C402" s="115"/>
      <c r="D402" s="115"/>
      <c r="E402" s="115"/>
      <c r="F402" s="115"/>
      <c r="G402" s="99"/>
      <c r="H402" s="98"/>
      <c r="I402" s="100"/>
      <c r="J402" s="100"/>
      <c r="K402" s="100"/>
      <c r="L402" s="101"/>
      <c r="M402" s="101"/>
      <c r="N402" s="112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</row>
    <row r="403" spans="1:29" ht="13">
      <c r="A403" s="115"/>
      <c r="B403" s="97"/>
      <c r="C403" s="115"/>
      <c r="D403" s="115"/>
      <c r="E403" s="115"/>
      <c r="F403" s="115"/>
      <c r="G403" s="99"/>
      <c r="H403" s="98"/>
      <c r="I403" s="100"/>
      <c r="J403" s="100"/>
      <c r="K403" s="100"/>
      <c r="L403" s="101"/>
      <c r="M403" s="101"/>
      <c r="N403" s="112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</row>
    <row r="404" spans="1:29" ht="13">
      <c r="A404" s="115"/>
      <c r="B404" s="97"/>
      <c r="C404" s="115"/>
      <c r="D404" s="115"/>
      <c r="E404" s="115"/>
      <c r="F404" s="115"/>
      <c r="G404" s="99"/>
      <c r="H404" s="98"/>
      <c r="I404" s="100"/>
      <c r="J404" s="100"/>
      <c r="K404" s="100"/>
      <c r="L404" s="101"/>
      <c r="M404" s="101"/>
      <c r="N404" s="112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</row>
    <row r="405" spans="1:29" ht="13">
      <c r="A405" s="115"/>
      <c r="B405" s="97"/>
      <c r="C405" s="115"/>
      <c r="D405" s="115"/>
      <c r="E405" s="115"/>
      <c r="F405" s="115"/>
      <c r="G405" s="99"/>
      <c r="H405" s="98"/>
      <c r="I405" s="100"/>
      <c r="J405" s="100"/>
      <c r="K405" s="100"/>
      <c r="L405" s="101"/>
      <c r="M405" s="101"/>
      <c r="N405" s="112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</row>
    <row r="406" spans="1:29" ht="13">
      <c r="A406" s="115"/>
      <c r="B406" s="97"/>
      <c r="C406" s="115"/>
      <c r="D406" s="115"/>
      <c r="E406" s="115"/>
      <c r="F406" s="115"/>
      <c r="G406" s="99"/>
      <c r="H406" s="98"/>
      <c r="I406" s="100"/>
      <c r="J406" s="100"/>
      <c r="K406" s="100"/>
      <c r="L406" s="101"/>
      <c r="M406" s="101"/>
      <c r="N406" s="112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</row>
    <row r="407" spans="1:29" ht="13">
      <c r="A407" s="115"/>
      <c r="B407" s="97"/>
      <c r="C407" s="115"/>
      <c r="D407" s="115"/>
      <c r="E407" s="115"/>
      <c r="F407" s="115"/>
      <c r="G407" s="99"/>
      <c r="H407" s="98"/>
      <c r="I407" s="100"/>
      <c r="J407" s="100"/>
      <c r="K407" s="100"/>
      <c r="L407" s="101"/>
      <c r="M407" s="101"/>
      <c r="N407" s="112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</row>
    <row r="408" spans="1:29" ht="13">
      <c r="A408" s="115"/>
      <c r="B408" s="97"/>
      <c r="C408" s="115"/>
      <c r="D408" s="115"/>
      <c r="E408" s="115"/>
      <c r="F408" s="115"/>
      <c r="G408" s="99"/>
      <c r="H408" s="98"/>
      <c r="I408" s="100"/>
      <c r="J408" s="100"/>
      <c r="K408" s="100"/>
      <c r="L408" s="101"/>
      <c r="M408" s="101"/>
      <c r="N408" s="112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</row>
    <row r="409" spans="1:29" ht="13">
      <c r="A409" s="115"/>
      <c r="B409" s="97"/>
      <c r="C409" s="115"/>
      <c r="D409" s="115"/>
      <c r="E409" s="115"/>
      <c r="F409" s="115"/>
      <c r="G409" s="99"/>
      <c r="H409" s="98"/>
      <c r="I409" s="100"/>
      <c r="J409" s="100"/>
      <c r="K409" s="100"/>
      <c r="L409" s="101"/>
      <c r="M409" s="101"/>
      <c r="N409" s="112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</row>
    <row r="410" spans="1:29" ht="13">
      <c r="A410" s="115"/>
      <c r="B410" s="97"/>
      <c r="C410" s="115"/>
      <c r="D410" s="115"/>
      <c r="E410" s="115"/>
      <c r="F410" s="115"/>
      <c r="G410" s="99"/>
      <c r="H410" s="98"/>
      <c r="I410" s="100"/>
      <c r="J410" s="100"/>
      <c r="K410" s="100"/>
      <c r="L410" s="101"/>
      <c r="M410" s="101"/>
      <c r="N410" s="112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</row>
    <row r="411" spans="1:29" ht="13">
      <c r="A411" s="115"/>
      <c r="B411" s="97"/>
      <c r="C411" s="115"/>
      <c r="D411" s="115"/>
      <c r="E411" s="115"/>
      <c r="F411" s="115"/>
      <c r="G411" s="99"/>
      <c r="H411" s="98"/>
      <c r="I411" s="100"/>
      <c r="J411" s="100"/>
      <c r="K411" s="100"/>
      <c r="L411" s="101"/>
      <c r="M411" s="101"/>
      <c r="N411" s="112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</row>
    <row r="412" spans="1:29" ht="13">
      <c r="A412" s="115"/>
      <c r="B412" s="97"/>
      <c r="C412" s="115"/>
      <c r="D412" s="115"/>
      <c r="E412" s="115"/>
      <c r="F412" s="115"/>
      <c r="G412" s="99"/>
      <c r="H412" s="98"/>
      <c r="I412" s="100"/>
      <c r="J412" s="100"/>
      <c r="K412" s="100"/>
      <c r="L412" s="101"/>
      <c r="M412" s="101"/>
      <c r="N412" s="112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</row>
    <row r="413" spans="1:29" ht="13">
      <c r="A413" s="115"/>
      <c r="B413" s="97"/>
      <c r="C413" s="115"/>
      <c r="D413" s="115"/>
      <c r="E413" s="115"/>
      <c r="F413" s="115"/>
      <c r="G413" s="99"/>
      <c r="H413" s="98"/>
      <c r="I413" s="100"/>
      <c r="J413" s="100"/>
      <c r="K413" s="100"/>
      <c r="L413" s="101"/>
      <c r="M413" s="101"/>
      <c r="N413" s="112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</row>
    <row r="414" spans="1:29" ht="13">
      <c r="A414" s="115"/>
      <c r="B414" s="97"/>
      <c r="C414" s="115"/>
      <c r="D414" s="115"/>
      <c r="E414" s="115"/>
      <c r="F414" s="115"/>
      <c r="G414" s="99"/>
      <c r="H414" s="98"/>
      <c r="I414" s="100"/>
      <c r="J414" s="100"/>
      <c r="K414" s="100"/>
      <c r="L414" s="101"/>
      <c r="M414" s="101"/>
      <c r="N414" s="112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</row>
    <row r="415" spans="1:29" ht="13">
      <c r="A415" s="115"/>
      <c r="B415" s="97"/>
      <c r="C415" s="115"/>
      <c r="D415" s="115"/>
      <c r="E415" s="115"/>
      <c r="F415" s="115"/>
      <c r="G415" s="99"/>
      <c r="H415" s="98"/>
      <c r="I415" s="100"/>
      <c r="J415" s="100"/>
      <c r="K415" s="100"/>
      <c r="L415" s="101"/>
      <c r="M415" s="101"/>
      <c r="N415" s="112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</row>
    <row r="416" spans="1:29" ht="13">
      <c r="A416" s="115"/>
      <c r="B416" s="97"/>
      <c r="C416" s="115"/>
      <c r="D416" s="115"/>
      <c r="E416" s="115"/>
      <c r="F416" s="115"/>
      <c r="G416" s="99"/>
      <c r="H416" s="98"/>
      <c r="I416" s="100"/>
      <c r="J416" s="100"/>
      <c r="K416" s="100"/>
      <c r="L416" s="101"/>
      <c r="M416" s="101"/>
      <c r="N416" s="112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</row>
    <row r="417" spans="1:29" ht="13">
      <c r="A417" s="115"/>
      <c r="B417" s="97"/>
      <c r="C417" s="115"/>
      <c r="D417" s="115"/>
      <c r="E417" s="115"/>
      <c r="F417" s="115"/>
      <c r="G417" s="99"/>
      <c r="H417" s="98"/>
      <c r="I417" s="100"/>
      <c r="J417" s="100"/>
      <c r="K417" s="100"/>
      <c r="L417" s="101"/>
      <c r="M417" s="101"/>
      <c r="N417" s="112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</row>
    <row r="418" spans="1:29" ht="13">
      <c r="A418" s="115"/>
      <c r="B418" s="97"/>
      <c r="C418" s="115"/>
      <c r="D418" s="115"/>
      <c r="E418" s="115"/>
      <c r="F418" s="115"/>
      <c r="G418" s="99"/>
      <c r="H418" s="98"/>
      <c r="I418" s="100"/>
      <c r="J418" s="100"/>
      <c r="K418" s="100"/>
      <c r="L418" s="101"/>
      <c r="M418" s="101"/>
      <c r="N418" s="112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</row>
    <row r="419" spans="1:29" ht="13">
      <c r="A419" s="115"/>
      <c r="B419" s="97"/>
      <c r="C419" s="115"/>
      <c r="D419" s="115"/>
      <c r="E419" s="115"/>
      <c r="F419" s="115"/>
      <c r="G419" s="99"/>
      <c r="H419" s="98"/>
      <c r="I419" s="100"/>
      <c r="J419" s="100"/>
      <c r="K419" s="100"/>
      <c r="L419" s="101"/>
      <c r="M419" s="101"/>
      <c r="N419" s="112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</row>
    <row r="420" spans="1:29" ht="13">
      <c r="A420" s="115"/>
      <c r="B420" s="97"/>
      <c r="C420" s="115"/>
      <c r="D420" s="115"/>
      <c r="E420" s="115"/>
      <c r="F420" s="115"/>
      <c r="G420" s="99"/>
      <c r="H420" s="98"/>
      <c r="I420" s="100"/>
      <c r="J420" s="100"/>
      <c r="K420" s="100"/>
      <c r="L420" s="101"/>
      <c r="M420" s="101"/>
      <c r="N420" s="112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</row>
    <row r="421" spans="1:29" ht="13">
      <c r="A421" s="115"/>
      <c r="B421" s="97"/>
      <c r="C421" s="115"/>
      <c r="D421" s="115"/>
      <c r="E421" s="115"/>
      <c r="F421" s="115"/>
      <c r="G421" s="99"/>
      <c r="H421" s="98"/>
      <c r="I421" s="100"/>
      <c r="J421" s="100"/>
      <c r="K421" s="100"/>
      <c r="L421" s="101"/>
      <c r="M421" s="101"/>
      <c r="N421" s="112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</row>
    <row r="422" spans="1:29" ht="13">
      <c r="A422" s="115"/>
      <c r="B422" s="97"/>
      <c r="C422" s="115"/>
      <c r="D422" s="115"/>
      <c r="E422" s="115"/>
      <c r="F422" s="115"/>
      <c r="G422" s="99"/>
      <c r="H422" s="98"/>
      <c r="I422" s="100"/>
      <c r="J422" s="100"/>
      <c r="K422" s="100"/>
      <c r="L422" s="101"/>
      <c r="M422" s="101"/>
      <c r="N422" s="112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</row>
    <row r="423" spans="1:29" ht="13">
      <c r="A423" s="115"/>
      <c r="B423" s="97"/>
      <c r="C423" s="115"/>
      <c r="D423" s="115"/>
      <c r="E423" s="115"/>
      <c r="F423" s="115"/>
      <c r="G423" s="99"/>
      <c r="H423" s="98"/>
      <c r="I423" s="100"/>
      <c r="J423" s="100"/>
      <c r="K423" s="100"/>
      <c r="L423" s="101"/>
      <c r="M423" s="101"/>
      <c r="N423" s="112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</row>
    <row r="424" spans="1:29" ht="13">
      <c r="A424" s="115"/>
      <c r="B424" s="97"/>
      <c r="C424" s="115"/>
      <c r="D424" s="115"/>
      <c r="E424" s="115"/>
      <c r="F424" s="115"/>
      <c r="G424" s="99"/>
      <c r="H424" s="98"/>
      <c r="I424" s="100"/>
      <c r="J424" s="100"/>
      <c r="K424" s="100"/>
      <c r="L424" s="101"/>
      <c r="M424" s="101"/>
      <c r="N424" s="112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</row>
    <row r="425" spans="1:29" ht="13">
      <c r="A425" s="115"/>
      <c r="B425" s="97"/>
      <c r="C425" s="115"/>
      <c r="D425" s="115"/>
      <c r="E425" s="115"/>
      <c r="F425" s="115"/>
      <c r="G425" s="99"/>
      <c r="H425" s="98"/>
      <c r="I425" s="100"/>
      <c r="J425" s="100"/>
      <c r="K425" s="100"/>
      <c r="L425" s="101"/>
      <c r="M425" s="101"/>
      <c r="N425" s="112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</row>
    <row r="426" spans="1:29" ht="13">
      <c r="A426" s="115"/>
      <c r="B426" s="97"/>
      <c r="C426" s="115"/>
      <c r="D426" s="115"/>
      <c r="E426" s="115"/>
      <c r="F426" s="115"/>
      <c r="G426" s="99"/>
      <c r="H426" s="98"/>
      <c r="I426" s="100"/>
      <c r="J426" s="100"/>
      <c r="K426" s="100"/>
      <c r="L426" s="101"/>
      <c r="M426" s="101"/>
      <c r="N426" s="112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</row>
    <row r="427" spans="1:29" ht="13">
      <c r="A427" s="115"/>
      <c r="B427" s="97"/>
      <c r="C427" s="115"/>
      <c r="D427" s="115"/>
      <c r="E427" s="115"/>
      <c r="F427" s="115"/>
      <c r="G427" s="99"/>
      <c r="H427" s="98"/>
      <c r="I427" s="100"/>
      <c r="J427" s="100"/>
      <c r="K427" s="100"/>
      <c r="L427" s="101"/>
      <c r="M427" s="101"/>
      <c r="N427" s="112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</row>
    <row r="428" spans="1:29" ht="13">
      <c r="A428" s="115"/>
      <c r="B428" s="97"/>
      <c r="C428" s="115"/>
      <c r="D428" s="115"/>
      <c r="E428" s="115"/>
      <c r="F428" s="115"/>
      <c r="G428" s="99"/>
      <c r="H428" s="98"/>
      <c r="I428" s="100"/>
      <c r="J428" s="100"/>
      <c r="K428" s="100"/>
      <c r="L428" s="101"/>
      <c r="M428" s="101"/>
      <c r="N428" s="112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</row>
    <row r="429" spans="1:29" ht="13">
      <c r="A429" s="115"/>
      <c r="B429" s="97"/>
      <c r="C429" s="115"/>
      <c r="D429" s="115"/>
      <c r="E429" s="115"/>
      <c r="F429" s="115"/>
      <c r="G429" s="99"/>
      <c r="H429" s="98"/>
      <c r="I429" s="100"/>
      <c r="J429" s="100"/>
      <c r="K429" s="100"/>
      <c r="L429" s="101"/>
      <c r="M429" s="101"/>
      <c r="N429" s="112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</row>
    <row r="430" spans="1:29" ht="13">
      <c r="A430" s="115"/>
      <c r="B430" s="97"/>
      <c r="C430" s="115"/>
      <c r="D430" s="115"/>
      <c r="E430" s="115"/>
      <c r="F430" s="115"/>
      <c r="G430" s="99"/>
      <c r="H430" s="98"/>
      <c r="I430" s="100"/>
      <c r="J430" s="100"/>
      <c r="K430" s="100"/>
      <c r="L430" s="101"/>
      <c r="M430" s="101"/>
      <c r="N430" s="112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</row>
    <row r="431" spans="1:29" ht="13">
      <c r="A431" s="115"/>
      <c r="B431" s="97"/>
      <c r="C431" s="115"/>
      <c r="D431" s="115"/>
      <c r="E431" s="115"/>
      <c r="F431" s="115"/>
      <c r="G431" s="99"/>
      <c r="H431" s="98"/>
      <c r="I431" s="100"/>
      <c r="J431" s="100"/>
      <c r="K431" s="100"/>
      <c r="L431" s="101"/>
      <c r="M431" s="101"/>
      <c r="N431" s="112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</row>
    <row r="432" spans="1:29" ht="13">
      <c r="A432" s="115"/>
      <c r="B432" s="97"/>
      <c r="C432" s="115"/>
      <c r="D432" s="115"/>
      <c r="E432" s="115"/>
      <c r="F432" s="115"/>
      <c r="G432" s="99"/>
      <c r="H432" s="98"/>
      <c r="I432" s="100"/>
      <c r="J432" s="100"/>
      <c r="K432" s="100"/>
      <c r="L432" s="101"/>
      <c r="M432" s="101"/>
      <c r="N432" s="112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</row>
    <row r="433" spans="1:29" ht="13">
      <c r="A433" s="115"/>
      <c r="B433" s="97"/>
      <c r="C433" s="115"/>
      <c r="D433" s="115"/>
      <c r="E433" s="115"/>
      <c r="F433" s="115"/>
      <c r="G433" s="99"/>
      <c r="H433" s="98"/>
      <c r="I433" s="100"/>
      <c r="J433" s="100"/>
      <c r="K433" s="100"/>
      <c r="L433" s="101"/>
      <c r="M433" s="101"/>
      <c r="N433" s="112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</row>
    <row r="434" spans="1:29" ht="13">
      <c r="A434" s="115"/>
      <c r="B434" s="97"/>
      <c r="C434" s="115"/>
      <c r="D434" s="115"/>
      <c r="E434" s="115"/>
      <c r="F434" s="115"/>
      <c r="G434" s="99"/>
      <c r="H434" s="98"/>
      <c r="I434" s="100"/>
      <c r="J434" s="100"/>
      <c r="K434" s="100"/>
      <c r="L434" s="101"/>
      <c r="M434" s="101"/>
      <c r="N434" s="112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</row>
    <row r="435" spans="1:29" ht="13">
      <c r="A435" s="115"/>
      <c r="B435" s="97"/>
      <c r="C435" s="115"/>
      <c r="D435" s="115"/>
      <c r="E435" s="115"/>
      <c r="F435" s="115"/>
      <c r="G435" s="99"/>
      <c r="H435" s="98"/>
      <c r="I435" s="100"/>
      <c r="J435" s="100"/>
      <c r="K435" s="100"/>
      <c r="L435" s="101"/>
      <c r="M435" s="101"/>
      <c r="N435" s="112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</row>
    <row r="436" spans="1:29" ht="13">
      <c r="A436" s="115"/>
      <c r="B436" s="97"/>
      <c r="C436" s="115"/>
      <c r="D436" s="115"/>
      <c r="E436" s="115"/>
      <c r="F436" s="115"/>
      <c r="G436" s="99"/>
      <c r="H436" s="98"/>
      <c r="I436" s="100"/>
      <c r="J436" s="100"/>
      <c r="K436" s="100"/>
      <c r="L436" s="101"/>
      <c r="M436" s="101"/>
      <c r="N436" s="112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</row>
    <row r="437" spans="1:29" ht="13">
      <c r="A437" s="115"/>
      <c r="B437" s="97"/>
      <c r="C437" s="115"/>
      <c r="D437" s="115"/>
      <c r="E437" s="115"/>
      <c r="F437" s="115"/>
      <c r="G437" s="99"/>
      <c r="H437" s="98"/>
      <c r="I437" s="100"/>
      <c r="J437" s="100"/>
      <c r="K437" s="100"/>
      <c r="L437" s="101"/>
      <c r="M437" s="101"/>
      <c r="N437" s="112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</row>
    <row r="438" spans="1:29" ht="13">
      <c r="A438" s="115"/>
      <c r="B438" s="97"/>
      <c r="C438" s="115"/>
      <c r="D438" s="115"/>
      <c r="E438" s="115"/>
      <c r="F438" s="115"/>
      <c r="G438" s="99"/>
      <c r="H438" s="98"/>
      <c r="I438" s="100"/>
      <c r="J438" s="100"/>
      <c r="K438" s="100"/>
      <c r="L438" s="101"/>
      <c r="M438" s="101"/>
      <c r="N438" s="112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</row>
    <row r="439" spans="1:29" ht="13">
      <c r="A439" s="115"/>
      <c r="B439" s="97"/>
      <c r="C439" s="115"/>
      <c r="D439" s="115"/>
      <c r="E439" s="115"/>
      <c r="F439" s="115"/>
      <c r="G439" s="99"/>
      <c r="H439" s="98"/>
      <c r="I439" s="100"/>
      <c r="J439" s="100"/>
      <c r="K439" s="100"/>
      <c r="L439" s="101"/>
      <c r="M439" s="101"/>
      <c r="N439" s="112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</row>
    <row r="440" spans="1:29" ht="13">
      <c r="A440" s="115"/>
      <c r="B440" s="97"/>
      <c r="C440" s="115"/>
      <c r="D440" s="115"/>
      <c r="E440" s="115"/>
      <c r="F440" s="115"/>
      <c r="G440" s="99"/>
      <c r="H440" s="98"/>
      <c r="I440" s="100"/>
      <c r="J440" s="100"/>
      <c r="K440" s="100"/>
      <c r="L440" s="101"/>
      <c r="M440" s="101"/>
      <c r="N440" s="112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</row>
    <row r="441" spans="1:29" ht="13">
      <c r="A441" s="115"/>
      <c r="B441" s="97"/>
      <c r="C441" s="115"/>
      <c r="D441" s="115"/>
      <c r="E441" s="115"/>
      <c r="F441" s="115"/>
      <c r="G441" s="99"/>
      <c r="H441" s="98"/>
      <c r="I441" s="100"/>
      <c r="J441" s="100"/>
      <c r="K441" s="100"/>
      <c r="L441" s="101"/>
      <c r="M441" s="101"/>
      <c r="N441" s="112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</row>
    <row r="442" spans="1:29" ht="13">
      <c r="A442" s="115"/>
      <c r="B442" s="97"/>
      <c r="C442" s="115"/>
      <c r="D442" s="115"/>
      <c r="E442" s="115"/>
      <c r="F442" s="115"/>
      <c r="G442" s="99"/>
      <c r="H442" s="98"/>
      <c r="I442" s="100"/>
      <c r="J442" s="100"/>
      <c r="K442" s="100"/>
      <c r="L442" s="101"/>
      <c r="M442" s="101"/>
      <c r="N442" s="112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</row>
    <row r="443" spans="1:29" ht="13">
      <c r="A443" s="115"/>
      <c r="B443" s="97"/>
      <c r="C443" s="115"/>
      <c r="D443" s="115"/>
      <c r="E443" s="115"/>
      <c r="F443" s="115"/>
      <c r="G443" s="99"/>
      <c r="H443" s="98"/>
      <c r="I443" s="100"/>
      <c r="J443" s="100"/>
      <c r="K443" s="100"/>
      <c r="L443" s="101"/>
      <c r="M443" s="101"/>
      <c r="N443" s="112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</row>
    <row r="444" spans="1:29" ht="13">
      <c r="A444" s="115"/>
      <c r="B444" s="97"/>
      <c r="C444" s="115"/>
      <c r="D444" s="115"/>
      <c r="E444" s="115"/>
      <c r="F444" s="115"/>
      <c r="G444" s="99"/>
      <c r="H444" s="98"/>
      <c r="I444" s="100"/>
      <c r="J444" s="100"/>
      <c r="K444" s="100"/>
      <c r="L444" s="101"/>
      <c r="M444" s="101"/>
      <c r="N444" s="112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</row>
    <row r="445" spans="1:29" ht="13">
      <c r="A445" s="115"/>
      <c r="B445" s="97"/>
      <c r="C445" s="115"/>
      <c r="D445" s="115"/>
      <c r="E445" s="115"/>
      <c r="F445" s="115"/>
      <c r="G445" s="99"/>
      <c r="H445" s="98"/>
      <c r="I445" s="100"/>
      <c r="J445" s="100"/>
      <c r="K445" s="100"/>
      <c r="L445" s="101"/>
      <c r="M445" s="101"/>
      <c r="N445" s="112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</row>
    <row r="446" spans="1:29" ht="13">
      <c r="A446" s="115"/>
      <c r="B446" s="97"/>
      <c r="C446" s="115"/>
      <c r="D446" s="115"/>
      <c r="E446" s="115"/>
      <c r="F446" s="115"/>
      <c r="G446" s="99"/>
      <c r="H446" s="98"/>
      <c r="I446" s="100"/>
      <c r="J446" s="100"/>
      <c r="K446" s="100"/>
      <c r="L446" s="101"/>
      <c r="M446" s="101"/>
      <c r="N446" s="112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</row>
    <row r="447" spans="1:29" ht="13">
      <c r="A447" s="115"/>
      <c r="B447" s="97"/>
      <c r="C447" s="115"/>
      <c r="D447" s="115"/>
      <c r="E447" s="115"/>
      <c r="F447" s="115"/>
      <c r="G447" s="99"/>
      <c r="H447" s="98"/>
      <c r="I447" s="100"/>
      <c r="J447" s="100"/>
      <c r="K447" s="100"/>
      <c r="L447" s="101"/>
      <c r="M447" s="101"/>
      <c r="N447" s="112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</row>
    <row r="448" spans="1:29" ht="13">
      <c r="A448" s="115"/>
      <c r="B448" s="97"/>
      <c r="C448" s="115"/>
      <c r="D448" s="115"/>
      <c r="E448" s="115"/>
      <c r="F448" s="115"/>
      <c r="G448" s="99"/>
      <c r="H448" s="98"/>
      <c r="I448" s="100"/>
      <c r="J448" s="100"/>
      <c r="K448" s="100"/>
      <c r="L448" s="101"/>
      <c r="M448" s="101"/>
      <c r="N448" s="112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</row>
    <row r="449" spans="1:29" ht="13">
      <c r="A449" s="115"/>
      <c r="B449" s="97"/>
      <c r="C449" s="115"/>
      <c r="D449" s="115"/>
      <c r="E449" s="115"/>
      <c r="F449" s="115"/>
      <c r="G449" s="99"/>
      <c r="H449" s="98"/>
      <c r="I449" s="100"/>
      <c r="J449" s="100"/>
      <c r="K449" s="100"/>
      <c r="L449" s="101"/>
      <c r="M449" s="101"/>
      <c r="N449" s="112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</row>
    <row r="450" spans="1:29" ht="13">
      <c r="A450" s="115"/>
      <c r="B450" s="97"/>
      <c r="C450" s="115"/>
      <c r="D450" s="115"/>
      <c r="E450" s="115"/>
      <c r="F450" s="115"/>
      <c r="G450" s="99"/>
      <c r="H450" s="98"/>
      <c r="I450" s="100"/>
      <c r="J450" s="100"/>
      <c r="K450" s="100"/>
      <c r="L450" s="101"/>
      <c r="M450" s="101"/>
      <c r="N450" s="112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</row>
    <row r="451" spans="1:29" ht="13">
      <c r="A451" s="115"/>
      <c r="B451" s="97"/>
      <c r="C451" s="115"/>
      <c r="D451" s="115"/>
      <c r="E451" s="115"/>
      <c r="F451" s="115"/>
      <c r="G451" s="99"/>
      <c r="H451" s="98"/>
      <c r="I451" s="100"/>
      <c r="J451" s="100"/>
      <c r="K451" s="100"/>
      <c r="L451" s="101"/>
      <c r="M451" s="101"/>
      <c r="N451" s="112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</row>
    <row r="452" spans="1:29" ht="13">
      <c r="A452" s="115"/>
      <c r="B452" s="97"/>
      <c r="C452" s="115"/>
      <c r="D452" s="115"/>
      <c r="E452" s="115"/>
      <c r="F452" s="115"/>
      <c r="G452" s="99"/>
      <c r="H452" s="98"/>
      <c r="I452" s="100"/>
      <c r="J452" s="100"/>
      <c r="K452" s="100"/>
      <c r="L452" s="101"/>
      <c r="M452" s="101"/>
      <c r="N452" s="112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</row>
    <row r="453" spans="1:29" ht="13">
      <c r="A453" s="115"/>
      <c r="B453" s="97"/>
      <c r="C453" s="115"/>
      <c r="D453" s="115"/>
      <c r="E453" s="115"/>
      <c r="F453" s="115"/>
      <c r="G453" s="99"/>
      <c r="H453" s="98"/>
      <c r="I453" s="100"/>
      <c r="J453" s="100"/>
      <c r="K453" s="100"/>
      <c r="L453" s="101"/>
      <c r="M453" s="101"/>
      <c r="N453" s="112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</row>
    <row r="454" spans="1:29" ht="13">
      <c r="A454" s="115"/>
      <c r="B454" s="97"/>
      <c r="C454" s="115"/>
      <c r="D454" s="115"/>
      <c r="E454" s="115"/>
      <c r="F454" s="115"/>
      <c r="G454" s="99"/>
      <c r="H454" s="98"/>
      <c r="I454" s="100"/>
      <c r="J454" s="100"/>
      <c r="K454" s="100"/>
      <c r="L454" s="101"/>
      <c r="M454" s="101"/>
      <c r="N454" s="112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</row>
    <row r="455" spans="1:29" ht="13">
      <c r="A455" s="115"/>
      <c r="B455" s="97"/>
      <c r="C455" s="115"/>
      <c r="D455" s="115"/>
      <c r="E455" s="115"/>
      <c r="F455" s="115"/>
      <c r="G455" s="99"/>
      <c r="H455" s="98"/>
      <c r="I455" s="100"/>
      <c r="J455" s="100"/>
      <c r="K455" s="100"/>
      <c r="L455" s="101"/>
      <c r="M455" s="101"/>
      <c r="N455" s="112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</row>
    <row r="456" spans="1:29" ht="13">
      <c r="A456" s="115"/>
      <c r="B456" s="97"/>
      <c r="C456" s="115"/>
      <c r="D456" s="115"/>
      <c r="E456" s="115"/>
      <c r="F456" s="115"/>
      <c r="G456" s="99"/>
      <c r="H456" s="98"/>
      <c r="I456" s="100"/>
      <c r="J456" s="100"/>
      <c r="K456" s="100"/>
      <c r="L456" s="101"/>
      <c r="M456" s="101"/>
      <c r="N456" s="112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</row>
    <row r="457" spans="1:29" ht="13">
      <c r="A457" s="115"/>
      <c r="B457" s="97"/>
      <c r="C457" s="115"/>
      <c r="D457" s="115"/>
      <c r="E457" s="115"/>
      <c r="F457" s="115"/>
      <c r="G457" s="99"/>
      <c r="H457" s="98"/>
      <c r="I457" s="100"/>
      <c r="J457" s="100"/>
      <c r="K457" s="100"/>
      <c r="L457" s="101"/>
      <c r="M457" s="101"/>
      <c r="N457" s="112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</row>
    <row r="458" spans="1:29" ht="13">
      <c r="A458" s="115"/>
      <c r="B458" s="97"/>
      <c r="C458" s="115"/>
      <c r="D458" s="115"/>
      <c r="E458" s="115"/>
      <c r="F458" s="115"/>
      <c r="G458" s="99"/>
      <c r="H458" s="98"/>
      <c r="I458" s="100"/>
      <c r="J458" s="100"/>
      <c r="K458" s="100"/>
      <c r="L458" s="101"/>
      <c r="M458" s="101"/>
      <c r="N458" s="112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</row>
    <row r="459" spans="1:29" ht="13">
      <c r="A459" s="115"/>
      <c r="B459" s="97"/>
      <c r="C459" s="115"/>
      <c r="D459" s="115"/>
      <c r="E459" s="115"/>
      <c r="F459" s="115"/>
      <c r="G459" s="99"/>
      <c r="H459" s="98"/>
      <c r="I459" s="100"/>
      <c r="J459" s="100"/>
      <c r="K459" s="100"/>
      <c r="L459" s="101"/>
      <c r="M459" s="101"/>
      <c r="N459" s="112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</row>
    <row r="460" spans="1:29" ht="13">
      <c r="A460" s="115"/>
      <c r="B460" s="97"/>
      <c r="C460" s="115"/>
      <c r="D460" s="115"/>
      <c r="E460" s="115"/>
      <c r="F460" s="115"/>
      <c r="G460" s="99"/>
      <c r="H460" s="98"/>
      <c r="I460" s="100"/>
      <c r="J460" s="100"/>
      <c r="K460" s="100"/>
      <c r="L460" s="101"/>
      <c r="M460" s="101"/>
      <c r="N460" s="112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</row>
    <row r="461" spans="1:29" ht="13">
      <c r="A461" s="115"/>
      <c r="B461" s="97"/>
      <c r="C461" s="115"/>
      <c r="D461" s="115"/>
      <c r="E461" s="115"/>
      <c r="F461" s="115"/>
      <c r="G461" s="99"/>
      <c r="H461" s="98"/>
      <c r="I461" s="100"/>
      <c r="J461" s="100"/>
      <c r="K461" s="100"/>
      <c r="L461" s="101"/>
      <c r="M461" s="101"/>
      <c r="N461" s="112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</row>
    <row r="462" spans="1:29" ht="13">
      <c r="A462" s="115"/>
      <c r="B462" s="97"/>
      <c r="C462" s="115"/>
      <c r="D462" s="115"/>
      <c r="E462" s="115"/>
      <c r="F462" s="115"/>
      <c r="G462" s="99"/>
      <c r="H462" s="98"/>
      <c r="I462" s="100"/>
      <c r="J462" s="100"/>
      <c r="K462" s="100"/>
      <c r="L462" s="101"/>
      <c r="M462" s="101"/>
      <c r="N462" s="112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</row>
    <row r="463" spans="1:29" ht="13">
      <c r="A463" s="115"/>
      <c r="B463" s="97"/>
      <c r="C463" s="115"/>
      <c r="D463" s="115"/>
      <c r="E463" s="115"/>
      <c r="F463" s="115"/>
      <c r="G463" s="99"/>
      <c r="H463" s="98"/>
      <c r="I463" s="100"/>
      <c r="J463" s="100"/>
      <c r="K463" s="100"/>
      <c r="L463" s="101"/>
      <c r="M463" s="101"/>
      <c r="N463" s="112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</row>
    <row r="464" spans="1:29" ht="13">
      <c r="A464" s="115"/>
      <c r="B464" s="97"/>
      <c r="C464" s="115"/>
      <c r="D464" s="115"/>
      <c r="E464" s="115"/>
      <c r="F464" s="115"/>
      <c r="G464" s="99"/>
      <c r="H464" s="98"/>
      <c r="I464" s="100"/>
      <c r="J464" s="100"/>
      <c r="K464" s="100"/>
      <c r="L464" s="101"/>
      <c r="M464" s="101"/>
      <c r="N464" s="112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</row>
    <row r="465" spans="1:29" ht="13">
      <c r="A465" s="115"/>
      <c r="B465" s="97"/>
      <c r="C465" s="115"/>
      <c r="D465" s="115"/>
      <c r="E465" s="115"/>
      <c r="F465" s="115"/>
      <c r="G465" s="99"/>
      <c r="H465" s="98"/>
      <c r="I465" s="100"/>
      <c r="J465" s="100"/>
      <c r="K465" s="100"/>
      <c r="L465" s="101"/>
      <c r="M465" s="101"/>
      <c r="N465" s="112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</row>
    <row r="466" spans="1:29" ht="13">
      <c r="A466" s="115"/>
      <c r="B466" s="97"/>
      <c r="C466" s="115"/>
      <c r="D466" s="115"/>
      <c r="E466" s="115"/>
      <c r="F466" s="115"/>
      <c r="G466" s="99"/>
      <c r="H466" s="98"/>
      <c r="I466" s="100"/>
      <c r="J466" s="100"/>
      <c r="K466" s="100"/>
      <c r="L466" s="101"/>
      <c r="M466" s="101"/>
      <c r="N466" s="112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</row>
    <row r="467" spans="1:29" ht="13">
      <c r="A467" s="115"/>
      <c r="B467" s="97"/>
      <c r="C467" s="115"/>
      <c r="D467" s="115"/>
      <c r="E467" s="115"/>
      <c r="F467" s="115"/>
      <c r="G467" s="99"/>
      <c r="H467" s="98"/>
      <c r="I467" s="100"/>
      <c r="J467" s="100"/>
      <c r="K467" s="100"/>
      <c r="L467" s="101"/>
      <c r="M467" s="101"/>
      <c r="N467" s="112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</row>
    <row r="468" spans="1:29" ht="13">
      <c r="A468" s="115"/>
      <c r="B468" s="97"/>
      <c r="C468" s="115"/>
      <c r="D468" s="115"/>
      <c r="E468" s="115"/>
      <c r="F468" s="115"/>
      <c r="G468" s="99"/>
      <c r="H468" s="98"/>
      <c r="I468" s="100"/>
      <c r="J468" s="100"/>
      <c r="K468" s="100"/>
      <c r="L468" s="101"/>
      <c r="M468" s="101"/>
      <c r="N468" s="112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</row>
    <row r="469" spans="1:29" ht="13">
      <c r="A469" s="115"/>
      <c r="B469" s="97"/>
      <c r="C469" s="115"/>
      <c r="D469" s="115"/>
      <c r="E469" s="115"/>
      <c r="F469" s="115"/>
      <c r="G469" s="99"/>
      <c r="H469" s="98"/>
      <c r="I469" s="100"/>
      <c r="J469" s="100"/>
      <c r="K469" s="100"/>
      <c r="L469" s="101"/>
      <c r="M469" s="101"/>
      <c r="N469" s="112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</row>
    <row r="470" spans="1:29" ht="13">
      <c r="A470" s="115"/>
      <c r="B470" s="97"/>
      <c r="C470" s="115"/>
      <c r="D470" s="115"/>
      <c r="E470" s="115"/>
      <c r="F470" s="115"/>
      <c r="G470" s="99"/>
      <c r="H470" s="98"/>
      <c r="I470" s="100"/>
      <c r="J470" s="100"/>
      <c r="K470" s="100"/>
      <c r="L470" s="101"/>
      <c r="M470" s="101"/>
      <c r="N470" s="112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</row>
    <row r="471" spans="1:29" ht="13">
      <c r="A471" s="115"/>
      <c r="B471" s="97"/>
      <c r="C471" s="115"/>
      <c r="D471" s="115"/>
      <c r="E471" s="115"/>
      <c r="F471" s="115"/>
      <c r="G471" s="99"/>
      <c r="H471" s="98"/>
      <c r="I471" s="100"/>
      <c r="J471" s="100"/>
      <c r="K471" s="100"/>
      <c r="L471" s="101"/>
      <c r="M471" s="101"/>
      <c r="N471" s="112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</row>
    <row r="472" spans="1:29" ht="13">
      <c r="A472" s="115"/>
      <c r="B472" s="97"/>
      <c r="C472" s="115"/>
      <c r="D472" s="115"/>
      <c r="E472" s="115"/>
      <c r="F472" s="115"/>
      <c r="G472" s="99"/>
      <c r="H472" s="98"/>
      <c r="I472" s="100"/>
      <c r="J472" s="100"/>
      <c r="K472" s="100"/>
      <c r="L472" s="101"/>
      <c r="M472" s="101"/>
      <c r="N472" s="112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</row>
    <row r="473" spans="1:29" ht="13">
      <c r="A473" s="115"/>
      <c r="B473" s="97"/>
      <c r="C473" s="115"/>
      <c r="D473" s="115"/>
      <c r="E473" s="115"/>
      <c r="F473" s="115"/>
      <c r="G473" s="99"/>
      <c r="H473" s="98"/>
      <c r="I473" s="100"/>
      <c r="J473" s="100"/>
      <c r="K473" s="100"/>
      <c r="L473" s="101"/>
      <c r="M473" s="101"/>
      <c r="N473" s="112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</row>
    <row r="474" spans="1:29" ht="13">
      <c r="A474" s="115"/>
      <c r="B474" s="97"/>
      <c r="C474" s="115"/>
      <c r="D474" s="115"/>
      <c r="E474" s="115"/>
      <c r="F474" s="115"/>
      <c r="G474" s="99"/>
      <c r="H474" s="98"/>
      <c r="I474" s="100"/>
      <c r="J474" s="100"/>
      <c r="K474" s="100"/>
      <c r="L474" s="101"/>
      <c r="M474" s="101"/>
      <c r="N474" s="112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</row>
    <row r="475" spans="1:29" ht="13">
      <c r="A475" s="115"/>
      <c r="B475" s="97"/>
      <c r="C475" s="115"/>
      <c r="D475" s="115"/>
      <c r="E475" s="115"/>
      <c r="F475" s="115"/>
      <c r="G475" s="99"/>
      <c r="H475" s="98"/>
      <c r="I475" s="100"/>
      <c r="J475" s="100"/>
      <c r="K475" s="100"/>
      <c r="L475" s="101"/>
      <c r="M475" s="101"/>
      <c r="N475" s="112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</row>
    <row r="476" spans="1:29" ht="13">
      <c r="A476" s="115"/>
      <c r="B476" s="97"/>
      <c r="C476" s="115"/>
      <c r="D476" s="115"/>
      <c r="E476" s="115"/>
      <c r="F476" s="115"/>
      <c r="G476" s="99"/>
      <c r="H476" s="98"/>
      <c r="I476" s="100"/>
      <c r="J476" s="100"/>
      <c r="K476" s="100"/>
      <c r="L476" s="101"/>
      <c r="M476" s="101"/>
      <c r="N476" s="112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</row>
    <row r="477" spans="1:29" ht="13">
      <c r="A477" s="115"/>
      <c r="B477" s="97"/>
      <c r="C477" s="115"/>
      <c r="D477" s="115"/>
      <c r="E477" s="115"/>
      <c r="F477" s="115"/>
      <c r="G477" s="99"/>
      <c r="H477" s="98"/>
      <c r="I477" s="100"/>
      <c r="J477" s="100"/>
      <c r="K477" s="100"/>
      <c r="L477" s="101"/>
      <c r="M477" s="101"/>
      <c r="N477" s="112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</row>
    <row r="478" spans="1:29" ht="13">
      <c r="A478" s="115"/>
      <c r="B478" s="97"/>
      <c r="C478" s="115"/>
      <c r="D478" s="115"/>
      <c r="E478" s="115"/>
      <c r="F478" s="115"/>
      <c r="G478" s="99"/>
      <c r="H478" s="98"/>
      <c r="I478" s="100"/>
      <c r="J478" s="100"/>
      <c r="K478" s="100"/>
      <c r="L478" s="101"/>
      <c r="M478" s="101"/>
      <c r="N478" s="112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</row>
    <row r="479" spans="1:29" ht="13">
      <c r="A479" s="115"/>
      <c r="B479" s="97"/>
      <c r="C479" s="115"/>
      <c r="D479" s="115"/>
      <c r="E479" s="115"/>
      <c r="F479" s="115"/>
      <c r="G479" s="99"/>
      <c r="H479" s="98"/>
      <c r="I479" s="100"/>
      <c r="J479" s="100"/>
      <c r="K479" s="100"/>
      <c r="L479" s="101"/>
      <c r="M479" s="101"/>
      <c r="N479" s="112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</row>
    <row r="480" spans="1:29" ht="13">
      <c r="A480" s="115"/>
      <c r="B480" s="97"/>
      <c r="C480" s="115"/>
      <c r="D480" s="115"/>
      <c r="E480" s="115"/>
      <c r="F480" s="115"/>
      <c r="G480" s="99"/>
      <c r="H480" s="98"/>
      <c r="I480" s="100"/>
      <c r="J480" s="100"/>
      <c r="K480" s="100"/>
      <c r="L480" s="101"/>
      <c r="M480" s="101"/>
      <c r="N480" s="112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</row>
    <row r="481" spans="1:29" ht="13">
      <c r="A481" s="115"/>
      <c r="B481" s="97"/>
      <c r="C481" s="115"/>
      <c r="D481" s="115"/>
      <c r="E481" s="115"/>
      <c r="F481" s="115"/>
      <c r="G481" s="99"/>
      <c r="H481" s="98"/>
      <c r="I481" s="100"/>
      <c r="J481" s="100"/>
      <c r="K481" s="100"/>
      <c r="L481" s="101"/>
      <c r="M481" s="101"/>
      <c r="N481" s="112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</row>
    <row r="482" spans="1:29" ht="13">
      <c r="A482" s="115"/>
      <c r="B482" s="97"/>
      <c r="C482" s="115"/>
      <c r="D482" s="115"/>
      <c r="E482" s="115"/>
      <c r="F482" s="115"/>
      <c r="G482" s="99"/>
      <c r="H482" s="98"/>
      <c r="I482" s="100"/>
      <c r="J482" s="100"/>
      <c r="K482" s="100"/>
      <c r="L482" s="101"/>
      <c r="M482" s="101"/>
      <c r="N482" s="112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</row>
    <row r="483" spans="1:29" ht="13">
      <c r="A483" s="115"/>
      <c r="B483" s="97"/>
      <c r="C483" s="115"/>
      <c r="D483" s="115"/>
      <c r="E483" s="115"/>
      <c r="F483" s="115"/>
      <c r="G483" s="99"/>
      <c r="H483" s="98"/>
      <c r="I483" s="100"/>
      <c r="J483" s="100"/>
      <c r="K483" s="100"/>
      <c r="L483" s="101"/>
      <c r="M483" s="101"/>
      <c r="N483" s="112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</row>
    <row r="484" spans="1:29" ht="13">
      <c r="A484" s="115"/>
      <c r="B484" s="97"/>
      <c r="C484" s="115"/>
      <c r="D484" s="115"/>
      <c r="E484" s="115"/>
      <c r="F484" s="115"/>
      <c r="G484" s="99"/>
      <c r="H484" s="98"/>
      <c r="I484" s="100"/>
      <c r="J484" s="100"/>
      <c r="K484" s="100"/>
      <c r="L484" s="101"/>
      <c r="M484" s="101"/>
      <c r="N484" s="112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</row>
    <row r="485" spans="1:29" ht="13">
      <c r="A485" s="115"/>
      <c r="B485" s="97"/>
      <c r="C485" s="115"/>
      <c r="D485" s="115"/>
      <c r="E485" s="115"/>
      <c r="F485" s="115"/>
      <c r="G485" s="99"/>
      <c r="H485" s="98"/>
      <c r="I485" s="100"/>
      <c r="J485" s="100"/>
      <c r="K485" s="100"/>
      <c r="L485" s="101"/>
      <c r="M485" s="101"/>
      <c r="N485" s="112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</row>
    <row r="486" spans="1:29" ht="13">
      <c r="A486" s="115"/>
      <c r="B486" s="97"/>
      <c r="C486" s="115"/>
      <c r="D486" s="115"/>
      <c r="E486" s="115"/>
      <c r="F486" s="115"/>
      <c r="G486" s="99"/>
      <c r="H486" s="98"/>
      <c r="I486" s="100"/>
      <c r="J486" s="100"/>
      <c r="K486" s="100"/>
      <c r="L486" s="101"/>
      <c r="M486" s="101"/>
      <c r="N486" s="112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</row>
    <row r="487" spans="1:29" ht="13">
      <c r="A487" s="115"/>
      <c r="B487" s="97"/>
      <c r="C487" s="115"/>
      <c r="D487" s="115"/>
      <c r="E487" s="115"/>
      <c r="F487" s="115"/>
      <c r="G487" s="99"/>
      <c r="H487" s="98"/>
      <c r="I487" s="100"/>
      <c r="J487" s="100"/>
      <c r="K487" s="100"/>
      <c r="L487" s="101"/>
      <c r="M487" s="101"/>
      <c r="N487" s="112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</row>
    <row r="488" spans="1:29" ht="13">
      <c r="A488" s="115"/>
      <c r="B488" s="97"/>
      <c r="C488" s="115"/>
      <c r="D488" s="115"/>
      <c r="E488" s="115"/>
      <c r="F488" s="115"/>
      <c r="G488" s="99"/>
      <c r="H488" s="98"/>
      <c r="I488" s="100"/>
      <c r="J488" s="100"/>
      <c r="K488" s="100"/>
      <c r="L488" s="101"/>
      <c r="M488" s="101"/>
      <c r="N488" s="112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</row>
    <row r="489" spans="1:29" ht="13">
      <c r="A489" s="115"/>
      <c r="B489" s="97"/>
      <c r="C489" s="115"/>
      <c r="D489" s="115"/>
      <c r="E489" s="115"/>
      <c r="F489" s="115"/>
      <c r="G489" s="99"/>
      <c r="H489" s="98"/>
      <c r="I489" s="100"/>
      <c r="J489" s="100"/>
      <c r="K489" s="100"/>
      <c r="L489" s="101"/>
      <c r="M489" s="101"/>
      <c r="N489" s="112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</row>
    <row r="490" spans="1:29" ht="13">
      <c r="A490" s="115"/>
      <c r="B490" s="97"/>
      <c r="C490" s="115"/>
      <c r="D490" s="115"/>
      <c r="E490" s="115"/>
      <c r="F490" s="115"/>
      <c r="G490" s="99"/>
      <c r="H490" s="98"/>
      <c r="I490" s="100"/>
      <c r="J490" s="100"/>
      <c r="K490" s="100"/>
      <c r="L490" s="101"/>
      <c r="M490" s="101"/>
      <c r="N490" s="112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</row>
    <row r="491" spans="1:29" ht="13">
      <c r="A491" s="115"/>
      <c r="B491" s="97"/>
      <c r="C491" s="115"/>
      <c r="D491" s="115"/>
      <c r="E491" s="115"/>
      <c r="F491" s="115"/>
      <c r="G491" s="99"/>
      <c r="H491" s="98"/>
      <c r="I491" s="100"/>
      <c r="J491" s="100"/>
      <c r="K491" s="100"/>
      <c r="L491" s="101"/>
      <c r="M491" s="101"/>
      <c r="N491" s="112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</row>
    <row r="492" spans="1:29" ht="13">
      <c r="A492" s="115"/>
      <c r="B492" s="97"/>
      <c r="C492" s="115"/>
      <c r="D492" s="115"/>
      <c r="E492" s="115"/>
      <c r="F492" s="115"/>
      <c r="G492" s="99"/>
      <c r="H492" s="98"/>
      <c r="I492" s="100"/>
      <c r="J492" s="100"/>
      <c r="K492" s="100"/>
      <c r="L492" s="101"/>
      <c r="M492" s="101"/>
      <c r="N492" s="112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</row>
    <row r="493" spans="1:29" ht="13">
      <c r="A493" s="115"/>
      <c r="B493" s="97"/>
      <c r="C493" s="115"/>
      <c r="D493" s="115"/>
      <c r="E493" s="115"/>
      <c r="F493" s="115"/>
      <c r="G493" s="99"/>
      <c r="H493" s="98"/>
      <c r="I493" s="100"/>
      <c r="J493" s="100"/>
      <c r="K493" s="100"/>
      <c r="L493" s="101"/>
      <c r="M493" s="101"/>
      <c r="N493" s="112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</row>
    <row r="494" spans="1:29" ht="13">
      <c r="A494" s="115"/>
      <c r="B494" s="97"/>
      <c r="C494" s="115"/>
      <c r="D494" s="115"/>
      <c r="E494" s="115"/>
      <c r="F494" s="115"/>
      <c r="G494" s="99"/>
      <c r="H494" s="98"/>
      <c r="I494" s="100"/>
      <c r="J494" s="100"/>
      <c r="K494" s="100"/>
      <c r="L494" s="101"/>
      <c r="M494" s="101"/>
      <c r="N494" s="112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</row>
    <row r="495" spans="1:29" ht="13">
      <c r="A495" s="115"/>
      <c r="B495" s="97"/>
      <c r="C495" s="115"/>
      <c r="D495" s="115"/>
      <c r="E495" s="115"/>
      <c r="F495" s="115"/>
      <c r="G495" s="99"/>
      <c r="H495" s="98"/>
      <c r="I495" s="100"/>
      <c r="J495" s="100"/>
      <c r="K495" s="100"/>
      <c r="L495" s="101"/>
      <c r="M495" s="101"/>
      <c r="N495" s="112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</row>
    <row r="496" spans="1:29" ht="13">
      <c r="A496" s="115"/>
      <c r="B496" s="97"/>
      <c r="C496" s="115"/>
      <c r="D496" s="115"/>
      <c r="E496" s="115"/>
      <c r="F496" s="115"/>
      <c r="G496" s="99"/>
      <c r="H496" s="98"/>
      <c r="I496" s="100"/>
      <c r="J496" s="100"/>
      <c r="K496" s="100"/>
      <c r="L496" s="101"/>
      <c r="M496" s="101"/>
      <c r="N496" s="112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</row>
    <row r="497" spans="1:29" ht="13">
      <c r="A497" s="115"/>
      <c r="B497" s="97"/>
      <c r="C497" s="115"/>
      <c r="D497" s="115"/>
      <c r="E497" s="115"/>
      <c r="F497" s="115"/>
      <c r="G497" s="99"/>
      <c r="H497" s="98"/>
      <c r="I497" s="100"/>
      <c r="J497" s="100"/>
      <c r="K497" s="100"/>
      <c r="L497" s="101"/>
      <c r="M497" s="101"/>
      <c r="N497" s="112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</row>
    <row r="498" spans="1:29" ht="13">
      <c r="A498" s="115"/>
      <c r="B498" s="97"/>
      <c r="C498" s="115"/>
      <c r="D498" s="115"/>
      <c r="E498" s="115"/>
      <c r="F498" s="115"/>
      <c r="G498" s="99"/>
      <c r="H498" s="98"/>
      <c r="I498" s="100"/>
      <c r="J498" s="100"/>
      <c r="K498" s="100"/>
      <c r="L498" s="101"/>
      <c r="M498" s="101"/>
      <c r="N498" s="112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</row>
    <row r="499" spans="1:29" ht="13">
      <c r="A499" s="115"/>
      <c r="B499" s="97"/>
      <c r="C499" s="115"/>
      <c r="D499" s="115"/>
      <c r="E499" s="115"/>
      <c r="F499" s="115"/>
      <c r="G499" s="99"/>
      <c r="H499" s="98"/>
      <c r="I499" s="100"/>
      <c r="J499" s="100"/>
      <c r="K499" s="100"/>
      <c r="L499" s="101"/>
      <c r="M499" s="101"/>
      <c r="N499" s="112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</row>
    <row r="500" spans="1:29" ht="13">
      <c r="A500" s="115"/>
      <c r="B500" s="97"/>
      <c r="C500" s="115"/>
      <c r="D500" s="115"/>
      <c r="E500" s="115"/>
      <c r="F500" s="115"/>
      <c r="G500" s="99"/>
      <c r="H500" s="98"/>
      <c r="I500" s="100"/>
      <c r="J500" s="100"/>
      <c r="K500" s="100"/>
      <c r="L500" s="101"/>
      <c r="M500" s="101"/>
      <c r="N500" s="112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</row>
    <row r="501" spans="1:29" ht="13">
      <c r="A501" s="115"/>
      <c r="B501" s="97"/>
      <c r="C501" s="115"/>
      <c r="D501" s="115"/>
      <c r="E501" s="115"/>
      <c r="F501" s="115"/>
      <c r="G501" s="99"/>
      <c r="H501" s="98"/>
      <c r="I501" s="100"/>
      <c r="J501" s="100"/>
      <c r="K501" s="100"/>
      <c r="L501" s="101"/>
      <c r="M501" s="101"/>
      <c r="N501" s="112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</row>
    <row r="502" spans="1:29" ht="13">
      <c r="A502" s="115"/>
      <c r="B502" s="97"/>
      <c r="C502" s="115"/>
      <c r="D502" s="115"/>
      <c r="E502" s="115"/>
      <c r="F502" s="115"/>
      <c r="G502" s="99"/>
      <c r="H502" s="98"/>
      <c r="I502" s="100"/>
      <c r="J502" s="100"/>
      <c r="K502" s="100"/>
      <c r="L502" s="101"/>
      <c r="M502" s="101"/>
      <c r="N502" s="112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</row>
    <row r="503" spans="1:29" ht="13">
      <c r="A503" s="115"/>
      <c r="B503" s="97"/>
      <c r="C503" s="115"/>
      <c r="D503" s="115"/>
      <c r="E503" s="115"/>
      <c r="F503" s="115"/>
      <c r="G503" s="99"/>
      <c r="H503" s="98"/>
      <c r="I503" s="100"/>
      <c r="J503" s="100"/>
      <c r="K503" s="100"/>
      <c r="L503" s="101"/>
      <c r="M503" s="101"/>
      <c r="N503" s="112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</row>
    <row r="504" spans="1:29" ht="13">
      <c r="A504" s="115"/>
      <c r="B504" s="97"/>
      <c r="C504" s="115"/>
      <c r="D504" s="115"/>
      <c r="E504" s="115"/>
      <c r="F504" s="115"/>
      <c r="G504" s="99"/>
      <c r="H504" s="98"/>
      <c r="I504" s="100"/>
      <c r="J504" s="100"/>
      <c r="K504" s="100"/>
      <c r="L504" s="101"/>
      <c r="M504" s="101"/>
      <c r="N504" s="112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</row>
    <row r="505" spans="1:29" ht="13">
      <c r="A505" s="115"/>
      <c r="B505" s="97"/>
      <c r="C505" s="115"/>
      <c r="D505" s="115"/>
      <c r="E505" s="115"/>
      <c r="F505" s="115"/>
      <c r="G505" s="99"/>
      <c r="H505" s="98"/>
      <c r="I505" s="100"/>
      <c r="J505" s="100"/>
      <c r="K505" s="100"/>
      <c r="L505" s="101"/>
      <c r="M505" s="101"/>
      <c r="N505" s="112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</row>
    <row r="506" spans="1:29" ht="13">
      <c r="A506" s="115"/>
      <c r="B506" s="97"/>
      <c r="C506" s="115"/>
      <c r="D506" s="115"/>
      <c r="E506" s="115"/>
      <c r="F506" s="115"/>
      <c r="G506" s="99"/>
      <c r="H506" s="98"/>
      <c r="I506" s="100"/>
      <c r="J506" s="100"/>
      <c r="K506" s="100"/>
      <c r="L506" s="101"/>
      <c r="M506" s="101"/>
      <c r="N506" s="112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</row>
    <row r="507" spans="1:29" ht="13">
      <c r="A507" s="115"/>
      <c r="B507" s="97"/>
      <c r="C507" s="115"/>
      <c r="D507" s="115"/>
      <c r="E507" s="115"/>
      <c r="F507" s="115"/>
      <c r="G507" s="99"/>
      <c r="H507" s="98"/>
      <c r="I507" s="100"/>
      <c r="J507" s="100"/>
      <c r="K507" s="100"/>
      <c r="L507" s="101"/>
      <c r="M507" s="101"/>
      <c r="N507" s="112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</row>
    <row r="508" spans="1:29" ht="13">
      <c r="A508" s="115"/>
      <c r="B508" s="97"/>
      <c r="C508" s="115"/>
      <c r="D508" s="115"/>
      <c r="E508" s="115"/>
      <c r="F508" s="115"/>
      <c r="G508" s="99"/>
      <c r="H508" s="98"/>
      <c r="I508" s="100"/>
      <c r="J508" s="100"/>
      <c r="K508" s="100"/>
      <c r="L508" s="101"/>
      <c r="M508" s="101"/>
      <c r="N508" s="112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</row>
    <row r="509" spans="1:29" ht="13">
      <c r="A509" s="115"/>
      <c r="B509" s="97"/>
      <c r="C509" s="115"/>
      <c r="D509" s="115"/>
      <c r="E509" s="115"/>
      <c r="F509" s="115"/>
      <c r="G509" s="99"/>
      <c r="H509" s="98"/>
      <c r="I509" s="100"/>
      <c r="J509" s="100"/>
      <c r="K509" s="100"/>
      <c r="L509" s="101"/>
      <c r="M509" s="101"/>
      <c r="N509" s="112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</row>
    <row r="510" spans="1:29" ht="13">
      <c r="A510" s="115"/>
      <c r="B510" s="97"/>
      <c r="C510" s="115"/>
      <c r="D510" s="115"/>
      <c r="E510" s="115"/>
      <c r="F510" s="115"/>
      <c r="G510" s="99"/>
      <c r="H510" s="98"/>
      <c r="I510" s="100"/>
      <c r="J510" s="100"/>
      <c r="K510" s="100"/>
      <c r="L510" s="101"/>
      <c r="M510" s="101"/>
      <c r="N510" s="112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</row>
    <row r="511" spans="1:29" ht="13">
      <c r="A511" s="115"/>
      <c r="B511" s="97"/>
      <c r="C511" s="115"/>
      <c r="D511" s="115"/>
      <c r="E511" s="115"/>
      <c r="F511" s="115"/>
      <c r="G511" s="99"/>
      <c r="H511" s="98"/>
      <c r="I511" s="100"/>
      <c r="J511" s="100"/>
      <c r="K511" s="100"/>
      <c r="L511" s="101"/>
      <c r="M511" s="101"/>
      <c r="N511" s="112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</row>
    <row r="512" spans="1:29" ht="13">
      <c r="A512" s="115"/>
      <c r="B512" s="97"/>
      <c r="C512" s="115"/>
      <c r="D512" s="115"/>
      <c r="E512" s="115"/>
      <c r="F512" s="115"/>
      <c r="G512" s="99"/>
      <c r="H512" s="98"/>
      <c r="I512" s="100"/>
      <c r="J512" s="100"/>
      <c r="K512" s="100"/>
      <c r="L512" s="101"/>
      <c r="M512" s="101"/>
      <c r="N512" s="112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</row>
    <row r="513" spans="1:29" ht="13">
      <c r="A513" s="115"/>
      <c r="B513" s="97"/>
      <c r="C513" s="115"/>
      <c r="D513" s="115"/>
      <c r="E513" s="115"/>
      <c r="F513" s="115"/>
      <c r="G513" s="99"/>
      <c r="H513" s="98"/>
      <c r="I513" s="100"/>
      <c r="J513" s="100"/>
      <c r="K513" s="100"/>
      <c r="L513" s="101"/>
      <c r="M513" s="101"/>
      <c r="N513" s="112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</row>
    <row r="514" spans="1:29" ht="13">
      <c r="A514" s="115"/>
      <c r="B514" s="97"/>
      <c r="C514" s="115"/>
      <c r="D514" s="115"/>
      <c r="E514" s="115"/>
      <c r="F514" s="115"/>
      <c r="G514" s="99"/>
      <c r="H514" s="98"/>
      <c r="I514" s="100"/>
      <c r="J514" s="100"/>
      <c r="K514" s="100"/>
      <c r="L514" s="101"/>
      <c r="M514" s="101"/>
      <c r="N514" s="112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</row>
    <row r="515" spans="1:29" ht="13">
      <c r="A515" s="115"/>
      <c r="B515" s="97"/>
      <c r="C515" s="115"/>
      <c r="D515" s="115"/>
      <c r="E515" s="115"/>
      <c r="F515" s="115"/>
      <c r="G515" s="99"/>
      <c r="H515" s="98"/>
      <c r="I515" s="100"/>
      <c r="J515" s="100"/>
      <c r="K515" s="100"/>
      <c r="L515" s="101"/>
      <c r="M515" s="101"/>
      <c r="N515" s="112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</row>
    <row r="516" spans="1:29" ht="13">
      <c r="A516" s="115"/>
      <c r="B516" s="97"/>
      <c r="C516" s="115"/>
      <c r="D516" s="115"/>
      <c r="E516" s="115"/>
      <c r="F516" s="115"/>
      <c r="G516" s="99"/>
      <c r="H516" s="98"/>
      <c r="I516" s="100"/>
      <c r="J516" s="100"/>
      <c r="K516" s="100"/>
      <c r="L516" s="101"/>
      <c r="M516" s="101"/>
      <c r="N516" s="112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</row>
    <row r="517" spans="1:29" ht="13">
      <c r="A517" s="115"/>
      <c r="B517" s="97"/>
      <c r="C517" s="115"/>
      <c r="D517" s="115"/>
      <c r="E517" s="115"/>
      <c r="F517" s="115"/>
      <c r="G517" s="99"/>
      <c r="H517" s="98"/>
      <c r="I517" s="100"/>
      <c r="J517" s="100"/>
      <c r="K517" s="100"/>
      <c r="L517" s="101"/>
      <c r="M517" s="101"/>
      <c r="N517" s="112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</row>
    <row r="518" spans="1:29" ht="13">
      <c r="A518" s="115"/>
      <c r="B518" s="97"/>
      <c r="C518" s="115"/>
      <c r="D518" s="115"/>
      <c r="E518" s="115"/>
      <c r="F518" s="115"/>
      <c r="G518" s="99"/>
      <c r="H518" s="98"/>
      <c r="I518" s="100"/>
      <c r="J518" s="100"/>
      <c r="K518" s="100"/>
      <c r="L518" s="101"/>
      <c r="M518" s="101"/>
      <c r="N518" s="112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</row>
    <row r="519" spans="1:29" ht="13">
      <c r="A519" s="115"/>
      <c r="B519" s="97"/>
      <c r="C519" s="115"/>
      <c r="D519" s="115"/>
      <c r="E519" s="115"/>
      <c r="F519" s="115"/>
      <c r="G519" s="99"/>
      <c r="H519" s="98"/>
      <c r="I519" s="100"/>
      <c r="J519" s="100"/>
      <c r="K519" s="100"/>
      <c r="L519" s="101"/>
      <c r="M519" s="101"/>
      <c r="N519" s="112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</row>
    <row r="520" spans="1:29" ht="13">
      <c r="A520" s="115"/>
      <c r="B520" s="97"/>
      <c r="C520" s="115"/>
      <c r="D520" s="115"/>
      <c r="E520" s="115"/>
      <c r="F520" s="115"/>
      <c r="G520" s="99"/>
      <c r="H520" s="98"/>
      <c r="I520" s="100"/>
      <c r="J520" s="100"/>
      <c r="K520" s="100"/>
      <c r="L520" s="101"/>
      <c r="M520" s="101"/>
      <c r="N520" s="112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</row>
    <row r="521" spans="1:29" ht="13">
      <c r="A521" s="115"/>
      <c r="B521" s="97"/>
      <c r="C521" s="115"/>
      <c r="D521" s="115"/>
      <c r="E521" s="115"/>
      <c r="F521" s="115"/>
      <c r="G521" s="99"/>
      <c r="H521" s="98"/>
      <c r="I521" s="100"/>
      <c r="J521" s="100"/>
      <c r="K521" s="100"/>
      <c r="L521" s="101"/>
      <c r="M521" s="101"/>
      <c r="N521" s="112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</row>
    <row r="522" spans="1:29" ht="13">
      <c r="A522" s="115"/>
      <c r="B522" s="97"/>
      <c r="C522" s="115"/>
      <c r="D522" s="115"/>
      <c r="E522" s="115"/>
      <c r="F522" s="115"/>
      <c r="G522" s="99"/>
      <c r="H522" s="98"/>
      <c r="I522" s="100"/>
      <c r="J522" s="100"/>
      <c r="K522" s="100"/>
      <c r="L522" s="101"/>
      <c r="M522" s="101"/>
      <c r="N522" s="112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</row>
    <row r="523" spans="1:29" ht="13">
      <c r="A523" s="115"/>
      <c r="B523" s="97"/>
      <c r="C523" s="115"/>
      <c r="D523" s="115"/>
      <c r="E523" s="115"/>
      <c r="F523" s="115"/>
      <c r="G523" s="99"/>
      <c r="H523" s="98"/>
      <c r="I523" s="100"/>
      <c r="J523" s="100"/>
      <c r="K523" s="100"/>
      <c r="L523" s="101"/>
      <c r="M523" s="101"/>
      <c r="N523" s="112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</row>
    <row r="524" spans="1:29" ht="13">
      <c r="A524" s="115"/>
      <c r="B524" s="97"/>
      <c r="C524" s="115"/>
      <c r="D524" s="115"/>
      <c r="E524" s="115"/>
      <c r="F524" s="115"/>
      <c r="G524" s="99"/>
      <c r="H524" s="98"/>
      <c r="I524" s="100"/>
      <c r="J524" s="100"/>
      <c r="K524" s="100"/>
      <c r="L524" s="101"/>
      <c r="M524" s="101"/>
      <c r="N524" s="112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</row>
    <row r="525" spans="1:29" ht="13">
      <c r="A525" s="115"/>
      <c r="B525" s="97"/>
      <c r="C525" s="115"/>
      <c r="D525" s="115"/>
      <c r="E525" s="115"/>
      <c r="F525" s="115"/>
      <c r="G525" s="99"/>
      <c r="H525" s="98"/>
      <c r="I525" s="100"/>
      <c r="J525" s="100"/>
      <c r="K525" s="100"/>
      <c r="L525" s="101"/>
      <c r="M525" s="101"/>
      <c r="N525" s="112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</row>
    <row r="526" spans="1:29" ht="13">
      <c r="A526" s="115"/>
      <c r="B526" s="97"/>
      <c r="C526" s="115"/>
      <c r="D526" s="115"/>
      <c r="E526" s="115"/>
      <c r="F526" s="115"/>
      <c r="G526" s="99"/>
      <c r="H526" s="98"/>
      <c r="I526" s="100"/>
      <c r="J526" s="100"/>
      <c r="K526" s="100"/>
      <c r="L526" s="101"/>
      <c r="M526" s="101"/>
      <c r="N526" s="112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</row>
    <row r="527" spans="1:29" ht="13">
      <c r="A527" s="115"/>
      <c r="B527" s="97"/>
      <c r="C527" s="115"/>
      <c r="D527" s="115"/>
      <c r="E527" s="115"/>
      <c r="F527" s="115"/>
      <c r="G527" s="99"/>
      <c r="H527" s="98"/>
      <c r="I527" s="100"/>
      <c r="J527" s="100"/>
      <c r="K527" s="100"/>
      <c r="L527" s="101"/>
      <c r="M527" s="101"/>
      <c r="N527" s="112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</row>
    <row r="528" spans="1:29" ht="13">
      <c r="A528" s="115"/>
      <c r="B528" s="97"/>
      <c r="C528" s="115"/>
      <c r="D528" s="115"/>
      <c r="E528" s="115"/>
      <c r="F528" s="115"/>
      <c r="G528" s="99"/>
      <c r="H528" s="98"/>
      <c r="I528" s="100"/>
      <c r="J528" s="100"/>
      <c r="K528" s="100"/>
      <c r="L528" s="101"/>
      <c r="M528" s="101"/>
      <c r="N528" s="112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</row>
    <row r="529" spans="1:29" ht="13">
      <c r="A529" s="115"/>
      <c r="B529" s="97"/>
      <c r="C529" s="115"/>
      <c r="D529" s="115"/>
      <c r="E529" s="115"/>
      <c r="F529" s="115"/>
      <c r="G529" s="99"/>
      <c r="H529" s="98"/>
      <c r="I529" s="100"/>
      <c r="J529" s="100"/>
      <c r="K529" s="100"/>
      <c r="L529" s="101"/>
      <c r="M529" s="101"/>
      <c r="N529" s="112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</row>
    <row r="530" spans="1:29" ht="13">
      <c r="A530" s="115"/>
      <c r="B530" s="97"/>
      <c r="C530" s="115"/>
      <c r="D530" s="115"/>
      <c r="E530" s="115"/>
      <c r="F530" s="115"/>
      <c r="G530" s="99"/>
      <c r="H530" s="98"/>
      <c r="I530" s="100"/>
      <c r="J530" s="100"/>
      <c r="K530" s="100"/>
      <c r="L530" s="101"/>
      <c r="M530" s="101"/>
      <c r="N530" s="112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</row>
    <row r="531" spans="1:29" ht="13">
      <c r="A531" s="115"/>
      <c r="B531" s="97"/>
      <c r="C531" s="115"/>
      <c r="D531" s="115"/>
      <c r="E531" s="115"/>
      <c r="F531" s="115"/>
      <c r="G531" s="99"/>
      <c r="H531" s="98"/>
      <c r="I531" s="100"/>
      <c r="J531" s="100"/>
      <c r="K531" s="100"/>
      <c r="L531" s="101"/>
      <c r="M531" s="101"/>
      <c r="N531" s="112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</row>
    <row r="532" spans="1:29" ht="13">
      <c r="A532" s="115"/>
      <c r="B532" s="97"/>
      <c r="C532" s="115"/>
      <c r="D532" s="115"/>
      <c r="E532" s="115"/>
      <c r="F532" s="115"/>
      <c r="G532" s="99"/>
      <c r="H532" s="98"/>
      <c r="I532" s="100"/>
      <c r="J532" s="100"/>
      <c r="K532" s="100"/>
      <c r="L532" s="101"/>
      <c r="M532" s="101"/>
      <c r="N532" s="112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</row>
    <row r="533" spans="1:29" ht="13">
      <c r="A533" s="115"/>
      <c r="B533" s="97"/>
      <c r="C533" s="115"/>
      <c r="D533" s="115"/>
      <c r="E533" s="115"/>
      <c r="F533" s="115"/>
      <c r="G533" s="99"/>
      <c r="H533" s="98"/>
      <c r="I533" s="100"/>
      <c r="J533" s="100"/>
      <c r="K533" s="100"/>
      <c r="L533" s="101"/>
      <c r="M533" s="101"/>
      <c r="N533" s="112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</row>
    <row r="534" spans="1:29" ht="13">
      <c r="A534" s="115"/>
      <c r="B534" s="97"/>
      <c r="C534" s="115"/>
      <c r="D534" s="115"/>
      <c r="E534" s="115"/>
      <c r="F534" s="115"/>
      <c r="G534" s="99"/>
      <c r="H534" s="98"/>
      <c r="I534" s="100"/>
      <c r="J534" s="100"/>
      <c r="K534" s="100"/>
      <c r="L534" s="101"/>
      <c r="M534" s="101"/>
      <c r="N534" s="112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</row>
    <row r="535" spans="1:29" ht="13">
      <c r="A535" s="115"/>
      <c r="B535" s="97"/>
      <c r="C535" s="115"/>
      <c r="D535" s="115"/>
      <c r="E535" s="115"/>
      <c r="F535" s="115"/>
      <c r="G535" s="99"/>
      <c r="H535" s="98"/>
      <c r="I535" s="100"/>
      <c r="J535" s="100"/>
      <c r="K535" s="100"/>
      <c r="L535" s="101"/>
      <c r="M535" s="101"/>
      <c r="N535" s="112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</row>
    <row r="536" spans="1:29" ht="13">
      <c r="A536" s="115"/>
      <c r="B536" s="97"/>
      <c r="C536" s="115"/>
      <c r="D536" s="115"/>
      <c r="E536" s="115"/>
      <c r="F536" s="115"/>
      <c r="G536" s="99"/>
      <c r="H536" s="98"/>
      <c r="I536" s="100"/>
      <c r="J536" s="100"/>
      <c r="K536" s="100"/>
      <c r="L536" s="101"/>
      <c r="M536" s="101"/>
      <c r="N536" s="112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</row>
    <row r="537" spans="1:29" ht="13">
      <c r="A537" s="115"/>
      <c r="B537" s="97"/>
      <c r="C537" s="115"/>
      <c r="D537" s="115"/>
      <c r="E537" s="115"/>
      <c r="F537" s="115"/>
      <c r="G537" s="99"/>
      <c r="H537" s="98"/>
      <c r="I537" s="100"/>
      <c r="J537" s="100"/>
      <c r="K537" s="100"/>
      <c r="L537" s="101"/>
      <c r="M537" s="101"/>
      <c r="N537" s="112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</row>
    <row r="538" spans="1:29" ht="13">
      <c r="A538" s="115"/>
      <c r="B538" s="97"/>
      <c r="C538" s="115"/>
      <c r="D538" s="115"/>
      <c r="E538" s="115"/>
      <c r="F538" s="115"/>
      <c r="G538" s="99"/>
      <c r="H538" s="98"/>
      <c r="I538" s="100"/>
      <c r="J538" s="100"/>
      <c r="K538" s="100"/>
      <c r="L538" s="101"/>
      <c r="M538" s="101"/>
      <c r="N538" s="112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</row>
    <row r="539" spans="1:29" ht="13">
      <c r="A539" s="115"/>
      <c r="B539" s="97"/>
      <c r="C539" s="115"/>
      <c r="D539" s="115"/>
      <c r="E539" s="115"/>
      <c r="F539" s="115"/>
      <c r="G539" s="99"/>
      <c r="H539" s="98"/>
      <c r="I539" s="100"/>
      <c r="J539" s="100"/>
      <c r="K539" s="100"/>
      <c r="L539" s="101"/>
      <c r="M539" s="101"/>
      <c r="N539" s="112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</row>
    <row r="540" spans="1:29" ht="13">
      <c r="A540" s="115"/>
      <c r="B540" s="97"/>
      <c r="C540" s="115"/>
      <c r="D540" s="115"/>
      <c r="E540" s="115"/>
      <c r="F540" s="115"/>
      <c r="G540" s="99"/>
      <c r="H540" s="98"/>
      <c r="I540" s="100"/>
      <c r="J540" s="100"/>
      <c r="K540" s="100"/>
      <c r="L540" s="101"/>
      <c r="M540" s="101"/>
      <c r="N540" s="112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</row>
    <row r="541" spans="1:29" ht="13">
      <c r="A541" s="115"/>
      <c r="B541" s="97"/>
      <c r="C541" s="115"/>
      <c r="D541" s="115"/>
      <c r="E541" s="115"/>
      <c r="F541" s="115"/>
      <c r="G541" s="99"/>
      <c r="H541" s="98"/>
      <c r="I541" s="100"/>
      <c r="J541" s="100"/>
      <c r="K541" s="100"/>
      <c r="L541" s="101"/>
      <c r="M541" s="101"/>
      <c r="N541" s="112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</row>
    <row r="542" spans="1:29" ht="13">
      <c r="A542" s="115"/>
      <c r="B542" s="97"/>
      <c r="C542" s="115"/>
      <c r="D542" s="115"/>
      <c r="E542" s="115"/>
      <c r="F542" s="115"/>
      <c r="G542" s="99"/>
      <c r="H542" s="98"/>
      <c r="I542" s="100"/>
      <c r="J542" s="100"/>
      <c r="K542" s="100"/>
      <c r="L542" s="101"/>
      <c r="M542" s="101"/>
      <c r="N542" s="112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</row>
    <row r="543" spans="1:29" ht="13">
      <c r="A543" s="115"/>
      <c r="B543" s="97"/>
      <c r="C543" s="115"/>
      <c r="D543" s="115"/>
      <c r="E543" s="115"/>
      <c r="F543" s="115"/>
      <c r="G543" s="99"/>
      <c r="H543" s="98"/>
      <c r="I543" s="100"/>
      <c r="J543" s="100"/>
      <c r="K543" s="100"/>
      <c r="L543" s="101"/>
      <c r="M543" s="101"/>
      <c r="N543" s="112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</row>
    <row r="544" spans="1:29" ht="13">
      <c r="A544" s="115"/>
      <c r="B544" s="97"/>
      <c r="C544" s="115"/>
      <c r="D544" s="115"/>
      <c r="E544" s="115"/>
      <c r="F544" s="115"/>
      <c r="G544" s="99"/>
      <c r="H544" s="98"/>
      <c r="I544" s="100"/>
      <c r="J544" s="100"/>
      <c r="K544" s="100"/>
      <c r="L544" s="101"/>
      <c r="M544" s="101"/>
      <c r="N544" s="112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</row>
    <row r="545" spans="1:29" ht="13">
      <c r="A545" s="115"/>
      <c r="B545" s="97"/>
      <c r="C545" s="115"/>
      <c r="D545" s="115"/>
      <c r="E545" s="115"/>
      <c r="F545" s="115"/>
      <c r="G545" s="99"/>
      <c r="H545" s="98"/>
      <c r="I545" s="100"/>
      <c r="J545" s="100"/>
      <c r="K545" s="100"/>
      <c r="L545" s="101"/>
      <c r="M545" s="101"/>
      <c r="N545" s="112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</row>
    <row r="546" spans="1:29" ht="13">
      <c r="A546" s="115"/>
      <c r="B546" s="97"/>
      <c r="C546" s="115"/>
      <c r="D546" s="115"/>
      <c r="E546" s="115"/>
      <c r="F546" s="115"/>
      <c r="G546" s="99"/>
      <c r="H546" s="98"/>
      <c r="I546" s="100"/>
      <c r="J546" s="100"/>
      <c r="K546" s="100"/>
      <c r="L546" s="101"/>
      <c r="M546" s="101"/>
      <c r="N546" s="112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</row>
    <row r="547" spans="1:29" ht="13">
      <c r="A547" s="115"/>
      <c r="B547" s="97"/>
      <c r="C547" s="115"/>
      <c r="D547" s="115"/>
      <c r="E547" s="115"/>
      <c r="F547" s="115"/>
      <c r="G547" s="99"/>
      <c r="H547" s="98"/>
      <c r="I547" s="100"/>
      <c r="J547" s="100"/>
      <c r="K547" s="100"/>
      <c r="L547" s="101"/>
      <c r="M547" s="101"/>
      <c r="N547" s="112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</row>
    <row r="548" spans="1:29" ht="13">
      <c r="A548" s="115"/>
      <c r="B548" s="97"/>
      <c r="C548" s="115"/>
      <c r="D548" s="115"/>
      <c r="E548" s="115"/>
      <c r="F548" s="115"/>
      <c r="G548" s="99"/>
      <c r="H548" s="98"/>
      <c r="I548" s="100"/>
      <c r="J548" s="100"/>
      <c r="K548" s="100"/>
      <c r="L548" s="101"/>
      <c r="M548" s="101"/>
      <c r="N548" s="112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</row>
    <row r="549" spans="1:29" ht="13">
      <c r="A549" s="115"/>
      <c r="B549" s="97"/>
      <c r="C549" s="115"/>
      <c r="D549" s="115"/>
      <c r="E549" s="115"/>
      <c r="F549" s="115"/>
      <c r="G549" s="99"/>
      <c r="H549" s="98"/>
      <c r="I549" s="100"/>
      <c r="J549" s="100"/>
      <c r="K549" s="100"/>
      <c r="L549" s="101"/>
      <c r="M549" s="101"/>
      <c r="N549" s="112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</row>
    <row r="550" spans="1:29" ht="13">
      <c r="A550" s="115"/>
      <c r="B550" s="97"/>
      <c r="C550" s="115"/>
      <c r="D550" s="115"/>
      <c r="E550" s="115"/>
      <c r="F550" s="115"/>
      <c r="G550" s="99"/>
      <c r="H550" s="98"/>
      <c r="I550" s="100"/>
      <c r="J550" s="100"/>
      <c r="K550" s="100"/>
      <c r="L550" s="101"/>
      <c r="M550" s="101"/>
      <c r="N550" s="112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</row>
    <row r="551" spans="1:29" ht="13">
      <c r="A551" s="115"/>
      <c r="B551" s="97"/>
      <c r="C551" s="115"/>
      <c r="D551" s="115"/>
      <c r="E551" s="115"/>
      <c r="F551" s="115"/>
      <c r="G551" s="99"/>
      <c r="H551" s="98"/>
      <c r="I551" s="100"/>
      <c r="J551" s="100"/>
      <c r="K551" s="100"/>
      <c r="L551" s="101"/>
      <c r="M551" s="101"/>
      <c r="N551" s="112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</row>
    <row r="552" spans="1:29" ht="13">
      <c r="A552" s="115"/>
      <c r="B552" s="97"/>
      <c r="C552" s="115"/>
      <c r="D552" s="115"/>
      <c r="E552" s="115"/>
      <c r="F552" s="115"/>
      <c r="G552" s="99"/>
      <c r="H552" s="98"/>
      <c r="I552" s="100"/>
      <c r="J552" s="100"/>
      <c r="K552" s="100"/>
      <c r="L552" s="101"/>
      <c r="M552" s="101"/>
      <c r="N552" s="112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</row>
    <row r="553" spans="1:29" ht="13">
      <c r="A553" s="115"/>
      <c r="B553" s="97"/>
      <c r="C553" s="115"/>
      <c r="D553" s="115"/>
      <c r="E553" s="115"/>
      <c r="F553" s="115"/>
      <c r="G553" s="99"/>
      <c r="H553" s="98"/>
      <c r="I553" s="100"/>
      <c r="J553" s="100"/>
      <c r="K553" s="100"/>
      <c r="L553" s="101"/>
      <c r="M553" s="101"/>
      <c r="N553" s="112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</row>
    <row r="554" spans="1:29" ht="13">
      <c r="A554" s="115"/>
      <c r="B554" s="97"/>
      <c r="C554" s="115"/>
      <c r="D554" s="115"/>
      <c r="E554" s="115"/>
      <c r="F554" s="115"/>
      <c r="G554" s="99"/>
      <c r="H554" s="98"/>
      <c r="I554" s="100"/>
      <c r="J554" s="100"/>
      <c r="K554" s="100"/>
      <c r="L554" s="101"/>
      <c r="M554" s="101"/>
      <c r="N554" s="112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</row>
    <row r="555" spans="1:29" ht="13">
      <c r="A555" s="115"/>
      <c r="B555" s="97"/>
      <c r="C555" s="115"/>
      <c r="D555" s="115"/>
      <c r="E555" s="115"/>
      <c r="F555" s="115"/>
      <c r="G555" s="99"/>
      <c r="H555" s="98"/>
      <c r="I555" s="100"/>
      <c r="J555" s="100"/>
      <c r="K555" s="100"/>
      <c r="L555" s="101"/>
      <c r="M555" s="101"/>
      <c r="N555" s="112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</row>
    <row r="556" spans="1:29" ht="13">
      <c r="A556" s="115"/>
      <c r="B556" s="97"/>
      <c r="C556" s="115"/>
      <c r="D556" s="115"/>
      <c r="E556" s="115"/>
      <c r="F556" s="115"/>
      <c r="G556" s="99"/>
      <c r="H556" s="98"/>
      <c r="I556" s="100"/>
      <c r="J556" s="100"/>
      <c r="K556" s="100"/>
      <c r="L556" s="101"/>
      <c r="M556" s="101"/>
      <c r="N556" s="112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</row>
    <row r="557" spans="1:29" ht="13">
      <c r="A557" s="115"/>
      <c r="B557" s="97"/>
      <c r="C557" s="115"/>
      <c r="D557" s="115"/>
      <c r="E557" s="115"/>
      <c r="F557" s="115"/>
      <c r="G557" s="99"/>
      <c r="H557" s="98"/>
      <c r="I557" s="100"/>
      <c r="J557" s="100"/>
      <c r="K557" s="100"/>
      <c r="L557" s="101"/>
      <c r="M557" s="101"/>
      <c r="N557" s="112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</row>
    <row r="558" spans="1:29" ht="13">
      <c r="A558" s="115"/>
      <c r="B558" s="97"/>
      <c r="C558" s="115"/>
      <c r="D558" s="115"/>
      <c r="E558" s="115"/>
      <c r="F558" s="115"/>
      <c r="G558" s="99"/>
      <c r="H558" s="98"/>
      <c r="I558" s="100"/>
      <c r="J558" s="100"/>
      <c r="K558" s="100"/>
      <c r="L558" s="101"/>
      <c r="M558" s="101"/>
      <c r="N558" s="112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</row>
    <row r="559" spans="1:29" ht="13">
      <c r="A559" s="115"/>
      <c r="B559" s="97"/>
      <c r="C559" s="115"/>
      <c r="D559" s="115"/>
      <c r="E559" s="115"/>
      <c r="F559" s="115"/>
      <c r="G559" s="99"/>
      <c r="H559" s="98"/>
      <c r="I559" s="100"/>
      <c r="J559" s="100"/>
      <c r="K559" s="100"/>
      <c r="L559" s="101"/>
      <c r="M559" s="101"/>
      <c r="N559" s="112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</row>
    <row r="560" spans="1:29" ht="13">
      <c r="A560" s="115"/>
      <c r="B560" s="97"/>
      <c r="C560" s="115"/>
      <c r="D560" s="115"/>
      <c r="E560" s="115"/>
      <c r="F560" s="115"/>
      <c r="G560" s="99"/>
      <c r="H560" s="98"/>
      <c r="I560" s="100"/>
      <c r="J560" s="100"/>
      <c r="K560" s="100"/>
      <c r="L560" s="101"/>
      <c r="M560" s="101"/>
      <c r="N560" s="112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</row>
    <row r="561" spans="1:29" ht="13">
      <c r="A561" s="115"/>
      <c r="B561" s="97"/>
      <c r="C561" s="115"/>
      <c r="D561" s="115"/>
      <c r="E561" s="115"/>
      <c r="F561" s="115"/>
      <c r="G561" s="99"/>
      <c r="H561" s="98"/>
      <c r="I561" s="100"/>
      <c r="J561" s="100"/>
      <c r="K561" s="100"/>
      <c r="L561" s="101"/>
      <c r="M561" s="101"/>
      <c r="N561" s="112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</row>
    <row r="562" spans="1:29" ht="13">
      <c r="A562" s="115"/>
      <c r="B562" s="97"/>
      <c r="C562" s="115"/>
      <c r="D562" s="115"/>
      <c r="E562" s="115"/>
      <c r="F562" s="115"/>
      <c r="G562" s="99"/>
      <c r="H562" s="98"/>
      <c r="I562" s="100"/>
      <c r="J562" s="100"/>
      <c r="K562" s="100"/>
      <c r="L562" s="101"/>
      <c r="M562" s="101"/>
      <c r="N562" s="112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</row>
    <row r="563" spans="1:29" ht="13">
      <c r="A563" s="115"/>
      <c r="B563" s="97"/>
      <c r="C563" s="115"/>
      <c r="D563" s="115"/>
      <c r="E563" s="115"/>
      <c r="F563" s="115"/>
      <c r="G563" s="99"/>
      <c r="H563" s="98"/>
      <c r="I563" s="100"/>
      <c r="J563" s="100"/>
      <c r="K563" s="100"/>
      <c r="L563" s="101"/>
      <c r="M563" s="101"/>
      <c r="N563" s="112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</row>
    <row r="564" spans="1:29" ht="13">
      <c r="A564" s="115"/>
      <c r="B564" s="97"/>
      <c r="C564" s="115"/>
      <c r="D564" s="115"/>
      <c r="E564" s="115"/>
      <c r="F564" s="115"/>
      <c r="G564" s="99"/>
      <c r="H564" s="98"/>
      <c r="I564" s="100"/>
      <c r="J564" s="100"/>
      <c r="K564" s="100"/>
      <c r="L564" s="101"/>
      <c r="M564" s="101"/>
      <c r="N564" s="112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</row>
    <row r="565" spans="1:29" ht="13">
      <c r="A565" s="115"/>
      <c r="B565" s="97"/>
      <c r="C565" s="115"/>
      <c r="D565" s="115"/>
      <c r="E565" s="115"/>
      <c r="F565" s="115"/>
      <c r="G565" s="99"/>
      <c r="H565" s="98"/>
      <c r="I565" s="100"/>
      <c r="J565" s="100"/>
      <c r="K565" s="100"/>
      <c r="L565" s="101"/>
      <c r="M565" s="101"/>
      <c r="N565" s="112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</row>
    <row r="566" spans="1:29" ht="13">
      <c r="A566" s="115"/>
      <c r="B566" s="97"/>
      <c r="C566" s="115"/>
      <c r="D566" s="115"/>
      <c r="E566" s="115"/>
      <c r="F566" s="115"/>
      <c r="G566" s="99"/>
      <c r="H566" s="98"/>
      <c r="I566" s="100"/>
      <c r="J566" s="100"/>
      <c r="K566" s="100"/>
      <c r="L566" s="101"/>
      <c r="M566" s="101"/>
      <c r="N566" s="112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</row>
    <row r="567" spans="1:29" ht="13">
      <c r="A567" s="115"/>
      <c r="B567" s="97"/>
      <c r="C567" s="115"/>
      <c r="D567" s="115"/>
      <c r="E567" s="115"/>
      <c r="F567" s="115"/>
      <c r="G567" s="99"/>
      <c r="H567" s="98"/>
      <c r="I567" s="100"/>
      <c r="J567" s="100"/>
      <c r="K567" s="100"/>
      <c r="L567" s="101"/>
      <c r="M567" s="101"/>
      <c r="N567" s="112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</row>
    <row r="568" spans="1:29" ht="13">
      <c r="A568" s="115"/>
      <c r="B568" s="97"/>
      <c r="C568" s="115"/>
      <c r="D568" s="115"/>
      <c r="E568" s="115"/>
      <c r="F568" s="115"/>
      <c r="G568" s="99"/>
      <c r="H568" s="98"/>
      <c r="I568" s="100"/>
      <c r="J568" s="100"/>
      <c r="K568" s="100"/>
      <c r="L568" s="101"/>
      <c r="M568" s="101"/>
      <c r="N568" s="112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</row>
    <row r="569" spans="1:29" ht="13">
      <c r="A569" s="115"/>
      <c r="B569" s="97"/>
      <c r="C569" s="115"/>
      <c r="D569" s="115"/>
      <c r="E569" s="115"/>
      <c r="F569" s="115"/>
      <c r="G569" s="99"/>
      <c r="H569" s="98"/>
      <c r="I569" s="100"/>
      <c r="J569" s="100"/>
      <c r="K569" s="100"/>
      <c r="L569" s="101"/>
      <c r="M569" s="101"/>
      <c r="N569" s="112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</row>
    <row r="570" spans="1:29" ht="13">
      <c r="A570" s="115"/>
      <c r="B570" s="97"/>
      <c r="C570" s="115"/>
      <c r="D570" s="115"/>
      <c r="E570" s="115"/>
      <c r="F570" s="115"/>
      <c r="G570" s="99"/>
      <c r="H570" s="98"/>
      <c r="I570" s="100"/>
      <c r="J570" s="100"/>
      <c r="K570" s="100"/>
      <c r="L570" s="101"/>
      <c r="M570" s="101"/>
      <c r="N570" s="112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</row>
    <row r="571" spans="1:29" ht="13">
      <c r="A571" s="115"/>
      <c r="B571" s="97"/>
      <c r="C571" s="115"/>
      <c r="D571" s="115"/>
      <c r="E571" s="115"/>
      <c r="F571" s="115"/>
      <c r="G571" s="99"/>
      <c r="H571" s="98"/>
      <c r="I571" s="100"/>
      <c r="J571" s="100"/>
      <c r="K571" s="100"/>
      <c r="L571" s="101"/>
      <c r="M571" s="101"/>
      <c r="N571" s="112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</row>
    <row r="572" spans="1:29" ht="13">
      <c r="A572" s="115"/>
      <c r="B572" s="97"/>
      <c r="C572" s="115"/>
      <c r="D572" s="115"/>
      <c r="E572" s="115"/>
      <c r="F572" s="115"/>
      <c r="G572" s="99"/>
      <c r="H572" s="98"/>
      <c r="I572" s="100"/>
      <c r="J572" s="100"/>
      <c r="K572" s="100"/>
      <c r="L572" s="101"/>
      <c r="M572" s="101"/>
      <c r="N572" s="112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</row>
    <row r="573" spans="1:29" ht="13">
      <c r="A573" s="115"/>
      <c r="B573" s="97"/>
      <c r="C573" s="115"/>
      <c r="D573" s="115"/>
      <c r="E573" s="115"/>
      <c r="F573" s="115"/>
      <c r="G573" s="99"/>
      <c r="H573" s="98"/>
      <c r="I573" s="100"/>
      <c r="J573" s="100"/>
      <c r="K573" s="100"/>
      <c r="L573" s="101"/>
      <c r="M573" s="101"/>
      <c r="N573" s="112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</row>
    <row r="574" spans="1:29" ht="13">
      <c r="A574" s="115"/>
      <c r="B574" s="97"/>
      <c r="C574" s="115"/>
      <c r="D574" s="115"/>
      <c r="E574" s="115"/>
      <c r="F574" s="115"/>
      <c r="G574" s="99"/>
      <c r="H574" s="98"/>
      <c r="I574" s="100"/>
      <c r="J574" s="100"/>
      <c r="K574" s="100"/>
      <c r="L574" s="101"/>
      <c r="M574" s="101"/>
      <c r="N574" s="112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</row>
    <row r="575" spans="1:29" ht="13">
      <c r="A575" s="115"/>
      <c r="B575" s="97"/>
      <c r="C575" s="115"/>
      <c r="D575" s="115"/>
      <c r="E575" s="115"/>
      <c r="F575" s="115"/>
      <c r="G575" s="99"/>
      <c r="H575" s="98"/>
      <c r="I575" s="100"/>
      <c r="J575" s="100"/>
      <c r="K575" s="100"/>
      <c r="L575" s="101"/>
      <c r="M575" s="101"/>
      <c r="N575" s="112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</row>
    <row r="576" spans="1:29" ht="13">
      <c r="A576" s="115"/>
      <c r="B576" s="97"/>
      <c r="C576" s="115"/>
      <c r="D576" s="115"/>
      <c r="E576" s="115"/>
      <c r="F576" s="115"/>
      <c r="G576" s="99"/>
      <c r="H576" s="98"/>
      <c r="I576" s="100"/>
      <c r="J576" s="100"/>
      <c r="K576" s="100"/>
      <c r="L576" s="101"/>
      <c r="M576" s="101"/>
      <c r="N576" s="112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</row>
    <row r="577" spans="1:29" ht="13">
      <c r="A577" s="115"/>
      <c r="B577" s="97"/>
      <c r="C577" s="115"/>
      <c r="D577" s="115"/>
      <c r="E577" s="115"/>
      <c r="F577" s="115"/>
      <c r="G577" s="99"/>
      <c r="H577" s="98"/>
      <c r="I577" s="100"/>
      <c r="J577" s="100"/>
      <c r="K577" s="100"/>
      <c r="L577" s="101"/>
      <c r="M577" s="101"/>
      <c r="N577" s="112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</row>
    <row r="578" spans="1:29" ht="13">
      <c r="A578" s="115"/>
      <c r="B578" s="97"/>
      <c r="C578" s="115"/>
      <c r="D578" s="115"/>
      <c r="E578" s="115"/>
      <c r="F578" s="115"/>
      <c r="G578" s="99"/>
      <c r="H578" s="98"/>
      <c r="I578" s="100"/>
      <c r="J578" s="100"/>
      <c r="K578" s="100"/>
      <c r="L578" s="101"/>
      <c r="M578" s="101"/>
      <c r="N578" s="112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</row>
    <row r="579" spans="1:29" ht="13">
      <c r="A579" s="115"/>
      <c r="B579" s="97"/>
      <c r="C579" s="115"/>
      <c r="D579" s="115"/>
      <c r="E579" s="115"/>
      <c r="F579" s="115"/>
      <c r="G579" s="99"/>
      <c r="H579" s="98"/>
      <c r="I579" s="100"/>
      <c r="J579" s="100"/>
      <c r="K579" s="100"/>
      <c r="L579" s="101"/>
      <c r="M579" s="101"/>
      <c r="N579" s="112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</row>
    <row r="580" spans="1:29" ht="13">
      <c r="A580" s="115"/>
      <c r="B580" s="97"/>
      <c r="C580" s="115"/>
      <c r="D580" s="115"/>
      <c r="E580" s="115"/>
      <c r="F580" s="115"/>
      <c r="G580" s="99"/>
      <c r="H580" s="98"/>
      <c r="I580" s="100"/>
      <c r="J580" s="100"/>
      <c r="K580" s="100"/>
      <c r="L580" s="101"/>
      <c r="M580" s="101"/>
      <c r="N580" s="112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</row>
    <row r="581" spans="1:29" ht="13">
      <c r="A581" s="115"/>
      <c r="B581" s="97"/>
      <c r="C581" s="115"/>
      <c r="D581" s="115"/>
      <c r="E581" s="115"/>
      <c r="F581" s="115"/>
      <c r="G581" s="99"/>
      <c r="H581" s="98"/>
      <c r="I581" s="100"/>
      <c r="J581" s="100"/>
      <c r="K581" s="100"/>
      <c r="L581" s="101"/>
      <c r="M581" s="101"/>
      <c r="N581" s="112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</row>
    <row r="582" spans="1:29" ht="13">
      <c r="A582" s="115"/>
      <c r="B582" s="97"/>
      <c r="C582" s="115"/>
      <c r="D582" s="115"/>
      <c r="E582" s="115"/>
      <c r="F582" s="115"/>
      <c r="G582" s="99"/>
      <c r="H582" s="98"/>
      <c r="I582" s="100"/>
      <c r="J582" s="100"/>
      <c r="K582" s="100"/>
      <c r="L582" s="101"/>
      <c r="M582" s="101"/>
      <c r="N582" s="112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</row>
    <row r="583" spans="1:29" ht="13">
      <c r="A583" s="115"/>
      <c r="B583" s="97"/>
      <c r="C583" s="115"/>
      <c r="D583" s="115"/>
      <c r="E583" s="115"/>
      <c r="F583" s="115"/>
      <c r="G583" s="99"/>
      <c r="H583" s="98"/>
      <c r="I583" s="100"/>
      <c r="J583" s="100"/>
      <c r="K583" s="100"/>
      <c r="L583" s="101"/>
      <c r="M583" s="101"/>
      <c r="N583" s="112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</row>
    <row r="584" spans="1:29" ht="13">
      <c r="A584" s="115"/>
      <c r="B584" s="97"/>
      <c r="C584" s="115"/>
      <c r="D584" s="115"/>
      <c r="E584" s="115"/>
      <c r="F584" s="115"/>
      <c r="G584" s="99"/>
      <c r="H584" s="98"/>
      <c r="I584" s="100"/>
      <c r="J584" s="100"/>
      <c r="K584" s="100"/>
      <c r="L584" s="101"/>
      <c r="M584" s="101"/>
      <c r="N584" s="112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</row>
    <row r="585" spans="1:29" ht="13">
      <c r="A585" s="115"/>
      <c r="B585" s="97"/>
      <c r="C585" s="115"/>
      <c r="D585" s="115"/>
      <c r="E585" s="115"/>
      <c r="F585" s="115"/>
      <c r="G585" s="99"/>
      <c r="H585" s="98"/>
      <c r="I585" s="100"/>
      <c r="J585" s="100"/>
      <c r="K585" s="100"/>
      <c r="L585" s="101"/>
      <c r="M585" s="101"/>
      <c r="N585" s="112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</row>
    <row r="586" spans="1:29" ht="13">
      <c r="A586" s="115"/>
      <c r="B586" s="97"/>
      <c r="C586" s="115"/>
      <c r="D586" s="115"/>
      <c r="E586" s="115"/>
      <c r="F586" s="115"/>
      <c r="G586" s="99"/>
      <c r="H586" s="98"/>
      <c r="I586" s="100"/>
      <c r="J586" s="100"/>
      <c r="K586" s="100"/>
      <c r="L586" s="101"/>
      <c r="M586" s="101"/>
      <c r="N586" s="112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</row>
    <row r="587" spans="1:29" ht="13">
      <c r="A587" s="115"/>
      <c r="B587" s="97"/>
      <c r="C587" s="115"/>
      <c r="D587" s="115"/>
      <c r="E587" s="115"/>
      <c r="F587" s="115"/>
      <c r="G587" s="99"/>
      <c r="H587" s="98"/>
      <c r="I587" s="100"/>
      <c r="J587" s="100"/>
      <c r="K587" s="100"/>
      <c r="L587" s="101"/>
      <c r="M587" s="101"/>
      <c r="N587" s="112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</row>
    <row r="588" spans="1:29" ht="13">
      <c r="A588" s="115"/>
      <c r="B588" s="97"/>
      <c r="C588" s="115"/>
      <c r="D588" s="115"/>
      <c r="E588" s="115"/>
      <c r="F588" s="115"/>
      <c r="G588" s="99"/>
      <c r="H588" s="98"/>
      <c r="I588" s="100"/>
      <c r="J588" s="100"/>
      <c r="K588" s="100"/>
      <c r="L588" s="101"/>
      <c r="M588" s="101"/>
      <c r="N588" s="112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</row>
    <row r="589" spans="1:29" ht="13">
      <c r="A589" s="115"/>
      <c r="B589" s="97"/>
      <c r="C589" s="115"/>
      <c r="D589" s="115"/>
      <c r="E589" s="115"/>
      <c r="F589" s="115"/>
      <c r="G589" s="99"/>
      <c r="H589" s="98"/>
      <c r="I589" s="100"/>
      <c r="J589" s="100"/>
      <c r="K589" s="100"/>
      <c r="L589" s="101"/>
      <c r="M589" s="101"/>
      <c r="N589" s="112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</row>
    <row r="590" spans="1:29" ht="13">
      <c r="A590" s="115"/>
      <c r="B590" s="97"/>
      <c r="C590" s="115"/>
      <c r="D590" s="115"/>
      <c r="E590" s="115"/>
      <c r="F590" s="115"/>
      <c r="G590" s="99"/>
      <c r="H590" s="98"/>
      <c r="I590" s="100"/>
      <c r="J590" s="100"/>
      <c r="K590" s="100"/>
      <c r="L590" s="101"/>
      <c r="M590" s="101"/>
      <c r="N590" s="112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</row>
    <row r="591" spans="1:29" ht="13">
      <c r="A591" s="115"/>
      <c r="B591" s="97"/>
      <c r="C591" s="115"/>
      <c r="D591" s="115"/>
      <c r="E591" s="115"/>
      <c r="F591" s="115"/>
      <c r="G591" s="99"/>
      <c r="H591" s="98"/>
      <c r="I591" s="100"/>
      <c r="J591" s="100"/>
      <c r="K591" s="100"/>
      <c r="L591" s="101"/>
      <c r="M591" s="101"/>
      <c r="N591" s="112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</row>
    <row r="592" spans="1:29" ht="13">
      <c r="A592" s="115"/>
      <c r="B592" s="97"/>
      <c r="C592" s="115"/>
      <c r="D592" s="115"/>
      <c r="E592" s="115"/>
      <c r="F592" s="115"/>
      <c r="G592" s="99"/>
      <c r="H592" s="98"/>
      <c r="I592" s="100"/>
      <c r="J592" s="100"/>
      <c r="K592" s="100"/>
      <c r="L592" s="101"/>
      <c r="M592" s="101"/>
      <c r="N592" s="112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</row>
    <row r="593" spans="1:29" ht="13">
      <c r="A593" s="115"/>
      <c r="B593" s="97"/>
      <c r="C593" s="115"/>
      <c r="D593" s="115"/>
      <c r="E593" s="115"/>
      <c r="F593" s="115"/>
      <c r="G593" s="99"/>
      <c r="H593" s="98"/>
      <c r="I593" s="100"/>
      <c r="J593" s="100"/>
      <c r="K593" s="100"/>
      <c r="L593" s="101"/>
      <c r="M593" s="101"/>
      <c r="N593" s="112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</row>
    <row r="594" spans="1:29" ht="13">
      <c r="A594" s="115"/>
      <c r="B594" s="97"/>
      <c r="C594" s="115"/>
      <c r="D594" s="115"/>
      <c r="E594" s="115"/>
      <c r="F594" s="115"/>
      <c r="G594" s="99"/>
      <c r="H594" s="98"/>
      <c r="I594" s="100"/>
      <c r="J594" s="100"/>
      <c r="K594" s="100"/>
      <c r="L594" s="101"/>
      <c r="M594" s="101"/>
      <c r="N594" s="112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</row>
    <row r="595" spans="1:29" ht="13">
      <c r="A595" s="115"/>
      <c r="B595" s="97"/>
      <c r="C595" s="115"/>
      <c r="D595" s="115"/>
      <c r="E595" s="115"/>
      <c r="F595" s="115"/>
      <c r="G595" s="99"/>
      <c r="H595" s="98"/>
      <c r="I595" s="100"/>
      <c r="J595" s="100"/>
      <c r="K595" s="100"/>
      <c r="L595" s="101"/>
      <c r="M595" s="101"/>
      <c r="N595" s="112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</row>
    <row r="596" spans="1:29" ht="13">
      <c r="A596" s="115"/>
      <c r="B596" s="97"/>
      <c r="C596" s="115"/>
      <c r="D596" s="115"/>
      <c r="E596" s="115"/>
      <c r="F596" s="115"/>
      <c r="G596" s="99"/>
      <c r="H596" s="98"/>
      <c r="I596" s="100"/>
      <c r="J596" s="100"/>
      <c r="K596" s="100"/>
      <c r="L596" s="101"/>
      <c r="M596" s="101"/>
      <c r="N596" s="112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</row>
    <row r="597" spans="1:29" ht="13">
      <c r="A597" s="115"/>
      <c r="B597" s="97"/>
      <c r="C597" s="115"/>
      <c r="D597" s="115"/>
      <c r="E597" s="115"/>
      <c r="F597" s="115"/>
      <c r="G597" s="99"/>
      <c r="H597" s="98"/>
      <c r="I597" s="100"/>
      <c r="J597" s="100"/>
      <c r="K597" s="100"/>
      <c r="L597" s="101"/>
      <c r="M597" s="101"/>
      <c r="N597" s="112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</row>
    <row r="598" spans="1:29" ht="13">
      <c r="A598" s="115"/>
      <c r="B598" s="97"/>
      <c r="C598" s="115"/>
      <c r="D598" s="115"/>
      <c r="E598" s="115"/>
      <c r="F598" s="115"/>
      <c r="G598" s="99"/>
      <c r="H598" s="98"/>
      <c r="I598" s="100"/>
      <c r="J598" s="100"/>
      <c r="K598" s="100"/>
      <c r="L598" s="101"/>
      <c r="M598" s="101"/>
      <c r="N598" s="112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</row>
    <row r="599" spans="1:29" ht="13">
      <c r="A599" s="115"/>
      <c r="B599" s="97"/>
      <c r="C599" s="115"/>
      <c r="D599" s="115"/>
      <c r="E599" s="115"/>
      <c r="F599" s="115"/>
      <c r="G599" s="99"/>
      <c r="H599" s="98"/>
      <c r="I599" s="100"/>
      <c r="J599" s="100"/>
      <c r="K599" s="100"/>
      <c r="L599" s="101"/>
      <c r="M599" s="101"/>
      <c r="N599" s="112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</row>
    <row r="600" spans="1:29" ht="13">
      <c r="A600" s="115"/>
      <c r="B600" s="97"/>
      <c r="C600" s="115"/>
      <c r="D600" s="115"/>
      <c r="E600" s="115"/>
      <c r="F600" s="115"/>
      <c r="G600" s="99"/>
      <c r="H600" s="98"/>
      <c r="I600" s="100"/>
      <c r="J600" s="100"/>
      <c r="K600" s="100"/>
      <c r="L600" s="101"/>
      <c r="M600" s="101"/>
      <c r="N600" s="112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</row>
    <row r="601" spans="1:29" ht="13">
      <c r="A601" s="115"/>
      <c r="B601" s="97"/>
      <c r="C601" s="115"/>
      <c r="D601" s="115"/>
      <c r="E601" s="115"/>
      <c r="F601" s="115"/>
      <c r="G601" s="99"/>
      <c r="H601" s="98"/>
      <c r="I601" s="100"/>
      <c r="J601" s="100"/>
      <c r="K601" s="100"/>
      <c r="L601" s="101"/>
      <c r="M601" s="101"/>
      <c r="N601" s="112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</row>
    <row r="602" spans="1:29" ht="13">
      <c r="A602" s="115"/>
      <c r="B602" s="97"/>
      <c r="C602" s="115"/>
      <c r="D602" s="115"/>
      <c r="E602" s="115"/>
      <c r="F602" s="115"/>
      <c r="G602" s="99"/>
      <c r="H602" s="98"/>
      <c r="I602" s="100"/>
      <c r="J602" s="100"/>
      <c r="K602" s="100"/>
      <c r="L602" s="101"/>
      <c r="M602" s="101"/>
      <c r="N602" s="112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</row>
    <row r="603" spans="1:29" ht="13">
      <c r="A603" s="115"/>
      <c r="B603" s="97"/>
      <c r="C603" s="115"/>
      <c r="D603" s="115"/>
      <c r="E603" s="115"/>
      <c r="F603" s="115"/>
      <c r="G603" s="99"/>
      <c r="H603" s="98"/>
      <c r="I603" s="100"/>
      <c r="J603" s="100"/>
      <c r="K603" s="100"/>
      <c r="L603" s="101"/>
      <c r="M603" s="101"/>
      <c r="N603" s="112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</row>
    <row r="604" spans="1:29" ht="13">
      <c r="A604" s="115"/>
      <c r="B604" s="97"/>
      <c r="C604" s="115"/>
      <c r="D604" s="115"/>
      <c r="E604" s="115"/>
      <c r="F604" s="115"/>
      <c r="G604" s="99"/>
      <c r="H604" s="98"/>
      <c r="I604" s="100"/>
      <c r="J604" s="100"/>
      <c r="K604" s="100"/>
      <c r="L604" s="101"/>
      <c r="M604" s="101"/>
      <c r="N604" s="112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</row>
    <row r="605" spans="1:29" ht="13">
      <c r="A605" s="115"/>
      <c r="B605" s="97"/>
      <c r="C605" s="115"/>
      <c r="D605" s="115"/>
      <c r="E605" s="115"/>
      <c r="F605" s="115"/>
      <c r="G605" s="99"/>
      <c r="H605" s="98"/>
      <c r="I605" s="100"/>
      <c r="J605" s="100"/>
      <c r="K605" s="100"/>
      <c r="L605" s="101"/>
      <c r="M605" s="101"/>
      <c r="N605" s="112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</row>
    <row r="606" spans="1:29" ht="13">
      <c r="A606" s="115"/>
      <c r="B606" s="97"/>
      <c r="C606" s="115"/>
      <c r="D606" s="115"/>
      <c r="E606" s="115"/>
      <c r="F606" s="115"/>
      <c r="G606" s="99"/>
      <c r="H606" s="98"/>
      <c r="I606" s="100"/>
      <c r="J606" s="100"/>
      <c r="K606" s="100"/>
      <c r="L606" s="101"/>
      <c r="M606" s="101"/>
      <c r="N606" s="112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</row>
    <row r="607" spans="1:29" ht="13">
      <c r="A607" s="115"/>
      <c r="B607" s="97"/>
      <c r="C607" s="115"/>
      <c r="D607" s="115"/>
      <c r="E607" s="115"/>
      <c r="F607" s="115"/>
      <c r="G607" s="99"/>
      <c r="H607" s="98"/>
      <c r="I607" s="100"/>
      <c r="J607" s="100"/>
      <c r="K607" s="100"/>
      <c r="L607" s="101"/>
      <c r="M607" s="101"/>
      <c r="N607" s="112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</row>
    <row r="608" spans="1:29" ht="13">
      <c r="A608" s="115"/>
      <c r="B608" s="97"/>
      <c r="C608" s="115"/>
      <c r="D608" s="115"/>
      <c r="E608" s="115"/>
      <c r="F608" s="115"/>
      <c r="G608" s="99"/>
      <c r="H608" s="98"/>
      <c r="I608" s="100"/>
      <c r="J608" s="100"/>
      <c r="K608" s="100"/>
      <c r="L608" s="101"/>
      <c r="M608" s="101"/>
      <c r="N608" s="112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</row>
    <row r="609" spans="1:29" ht="13">
      <c r="A609" s="115"/>
      <c r="B609" s="97"/>
      <c r="C609" s="115"/>
      <c r="D609" s="115"/>
      <c r="E609" s="115"/>
      <c r="F609" s="115"/>
      <c r="G609" s="99"/>
      <c r="H609" s="98"/>
      <c r="I609" s="100"/>
      <c r="J609" s="100"/>
      <c r="K609" s="100"/>
      <c r="L609" s="101"/>
      <c r="M609" s="101"/>
      <c r="N609" s="112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</row>
    <row r="610" spans="1:29" ht="13">
      <c r="A610" s="115"/>
      <c r="B610" s="97"/>
      <c r="C610" s="115"/>
      <c r="D610" s="115"/>
      <c r="E610" s="115"/>
      <c r="F610" s="115"/>
      <c r="G610" s="99"/>
      <c r="H610" s="98"/>
      <c r="I610" s="100"/>
      <c r="J610" s="100"/>
      <c r="K610" s="100"/>
      <c r="L610" s="101"/>
      <c r="M610" s="101"/>
      <c r="N610" s="112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</row>
    <row r="611" spans="1:29" ht="13">
      <c r="A611" s="115"/>
      <c r="B611" s="97"/>
      <c r="C611" s="115"/>
      <c r="D611" s="115"/>
      <c r="E611" s="115"/>
      <c r="F611" s="115"/>
      <c r="G611" s="99"/>
      <c r="H611" s="98"/>
      <c r="I611" s="100"/>
      <c r="J611" s="100"/>
      <c r="K611" s="100"/>
      <c r="L611" s="101"/>
      <c r="M611" s="101"/>
      <c r="N611" s="112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</row>
    <row r="612" spans="1:29" ht="13">
      <c r="A612" s="115"/>
      <c r="B612" s="97"/>
      <c r="C612" s="115"/>
      <c r="D612" s="115"/>
      <c r="E612" s="115"/>
      <c r="F612" s="115"/>
      <c r="G612" s="99"/>
      <c r="H612" s="98"/>
      <c r="I612" s="100"/>
      <c r="J612" s="100"/>
      <c r="K612" s="100"/>
      <c r="L612" s="101"/>
      <c r="M612" s="101"/>
      <c r="N612" s="112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</row>
    <row r="613" spans="1:29" ht="13">
      <c r="A613" s="115"/>
      <c r="B613" s="97"/>
      <c r="C613" s="115"/>
      <c r="D613" s="115"/>
      <c r="E613" s="115"/>
      <c r="F613" s="115"/>
      <c r="G613" s="99"/>
      <c r="H613" s="98"/>
      <c r="I613" s="100"/>
      <c r="J613" s="100"/>
      <c r="K613" s="100"/>
      <c r="L613" s="101"/>
      <c r="M613" s="101"/>
      <c r="N613" s="112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</row>
    <row r="614" spans="1:29" ht="13">
      <c r="A614" s="115"/>
      <c r="B614" s="97"/>
      <c r="C614" s="115"/>
      <c r="D614" s="115"/>
      <c r="E614" s="115"/>
      <c r="F614" s="115"/>
      <c r="G614" s="99"/>
      <c r="H614" s="98"/>
      <c r="I614" s="100"/>
      <c r="J614" s="100"/>
      <c r="K614" s="100"/>
      <c r="L614" s="101"/>
      <c r="M614" s="101"/>
      <c r="N614" s="112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</row>
    <row r="615" spans="1:29" ht="13">
      <c r="A615" s="115"/>
      <c r="B615" s="97"/>
      <c r="C615" s="115"/>
      <c r="D615" s="115"/>
      <c r="E615" s="115"/>
      <c r="F615" s="115"/>
      <c r="G615" s="99"/>
      <c r="H615" s="98"/>
      <c r="I615" s="100"/>
      <c r="J615" s="100"/>
      <c r="K615" s="100"/>
      <c r="L615" s="101"/>
      <c r="M615" s="101"/>
      <c r="N615" s="112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</row>
    <row r="616" spans="1:29" ht="13">
      <c r="A616" s="115"/>
      <c r="B616" s="97"/>
      <c r="C616" s="115"/>
      <c r="D616" s="115"/>
      <c r="E616" s="115"/>
      <c r="F616" s="115"/>
      <c r="G616" s="99"/>
      <c r="H616" s="98"/>
      <c r="I616" s="100"/>
      <c r="J616" s="100"/>
      <c r="K616" s="100"/>
      <c r="L616" s="101"/>
      <c r="M616" s="101"/>
      <c r="N616" s="112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</row>
    <row r="617" spans="1:29" ht="13">
      <c r="A617" s="115"/>
      <c r="B617" s="97"/>
      <c r="C617" s="115"/>
      <c r="D617" s="115"/>
      <c r="E617" s="115"/>
      <c r="F617" s="115"/>
      <c r="G617" s="99"/>
      <c r="H617" s="98"/>
      <c r="I617" s="100"/>
      <c r="J617" s="100"/>
      <c r="K617" s="100"/>
      <c r="L617" s="101"/>
      <c r="M617" s="101"/>
      <c r="N617" s="112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</row>
    <row r="618" spans="1:29" ht="13">
      <c r="A618" s="115"/>
      <c r="B618" s="97"/>
      <c r="C618" s="115"/>
      <c r="D618" s="115"/>
      <c r="E618" s="115"/>
      <c r="F618" s="115"/>
      <c r="G618" s="99"/>
      <c r="H618" s="98"/>
      <c r="I618" s="100"/>
      <c r="J618" s="100"/>
      <c r="K618" s="100"/>
      <c r="L618" s="101"/>
      <c r="M618" s="101"/>
      <c r="N618" s="112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</row>
    <row r="619" spans="1:29" ht="13">
      <c r="A619" s="115"/>
      <c r="B619" s="97"/>
      <c r="C619" s="115"/>
      <c r="D619" s="115"/>
      <c r="E619" s="115"/>
      <c r="F619" s="115"/>
      <c r="G619" s="99"/>
      <c r="H619" s="98"/>
      <c r="I619" s="100"/>
      <c r="J619" s="100"/>
      <c r="K619" s="100"/>
      <c r="L619" s="101"/>
      <c r="M619" s="101"/>
      <c r="N619" s="112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</row>
    <row r="620" spans="1:29" ht="13">
      <c r="A620" s="115"/>
      <c r="B620" s="97"/>
      <c r="C620" s="115"/>
      <c r="D620" s="115"/>
      <c r="E620" s="115"/>
      <c r="F620" s="115"/>
      <c r="G620" s="99"/>
      <c r="H620" s="98"/>
      <c r="I620" s="100"/>
      <c r="J620" s="100"/>
      <c r="K620" s="100"/>
      <c r="L620" s="101"/>
      <c r="M620" s="101"/>
      <c r="N620" s="112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</row>
    <row r="621" spans="1:29" ht="13">
      <c r="A621" s="115"/>
      <c r="B621" s="97"/>
      <c r="C621" s="115"/>
      <c r="D621" s="115"/>
      <c r="E621" s="115"/>
      <c r="F621" s="115"/>
      <c r="G621" s="99"/>
      <c r="H621" s="98"/>
      <c r="I621" s="100"/>
      <c r="J621" s="100"/>
      <c r="K621" s="100"/>
      <c r="L621" s="101"/>
      <c r="M621" s="101"/>
      <c r="N621" s="112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</row>
    <row r="622" spans="1:29" ht="13">
      <c r="A622" s="115"/>
      <c r="B622" s="97"/>
      <c r="C622" s="115"/>
      <c r="D622" s="115"/>
      <c r="E622" s="115"/>
      <c r="F622" s="115"/>
      <c r="G622" s="99"/>
      <c r="H622" s="98"/>
      <c r="I622" s="100"/>
      <c r="J622" s="100"/>
      <c r="K622" s="100"/>
      <c r="L622" s="101"/>
      <c r="M622" s="101"/>
      <c r="N622" s="112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</row>
    <row r="623" spans="1:29" ht="13">
      <c r="A623" s="115"/>
      <c r="B623" s="97"/>
      <c r="C623" s="115"/>
      <c r="D623" s="115"/>
      <c r="E623" s="115"/>
      <c r="F623" s="115"/>
      <c r="G623" s="99"/>
      <c r="H623" s="98"/>
      <c r="I623" s="100"/>
      <c r="J623" s="100"/>
      <c r="K623" s="100"/>
      <c r="L623" s="101"/>
      <c r="M623" s="101"/>
      <c r="N623" s="112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</row>
    <row r="624" spans="1:29" ht="13">
      <c r="A624" s="115"/>
      <c r="B624" s="97"/>
      <c r="C624" s="115"/>
      <c r="D624" s="115"/>
      <c r="E624" s="115"/>
      <c r="F624" s="115"/>
      <c r="G624" s="99"/>
      <c r="H624" s="98"/>
      <c r="I624" s="100"/>
      <c r="J624" s="100"/>
      <c r="K624" s="100"/>
      <c r="L624" s="101"/>
      <c r="M624" s="101"/>
      <c r="N624" s="112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</row>
    <row r="625" spans="1:29" ht="13">
      <c r="A625" s="115"/>
      <c r="B625" s="97"/>
      <c r="C625" s="115"/>
      <c r="D625" s="115"/>
      <c r="E625" s="115"/>
      <c r="F625" s="115"/>
      <c r="G625" s="99"/>
      <c r="H625" s="98"/>
      <c r="I625" s="100"/>
      <c r="J625" s="100"/>
      <c r="K625" s="100"/>
      <c r="L625" s="101"/>
      <c r="M625" s="101"/>
      <c r="N625" s="112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</row>
    <row r="626" spans="1:29" ht="13">
      <c r="A626" s="115"/>
      <c r="B626" s="97"/>
      <c r="C626" s="115"/>
      <c r="D626" s="115"/>
      <c r="E626" s="115"/>
      <c r="F626" s="115"/>
      <c r="G626" s="99"/>
      <c r="H626" s="98"/>
      <c r="I626" s="100"/>
      <c r="J626" s="100"/>
      <c r="K626" s="100"/>
      <c r="L626" s="101"/>
      <c r="M626" s="101"/>
      <c r="N626" s="112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</row>
    <row r="627" spans="1:29" ht="13">
      <c r="A627" s="115"/>
      <c r="B627" s="97"/>
      <c r="C627" s="115"/>
      <c r="D627" s="115"/>
      <c r="E627" s="115"/>
      <c r="F627" s="115"/>
      <c r="G627" s="99"/>
      <c r="H627" s="98"/>
      <c r="I627" s="100"/>
      <c r="J627" s="100"/>
      <c r="K627" s="100"/>
      <c r="L627" s="101"/>
      <c r="M627" s="101"/>
      <c r="N627" s="112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</row>
    <row r="628" spans="1:29" ht="13">
      <c r="A628" s="115"/>
      <c r="B628" s="97"/>
      <c r="C628" s="115"/>
      <c r="D628" s="115"/>
      <c r="E628" s="115"/>
      <c r="F628" s="115"/>
      <c r="G628" s="99"/>
      <c r="H628" s="98"/>
      <c r="I628" s="100"/>
      <c r="J628" s="100"/>
      <c r="K628" s="100"/>
      <c r="L628" s="101"/>
      <c r="M628" s="101"/>
      <c r="N628" s="112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</row>
    <row r="629" spans="1:29" ht="13">
      <c r="A629" s="115"/>
      <c r="B629" s="97"/>
      <c r="C629" s="115"/>
      <c r="D629" s="115"/>
      <c r="E629" s="115"/>
      <c r="F629" s="115"/>
      <c r="G629" s="99"/>
      <c r="H629" s="98"/>
      <c r="I629" s="100"/>
      <c r="J629" s="100"/>
      <c r="K629" s="100"/>
      <c r="L629" s="101"/>
      <c r="M629" s="101"/>
      <c r="N629" s="112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</row>
    <row r="630" spans="1:29" ht="13">
      <c r="A630" s="115"/>
      <c r="B630" s="97"/>
      <c r="C630" s="115"/>
      <c r="D630" s="115"/>
      <c r="E630" s="115"/>
      <c r="F630" s="115"/>
      <c r="G630" s="99"/>
      <c r="H630" s="98"/>
      <c r="I630" s="100"/>
      <c r="J630" s="100"/>
      <c r="K630" s="100"/>
      <c r="L630" s="101"/>
      <c r="M630" s="101"/>
      <c r="N630" s="112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</row>
    <row r="631" spans="1:29" ht="13">
      <c r="A631" s="115"/>
      <c r="B631" s="97"/>
      <c r="C631" s="115"/>
      <c r="D631" s="115"/>
      <c r="E631" s="115"/>
      <c r="F631" s="115"/>
      <c r="G631" s="99"/>
      <c r="H631" s="98"/>
      <c r="I631" s="100"/>
      <c r="J631" s="100"/>
      <c r="K631" s="100"/>
      <c r="L631" s="101"/>
      <c r="M631" s="101"/>
      <c r="N631" s="112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</row>
    <row r="632" spans="1:29" ht="13">
      <c r="A632" s="115"/>
      <c r="B632" s="97"/>
      <c r="C632" s="115"/>
      <c r="D632" s="115"/>
      <c r="E632" s="115"/>
      <c r="F632" s="115"/>
      <c r="G632" s="99"/>
      <c r="H632" s="98"/>
      <c r="I632" s="100"/>
      <c r="J632" s="100"/>
      <c r="K632" s="100"/>
      <c r="L632" s="101"/>
      <c r="M632" s="101"/>
      <c r="N632" s="112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</row>
    <row r="633" spans="1:29" ht="13">
      <c r="A633" s="115"/>
      <c r="B633" s="97"/>
      <c r="C633" s="115"/>
      <c r="D633" s="115"/>
      <c r="E633" s="115"/>
      <c r="F633" s="115"/>
      <c r="G633" s="99"/>
      <c r="H633" s="98"/>
      <c r="I633" s="100"/>
      <c r="J633" s="100"/>
      <c r="K633" s="100"/>
      <c r="L633" s="101"/>
      <c r="M633" s="101"/>
      <c r="N633" s="112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</row>
    <row r="634" spans="1:29" ht="13">
      <c r="A634" s="115"/>
      <c r="B634" s="97"/>
      <c r="C634" s="115"/>
      <c r="D634" s="115"/>
      <c r="E634" s="115"/>
      <c r="F634" s="115"/>
      <c r="G634" s="99"/>
      <c r="H634" s="98"/>
      <c r="I634" s="100"/>
      <c r="J634" s="100"/>
      <c r="K634" s="100"/>
      <c r="L634" s="101"/>
      <c r="M634" s="101"/>
      <c r="N634" s="112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</row>
    <row r="635" spans="1:29" ht="13">
      <c r="A635" s="115"/>
      <c r="B635" s="97"/>
      <c r="C635" s="115"/>
      <c r="D635" s="115"/>
      <c r="E635" s="115"/>
      <c r="F635" s="115"/>
      <c r="G635" s="99"/>
      <c r="H635" s="98"/>
      <c r="I635" s="100"/>
      <c r="J635" s="100"/>
      <c r="K635" s="100"/>
      <c r="L635" s="101"/>
      <c r="M635" s="101"/>
      <c r="N635" s="112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</row>
    <row r="636" spans="1:29" ht="13">
      <c r="A636" s="115"/>
      <c r="B636" s="97"/>
      <c r="C636" s="115"/>
      <c r="D636" s="115"/>
      <c r="E636" s="115"/>
      <c r="F636" s="115"/>
      <c r="G636" s="99"/>
      <c r="H636" s="98"/>
      <c r="I636" s="100"/>
      <c r="J636" s="100"/>
      <c r="K636" s="100"/>
      <c r="L636" s="101"/>
      <c r="M636" s="101"/>
      <c r="N636" s="112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</row>
    <row r="637" spans="1:29" ht="13">
      <c r="A637" s="115"/>
      <c r="B637" s="97"/>
      <c r="C637" s="115"/>
      <c r="D637" s="115"/>
      <c r="E637" s="115"/>
      <c r="F637" s="115"/>
      <c r="G637" s="99"/>
      <c r="H637" s="98"/>
      <c r="I637" s="100"/>
      <c r="J637" s="100"/>
      <c r="K637" s="100"/>
      <c r="L637" s="101"/>
      <c r="M637" s="101"/>
      <c r="N637" s="112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</row>
    <row r="638" spans="1:29" ht="13">
      <c r="A638" s="115"/>
      <c r="B638" s="97"/>
      <c r="C638" s="115"/>
      <c r="D638" s="115"/>
      <c r="E638" s="115"/>
      <c r="F638" s="115"/>
      <c r="G638" s="99"/>
      <c r="H638" s="98"/>
      <c r="I638" s="100"/>
      <c r="J638" s="100"/>
      <c r="K638" s="100"/>
      <c r="L638" s="101"/>
      <c r="M638" s="101"/>
      <c r="N638" s="112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</row>
    <row r="639" spans="1:29" ht="13">
      <c r="A639" s="115"/>
      <c r="B639" s="97"/>
      <c r="C639" s="115"/>
      <c r="D639" s="115"/>
      <c r="E639" s="115"/>
      <c r="F639" s="115"/>
      <c r="G639" s="99"/>
      <c r="H639" s="98"/>
      <c r="I639" s="100"/>
      <c r="J639" s="100"/>
      <c r="K639" s="100"/>
      <c r="L639" s="101"/>
      <c r="M639" s="101"/>
      <c r="N639" s="112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</row>
    <row r="640" spans="1:29" ht="13">
      <c r="A640" s="115"/>
      <c r="B640" s="97"/>
      <c r="C640" s="115"/>
      <c r="D640" s="115"/>
      <c r="E640" s="115"/>
      <c r="F640" s="115"/>
      <c r="G640" s="99"/>
      <c r="H640" s="98"/>
      <c r="I640" s="100"/>
      <c r="J640" s="100"/>
      <c r="K640" s="100"/>
      <c r="L640" s="101"/>
      <c r="M640" s="101"/>
      <c r="N640" s="112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</row>
    <row r="641" spans="1:29" ht="13">
      <c r="A641" s="115"/>
      <c r="B641" s="97"/>
      <c r="C641" s="115"/>
      <c r="D641" s="115"/>
      <c r="E641" s="115"/>
      <c r="F641" s="115"/>
      <c r="G641" s="99"/>
      <c r="H641" s="98"/>
      <c r="I641" s="100"/>
      <c r="J641" s="100"/>
      <c r="K641" s="100"/>
      <c r="L641" s="101"/>
      <c r="M641" s="101"/>
      <c r="N641" s="112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</row>
    <row r="642" spans="1:29" ht="13">
      <c r="A642" s="115"/>
      <c r="B642" s="97"/>
      <c r="C642" s="115"/>
      <c r="D642" s="115"/>
      <c r="E642" s="115"/>
      <c r="F642" s="115"/>
      <c r="G642" s="99"/>
      <c r="H642" s="98"/>
      <c r="I642" s="100"/>
      <c r="J642" s="100"/>
      <c r="K642" s="100"/>
      <c r="L642" s="101"/>
      <c r="M642" s="101"/>
      <c r="N642" s="112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</row>
    <row r="643" spans="1:29" ht="13">
      <c r="A643" s="115"/>
      <c r="B643" s="97"/>
      <c r="C643" s="115"/>
      <c r="D643" s="115"/>
      <c r="E643" s="115"/>
      <c r="F643" s="115"/>
      <c r="G643" s="99"/>
      <c r="H643" s="98"/>
      <c r="I643" s="100"/>
      <c r="J643" s="100"/>
      <c r="K643" s="100"/>
      <c r="L643" s="101"/>
      <c r="M643" s="101"/>
      <c r="N643" s="112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</row>
    <row r="644" spans="1:29" ht="13">
      <c r="A644" s="115"/>
      <c r="B644" s="97"/>
      <c r="C644" s="115"/>
      <c r="D644" s="115"/>
      <c r="E644" s="115"/>
      <c r="F644" s="115"/>
      <c r="G644" s="99"/>
      <c r="H644" s="98"/>
      <c r="I644" s="100"/>
      <c r="J644" s="100"/>
      <c r="K644" s="100"/>
      <c r="L644" s="101"/>
      <c r="M644" s="101"/>
      <c r="N644" s="112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</row>
    <row r="645" spans="1:29" ht="13">
      <c r="A645" s="115"/>
      <c r="B645" s="97"/>
      <c r="C645" s="115"/>
      <c r="D645" s="115"/>
      <c r="E645" s="115"/>
      <c r="F645" s="115"/>
      <c r="G645" s="99"/>
      <c r="H645" s="98"/>
      <c r="I645" s="100"/>
      <c r="J645" s="100"/>
      <c r="K645" s="100"/>
      <c r="L645" s="101"/>
      <c r="M645" s="101"/>
      <c r="N645" s="112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</row>
    <row r="646" spans="1:29" ht="13">
      <c r="A646" s="115"/>
      <c r="B646" s="97"/>
      <c r="C646" s="115"/>
      <c r="D646" s="115"/>
      <c r="E646" s="115"/>
      <c r="F646" s="115"/>
      <c r="G646" s="99"/>
      <c r="H646" s="98"/>
      <c r="I646" s="100"/>
      <c r="J646" s="100"/>
      <c r="K646" s="100"/>
      <c r="L646" s="101"/>
      <c r="M646" s="101"/>
      <c r="N646" s="112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</row>
    <row r="647" spans="1:29" ht="13">
      <c r="A647" s="115"/>
      <c r="B647" s="97"/>
      <c r="C647" s="115"/>
      <c r="D647" s="115"/>
      <c r="E647" s="115"/>
      <c r="F647" s="115"/>
      <c r="G647" s="99"/>
      <c r="H647" s="98"/>
      <c r="I647" s="100"/>
      <c r="J647" s="100"/>
      <c r="K647" s="100"/>
      <c r="L647" s="101"/>
      <c r="M647" s="101"/>
      <c r="N647" s="112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</row>
    <row r="648" spans="1:29" ht="13">
      <c r="A648" s="115"/>
      <c r="B648" s="97"/>
      <c r="C648" s="115"/>
      <c r="D648" s="115"/>
      <c r="E648" s="115"/>
      <c r="F648" s="115"/>
      <c r="G648" s="99"/>
      <c r="H648" s="98"/>
      <c r="I648" s="100"/>
      <c r="J648" s="100"/>
      <c r="K648" s="100"/>
      <c r="L648" s="101"/>
      <c r="M648" s="101"/>
      <c r="N648" s="112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</row>
    <row r="649" spans="1:29" ht="13">
      <c r="A649" s="115"/>
      <c r="B649" s="97"/>
      <c r="C649" s="115"/>
      <c r="D649" s="115"/>
      <c r="E649" s="115"/>
      <c r="F649" s="115"/>
      <c r="G649" s="99"/>
      <c r="H649" s="98"/>
      <c r="I649" s="100"/>
      <c r="J649" s="100"/>
      <c r="K649" s="100"/>
      <c r="L649" s="101"/>
      <c r="M649" s="101"/>
      <c r="N649" s="112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</row>
    <row r="650" spans="1:29" ht="13">
      <c r="A650" s="115"/>
      <c r="B650" s="97"/>
      <c r="C650" s="115"/>
      <c r="D650" s="115"/>
      <c r="E650" s="115"/>
      <c r="F650" s="115"/>
      <c r="G650" s="99"/>
      <c r="H650" s="98"/>
      <c r="I650" s="100"/>
      <c r="J650" s="100"/>
      <c r="K650" s="100"/>
      <c r="L650" s="101"/>
      <c r="M650" s="101"/>
      <c r="N650" s="112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</row>
    <row r="651" spans="1:29" ht="13">
      <c r="A651" s="115"/>
      <c r="B651" s="97"/>
      <c r="C651" s="115"/>
      <c r="D651" s="115"/>
      <c r="E651" s="115"/>
      <c r="F651" s="115"/>
      <c r="G651" s="99"/>
      <c r="H651" s="98"/>
      <c r="I651" s="100"/>
      <c r="J651" s="100"/>
      <c r="K651" s="100"/>
      <c r="L651" s="101"/>
      <c r="M651" s="101"/>
      <c r="N651" s="112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</row>
    <row r="652" spans="1:29" ht="13">
      <c r="A652" s="115"/>
      <c r="B652" s="97"/>
      <c r="C652" s="115"/>
      <c r="D652" s="115"/>
      <c r="E652" s="115"/>
      <c r="F652" s="115"/>
      <c r="G652" s="99"/>
      <c r="H652" s="98"/>
      <c r="I652" s="100"/>
      <c r="J652" s="100"/>
      <c r="K652" s="100"/>
      <c r="L652" s="101"/>
      <c r="M652" s="101"/>
      <c r="N652" s="112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</row>
    <row r="653" spans="1:29" ht="13">
      <c r="A653" s="115"/>
      <c r="B653" s="97"/>
      <c r="C653" s="115"/>
      <c r="D653" s="115"/>
      <c r="E653" s="115"/>
      <c r="F653" s="115"/>
      <c r="G653" s="99"/>
      <c r="H653" s="98"/>
      <c r="I653" s="100"/>
      <c r="J653" s="100"/>
      <c r="K653" s="100"/>
      <c r="L653" s="101"/>
      <c r="M653" s="101"/>
      <c r="N653" s="112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</row>
    <row r="654" spans="1:29" ht="13">
      <c r="A654" s="115"/>
      <c r="B654" s="97"/>
      <c r="C654" s="115"/>
      <c r="D654" s="115"/>
      <c r="E654" s="115"/>
      <c r="F654" s="115"/>
      <c r="G654" s="99"/>
      <c r="H654" s="98"/>
      <c r="I654" s="100"/>
      <c r="J654" s="100"/>
      <c r="K654" s="100"/>
      <c r="L654" s="101"/>
      <c r="M654" s="101"/>
      <c r="N654" s="112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</row>
    <row r="655" spans="1:29" ht="13">
      <c r="A655" s="115"/>
      <c r="B655" s="97"/>
      <c r="C655" s="115"/>
      <c r="D655" s="115"/>
      <c r="E655" s="115"/>
      <c r="F655" s="115"/>
      <c r="G655" s="99"/>
      <c r="H655" s="98"/>
      <c r="I655" s="100"/>
      <c r="J655" s="100"/>
      <c r="K655" s="100"/>
      <c r="L655" s="101"/>
      <c r="M655" s="101"/>
      <c r="N655" s="112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</row>
    <row r="656" spans="1:29" ht="13">
      <c r="A656" s="115"/>
      <c r="B656" s="97"/>
      <c r="C656" s="115"/>
      <c r="D656" s="115"/>
      <c r="E656" s="115"/>
      <c r="F656" s="115"/>
      <c r="G656" s="99"/>
      <c r="H656" s="98"/>
      <c r="I656" s="100"/>
      <c r="J656" s="100"/>
      <c r="K656" s="100"/>
      <c r="L656" s="101"/>
      <c r="M656" s="101"/>
      <c r="N656" s="112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</row>
    <row r="657" spans="1:29" ht="13">
      <c r="A657" s="115"/>
      <c r="B657" s="97"/>
      <c r="C657" s="115"/>
      <c r="D657" s="115"/>
      <c r="E657" s="115"/>
      <c r="F657" s="115"/>
      <c r="G657" s="99"/>
      <c r="H657" s="98"/>
      <c r="I657" s="100"/>
      <c r="J657" s="100"/>
      <c r="K657" s="100"/>
      <c r="L657" s="101"/>
      <c r="M657" s="101"/>
      <c r="N657" s="112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</row>
    <row r="658" spans="1:29" ht="13">
      <c r="A658" s="115"/>
      <c r="B658" s="97"/>
      <c r="C658" s="115"/>
      <c r="D658" s="115"/>
      <c r="E658" s="115"/>
      <c r="F658" s="115"/>
      <c r="G658" s="99"/>
      <c r="H658" s="98"/>
      <c r="I658" s="100"/>
      <c r="J658" s="100"/>
      <c r="K658" s="100"/>
      <c r="L658" s="101"/>
      <c r="M658" s="101"/>
      <c r="N658" s="112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</row>
    <row r="659" spans="1:29" ht="13">
      <c r="A659" s="115"/>
      <c r="B659" s="97"/>
      <c r="C659" s="115"/>
      <c r="D659" s="115"/>
      <c r="E659" s="115"/>
      <c r="F659" s="115"/>
      <c r="G659" s="99"/>
      <c r="H659" s="98"/>
      <c r="I659" s="100"/>
      <c r="J659" s="100"/>
      <c r="K659" s="100"/>
      <c r="L659" s="101"/>
      <c r="M659" s="101"/>
      <c r="N659" s="112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</row>
    <row r="660" spans="1:29" ht="13">
      <c r="A660" s="115"/>
      <c r="B660" s="97"/>
      <c r="C660" s="115"/>
      <c r="D660" s="115"/>
      <c r="E660" s="115"/>
      <c r="F660" s="115"/>
      <c r="G660" s="99"/>
      <c r="H660" s="98"/>
      <c r="I660" s="100"/>
      <c r="J660" s="100"/>
      <c r="K660" s="100"/>
      <c r="L660" s="101"/>
      <c r="M660" s="101"/>
      <c r="N660" s="112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</row>
    <row r="661" spans="1:29" ht="13">
      <c r="A661" s="115"/>
      <c r="B661" s="97"/>
      <c r="C661" s="115"/>
      <c r="D661" s="115"/>
      <c r="E661" s="115"/>
      <c r="F661" s="115"/>
      <c r="G661" s="99"/>
      <c r="H661" s="98"/>
      <c r="I661" s="100"/>
      <c r="J661" s="100"/>
      <c r="K661" s="100"/>
      <c r="L661" s="101"/>
      <c r="M661" s="101"/>
      <c r="N661" s="112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</row>
    <row r="662" spans="1:29" ht="13">
      <c r="A662" s="115"/>
      <c r="B662" s="97"/>
      <c r="C662" s="115"/>
      <c r="D662" s="115"/>
      <c r="E662" s="115"/>
      <c r="F662" s="115"/>
      <c r="G662" s="99"/>
      <c r="H662" s="98"/>
      <c r="I662" s="100"/>
      <c r="J662" s="100"/>
      <c r="K662" s="100"/>
      <c r="L662" s="101"/>
      <c r="M662" s="101"/>
      <c r="N662" s="112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</row>
    <row r="663" spans="1:29" ht="13">
      <c r="A663" s="115"/>
      <c r="B663" s="97"/>
      <c r="C663" s="115"/>
      <c r="D663" s="115"/>
      <c r="E663" s="115"/>
      <c r="F663" s="115"/>
      <c r="G663" s="99"/>
      <c r="H663" s="98"/>
      <c r="I663" s="100"/>
      <c r="J663" s="100"/>
      <c r="K663" s="100"/>
      <c r="L663" s="101"/>
      <c r="M663" s="101"/>
      <c r="N663" s="112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</row>
    <row r="664" spans="1:29" ht="13">
      <c r="A664" s="115"/>
      <c r="B664" s="97"/>
      <c r="C664" s="115"/>
      <c r="D664" s="115"/>
      <c r="E664" s="115"/>
      <c r="F664" s="115"/>
      <c r="G664" s="99"/>
      <c r="H664" s="98"/>
      <c r="I664" s="100"/>
      <c r="J664" s="100"/>
      <c r="K664" s="100"/>
      <c r="L664" s="101"/>
      <c r="M664" s="101"/>
      <c r="N664" s="112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</row>
    <row r="665" spans="1:29" ht="13">
      <c r="A665" s="115"/>
      <c r="B665" s="97"/>
      <c r="C665" s="115"/>
      <c r="D665" s="115"/>
      <c r="E665" s="115"/>
      <c r="F665" s="115"/>
      <c r="G665" s="99"/>
      <c r="H665" s="98"/>
      <c r="I665" s="100"/>
      <c r="J665" s="100"/>
      <c r="K665" s="100"/>
      <c r="L665" s="101"/>
      <c r="M665" s="101"/>
      <c r="N665" s="112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</row>
    <row r="666" spans="1:29" ht="13">
      <c r="A666" s="115"/>
      <c r="B666" s="97"/>
      <c r="C666" s="115"/>
      <c r="D666" s="115"/>
      <c r="E666" s="115"/>
      <c r="F666" s="115"/>
      <c r="G666" s="99"/>
      <c r="H666" s="98"/>
      <c r="I666" s="100"/>
      <c r="J666" s="100"/>
      <c r="K666" s="100"/>
      <c r="L666" s="101"/>
      <c r="M666" s="101"/>
      <c r="N666" s="112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</row>
    <row r="667" spans="1:29" ht="13">
      <c r="A667" s="115"/>
      <c r="B667" s="97"/>
      <c r="C667" s="115"/>
      <c r="D667" s="115"/>
      <c r="E667" s="115"/>
      <c r="F667" s="115"/>
      <c r="G667" s="99"/>
      <c r="H667" s="98"/>
      <c r="I667" s="100"/>
      <c r="J667" s="100"/>
      <c r="K667" s="100"/>
      <c r="L667" s="101"/>
      <c r="M667" s="101"/>
      <c r="N667" s="112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</row>
    <row r="668" spans="1:29" ht="13">
      <c r="A668" s="115"/>
      <c r="B668" s="97"/>
      <c r="C668" s="115"/>
      <c r="D668" s="115"/>
      <c r="E668" s="115"/>
      <c r="F668" s="115"/>
      <c r="G668" s="99"/>
      <c r="H668" s="98"/>
      <c r="I668" s="100"/>
      <c r="J668" s="100"/>
      <c r="K668" s="100"/>
      <c r="L668" s="101"/>
      <c r="M668" s="101"/>
      <c r="N668" s="112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</row>
    <row r="669" spans="1:29" ht="13">
      <c r="A669" s="115"/>
      <c r="B669" s="97"/>
      <c r="C669" s="115"/>
      <c r="D669" s="115"/>
      <c r="E669" s="115"/>
      <c r="F669" s="115"/>
      <c r="G669" s="99"/>
      <c r="H669" s="98"/>
      <c r="I669" s="100"/>
      <c r="J669" s="100"/>
      <c r="K669" s="100"/>
      <c r="L669" s="101"/>
      <c r="M669" s="101"/>
      <c r="N669" s="112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</row>
    <row r="670" spans="1:29" ht="13">
      <c r="A670" s="115"/>
      <c r="B670" s="97"/>
      <c r="C670" s="115"/>
      <c r="D670" s="115"/>
      <c r="E670" s="115"/>
      <c r="F670" s="115"/>
      <c r="G670" s="99"/>
      <c r="H670" s="98"/>
      <c r="I670" s="100"/>
      <c r="J670" s="100"/>
      <c r="K670" s="100"/>
      <c r="L670" s="101"/>
      <c r="M670" s="101"/>
      <c r="N670" s="112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</row>
    <row r="671" spans="1:29" ht="13">
      <c r="A671" s="115"/>
      <c r="B671" s="97"/>
      <c r="C671" s="115"/>
      <c r="D671" s="115"/>
      <c r="E671" s="115"/>
      <c r="F671" s="115"/>
      <c r="G671" s="99"/>
      <c r="H671" s="98"/>
      <c r="I671" s="100"/>
      <c r="J671" s="100"/>
      <c r="K671" s="100"/>
      <c r="L671" s="101"/>
      <c r="M671" s="101"/>
      <c r="N671" s="112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</row>
    <row r="672" spans="1:29" ht="13">
      <c r="A672" s="115"/>
      <c r="B672" s="97"/>
      <c r="C672" s="115"/>
      <c r="D672" s="115"/>
      <c r="E672" s="115"/>
      <c r="F672" s="115"/>
      <c r="G672" s="99"/>
      <c r="H672" s="98"/>
      <c r="I672" s="100"/>
      <c r="J672" s="100"/>
      <c r="K672" s="100"/>
      <c r="L672" s="101"/>
      <c r="M672" s="101"/>
      <c r="N672" s="112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</row>
    <row r="673" spans="1:29" ht="13">
      <c r="A673" s="115"/>
      <c r="B673" s="97"/>
      <c r="C673" s="115"/>
      <c r="D673" s="115"/>
      <c r="E673" s="115"/>
      <c r="F673" s="115"/>
      <c r="G673" s="99"/>
      <c r="H673" s="98"/>
      <c r="I673" s="100"/>
      <c r="J673" s="100"/>
      <c r="K673" s="100"/>
      <c r="L673" s="101"/>
      <c r="M673" s="101"/>
      <c r="N673" s="112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</row>
    <row r="674" spans="1:29" ht="13">
      <c r="A674" s="115"/>
      <c r="B674" s="97"/>
      <c r="C674" s="115"/>
      <c r="D674" s="115"/>
      <c r="E674" s="115"/>
      <c r="F674" s="115"/>
      <c r="G674" s="99"/>
      <c r="H674" s="98"/>
      <c r="I674" s="100"/>
      <c r="J674" s="100"/>
      <c r="K674" s="100"/>
      <c r="L674" s="101"/>
      <c r="M674" s="101"/>
      <c r="N674" s="112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</row>
    <row r="675" spans="1:29" ht="13">
      <c r="A675" s="115"/>
      <c r="B675" s="97"/>
      <c r="C675" s="115"/>
      <c r="D675" s="115"/>
      <c r="E675" s="115"/>
      <c r="F675" s="115"/>
      <c r="G675" s="99"/>
      <c r="H675" s="98"/>
      <c r="I675" s="100"/>
      <c r="J675" s="100"/>
      <c r="K675" s="100"/>
      <c r="L675" s="101"/>
      <c r="M675" s="101"/>
      <c r="N675" s="112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</row>
    <row r="676" spans="1:29" ht="13">
      <c r="A676" s="115"/>
      <c r="B676" s="97"/>
      <c r="C676" s="115"/>
      <c r="D676" s="115"/>
      <c r="E676" s="115"/>
      <c r="F676" s="115"/>
      <c r="G676" s="99"/>
      <c r="H676" s="98"/>
      <c r="I676" s="100"/>
      <c r="J676" s="100"/>
      <c r="K676" s="100"/>
      <c r="L676" s="101"/>
      <c r="M676" s="101"/>
      <c r="N676" s="112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</row>
    <row r="677" spans="1:29" ht="13">
      <c r="A677" s="115"/>
      <c r="B677" s="97"/>
      <c r="C677" s="115"/>
      <c r="D677" s="115"/>
      <c r="E677" s="115"/>
      <c r="F677" s="115"/>
      <c r="G677" s="99"/>
      <c r="H677" s="98"/>
      <c r="I677" s="100"/>
      <c r="J677" s="100"/>
      <c r="K677" s="100"/>
      <c r="L677" s="101"/>
      <c r="M677" s="101"/>
      <c r="N677" s="112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</row>
    <row r="678" spans="1:29" ht="13">
      <c r="A678" s="115"/>
      <c r="B678" s="97"/>
      <c r="C678" s="115"/>
      <c r="D678" s="115"/>
      <c r="E678" s="115"/>
      <c r="F678" s="115"/>
      <c r="G678" s="99"/>
      <c r="H678" s="98"/>
      <c r="I678" s="100"/>
      <c r="J678" s="100"/>
      <c r="K678" s="100"/>
      <c r="L678" s="101"/>
      <c r="M678" s="101"/>
      <c r="N678" s="112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</row>
    <row r="679" spans="1:29" ht="13">
      <c r="A679" s="115"/>
      <c r="B679" s="97"/>
      <c r="C679" s="115"/>
      <c r="D679" s="115"/>
      <c r="E679" s="115"/>
      <c r="F679" s="115"/>
      <c r="G679" s="99"/>
      <c r="H679" s="98"/>
      <c r="I679" s="100"/>
      <c r="J679" s="100"/>
      <c r="K679" s="100"/>
      <c r="L679" s="101"/>
      <c r="M679" s="101"/>
      <c r="N679" s="112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</row>
    <row r="680" spans="1:29" ht="13">
      <c r="A680" s="115"/>
      <c r="B680" s="97"/>
      <c r="C680" s="115"/>
      <c r="D680" s="115"/>
      <c r="E680" s="115"/>
      <c r="F680" s="115"/>
      <c r="G680" s="99"/>
      <c r="H680" s="98"/>
      <c r="I680" s="100"/>
      <c r="J680" s="100"/>
      <c r="K680" s="100"/>
      <c r="L680" s="101"/>
      <c r="M680" s="101"/>
      <c r="N680" s="112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</row>
    <row r="681" spans="1:29" ht="13">
      <c r="A681" s="115"/>
      <c r="B681" s="97"/>
      <c r="C681" s="115"/>
      <c r="D681" s="115"/>
      <c r="E681" s="115"/>
      <c r="F681" s="115"/>
      <c r="G681" s="99"/>
      <c r="H681" s="98"/>
      <c r="I681" s="100"/>
      <c r="J681" s="100"/>
      <c r="K681" s="100"/>
      <c r="L681" s="101"/>
      <c r="M681" s="101"/>
      <c r="N681" s="112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</row>
    <row r="682" spans="1:29" ht="13">
      <c r="A682" s="115"/>
      <c r="B682" s="97"/>
      <c r="C682" s="115"/>
      <c r="D682" s="115"/>
      <c r="E682" s="115"/>
      <c r="F682" s="115"/>
      <c r="G682" s="99"/>
      <c r="H682" s="98"/>
      <c r="I682" s="100"/>
      <c r="J682" s="100"/>
      <c r="K682" s="100"/>
      <c r="L682" s="101"/>
      <c r="M682" s="101"/>
      <c r="N682" s="112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</row>
    <row r="683" spans="1:29" ht="13">
      <c r="A683" s="115"/>
      <c r="B683" s="97"/>
      <c r="C683" s="115"/>
      <c r="D683" s="115"/>
      <c r="E683" s="115"/>
      <c r="F683" s="115"/>
      <c r="G683" s="99"/>
      <c r="H683" s="98"/>
      <c r="I683" s="100"/>
      <c r="J683" s="100"/>
      <c r="K683" s="100"/>
      <c r="L683" s="101"/>
      <c r="M683" s="101"/>
      <c r="N683" s="112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</row>
    <row r="684" spans="1:29" ht="13">
      <c r="A684" s="115"/>
      <c r="B684" s="97"/>
      <c r="C684" s="115"/>
      <c r="D684" s="115"/>
      <c r="E684" s="115"/>
      <c r="F684" s="115"/>
      <c r="G684" s="99"/>
      <c r="H684" s="98"/>
      <c r="I684" s="100"/>
      <c r="J684" s="100"/>
      <c r="K684" s="100"/>
      <c r="L684" s="101"/>
      <c r="M684" s="101"/>
      <c r="N684" s="112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</row>
    <row r="685" spans="1:29" ht="13">
      <c r="A685" s="115"/>
      <c r="B685" s="97"/>
      <c r="C685" s="115"/>
      <c r="D685" s="115"/>
      <c r="E685" s="115"/>
      <c r="F685" s="115"/>
      <c r="G685" s="99"/>
      <c r="H685" s="98"/>
      <c r="I685" s="100"/>
      <c r="J685" s="100"/>
      <c r="K685" s="100"/>
      <c r="L685" s="101"/>
      <c r="M685" s="101"/>
      <c r="N685" s="112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</row>
    <row r="686" spans="1:29" ht="13">
      <c r="A686" s="115"/>
      <c r="B686" s="97"/>
      <c r="C686" s="115"/>
      <c r="D686" s="115"/>
      <c r="E686" s="115"/>
      <c r="F686" s="115"/>
      <c r="G686" s="99"/>
      <c r="H686" s="98"/>
      <c r="I686" s="100"/>
      <c r="J686" s="100"/>
      <c r="K686" s="100"/>
      <c r="L686" s="101"/>
      <c r="M686" s="101"/>
      <c r="N686" s="112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</row>
    <row r="687" spans="1:29" ht="13">
      <c r="A687" s="115"/>
      <c r="B687" s="97"/>
      <c r="C687" s="115"/>
      <c r="D687" s="115"/>
      <c r="E687" s="115"/>
      <c r="F687" s="115"/>
      <c r="G687" s="99"/>
      <c r="H687" s="98"/>
      <c r="I687" s="100"/>
      <c r="J687" s="100"/>
      <c r="K687" s="100"/>
      <c r="L687" s="101"/>
      <c r="M687" s="101"/>
      <c r="N687" s="112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</row>
    <row r="688" spans="1:29" ht="13">
      <c r="A688" s="115"/>
      <c r="B688" s="97"/>
      <c r="C688" s="115"/>
      <c r="D688" s="115"/>
      <c r="E688" s="115"/>
      <c r="F688" s="115"/>
      <c r="G688" s="99"/>
      <c r="H688" s="98"/>
      <c r="I688" s="100"/>
      <c r="J688" s="100"/>
      <c r="K688" s="100"/>
      <c r="L688" s="101"/>
      <c r="M688" s="101"/>
      <c r="N688" s="112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</row>
    <row r="689" spans="1:29" ht="13">
      <c r="A689" s="115"/>
      <c r="B689" s="97"/>
      <c r="C689" s="115"/>
      <c r="D689" s="115"/>
      <c r="E689" s="115"/>
      <c r="F689" s="115"/>
      <c r="G689" s="99"/>
      <c r="H689" s="98"/>
      <c r="I689" s="100"/>
      <c r="J689" s="100"/>
      <c r="K689" s="100"/>
      <c r="L689" s="101"/>
      <c r="M689" s="101"/>
      <c r="N689" s="112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</row>
    <row r="690" spans="1:29" ht="13">
      <c r="A690" s="115"/>
      <c r="B690" s="97"/>
      <c r="C690" s="115"/>
      <c r="D690" s="115"/>
      <c r="E690" s="115"/>
      <c r="F690" s="115"/>
      <c r="G690" s="99"/>
      <c r="H690" s="98"/>
      <c r="I690" s="100"/>
      <c r="J690" s="100"/>
      <c r="K690" s="100"/>
      <c r="L690" s="101"/>
      <c r="M690" s="101"/>
      <c r="N690" s="112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</row>
    <row r="691" spans="1:29" ht="13">
      <c r="A691" s="115"/>
      <c r="B691" s="97"/>
      <c r="C691" s="115"/>
      <c r="D691" s="115"/>
      <c r="E691" s="115"/>
      <c r="F691" s="115"/>
      <c r="G691" s="99"/>
      <c r="H691" s="98"/>
      <c r="I691" s="100"/>
      <c r="J691" s="100"/>
      <c r="K691" s="100"/>
      <c r="L691" s="101"/>
      <c r="M691" s="101"/>
      <c r="N691" s="112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</row>
    <row r="692" spans="1:29" ht="13">
      <c r="A692" s="115"/>
      <c r="B692" s="97"/>
      <c r="C692" s="115"/>
      <c r="D692" s="115"/>
      <c r="E692" s="115"/>
      <c r="F692" s="115"/>
      <c r="G692" s="99"/>
      <c r="H692" s="98"/>
      <c r="I692" s="100"/>
      <c r="J692" s="100"/>
      <c r="K692" s="100"/>
      <c r="L692" s="101"/>
      <c r="M692" s="101"/>
      <c r="N692" s="112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</row>
    <row r="693" spans="1:29" ht="13">
      <c r="A693" s="115"/>
      <c r="B693" s="97"/>
      <c r="C693" s="115"/>
      <c r="D693" s="115"/>
      <c r="E693" s="115"/>
      <c r="F693" s="115"/>
      <c r="G693" s="99"/>
      <c r="H693" s="98"/>
      <c r="I693" s="100"/>
      <c r="J693" s="100"/>
      <c r="K693" s="100"/>
      <c r="L693" s="101"/>
      <c r="M693" s="101"/>
      <c r="N693" s="112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</row>
    <row r="694" spans="1:29" ht="13">
      <c r="A694" s="115"/>
      <c r="B694" s="97"/>
      <c r="C694" s="115"/>
      <c r="D694" s="115"/>
      <c r="E694" s="115"/>
      <c r="F694" s="115"/>
      <c r="G694" s="99"/>
      <c r="H694" s="98"/>
      <c r="I694" s="100"/>
      <c r="J694" s="100"/>
      <c r="K694" s="100"/>
      <c r="L694" s="101"/>
      <c r="M694" s="101"/>
      <c r="N694" s="112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</row>
    <row r="695" spans="1:29" ht="13">
      <c r="A695" s="115"/>
      <c r="B695" s="97"/>
      <c r="C695" s="115"/>
      <c r="D695" s="115"/>
      <c r="E695" s="115"/>
      <c r="F695" s="115"/>
      <c r="G695" s="99"/>
      <c r="H695" s="98"/>
      <c r="I695" s="100"/>
      <c r="J695" s="100"/>
      <c r="K695" s="100"/>
      <c r="L695" s="101"/>
      <c r="M695" s="101"/>
      <c r="N695" s="112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</row>
    <row r="696" spans="1:29" ht="13">
      <c r="A696" s="115"/>
      <c r="B696" s="97"/>
      <c r="C696" s="115"/>
      <c r="D696" s="115"/>
      <c r="E696" s="115"/>
      <c r="F696" s="115"/>
      <c r="G696" s="99"/>
      <c r="H696" s="98"/>
      <c r="I696" s="100"/>
      <c r="J696" s="100"/>
      <c r="K696" s="100"/>
      <c r="L696" s="101"/>
      <c r="M696" s="101"/>
      <c r="N696" s="112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</row>
    <row r="697" spans="1:29" ht="13">
      <c r="A697" s="115"/>
      <c r="B697" s="97"/>
      <c r="C697" s="115"/>
      <c r="D697" s="115"/>
      <c r="E697" s="115"/>
      <c r="F697" s="115"/>
      <c r="G697" s="99"/>
      <c r="H697" s="98"/>
      <c r="I697" s="100"/>
      <c r="J697" s="100"/>
      <c r="K697" s="100"/>
      <c r="L697" s="101"/>
      <c r="M697" s="101"/>
      <c r="N697" s="112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</row>
    <row r="698" spans="1:29" ht="13">
      <c r="A698" s="115"/>
      <c r="B698" s="97"/>
      <c r="C698" s="115"/>
      <c r="D698" s="115"/>
      <c r="E698" s="115"/>
      <c r="F698" s="115"/>
      <c r="G698" s="99"/>
      <c r="H698" s="98"/>
      <c r="I698" s="100"/>
      <c r="J698" s="100"/>
      <c r="K698" s="100"/>
      <c r="L698" s="101"/>
      <c r="M698" s="101"/>
      <c r="N698" s="112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</row>
    <row r="699" spans="1:29" ht="13">
      <c r="A699" s="115"/>
      <c r="B699" s="97"/>
      <c r="C699" s="115"/>
      <c r="D699" s="115"/>
      <c r="E699" s="115"/>
      <c r="F699" s="115"/>
      <c r="G699" s="99"/>
      <c r="H699" s="98"/>
      <c r="I699" s="100"/>
      <c r="J699" s="100"/>
      <c r="K699" s="100"/>
      <c r="L699" s="101"/>
      <c r="M699" s="101"/>
      <c r="N699" s="112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</row>
    <row r="700" spans="1:29" ht="13">
      <c r="A700" s="115"/>
      <c r="B700" s="97"/>
      <c r="C700" s="115"/>
      <c r="D700" s="115"/>
      <c r="E700" s="115"/>
      <c r="F700" s="115"/>
      <c r="G700" s="99"/>
      <c r="H700" s="98"/>
      <c r="I700" s="100"/>
      <c r="J700" s="100"/>
      <c r="K700" s="100"/>
      <c r="L700" s="101"/>
      <c r="M700" s="101"/>
      <c r="N700" s="112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</row>
    <row r="701" spans="1:29" ht="13">
      <c r="A701" s="115"/>
      <c r="B701" s="97"/>
      <c r="C701" s="115"/>
      <c r="D701" s="115"/>
      <c r="E701" s="115"/>
      <c r="F701" s="115"/>
      <c r="G701" s="99"/>
      <c r="H701" s="98"/>
      <c r="I701" s="100"/>
      <c r="J701" s="100"/>
      <c r="K701" s="100"/>
      <c r="L701" s="101"/>
      <c r="M701" s="101"/>
      <c r="N701" s="112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</row>
    <row r="702" spans="1:29" ht="13">
      <c r="A702" s="115"/>
      <c r="B702" s="97"/>
      <c r="C702" s="115"/>
      <c r="D702" s="115"/>
      <c r="E702" s="115"/>
      <c r="F702" s="115"/>
      <c r="G702" s="99"/>
      <c r="H702" s="98"/>
      <c r="I702" s="100"/>
      <c r="J702" s="100"/>
      <c r="K702" s="100"/>
      <c r="L702" s="101"/>
      <c r="M702" s="101"/>
      <c r="N702" s="112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</row>
    <row r="703" spans="1:29" ht="13">
      <c r="A703" s="115"/>
      <c r="B703" s="97"/>
      <c r="C703" s="115"/>
      <c r="D703" s="115"/>
      <c r="E703" s="115"/>
      <c r="F703" s="115"/>
      <c r="G703" s="99"/>
      <c r="H703" s="98"/>
      <c r="I703" s="100"/>
      <c r="J703" s="100"/>
      <c r="K703" s="100"/>
      <c r="L703" s="101"/>
      <c r="M703" s="101"/>
      <c r="N703" s="112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</row>
    <row r="704" spans="1:29" ht="13">
      <c r="A704" s="115"/>
      <c r="B704" s="97"/>
      <c r="C704" s="115"/>
      <c r="D704" s="115"/>
      <c r="E704" s="115"/>
      <c r="F704" s="115"/>
      <c r="G704" s="99"/>
      <c r="H704" s="98"/>
      <c r="I704" s="100"/>
      <c r="J704" s="100"/>
      <c r="K704" s="100"/>
      <c r="L704" s="101"/>
      <c r="M704" s="101"/>
      <c r="N704" s="112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</row>
    <row r="705" spans="1:29" ht="13">
      <c r="A705" s="115"/>
      <c r="B705" s="97"/>
      <c r="C705" s="115"/>
      <c r="D705" s="115"/>
      <c r="E705" s="115"/>
      <c r="F705" s="115"/>
      <c r="G705" s="99"/>
      <c r="H705" s="98"/>
      <c r="I705" s="100"/>
      <c r="J705" s="100"/>
      <c r="K705" s="100"/>
      <c r="L705" s="101"/>
      <c r="M705" s="101"/>
      <c r="N705" s="112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</row>
    <row r="706" spans="1:29" ht="13">
      <c r="A706" s="115"/>
      <c r="B706" s="97"/>
      <c r="C706" s="115"/>
      <c r="D706" s="115"/>
      <c r="E706" s="115"/>
      <c r="F706" s="115"/>
      <c r="G706" s="99"/>
      <c r="H706" s="98"/>
      <c r="I706" s="100"/>
      <c r="J706" s="100"/>
      <c r="K706" s="100"/>
      <c r="L706" s="101"/>
      <c r="M706" s="101"/>
      <c r="N706" s="112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</row>
    <row r="707" spans="1:29" ht="13">
      <c r="A707" s="115"/>
      <c r="B707" s="97"/>
      <c r="C707" s="115"/>
      <c r="D707" s="115"/>
      <c r="E707" s="115"/>
      <c r="F707" s="115"/>
      <c r="G707" s="99"/>
      <c r="H707" s="98"/>
      <c r="I707" s="100"/>
      <c r="J707" s="100"/>
      <c r="K707" s="100"/>
      <c r="L707" s="101"/>
      <c r="M707" s="101"/>
      <c r="N707" s="112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</row>
    <row r="708" spans="1:29" ht="13">
      <c r="A708" s="115"/>
      <c r="B708" s="97"/>
      <c r="C708" s="115"/>
      <c r="D708" s="115"/>
      <c r="E708" s="115"/>
      <c r="F708" s="115"/>
      <c r="G708" s="99"/>
      <c r="H708" s="98"/>
      <c r="I708" s="100"/>
      <c r="J708" s="100"/>
      <c r="K708" s="100"/>
      <c r="L708" s="101"/>
      <c r="M708" s="101"/>
      <c r="N708" s="112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</row>
    <row r="709" spans="1:29" ht="13">
      <c r="A709" s="115"/>
      <c r="B709" s="97"/>
      <c r="C709" s="115"/>
      <c r="D709" s="115"/>
      <c r="E709" s="115"/>
      <c r="F709" s="115"/>
      <c r="G709" s="99"/>
      <c r="H709" s="98"/>
      <c r="I709" s="100"/>
      <c r="J709" s="100"/>
      <c r="K709" s="100"/>
      <c r="L709" s="101"/>
      <c r="M709" s="101"/>
      <c r="N709" s="112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</row>
    <row r="710" spans="1:29" ht="13">
      <c r="A710" s="115"/>
      <c r="B710" s="97"/>
      <c r="C710" s="115"/>
      <c r="D710" s="115"/>
      <c r="E710" s="115"/>
      <c r="F710" s="115"/>
      <c r="G710" s="99"/>
      <c r="H710" s="98"/>
      <c r="I710" s="100"/>
      <c r="J710" s="100"/>
      <c r="K710" s="100"/>
      <c r="L710" s="101"/>
      <c r="M710" s="101"/>
      <c r="N710" s="112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</row>
    <row r="711" spans="1:29" ht="13">
      <c r="A711" s="115"/>
      <c r="B711" s="97"/>
      <c r="C711" s="115"/>
      <c r="D711" s="115"/>
      <c r="E711" s="115"/>
      <c r="F711" s="115"/>
      <c r="G711" s="99"/>
      <c r="H711" s="98"/>
      <c r="I711" s="100"/>
      <c r="J711" s="100"/>
      <c r="K711" s="100"/>
      <c r="L711" s="101"/>
      <c r="M711" s="101"/>
      <c r="N711" s="112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</row>
    <row r="712" spans="1:29" ht="13">
      <c r="A712" s="115"/>
      <c r="B712" s="97"/>
      <c r="C712" s="115"/>
      <c r="D712" s="115"/>
      <c r="E712" s="115"/>
      <c r="F712" s="115"/>
      <c r="G712" s="99"/>
      <c r="H712" s="98"/>
      <c r="I712" s="100"/>
      <c r="J712" s="100"/>
      <c r="K712" s="100"/>
      <c r="L712" s="101"/>
      <c r="M712" s="101"/>
      <c r="N712" s="112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</row>
    <row r="713" spans="1:29" ht="13">
      <c r="A713" s="115"/>
      <c r="B713" s="97"/>
      <c r="C713" s="115"/>
      <c r="D713" s="115"/>
      <c r="E713" s="115"/>
      <c r="F713" s="115"/>
      <c r="G713" s="99"/>
      <c r="H713" s="98"/>
      <c r="I713" s="100"/>
      <c r="J713" s="100"/>
      <c r="K713" s="100"/>
      <c r="L713" s="101"/>
      <c r="M713" s="101"/>
      <c r="N713" s="112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</row>
    <row r="714" spans="1:29" ht="13">
      <c r="A714" s="115"/>
      <c r="B714" s="97"/>
      <c r="C714" s="115"/>
      <c r="D714" s="115"/>
      <c r="E714" s="115"/>
      <c r="F714" s="115"/>
      <c r="G714" s="99"/>
      <c r="H714" s="98"/>
      <c r="I714" s="100"/>
      <c r="J714" s="100"/>
      <c r="K714" s="100"/>
      <c r="L714" s="101"/>
      <c r="M714" s="101"/>
      <c r="N714" s="112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</row>
    <row r="715" spans="1:29" ht="13">
      <c r="A715" s="115"/>
      <c r="B715" s="97"/>
      <c r="C715" s="115"/>
      <c r="D715" s="115"/>
      <c r="E715" s="115"/>
      <c r="F715" s="115"/>
      <c r="G715" s="99"/>
      <c r="H715" s="98"/>
      <c r="I715" s="100"/>
      <c r="J715" s="100"/>
      <c r="K715" s="100"/>
      <c r="L715" s="101"/>
      <c r="M715" s="101"/>
      <c r="N715" s="112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</row>
    <row r="716" spans="1:29" ht="13">
      <c r="A716" s="115"/>
      <c r="B716" s="97"/>
      <c r="C716" s="115"/>
      <c r="D716" s="115"/>
      <c r="E716" s="115"/>
      <c r="F716" s="115"/>
      <c r="G716" s="99"/>
      <c r="H716" s="98"/>
      <c r="I716" s="100"/>
      <c r="J716" s="100"/>
      <c r="K716" s="100"/>
      <c r="L716" s="101"/>
      <c r="M716" s="101"/>
      <c r="N716" s="112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</row>
    <row r="717" spans="1:29" ht="13">
      <c r="A717" s="115"/>
      <c r="B717" s="97"/>
      <c r="C717" s="115"/>
      <c r="D717" s="115"/>
      <c r="E717" s="115"/>
      <c r="F717" s="115"/>
      <c r="G717" s="99"/>
      <c r="H717" s="98"/>
      <c r="I717" s="100"/>
      <c r="J717" s="100"/>
      <c r="K717" s="100"/>
      <c r="L717" s="101"/>
      <c r="M717" s="101"/>
      <c r="N717" s="112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</row>
    <row r="718" spans="1:29" ht="13">
      <c r="A718" s="115"/>
      <c r="B718" s="97"/>
      <c r="C718" s="115"/>
      <c r="D718" s="115"/>
      <c r="E718" s="115"/>
      <c r="F718" s="115"/>
      <c r="G718" s="99"/>
      <c r="H718" s="98"/>
      <c r="I718" s="100"/>
      <c r="J718" s="100"/>
      <c r="K718" s="100"/>
      <c r="L718" s="101"/>
      <c r="M718" s="101"/>
      <c r="N718" s="112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</row>
    <row r="719" spans="1:29" ht="13">
      <c r="A719" s="115"/>
      <c r="B719" s="97"/>
      <c r="C719" s="115"/>
      <c r="D719" s="115"/>
      <c r="E719" s="115"/>
      <c r="F719" s="115"/>
      <c r="G719" s="99"/>
      <c r="H719" s="98"/>
      <c r="I719" s="100"/>
      <c r="J719" s="100"/>
      <c r="K719" s="100"/>
      <c r="L719" s="101"/>
      <c r="M719" s="101"/>
      <c r="N719" s="112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</row>
    <row r="720" spans="1:29" ht="13">
      <c r="A720" s="115"/>
      <c r="B720" s="97"/>
      <c r="C720" s="115"/>
      <c r="D720" s="115"/>
      <c r="E720" s="115"/>
      <c r="F720" s="115"/>
      <c r="G720" s="99"/>
      <c r="H720" s="98"/>
      <c r="I720" s="100"/>
      <c r="J720" s="100"/>
      <c r="K720" s="100"/>
      <c r="L720" s="101"/>
      <c r="M720" s="101"/>
      <c r="N720" s="112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</row>
    <row r="721" spans="1:29" ht="13">
      <c r="A721" s="115"/>
      <c r="B721" s="97"/>
      <c r="C721" s="115"/>
      <c r="D721" s="115"/>
      <c r="E721" s="115"/>
      <c r="F721" s="115"/>
      <c r="G721" s="99"/>
      <c r="H721" s="98"/>
      <c r="I721" s="100"/>
      <c r="J721" s="100"/>
      <c r="K721" s="100"/>
      <c r="L721" s="101"/>
      <c r="M721" s="101"/>
      <c r="N721" s="112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</row>
    <row r="722" spans="1:29" ht="13">
      <c r="A722" s="115"/>
      <c r="B722" s="97"/>
      <c r="C722" s="115"/>
      <c r="D722" s="115"/>
      <c r="E722" s="115"/>
      <c r="F722" s="115"/>
      <c r="G722" s="99"/>
      <c r="H722" s="98"/>
      <c r="I722" s="100"/>
      <c r="J722" s="100"/>
      <c r="K722" s="100"/>
      <c r="L722" s="101"/>
      <c r="M722" s="101"/>
      <c r="N722" s="112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</row>
    <row r="723" spans="1:29" ht="13">
      <c r="A723" s="115"/>
      <c r="B723" s="97"/>
      <c r="C723" s="115"/>
      <c r="D723" s="115"/>
      <c r="E723" s="115"/>
      <c r="F723" s="115"/>
      <c r="G723" s="99"/>
      <c r="H723" s="98"/>
      <c r="I723" s="100"/>
      <c r="J723" s="100"/>
      <c r="K723" s="100"/>
      <c r="L723" s="101"/>
      <c r="M723" s="101"/>
      <c r="N723" s="112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</row>
    <row r="724" spans="1:29" ht="13">
      <c r="A724" s="115"/>
      <c r="B724" s="97"/>
      <c r="C724" s="115"/>
      <c r="D724" s="115"/>
      <c r="E724" s="115"/>
      <c r="F724" s="115"/>
      <c r="G724" s="99"/>
      <c r="H724" s="98"/>
      <c r="I724" s="100"/>
      <c r="J724" s="100"/>
      <c r="K724" s="100"/>
      <c r="L724" s="101"/>
      <c r="M724" s="101"/>
      <c r="N724" s="112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</row>
    <row r="725" spans="1:29" ht="13">
      <c r="A725" s="115"/>
      <c r="B725" s="97"/>
      <c r="C725" s="115"/>
      <c r="D725" s="115"/>
      <c r="E725" s="115"/>
      <c r="F725" s="115"/>
      <c r="G725" s="99"/>
      <c r="H725" s="98"/>
      <c r="I725" s="100"/>
      <c r="J725" s="100"/>
      <c r="K725" s="100"/>
      <c r="L725" s="101"/>
      <c r="M725" s="101"/>
      <c r="N725" s="112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</row>
    <row r="726" spans="1:29" ht="13">
      <c r="A726" s="115"/>
      <c r="B726" s="97"/>
      <c r="C726" s="115"/>
      <c r="D726" s="115"/>
      <c r="E726" s="115"/>
      <c r="F726" s="115"/>
      <c r="G726" s="99"/>
      <c r="H726" s="98"/>
      <c r="I726" s="100"/>
      <c r="J726" s="100"/>
      <c r="K726" s="100"/>
      <c r="L726" s="101"/>
      <c r="M726" s="101"/>
      <c r="N726" s="112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</row>
    <row r="727" spans="1:29" ht="13">
      <c r="A727" s="115"/>
      <c r="B727" s="97"/>
      <c r="C727" s="115"/>
      <c r="D727" s="115"/>
      <c r="E727" s="115"/>
      <c r="F727" s="115"/>
      <c r="G727" s="99"/>
      <c r="H727" s="98"/>
      <c r="I727" s="100"/>
      <c r="J727" s="100"/>
      <c r="K727" s="100"/>
      <c r="L727" s="101"/>
      <c r="M727" s="101"/>
      <c r="N727" s="112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</row>
    <row r="728" spans="1:29" ht="13">
      <c r="A728" s="115"/>
      <c r="B728" s="97"/>
      <c r="C728" s="115"/>
      <c r="D728" s="115"/>
      <c r="E728" s="115"/>
      <c r="F728" s="115"/>
      <c r="G728" s="99"/>
      <c r="H728" s="98"/>
      <c r="I728" s="100"/>
      <c r="J728" s="100"/>
      <c r="K728" s="100"/>
      <c r="L728" s="101"/>
      <c r="M728" s="101"/>
      <c r="N728" s="112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</row>
    <row r="729" spans="1:29" ht="13">
      <c r="A729" s="115"/>
      <c r="B729" s="97"/>
      <c r="C729" s="115"/>
      <c r="D729" s="115"/>
      <c r="E729" s="115"/>
      <c r="F729" s="115"/>
      <c r="G729" s="99"/>
      <c r="H729" s="98"/>
      <c r="I729" s="100"/>
      <c r="J729" s="100"/>
      <c r="K729" s="100"/>
      <c r="L729" s="101"/>
      <c r="M729" s="101"/>
      <c r="N729" s="112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</row>
    <row r="730" spans="1:29" ht="13">
      <c r="A730" s="115"/>
      <c r="B730" s="97"/>
      <c r="C730" s="115"/>
      <c r="D730" s="115"/>
      <c r="E730" s="115"/>
      <c r="F730" s="115"/>
      <c r="G730" s="99"/>
      <c r="H730" s="98"/>
      <c r="I730" s="100"/>
      <c r="J730" s="100"/>
      <c r="K730" s="100"/>
      <c r="L730" s="101"/>
      <c r="M730" s="101"/>
      <c r="N730" s="112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</row>
    <row r="731" spans="1:29" ht="13">
      <c r="A731" s="115"/>
      <c r="B731" s="97"/>
      <c r="C731" s="115"/>
      <c r="D731" s="115"/>
      <c r="E731" s="115"/>
      <c r="F731" s="115"/>
      <c r="G731" s="99"/>
      <c r="H731" s="98"/>
      <c r="I731" s="100"/>
      <c r="J731" s="100"/>
      <c r="K731" s="100"/>
      <c r="L731" s="101"/>
      <c r="M731" s="101"/>
      <c r="N731" s="112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</row>
    <row r="732" spans="1:29" ht="13">
      <c r="A732" s="115"/>
      <c r="B732" s="97"/>
      <c r="C732" s="115"/>
      <c r="D732" s="115"/>
      <c r="E732" s="115"/>
      <c r="F732" s="115"/>
      <c r="G732" s="99"/>
      <c r="H732" s="98"/>
      <c r="I732" s="100"/>
      <c r="J732" s="100"/>
      <c r="K732" s="100"/>
      <c r="L732" s="101"/>
      <c r="M732" s="101"/>
      <c r="N732" s="112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</row>
    <row r="733" spans="1:29" ht="13">
      <c r="A733" s="115"/>
      <c r="B733" s="97"/>
      <c r="C733" s="115"/>
      <c r="D733" s="115"/>
      <c r="E733" s="115"/>
      <c r="F733" s="115"/>
      <c r="G733" s="99"/>
      <c r="H733" s="98"/>
      <c r="I733" s="100"/>
      <c r="J733" s="100"/>
      <c r="K733" s="100"/>
      <c r="L733" s="101"/>
      <c r="M733" s="101"/>
      <c r="N733" s="112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</row>
    <row r="734" spans="1:29" ht="13">
      <c r="A734" s="115"/>
      <c r="B734" s="97"/>
      <c r="C734" s="115"/>
      <c r="D734" s="115"/>
      <c r="E734" s="115"/>
      <c r="F734" s="115"/>
      <c r="G734" s="99"/>
      <c r="H734" s="98"/>
      <c r="I734" s="100"/>
      <c r="J734" s="100"/>
      <c r="K734" s="100"/>
      <c r="L734" s="101"/>
      <c r="M734" s="101"/>
      <c r="N734" s="112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</row>
    <row r="735" spans="1:29" ht="13">
      <c r="A735" s="115"/>
      <c r="B735" s="97"/>
      <c r="C735" s="115"/>
      <c r="D735" s="115"/>
      <c r="E735" s="115"/>
      <c r="F735" s="115"/>
      <c r="G735" s="99"/>
      <c r="H735" s="98"/>
      <c r="I735" s="100"/>
      <c r="J735" s="100"/>
      <c r="K735" s="100"/>
      <c r="L735" s="101"/>
      <c r="M735" s="101"/>
      <c r="N735" s="112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</row>
    <row r="736" spans="1:29" ht="13">
      <c r="A736" s="115"/>
      <c r="B736" s="97"/>
      <c r="C736" s="115"/>
      <c r="D736" s="115"/>
      <c r="E736" s="115"/>
      <c r="F736" s="115"/>
      <c r="G736" s="99"/>
      <c r="H736" s="98"/>
      <c r="I736" s="100"/>
      <c r="J736" s="100"/>
      <c r="K736" s="100"/>
      <c r="L736" s="101"/>
      <c r="M736" s="101"/>
      <c r="N736" s="112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</row>
    <row r="737" spans="1:29" ht="13">
      <c r="A737" s="115"/>
      <c r="B737" s="97"/>
      <c r="C737" s="115"/>
      <c r="D737" s="115"/>
      <c r="E737" s="115"/>
      <c r="F737" s="115"/>
      <c r="G737" s="99"/>
      <c r="H737" s="98"/>
      <c r="I737" s="100"/>
      <c r="J737" s="100"/>
      <c r="K737" s="100"/>
      <c r="L737" s="101"/>
      <c r="M737" s="101"/>
      <c r="N737" s="112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</row>
    <row r="738" spans="1:29" ht="13">
      <c r="A738" s="115"/>
      <c r="B738" s="97"/>
      <c r="C738" s="115"/>
      <c r="D738" s="115"/>
      <c r="E738" s="115"/>
      <c r="F738" s="115"/>
      <c r="G738" s="99"/>
      <c r="H738" s="98"/>
      <c r="I738" s="100"/>
      <c r="J738" s="100"/>
      <c r="K738" s="100"/>
      <c r="L738" s="101"/>
      <c r="M738" s="101"/>
      <c r="N738" s="112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</row>
    <row r="739" spans="1:29" ht="13">
      <c r="A739" s="115"/>
      <c r="B739" s="97"/>
      <c r="C739" s="115"/>
      <c r="D739" s="115"/>
      <c r="E739" s="115"/>
      <c r="F739" s="115"/>
      <c r="G739" s="99"/>
      <c r="H739" s="98"/>
      <c r="I739" s="100"/>
      <c r="J739" s="100"/>
      <c r="K739" s="100"/>
      <c r="L739" s="101"/>
      <c r="M739" s="101"/>
      <c r="N739" s="112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</row>
    <row r="740" spans="1:29" ht="13">
      <c r="A740" s="115"/>
      <c r="B740" s="97"/>
      <c r="C740" s="115"/>
      <c r="D740" s="115"/>
      <c r="E740" s="115"/>
      <c r="F740" s="115"/>
      <c r="G740" s="99"/>
      <c r="H740" s="98"/>
      <c r="I740" s="100"/>
      <c r="J740" s="100"/>
      <c r="K740" s="100"/>
      <c r="L740" s="101"/>
      <c r="M740" s="101"/>
      <c r="N740" s="112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</row>
    <row r="741" spans="1:29" ht="13">
      <c r="A741" s="115"/>
      <c r="B741" s="97"/>
      <c r="C741" s="115"/>
      <c r="D741" s="115"/>
      <c r="E741" s="115"/>
      <c r="F741" s="115"/>
      <c r="G741" s="99"/>
      <c r="H741" s="98"/>
      <c r="I741" s="100"/>
      <c r="J741" s="100"/>
      <c r="K741" s="100"/>
      <c r="L741" s="101"/>
      <c r="M741" s="101"/>
      <c r="N741" s="112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</row>
    <row r="742" spans="1:29" ht="13">
      <c r="A742" s="115"/>
      <c r="B742" s="97"/>
      <c r="C742" s="115"/>
      <c r="D742" s="115"/>
      <c r="E742" s="115"/>
      <c r="F742" s="115"/>
      <c r="G742" s="99"/>
      <c r="H742" s="98"/>
      <c r="I742" s="100"/>
      <c r="J742" s="100"/>
      <c r="K742" s="100"/>
      <c r="L742" s="101"/>
      <c r="M742" s="101"/>
      <c r="N742" s="112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</row>
    <row r="743" spans="1:29" ht="13">
      <c r="A743" s="115"/>
      <c r="B743" s="97"/>
      <c r="C743" s="115"/>
      <c r="D743" s="115"/>
      <c r="E743" s="115"/>
      <c r="F743" s="115"/>
      <c r="G743" s="99"/>
      <c r="H743" s="98"/>
      <c r="I743" s="100"/>
      <c r="J743" s="100"/>
      <c r="K743" s="100"/>
      <c r="L743" s="101"/>
      <c r="M743" s="101"/>
      <c r="N743" s="112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</row>
    <row r="744" spans="1:29" ht="13">
      <c r="A744" s="115"/>
      <c r="B744" s="97"/>
      <c r="C744" s="115"/>
      <c r="D744" s="115"/>
      <c r="E744" s="115"/>
      <c r="F744" s="115"/>
      <c r="G744" s="99"/>
      <c r="H744" s="98"/>
      <c r="I744" s="100"/>
      <c r="J744" s="100"/>
      <c r="K744" s="100"/>
      <c r="L744" s="101"/>
      <c r="M744" s="101"/>
      <c r="N744" s="112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</row>
    <row r="745" spans="1:29" ht="13">
      <c r="A745" s="115"/>
      <c r="B745" s="97"/>
      <c r="C745" s="115"/>
      <c r="D745" s="115"/>
      <c r="E745" s="115"/>
      <c r="F745" s="115"/>
      <c r="G745" s="99"/>
      <c r="H745" s="98"/>
      <c r="I745" s="100"/>
      <c r="J745" s="100"/>
      <c r="K745" s="100"/>
      <c r="L745" s="101"/>
      <c r="M745" s="101"/>
      <c r="N745" s="112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</row>
    <row r="746" spans="1:29" ht="13">
      <c r="A746" s="115"/>
      <c r="B746" s="97"/>
      <c r="C746" s="115"/>
      <c r="D746" s="115"/>
      <c r="E746" s="115"/>
      <c r="F746" s="115"/>
      <c r="G746" s="99"/>
      <c r="H746" s="98"/>
      <c r="I746" s="100"/>
      <c r="J746" s="100"/>
      <c r="K746" s="100"/>
      <c r="L746" s="101"/>
      <c r="M746" s="101"/>
      <c r="N746" s="112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</row>
    <row r="747" spans="1:29" ht="13">
      <c r="A747" s="115"/>
      <c r="B747" s="97"/>
      <c r="C747" s="115"/>
      <c r="D747" s="115"/>
      <c r="E747" s="115"/>
      <c r="F747" s="115"/>
      <c r="G747" s="99"/>
      <c r="H747" s="98"/>
      <c r="I747" s="100"/>
      <c r="J747" s="100"/>
      <c r="K747" s="100"/>
      <c r="L747" s="101"/>
      <c r="M747" s="101"/>
      <c r="N747" s="112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</row>
    <row r="748" spans="1:29" ht="13">
      <c r="A748" s="115"/>
      <c r="B748" s="97"/>
      <c r="C748" s="115"/>
      <c r="D748" s="115"/>
      <c r="E748" s="115"/>
      <c r="F748" s="115"/>
      <c r="G748" s="99"/>
      <c r="H748" s="98"/>
      <c r="I748" s="100"/>
      <c r="J748" s="100"/>
      <c r="K748" s="100"/>
      <c r="L748" s="101"/>
      <c r="M748" s="101"/>
      <c r="N748" s="112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</row>
    <row r="749" spans="1:29" ht="13">
      <c r="A749" s="115"/>
      <c r="B749" s="97"/>
      <c r="C749" s="115"/>
      <c r="D749" s="115"/>
      <c r="E749" s="115"/>
      <c r="F749" s="115"/>
      <c r="G749" s="99"/>
      <c r="H749" s="98"/>
      <c r="I749" s="100"/>
      <c r="J749" s="100"/>
      <c r="K749" s="100"/>
      <c r="L749" s="101"/>
      <c r="M749" s="101"/>
      <c r="N749" s="112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</row>
    <row r="750" spans="1:29" ht="13">
      <c r="A750" s="115"/>
      <c r="B750" s="97"/>
      <c r="C750" s="115"/>
      <c r="D750" s="115"/>
      <c r="E750" s="115"/>
      <c r="F750" s="115"/>
      <c r="G750" s="99"/>
      <c r="H750" s="98"/>
      <c r="I750" s="100"/>
      <c r="J750" s="100"/>
      <c r="K750" s="100"/>
      <c r="L750" s="101"/>
      <c r="M750" s="101"/>
      <c r="N750" s="112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</row>
    <row r="751" spans="1:29" ht="13">
      <c r="A751" s="115"/>
      <c r="B751" s="97"/>
      <c r="C751" s="115"/>
      <c r="D751" s="115"/>
      <c r="E751" s="115"/>
      <c r="F751" s="115"/>
      <c r="G751" s="99"/>
      <c r="H751" s="98"/>
      <c r="I751" s="100"/>
      <c r="J751" s="100"/>
      <c r="K751" s="100"/>
      <c r="L751" s="101"/>
      <c r="M751" s="101"/>
      <c r="N751" s="112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</row>
    <row r="752" spans="1:29" ht="13">
      <c r="A752" s="115"/>
      <c r="B752" s="97"/>
      <c r="C752" s="115"/>
      <c r="D752" s="115"/>
      <c r="E752" s="115"/>
      <c r="F752" s="115"/>
      <c r="G752" s="99"/>
      <c r="H752" s="98"/>
      <c r="I752" s="100"/>
      <c r="J752" s="100"/>
      <c r="K752" s="100"/>
      <c r="L752" s="101"/>
      <c r="M752" s="101"/>
      <c r="N752" s="112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</row>
    <row r="753" spans="1:29" ht="13">
      <c r="A753" s="115"/>
      <c r="B753" s="97"/>
      <c r="C753" s="115"/>
      <c r="D753" s="115"/>
      <c r="E753" s="115"/>
      <c r="F753" s="115"/>
      <c r="G753" s="99"/>
      <c r="H753" s="98"/>
      <c r="I753" s="100"/>
      <c r="J753" s="100"/>
      <c r="K753" s="100"/>
      <c r="L753" s="101"/>
      <c r="M753" s="101"/>
      <c r="N753" s="112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</row>
    <row r="754" spans="1:29" ht="13">
      <c r="A754" s="115"/>
      <c r="B754" s="97"/>
      <c r="C754" s="115"/>
      <c r="D754" s="115"/>
      <c r="E754" s="115"/>
      <c r="F754" s="115"/>
      <c r="G754" s="99"/>
      <c r="H754" s="98"/>
      <c r="I754" s="100"/>
      <c r="J754" s="100"/>
      <c r="K754" s="100"/>
      <c r="L754" s="101"/>
      <c r="M754" s="101"/>
      <c r="N754" s="112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</row>
    <row r="755" spans="1:29" ht="13">
      <c r="A755" s="115"/>
      <c r="B755" s="97"/>
      <c r="C755" s="115"/>
      <c r="D755" s="115"/>
      <c r="E755" s="115"/>
      <c r="F755" s="115"/>
      <c r="G755" s="99"/>
      <c r="H755" s="98"/>
      <c r="I755" s="100"/>
      <c r="J755" s="100"/>
      <c r="K755" s="100"/>
      <c r="L755" s="101"/>
      <c r="M755" s="101"/>
      <c r="N755" s="112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</row>
    <row r="756" spans="1:29" ht="13">
      <c r="A756" s="115"/>
      <c r="B756" s="97"/>
      <c r="C756" s="115"/>
      <c r="D756" s="115"/>
      <c r="E756" s="115"/>
      <c r="F756" s="115"/>
      <c r="G756" s="99"/>
      <c r="H756" s="98"/>
      <c r="I756" s="100"/>
      <c r="J756" s="100"/>
      <c r="K756" s="100"/>
      <c r="L756" s="101"/>
      <c r="M756" s="101"/>
      <c r="N756" s="112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</row>
    <row r="757" spans="1:29" ht="13">
      <c r="A757" s="115"/>
      <c r="B757" s="97"/>
      <c r="C757" s="115"/>
      <c r="D757" s="115"/>
      <c r="E757" s="115"/>
      <c r="F757" s="115"/>
      <c r="G757" s="99"/>
      <c r="H757" s="98"/>
      <c r="I757" s="100"/>
      <c r="J757" s="100"/>
      <c r="K757" s="100"/>
      <c r="L757" s="101"/>
      <c r="M757" s="101"/>
      <c r="N757" s="112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</row>
    <row r="758" spans="1:29" ht="13">
      <c r="A758" s="115"/>
      <c r="B758" s="97"/>
      <c r="C758" s="115"/>
      <c r="D758" s="115"/>
      <c r="E758" s="115"/>
      <c r="F758" s="115"/>
      <c r="G758" s="99"/>
      <c r="H758" s="98"/>
      <c r="I758" s="100"/>
      <c r="J758" s="100"/>
      <c r="K758" s="100"/>
      <c r="L758" s="101"/>
      <c r="M758" s="101"/>
      <c r="N758" s="112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</row>
    <row r="759" spans="1:29" ht="13">
      <c r="A759" s="115"/>
      <c r="B759" s="97"/>
      <c r="C759" s="115"/>
      <c r="D759" s="115"/>
      <c r="E759" s="115"/>
      <c r="F759" s="115"/>
      <c r="G759" s="99"/>
      <c r="H759" s="98"/>
      <c r="I759" s="100"/>
      <c r="J759" s="100"/>
      <c r="K759" s="100"/>
      <c r="L759" s="101"/>
      <c r="M759" s="101"/>
      <c r="N759" s="112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</row>
    <row r="760" spans="1:29" ht="13">
      <c r="A760" s="115"/>
      <c r="B760" s="97"/>
      <c r="C760" s="115"/>
      <c r="D760" s="115"/>
      <c r="E760" s="115"/>
      <c r="F760" s="115"/>
      <c r="G760" s="99"/>
      <c r="H760" s="98"/>
      <c r="I760" s="100"/>
      <c r="J760" s="100"/>
      <c r="K760" s="100"/>
      <c r="L760" s="101"/>
      <c r="M760" s="101"/>
      <c r="N760" s="112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</row>
    <row r="761" spans="1:29" ht="13">
      <c r="A761" s="115"/>
      <c r="B761" s="97"/>
      <c r="C761" s="115"/>
      <c r="D761" s="115"/>
      <c r="E761" s="115"/>
      <c r="F761" s="115"/>
      <c r="G761" s="99"/>
      <c r="H761" s="98"/>
      <c r="I761" s="100"/>
      <c r="J761" s="100"/>
      <c r="K761" s="100"/>
      <c r="L761" s="101"/>
      <c r="M761" s="101"/>
      <c r="N761" s="112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</row>
    <row r="762" spans="1:29" ht="13">
      <c r="A762" s="115"/>
      <c r="B762" s="97"/>
      <c r="C762" s="115"/>
      <c r="D762" s="115"/>
      <c r="E762" s="115"/>
      <c r="F762" s="115"/>
      <c r="G762" s="99"/>
      <c r="H762" s="98"/>
      <c r="I762" s="100"/>
      <c r="J762" s="100"/>
      <c r="K762" s="100"/>
      <c r="L762" s="101"/>
      <c r="M762" s="101"/>
      <c r="N762" s="112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</row>
    <row r="763" spans="1:29" ht="13">
      <c r="A763" s="115"/>
      <c r="B763" s="97"/>
      <c r="C763" s="115"/>
      <c r="D763" s="115"/>
      <c r="E763" s="115"/>
      <c r="F763" s="115"/>
      <c r="G763" s="99"/>
      <c r="H763" s="98"/>
      <c r="I763" s="100"/>
      <c r="J763" s="100"/>
      <c r="K763" s="100"/>
      <c r="L763" s="101"/>
      <c r="M763" s="101"/>
      <c r="N763" s="112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</row>
    <row r="764" spans="1:29" ht="13">
      <c r="A764" s="115"/>
      <c r="B764" s="97"/>
      <c r="C764" s="115"/>
      <c r="D764" s="115"/>
      <c r="E764" s="115"/>
      <c r="F764" s="115"/>
      <c r="G764" s="99"/>
      <c r="H764" s="98"/>
      <c r="I764" s="100"/>
      <c r="J764" s="100"/>
      <c r="K764" s="100"/>
      <c r="L764" s="101"/>
      <c r="M764" s="101"/>
      <c r="N764" s="112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</row>
    <row r="765" spans="1:29" ht="13">
      <c r="A765" s="115"/>
      <c r="B765" s="97"/>
      <c r="C765" s="115"/>
      <c r="D765" s="115"/>
      <c r="E765" s="115"/>
      <c r="F765" s="115"/>
      <c r="G765" s="99"/>
      <c r="H765" s="98"/>
      <c r="I765" s="100"/>
      <c r="J765" s="100"/>
      <c r="K765" s="100"/>
      <c r="L765" s="101"/>
      <c r="M765" s="101"/>
      <c r="N765" s="112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</row>
    <row r="766" spans="1:29" ht="13">
      <c r="A766" s="115"/>
      <c r="B766" s="97"/>
      <c r="C766" s="115"/>
      <c r="D766" s="115"/>
      <c r="E766" s="115"/>
      <c r="F766" s="115"/>
      <c r="G766" s="99"/>
      <c r="H766" s="98"/>
      <c r="I766" s="100"/>
      <c r="J766" s="100"/>
      <c r="K766" s="100"/>
      <c r="L766" s="101"/>
      <c r="M766" s="101"/>
      <c r="N766" s="112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</row>
    <row r="767" spans="1:29" ht="13">
      <c r="A767" s="115"/>
      <c r="B767" s="97"/>
      <c r="C767" s="115"/>
      <c r="D767" s="115"/>
      <c r="E767" s="115"/>
      <c r="F767" s="115"/>
      <c r="G767" s="99"/>
      <c r="H767" s="98"/>
      <c r="I767" s="100"/>
      <c r="J767" s="100"/>
      <c r="K767" s="100"/>
      <c r="L767" s="101"/>
      <c r="M767" s="101"/>
      <c r="N767" s="112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</row>
    <row r="768" spans="1:29" ht="13">
      <c r="A768" s="115"/>
      <c r="B768" s="97"/>
      <c r="C768" s="115"/>
      <c r="D768" s="115"/>
      <c r="E768" s="115"/>
      <c r="F768" s="115"/>
      <c r="G768" s="99"/>
      <c r="H768" s="98"/>
      <c r="I768" s="100"/>
      <c r="J768" s="100"/>
      <c r="K768" s="100"/>
      <c r="L768" s="101"/>
      <c r="M768" s="101"/>
      <c r="N768" s="112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</row>
    <row r="769" spans="1:29" ht="13">
      <c r="A769" s="115"/>
      <c r="B769" s="97"/>
      <c r="C769" s="115"/>
      <c r="D769" s="115"/>
      <c r="E769" s="115"/>
      <c r="F769" s="115"/>
      <c r="G769" s="99"/>
      <c r="H769" s="98"/>
      <c r="I769" s="100"/>
      <c r="J769" s="100"/>
      <c r="K769" s="100"/>
      <c r="L769" s="101"/>
      <c r="M769" s="101"/>
      <c r="N769" s="112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</row>
    <row r="770" spans="1:29" ht="13">
      <c r="A770" s="115"/>
      <c r="B770" s="97"/>
      <c r="C770" s="115"/>
      <c r="D770" s="115"/>
      <c r="E770" s="115"/>
      <c r="F770" s="115"/>
      <c r="G770" s="99"/>
      <c r="H770" s="98"/>
      <c r="I770" s="100"/>
      <c r="J770" s="100"/>
      <c r="K770" s="100"/>
      <c r="L770" s="101"/>
      <c r="M770" s="101"/>
      <c r="N770" s="112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</row>
    <row r="771" spans="1:29" ht="13">
      <c r="A771" s="115"/>
      <c r="B771" s="97"/>
      <c r="C771" s="115"/>
      <c r="D771" s="115"/>
      <c r="E771" s="115"/>
      <c r="F771" s="115"/>
      <c r="G771" s="99"/>
      <c r="H771" s="98"/>
      <c r="I771" s="100"/>
      <c r="J771" s="100"/>
      <c r="K771" s="100"/>
      <c r="L771" s="101"/>
      <c r="M771" s="101"/>
      <c r="N771" s="112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</row>
    <row r="772" spans="1:29" ht="13">
      <c r="A772" s="115"/>
      <c r="B772" s="97"/>
      <c r="C772" s="115"/>
      <c r="D772" s="115"/>
      <c r="E772" s="115"/>
      <c r="F772" s="115"/>
      <c r="G772" s="99"/>
      <c r="H772" s="98"/>
      <c r="I772" s="100"/>
      <c r="J772" s="100"/>
      <c r="K772" s="100"/>
      <c r="L772" s="101"/>
      <c r="M772" s="101"/>
      <c r="N772" s="112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</row>
    <row r="773" spans="1:29" ht="13">
      <c r="A773" s="115"/>
      <c r="B773" s="97"/>
      <c r="C773" s="115"/>
      <c r="D773" s="115"/>
      <c r="E773" s="115"/>
      <c r="F773" s="115"/>
      <c r="G773" s="99"/>
      <c r="H773" s="98"/>
      <c r="I773" s="100"/>
      <c r="J773" s="100"/>
      <c r="K773" s="100"/>
      <c r="L773" s="101"/>
      <c r="M773" s="101"/>
      <c r="N773" s="112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</row>
    <row r="774" spans="1:29" ht="13">
      <c r="A774" s="115"/>
      <c r="B774" s="97"/>
      <c r="C774" s="115"/>
      <c r="D774" s="115"/>
      <c r="E774" s="115"/>
      <c r="F774" s="115"/>
      <c r="G774" s="99"/>
      <c r="H774" s="98"/>
      <c r="I774" s="100"/>
      <c r="J774" s="100"/>
      <c r="K774" s="100"/>
      <c r="L774" s="101"/>
      <c r="M774" s="101"/>
      <c r="N774" s="112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</row>
    <row r="775" spans="1:29" ht="13">
      <c r="A775" s="115"/>
      <c r="B775" s="97"/>
      <c r="C775" s="115"/>
      <c r="D775" s="115"/>
      <c r="E775" s="115"/>
      <c r="F775" s="115"/>
      <c r="G775" s="99"/>
      <c r="H775" s="98"/>
      <c r="I775" s="100"/>
      <c r="J775" s="100"/>
      <c r="K775" s="100"/>
      <c r="L775" s="101"/>
      <c r="M775" s="101"/>
      <c r="N775" s="112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</row>
    <row r="776" spans="1:29" ht="13">
      <c r="A776" s="115"/>
      <c r="B776" s="97"/>
      <c r="C776" s="115"/>
      <c r="D776" s="115"/>
      <c r="E776" s="115"/>
      <c r="F776" s="115"/>
      <c r="G776" s="99"/>
      <c r="H776" s="98"/>
      <c r="I776" s="100"/>
      <c r="J776" s="100"/>
      <c r="K776" s="100"/>
      <c r="L776" s="101"/>
      <c r="M776" s="101"/>
      <c r="N776" s="112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</row>
    <row r="777" spans="1:29" ht="13">
      <c r="A777" s="115"/>
      <c r="B777" s="97"/>
      <c r="C777" s="115"/>
      <c r="D777" s="115"/>
      <c r="E777" s="115"/>
      <c r="F777" s="115"/>
      <c r="G777" s="99"/>
      <c r="H777" s="98"/>
      <c r="I777" s="100"/>
      <c r="J777" s="100"/>
      <c r="K777" s="100"/>
      <c r="L777" s="101"/>
      <c r="M777" s="101"/>
      <c r="N777" s="112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</row>
    <row r="778" spans="1:29" ht="13">
      <c r="A778" s="115"/>
      <c r="B778" s="97"/>
      <c r="C778" s="115"/>
      <c r="D778" s="115"/>
      <c r="E778" s="115"/>
      <c r="F778" s="115"/>
      <c r="G778" s="99"/>
      <c r="H778" s="98"/>
      <c r="I778" s="100"/>
      <c r="J778" s="100"/>
      <c r="K778" s="100"/>
      <c r="L778" s="101"/>
      <c r="M778" s="101"/>
      <c r="N778" s="112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</row>
    <row r="779" spans="1:29" ht="13">
      <c r="A779" s="115"/>
      <c r="B779" s="97"/>
      <c r="C779" s="115"/>
      <c r="D779" s="115"/>
      <c r="E779" s="115"/>
      <c r="F779" s="115"/>
      <c r="G779" s="99"/>
      <c r="H779" s="98"/>
      <c r="I779" s="100"/>
      <c r="J779" s="100"/>
      <c r="K779" s="100"/>
      <c r="L779" s="101"/>
      <c r="M779" s="101"/>
      <c r="N779" s="112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</row>
    <row r="780" spans="1:29" ht="13">
      <c r="A780" s="115"/>
      <c r="B780" s="97"/>
      <c r="C780" s="115"/>
      <c r="D780" s="115"/>
      <c r="E780" s="115"/>
      <c r="F780" s="115"/>
      <c r="G780" s="99"/>
      <c r="H780" s="98"/>
      <c r="I780" s="100"/>
      <c r="J780" s="100"/>
      <c r="K780" s="100"/>
      <c r="L780" s="101"/>
      <c r="M780" s="101"/>
      <c r="N780" s="112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</row>
    <row r="781" spans="1:29" ht="13">
      <c r="A781" s="115"/>
      <c r="B781" s="97"/>
      <c r="C781" s="115"/>
      <c r="D781" s="115"/>
      <c r="E781" s="115"/>
      <c r="F781" s="115"/>
      <c r="G781" s="99"/>
      <c r="H781" s="98"/>
      <c r="I781" s="100"/>
      <c r="J781" s="100"/>
      <c r="K781" s="100"/>
      <c r="L781" s="101"/>
      <c r="M781" s="101"/>
      <c r="N781" s="112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</row>
    <row r="782" spans="1:29" ht="13">
      <c r="A782" s="115"/>
      <c r="B782" s="97"/>
      <c r="C782" s="115"/>
      <c r="D782" s="115"/>
      <c r="E782" s="115"/>
      <c r="F782" s="115"/>
      <c r="G782" s="99"/>
      <c r="H782" s="98"/>
      <c r="I782" s="100"/>
      <c r="J782" s="100"/>
      <c r="K782" s="100"/>
      <c r="L782" s="101"/>
      <c r="M782" s="101"/>
      <c r="N782" s="112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</row>
    <row r="783" spans="1:29" ht="13">
      <c r="A783" s="115"/>
      <c r="B783" s="97"/>
      <c r="C783" s="115"/>
      <c r="D783" s="115"/>
      <c r="E783" s="115"/>
      <c r="F783" s="115"/>
      <c r="G783" s="99"/>
      <c r="H783" s="98"/>
      <c r="I783" s="100"/>
      <c r="J783" s="100"/>
      <c r="K783" s="100"/>
      <c r="L783" s="101"/>
      <c r="M783" s="101"/>
      <c r="N783" s="112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</row>
    <row r="784" spans="1:29" ht="13">
      <c r="A784" s="115"/>
      <c r="B784" s="97"/>
      <c r="C784" s="115"/>
      <c r="D784" s="115"/>
      <c r="E784" s="115"/>
      <c r="F784" s="115"/>
      <c r="G784" s="99"/>
      <c r="H784" s="98"/>
      <c r="I784" s="100"/>
      <c r="J784" s="100"/>
      <c r="K784" s="100"/>
      <c r="L784" s="101"/>
      <c r="M784" s="101"/>
      <c r="N784" s="112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</row>
    <row r="785" spans="1:29" ht="13">
      <c r="A785" s="115"/>
      <c r="B785" s="97"/>
      <c r="C785" s="115"/>
      <c r="D785" s="115"/>
      <c r="E785" s="115"/>
      <c r="F785" s="115"/>
      <c r="G785" s="99"/>
      <c r="H785" s="98"/>
      <c r="I785" s="100"/>
      <c r="J785" s="100"/>
      <c r="K785" s="100"/>
      <c r="L785" s="101"/>
      <c r="M785" s="101"/>
      <c r="N785" s="112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</row>
    <row r="786" spans="1:29" ht="13">
      <c r="A786" s="115"/>
      <c r="B786" s="97"/>
      <c r="C786" s="115"/>
      <c r="D786" s="115"/>
      <c r="E786" s="115"/>
      <c r="F786" s="115"/>
      <c r="G786" s="99"/>
      <c r="H786" s="98"/>
      <c r="I786" s="100"/>
      <c r="J786" s="100"/>
      <c r="K786" s="100"/>
      <c r="L786" s="101"/>
      <c r="M786" s="101"/>
      <c r="N786" s="112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</row>
    <row r="787" spans="1:29" ht="13">
      <c r="A787" s="115"/>
      <c r="B787" s="97"/>
      <c r="C787" s="115"/>
      <c r="D787" s="115"/>
      <c r="E787" s="115"/>
      <c r="F787" s="115"/>
      <c r="G787" s="99"/>
      <c r="H787" s="98"/>
      <c r="I787" s="100"/>
      <c r="J787" s="100"/>
      <c r="K787" s="100"/>
      <c r="L787" s="101"/>
      <c r="M787" s="101"/>
      <c r="N787" s="112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</row>
    <row r="788" spans="1:29" ht="13">
      <c r="A788" s="115"/>
      <c r="B788" s="97"/>
      <c r="C788" s="115"/>
      <c r="D788" s="115"/>
      <c r="E788" s="115"/>
      <c r="F788" s="115"/>
      <c r="G788" s="99"/>
      <c r="H788" s="98"/>
      <c r="I788" s="100"/>
      <c r="J788" s="100"/>
      <c r="K788" s="100"/>
      <c r="L788" s="101"/>
      <c r="M788" s="101"/>
      <c r="N788" s="112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</row>
    <row r="789" spans="1:29" ht="13">
      <c r="A789" s="115"/>
      <c r="B789" s="97"/>
      <c r="C789" s="115"/>
      <c r="D789" s="115"/>
      <c r="E789" s="115"/>
      <c r="F789" s="115"/>
      <c r="G789" s="99"/>
      <c r="H789" s="98"/>
      <c r="I789" s="100"/>
      <c r="J789" s="100"/>
      <c r="K789" s="100"/>
      <c r="L789" s="101"/>
      <c r="M789" s="101"/>
      <c r="N789" s="112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</row>
    <row r="790" spans="1:29" ht="13">
      <c r="A790" s="115"/>
      <c r="B790" s="97"/>
      <c r="C790" s="115"/>
      <c r="D790" s="115"/>
      <c r="E790" s="115"/>
      <c r="F790" s="115"/>
      <c r="G790" s="99"/>
      <c r="H790" s="98"/>
      <c r="I790" s="100"/>
      <c r="J790" s="100"/>
      <c r="K790" s="100"/>
      <c r="L790" s="101"/>
      <c r="M790" s="101"/>
      <c r="N790" s="112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</row>
    <row r="791" spans="1:29" ht="13">
      <c r="A791" s="115"/>
      <c r="B791" s="97"/>
      <c r="C791" s="115"/>
      <c r="D791" s="115"/>
      <c r="E791" s="115"/>
      <c r="F791" s="115"/>
      <c r="G791" s="99"/>
      <c r="H791" s="98"/>
      <c r="I791" s="100"/>
      <c r="J791" s="100"/>
      <c r="K791" s="100"/>
      <c r="L791" s="101"/>
      <c r="M791" s="101"/>
      <c r="N791" s="112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</row>
    <row r="792" spans="1:29" ht="13">
      <c r="A792" s="115"/>
      <c r="B792" s="97"/>
      <c r="C792" s="115"/>
      <c r="D792" s="115"/>
      <c r="E792" s="115"/>
      <c r="F792" s="115"/>
      <c r="G792" s="99"/>
      <c r="H792" s="98"/>
      <c r="I792" s="100"/>
      <c r="J792" s="100"/>
      <c r="K792" s="100"/>
      <c r="L792" s="101"/>
      <c r="M792" s="101"/>
      <c r="N792" s="112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</row>
    <row r="793" spans="1:29" ht="13">
      <c r="A793" s="115"/>
      <c r="B793" s="97"/>
      <c r="C793" s="115"/>
      <c r="D793" s="115"/>
      <c r="E793" s="115"/>
      <c r="F793" s="115"/>
      <c r="G793" s="99"/>
      <c r="H793" s="98"/>
      <c r="I793" s="100"/>
      <c r="J793" s="100"/>
      <c r="K793" s="100"/>
      <c r="L793" s="101"/>
      <c r="M793" s="101"/>
      <c r="N793" s="112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</row>
    <row r="794" spans="1:29" ht="13">
      <c r="A794" s="115"/>
      <c r="B794" s="97"/>
      <c r="C794" s="115"/>
      <c r="D794" s="115"/>
      <c r="E794" s="115"/>
      <c r="F794" s="115"/>
      <c r="G794" s="99"/>
      <c r="H794" s="98"/>
      <c r="I794" s="100"/>
      <c r="J794" s="100"/>
      <c r="K794" s="100"/>
      <c r="L794" s="101"/>
      <c r="M794" s="101"/>
      <c r="N794" s="112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</row>
    <row r="795" spans="1:29" ht="13">
      <c r="A795" s="115"/>
      <c r="B795" s="97"/>
      <c r="C795" s="115"/>
      <c r="D795" s="115"/>
      <c r="E795" s="115"/>
      <c r="F795" s="115"/>
      <c r="G795" s="99"/>
      <c r="H795" s="98"/>
      <c r="I795" s="100"/>
      <c r="J795" s="100"/>
      <c r="K795" s="100"/>
      <c r="L795" s="101"/>
      <c r="M795" s="101"/>
      <c r="N795" s="112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</row>
    <row r="796" spans="1:29" ht="13">
      <c r="A796" s="115"/>
      <c r="B796" s="97"/>
      <c r="C796" s="115"/>
      <c r="D796" s="115"/>
      <c r="E796" s="115"/>
      <c r="F796" s="115"/>
      <c r="G796" s="99"/>
      <c r="H796" s="98"/>
      <c r="I796" s="100"/>
      <c r="J796" s="100"/>
      <c r="K796" s="100"/>
      <c r="L796" s="101"/>
      <c r="M796" s="101"/>
      <c r="N796" s="112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</row>
    <row r="797" spans="1:29" ht="13">
      <c r="A797" s="115"/>
      <c r="B797" s="97"/>
      <c r="C797" s="115"/>
      <c r="D797" s="115"/>
      <c r="E797" s="115"/>
      <c r="F797" s="115"/>
      <c r="G797" s="99"/>
      <c r="H797" s="98"/>
      <c r="I797" s="100"/>
      <c r="J797" s="100"/>
      <c r="K797" s="100"/>
      <c r="L797" s="101"/>
      <c r="M797" s="101"/>
      <c r="N797" s="112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</row>
    <row r="798" spans="1:29" ht="13">
      <c r="A798" s="115"/>
      <c r="B798" s="97"/>
      <c r="C798" s="115"/>
      <c r="D798" s="115"/>
      <c r="E798" s="115"/>
      <c r="F798" s="115"/>
      <c r="G798" s="99"/>
      <c r="H798" s="98"/>
      <c r="I798" s="100"/>
      <c r="J798" s="100"/>
      <c r="K798" s="100"/>
      <c r="L798" s="101"/>
      <c r="M798" s="101"/>
      <c r="N798" s="112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</row>
    <row r="799" spans="1:29" ht="13">
      <c r="A799" s="115"/>
      <c r="B799" s="97"/>
      <c r="C799" s="115"/>
      <c r="D799" s="115"/>
      <c r="E799" s="115"/>
      <c r="F799" s="115"/>
      <c r="G799" s="99"/>
      <c r="H799" s="98"/>
      <c r="I799" s="100"/>
      <c r="J799" s="100"/>
      <c r="K799" s="100"/>
      <c r="L799" s="101"/>
      <c r="M799" s="101"/>
      <c r="N799" s="112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</row>
    <row r="800" spans="1:29" ht="13">
      <c r="A800" s="115"/>
      <c r="B800" s="97"/>
      <c r="C800" s="115"/>
      <c r="D800" s="115"/>
      <c r="E800" s="115"/>
      <c r="F800" s="115"/>
      <c r="G800" s="99"/>
      <c r="H800" s="98"/>
      <c r="I800" s="100"/>
      <c r="J800" s="100"/>
      <c r="K800" s="100"/>
      <c r="L800" s="101"/>
      <c r="M800" s="101"/>
      <c r="N800" s="112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</row>
    <row r="801" spans="1:29" ht="13">
      <c r="A801" s="115"/>
      <c r="B801" s="97"/>
      <c r="C801" s="115"/>
      <c r="D801" s="115"/>
      <c r="E801" s="115"/>
      <c r="F801" s="115"/>
      <c r="G801" s="99"/>
      <c r="H801" s="98"/>
      <c r="I801" s="100"/>
      <c r="J801" s="100"/>
      <c r="K801" s="100"/>
      <c r="L801" s="101"/>
      <c r="M801" s="101"/>
      <c r="N801" s="112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</row>
    <row r="802" spans="1:29" ht="13">
      <c r="A802" s="115"/>
      <c r="B802" s="97"/>
      <c r="C802" s="115"/>
      <c r="D802" s="115"/>
      <c r="E802" s="115"/>
      <c r="F802" s="115"/>
      <c r="G802" s="99"/>
      <c r="H802" s="98"/>
      <c r="I802" s="100"/>
      <c r="J802" s="100"/>
      <c r="K802" s="100"/>
      <c r="L802" s="101"/>
      <c r="M802" s="101"/>
      <c r="N802" s="112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</row>
    <row r="803" spans="1:29" ht="13">
      <c r="A803" s="115"/>
      <c r="B803" s="97"/>
      <c r="C803" s="115"/>
      <c r="D803" s="115"/>
      <c r="E803" s="115"/>
      <c r="F803" s="115"/>
      <c r="G803" s="99"/>
      <c r="H803" s="98"/>
      <c r="I803" s="100"/>
      <c r="J803" s="100"/>
      <c r="K803" s="100"/>
      <c r="L803" s="101"/>
      <c r="M803" s="101"/>
      <c r="N803" s="112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</row>
    <row r="804" spans="1:29" ht="13">
      <c r="A804" s="115"/>
      <c r="B804" s="97"/>
      <c r="C804" s="115"/>
      <c r="D804" s="115"/>
      <c r="E804" s="115"/>
      <c r="F804" s="115"/>
      <c r="G804" s="99"/>
      <c r="H804" s="98"/>
      <c r="I804" s="100"/>
      <c r="J804" s="100"/>
      <c r="K804" s="100"/>
      <c r="L804" s="101"/>
      <c r="M804" s="101"/>
      <c r="N804" s="112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</row>
    <row r="805" spans="1:29" ht="13">
      <c r="A805" s="115"/>
      <c r="B805" s="97"/>
      <c r="C805" s="115"/>
      <c r="D805" s="115"/>
      <c r="E805" s="115"/>
      <c r="F805" s="115"/>
      <c r="G805" s="99"/>
      <c r="H805" s="98"/>
      <c r="I805" s="100"/>
      <c r="J805" s="100"/>
      <c r="K805" s="100"/>
      <c r="L805" s="101"/>
      <c r="M805" s="101"/>
      <c r="N805" s="112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</row>
    <row r="806" spans="1:29" ht="13">
      <c r="A806" s="115"/>
      <c r="B806" s="97"/>
      <c r="C806" s="115"/>
      <c r="D806" s="115"/>
      <c r="E806" s="115"/>
      <c r="F806" s="115"/>
      <c r="G806" s="99"/>
      <c r="H806" s="98"/>
      <c r="I806" s="100"/>
      <c r="J806" s="100"/>
      <c r="K806" s="100"/>
      <c r="L806" s="101"/>
      <c r="M806" s="101"/>
      <c r="N806" s="112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</row>
    <row r="807" spans="1:29" ht="13">
      <c r="A807" s="115"/>
      <c r="B807" s="97"/>
      <c r="C807" s="115"/>
      <c r="D807" s="115"/>
      <c r="E807" s="115"/>
      <c r="F807" s="115"/>
      <c r="G807" s="99"/>
      <c r="H807" s="98"/>
      <c r="I807" s="100"/>
      <c r="J807" s="100"/>
      <c r="K807" s="100"/>
      <c r="L807" s="101"/>
      <c r="M807" s="101"/>
      <c r="N807" s="112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</row>
    <row r="808" spans="1:29" ht="13">
      <c r="A808" s="115"/>
      <c r="B808" s="97"/>
      <c r="C808" s="115"/>
      <c r="D808" s="115"/>
      <c r="E808" s="115"/>
      <c r="F808" s="115"/>
      <c r="G808" s="99"/>
      <c r="H808" s="98"/>
      <c r="I808" s="100"/>
      <c r="J808" s="100"/>
      <c r="K808" s="100"/>
      <c r="L808" s="101"/>
      <c r="M808" s="101"/>
      <c r="N808" s="112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</row>
    <row r="809" spans="1:29" ht="13">
      <c r="A809" s="115"/>
      <c r="B809" s="97"/>
      <c r="C809" s="115"/>
      <c r="D809" s="115"/>
      <c r="E809" s="115"/>
      <c r="F809" s="115"/>
      <c r="G809" s="99"/>
      <c r="H809" s="98"/>
      <c r="I809" s="100"/>
      <c r="J809" s="100"/>
      <c r="K809" s="100"/>
      <c r="L809" s="101"/>
      <c r="M809" s="101"/>
      <c r="N809" s="112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</row>
    <row r="810" spans="1:29" ht="13">
      <c r="A810" s="115"/>
      <c r="B810" s="97"/>
      <c r="C810" s="115"/>
      <c r="D810" s="115"/>
      <c r="E810" s="115"/>
      <c r="F810" s="115"/>
      <c r="G810" s="99"/>
      <c r="H810" s="98"/>
      <c r="I810" s="100"/>
      <c r="J810" s="100"/>
      <c r="K810" s="100"/>
      <c r="L810" s="101"/>
      <c r="M810" s="101"/>
      <c r="N810" s="112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</row>
    <row r="811" spans="1:29" ht="13">
      <c r="A811" s="115"/>
      <c r="B811" s="97"/>
      <c r="C811" s="115"/>
      <c r="D811" s="115"/>
      <c r="E811" s="115"/>
      <c r="F811" s="115"/>
      <c r="G811" s="99"/>
      <c r="H811" s="98"/>
      <c r="I811" s="100"/>
      <c r="J811" s="100"/>
      <c r="K811" s="100"/>
      <c r="L811" s="101"/>
      <c r="M811" s="101"/>
      <c r="N811" s="112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</row>
    <row r="812" spans="1:29" ht="13">
      <c r="A812" s="115"/>
      <c r="B812" s="97"/>
      <c r="C812" s="115"/>
      <c r="D812" s="115"/>
      <c r="E812" s="115"/>
      <c r="F812" s="115"/>
      <c r="G812" s="99"/>
      <c r="H812" s="98"/>
      <c r="I812" s="100"/>
      <c r="J812" s="100"/>
      <c r="K812" s="100"/>
      <c r="L812" s="101"/>
      <c r="M812" s="101"/>
      <c r="N812" s="112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</row>
    <row r="813" spans="1:29" ht="13">
      <c r="A813" s="115"/>
      <c r="B813" s="97"/>
      <c r="C813" s="115"/>
      <c r="D813" s="115"/>
      <c r="E813" s="115"/>
      <c r="F813" s="115"/>
      <c r="G813" s="99"/>
      <c r="H813" s="98"/>
      <c r="I813" s="100"/>
      <c r="J813" s="100"/>
      <c r="K813" s="100"/>
      <c r="L813" s="101"/>
      <c r="M813" s="101"/>
      <c r="N813" s="112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</row>
    <row r="814" spans="1:29" ht="13">
      <c r="A814" s="115"/>
      <c r="B814" s="97"/>
      <c r="C814" s="115"/>
      <c r="D814" s="115"/>
      <c r="E814" s="115"/>
      <c r="F814" s="115"/>
      <c r="G814" s="99"/>
      <c r="H814" s="98"/>
      <c r="I814" s="100"/>
      <c r="J814" s="100"/>
      <c r="K814" s="100"/>
      <c r="L814" s="101"/>
      <c r="M814" s="101"/>
      <c r="N814" s="112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</row>
    <row r="815" spans="1:29" ht="13">
      <c r="A815" s="115"/>
      <c r="B815" s="97"/>
      <c r="C815" s="115"/>
      <c r="D815" s="115"/>
      <c r="E815" s="115"/>
      <c r="F815" s="115"/>
      <c r="G815" s="99"/>
      <c r="H815" s="98"/>
      <c r="I815" s="100"/>
      <c r="J815" s="100"/>
      <c r="K815" s="100"/>
      <c r="L815" s="101"/>
      <c r="M815" s="101"/>
      <c r="N815" s="112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</row>
    <row r="816" spans="1:29" ht="13">
      <c r="A816" s="115"/>
      <c r="B816" s="97"/>
      <c r="C816" s="115"/>
      <c r="D816" s="115"/>
      <c r="E816" s="115"/>
      <c r="F816" s="115"/>
      <c r="G816" s="99"/>
      <c r="H816" s="98"/>
      <c r="I816" s="100"/>
      <c r="J816" s="100"/>
      <c r="K816" s="100"/>
      <c r="L816" s="101"/>
      <c r="M816" s="101"/>
      <c r="N816" s="112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</row>
    <row r="817" spans="1:29" ht="13">
      <c r="A817" s="115"/>
      <c r="B817" s="97"/>
      <c r="C817" s="115"/>
      <c r="D817" s="115"/>
      <c r="E817" s="115"/>
      <c r="F817" s="115"/>
      <c r="G817" s="99"/>
      <c r="H817" s="98"/>
      <c r="I817" s="100"/>
      <c r="J817" s="100"/>
      <c r="K817" s="100"/>
      <c r="L817" s="101"/>
      <c r="M817" s="101"/>
      <c r="N817" s="112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</row>
    <row r="818" spans="1:29" ht="13">
      <c r="A818" s="115"/>
      <c r="B818" s="97"/>
      <c r="C818" s="115"/>
      <c r="D818" s="115"/>
      <c r="E818" s="115"/>
      <c r="F818" s="115"/>
      <c r="G818" s="99"/>
      <c r="H818" s="98"/>
      <c r="I818" s="100"/>
      <c r="J818" s="100"/>
      <c r="K818" s="100"/>
      <c r="L818" s="101"/>
      <c r="M818" s="101"/>
      <c r="N818" s="112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</row>
    <row r="819" spans="1:29" ht="13">
      <c r="A819" s="115"/>
      <c r="B819" s="97"/>
      <c r="C819" s="115"/>
      <c r="D819" s="115"/>
      <c r="E819" s="115"/>
      <c r="F819" s="115"/>
      <c r="G819" s="99"/>
      <c r="H819" s="98"/>
      <c r="I819" s="100"/>
      <c r="J819" s="100"/>
      <c r="K819" s="100"/>
      <c r="L819" s="101"/>
      <c r="M819" s="101"/>
      <c r="N819" s="112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</row>
    <row r="820" spans="1:29" ht="13">
      <c r="A820" s="115"/>
      <c r="B820" s="97"/>
      <c r="C820" s="115"/>
      <c r="D820" s="115"/>
      <c r="E820" s="115"/>
      <c r="F820" s="115"/>
      <c r="G820" s="99"/>
      <c r="H820" s="98"/>
      <c r="I820" s="100"/>
      <c r="J820" s="100"/>
      <c r="K820" s="100"/>
      <c r="L820" s="101"/>
      <c r="M820" s="101"/>
      <c r="N820" s="112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</row>
    <row r="821" spans="1:29" ht="13">
      <c r="A821" s="115"/>
      <c r="B821" s="97"/>
      <c r="C821" s="115"/>
      <c r="D821" s="115"/>
      <c r="E821" s="115"/>
      <c r="F821" s="115"/>
      <c r="G821" s="99"/>
      <c r="H821" s="98"/>
      <c r="I821" s="100"/>
      <c r="J821" s="100"/>
      <c r="K821" s="100"/>
      <c r="L821" s="101"/>
      <c r="M821" s="101"/>
      <c r="N821" s="112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</row>
    <row r="822" spans="1:29" ht="13">
      <c r="A822" s="115"/>
      <c r="B822" s="97"/>
      <c r="C822" s="115"/>
      <c r="D822" s="115"/>
      <c r="E822" s="115"/>
      <c r="F822" s="115"/>
      <c r="G822" s="99"/>
      <c r="H822" s="98"/>
      <c r="I822" s="100"/>
      <c r="J822" s="100"/>
      <c r="K822" s="100"/>
      <c r="L822" s="101"/>
      <c r="M822" s="101"/>
      <c r="N822" s="112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</row>
    <row r="823" spans="1:29" ht="13">
      <c r="A823" s="115"/>
      <c r="B823" s="97"/>
      <c r="C823" s="115"/>
      <c r="D823" s="115"/>
      <c r="E823" s="115"/>
      <c r="F823" s="115"/>
      <c r="G823" s="99"/>
      <c r="H823" s="98"/>
      <c r="I823" s="100"/>
      <c r="J823" s="100"/>
      <c r="K823" s="100"/>
      <c r="L823" s="101"/>
      <c r="M823" s="101"/>
      <c r="N823" s="112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</row>
    <row r="824" spans="1:29" ht="13">
      <c r="A824" s="115"/>
      <c r="B824" s="97"/>
      <c r="C824" s="115"/>
      <c r="D824" s="115"/>
      <c r="E824" s="115"/>
      <c r="F824" s="115"/>
      <c r="G824" s="99"/>
      <c r="H824" s="98"/>
      <c r="I824" s="100"/>
      <c r="J824" s="100"/>
      <c r="K824" s="100"/>
      <c r="L824" s="101"/>
      <c r="M824" s="101"/>
      <c r="N824" s="112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</row>
    <row r="825" spans="1:29" ht="13">
      <c r="A825" s="115"/>
      <c r="B825" s="97"/>
      <c r="C825" s="115"/>
      <c r="D825" s="115"/>
      <c r="E825" s="115"/>
      <c r="F825" s="115"/>
      <c r="G825" s="99"/>
      <c r="H825" s="98"/>
      <c r="I825" s="100"/>
      <c r="J825" s="100"/>
      <c r="K825" s="100"/>
      <c r="L825" s="101"/>
      <c r="M825" s="101"/>
      <c r="N825" s="112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</row>
    <row r="826" spans="1:29" ht="13">
      <c r="A826" s="115"/>
      <c r="B826" s="97"/>
      <c r="C826" s="115"/>
      <c r="D826" s="115"/>
      <c r="E826" s="115"/>
      <c r="F826" s="115"/>
      <c r="G826" s="99"/>
      <c r="H826" s="98"/>
      <c r="I826" s="100"/>
      <c r="J826" s="100"/>
      <c r="K826" s="100"/>
      <c r="L826" s="101"/>
      <c r="M826" s="101"/>
      <c r="N826" s="112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</row>
    <row r="827" spans="1:29" ht="13">
      <c r="A827" s="115"/>
      <c r="B827" s="97"/>
      <c r="C827" s="115"/>
      <c r="D827" s="115"/>
      <c r="E827" s="115"/>
      <c r="F827" s="115"/>
      <c r="G827" s="99"/>
      <c r="H827" s="98"/>
      <c r="I827" s="100"/>
      <c r="J827" s="100"/>
      <c r="K827" s="100"/>
      <c r="L827" s="101"/>
      <c r="M827" s="101"/>
      <c r="N827" s="112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</row>
    <row r="828" spans="1:29" ht="13">
      <c r="A828" s="115"/>
      <c r="B828" s="97"/>
      <c r="C828" s="115"/>
      <c r="D828" s="115"/>
      <c r="E828" s="115"/>
      <c r="F828" s="115"/>
      <c r="G828" s="99"/>
      <c r="H828" s="98"/>
      <c r="I828" s="100"/>
      <c r="J828" s="100"/>
      <c r="K828" s="100"/>
      <c r="L828" s="101"/>
      <c r="M828" s="101"/>
      <c r="N828" s="112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</row>
    <row r="829" spans="1:29" ht="13">
      <c r="A829" s="115"/>
      <c r="B829" s="97"/>
      <c r="C829" s="115"/>
      <c r="D829" s="115"/>
      <c r="E829" s="115"/>
      <c r="F829" s="115"/>
      <c r="G829" s="99"/>
      <c r="H829" s="98"/>
      <c r="I829" s="100"/>
      <c r="J829" s="100"/>
      <c r="K829" s="100"/>
      <c r="L829" s="101"/>
      <c r="M829" s="101"/>
      <c r="N829" s="112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</row>
    <row r="830" spans="1:29" ht="13">
      <c r="A830" s="115"/>
      <c r="B830" s="97"/>
      <c r="C830" s="115"/>
      <c r="D830" s="115"/>
      <c r="E830" s="115"/>
      <c r="F830" s="115"/>
      <c r="G830" s="99"/>
      <c r="H830" s="98"/>
      <c r="I830" s="100"/>
      <c r="J830" s="100"/>
      <c r="K830" s="100"/>
      <c r="L830" s="101"/>
      <c r="M830" s="101"/>
      <c r="N830" s="112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</row>
    <row r="831" spans="1:29" ht="13">
      <c r="A831" s="115"/>
      <c r="B831" s="97"/>
      <c r="C831" s="115"/>
      <c r="D831" s="115"/>
      <c r="E831" s="115"/>
      <c r="F831" s="115"/>
      <c r="G831" s="99"/>
      <c r="H831" s="98"/>
      <c r="I831" s="100"/>
      <c r="J831" s="100"/>
      <c r="K831" s="100"/>
      <c r="L831" s="101"/>
      <c r="M831" s="101"/>
      <c r="N831" s="112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</row>
    <row r="832" spans="1:29" ht="13">
      <c r="A832" s="115"/>
      <c r="B832" s="97"/>
      <c r="C832" s="115"/>
      <c r="D832" s="115"/>
      <c r="E832" s="115"/>
      <c r="F832" s="115"/>
      <c r="G832" s="99"/>
      <c r="H832" s="98"/>
      <c r="I832" s="100"/>
      <c r="J832" s="100"/>
      <c r="K832" s="100"/>
      <c r="L832" s="101"/>
      <c r="M832" s="101"/>
      <c r="N832" s="112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</row>
    <row r="833" spans="1:29" ht="13">
      <c r="A833" s="115"/>
      <c r="B833" s="97"/>
      <c r="C833" s="115"/>
      <c r="D833" s="115"/>
      <c r="E833" s="115"/>
      <c r="F833" s="115"/>
      <c r="G833" s="99"/>
      <c r="H833" s="98"/>
      <c r="I833" s="100"/>
      <c r="J833" s="100"/>
      <c r="K833" s="100"/>
      <c r="L833" s="101"/>
      <c r="M833" s="101"/>
      <c r="N833" s="112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</row>
    <row r="834" spans="1:29" ht="13">
      <c r="A834" s="115"/>
      <c r="B834" s="97"/>
      <c r="C834" s="115"/>
      <c r="D834" s="115"/>
      <c r="E834" s="115"/>
      <c r="F834" s="115"/>
      <c r="G834" s="99"/>
      <c r="H834" s="98"/>
      <c r="I834" s="100"/>
      <c r="J834" s="100"/>
      <c r="K834" s="100"/>
      <c r="L834" s="101"/>
      <c r="M834" s="101"/>
      <c r="N834" s="112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</row>
    <row r="835" spans="1:29" ht="13">
      <c r="A835" s="115"/>
      <c r="B835" s="97"/>
      <c r="C835" s="115"/>
      <c r="D835" s="115"/>
      <c r="E835" s="115"/>
      <c r="F835" s="115"/>
      <c r="G835" s="99"/>
      <c r="H835" s="98"/>
      <c r="I835" s="100"/>
      <c r="J835" s="100"/>
      <c r="K835" s="100"/>
      <c r="L835" s="101"/>
      <c r="M835" s="101"/>
      <c r="N835" s="112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</row>
    <row r="836" spans="1:29" ht="13">
      <c r="A836" s="115"/>
      <c r="B836" s="97"/>
      <c r="C836" s="115"/>
      <c r="D836" s="115"/>
      <c r="E836" s="115"/>
      <c r="F836" s="115"/>
      <c r="G836" s="99"/>
      <c r="H836" s="98"/>
      <c r="I836" s="100"/>
      <c r="J836" s="100"/>
      <c r="K836" s="100"/>
      <c r="L836" s="101"/>
      <c r="M836" s="101"/>
      <c r="N836" s="112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</row>
    <row r="837" spans="1:29" ht="13">
      <c r="A837" s="115"/>
      <c r="B837" s="97"/>
      <c r="C837" s="115"/>
      <c r="D837" s="115"/>
      <c r="E837" s="115"/>
      <c r="F837" s="115"/>
      <c r="G837" s="99"/>
      <c r="H837" s="98"/>
      <c r="I837" s="100"/>
      <c r="J837" s="100"/>
      <c r="K837" s="100"/>
      <c r="L837" s="101"/>
      <c r="M837" s="101"/>
      <c r="N837" s="112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</row>
    <row r="838" spans="1:29" ht="13">
      <c r="A838" s="115"/>
      <c r="B838" s="97"/>
      <c r="C838" s="115"/>
      <c r="D838" s="115"/>
      <c r="E838" s="115"/>
      <c r="F838" s="115"/>
      <c r="G838" s="99"/>
      <c r="H838" s="98"/>
      <c r="I838" s="100"/>
      <c r="J838" s="100"/>
      <c r="K838" s="100"/>
      <c r="L838" s="101"/>
      <c r="M838" s="101"/>
      <c r="N838" s="112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</row>
    <row r="839" spans="1:29" ht="13">
      <c r="A839" s="115"/>
      <c r="B839" s="97"/>
      <c r="C839" s="115"/>
      <c r="D839" s="115"/>
      <c r="E839" s="115"/>
      <c r="F839" s="115"/>
      <c r="G839" s="99"/>
      <c r="H839" s="98"/>
      <c r="I839" s="100"/>
      <c r="J839" s="100"/>
      <c r="K839" s="100"/>
      <c r="L839" s="101"/>
      <c r="M839" s="101"/>
      <c r="N839" s="112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</row>
    <row r="840" spans="1:29" ht="13">
      <c r="A840" s="115"/>
      <c r="B840" s="97"/>
      <c r="C840" s="115"/>
      <c r="D840" s="115"/>
      <c r="E840" s="115"/>
      <c r="F840" s="115"/>
      <c r="G840" s="99"/>
      <c r="H840" s="98"/>
      <c r="I840" s="100"/>
      <c r="J840" s="100"/>
      <c r="K840" s="100"/>
      <c r="L840" s="101"/>
      <c r="M840" s="101"/>
      <c r="N840" s="112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</row>
    <row r="841" spans="1:29" ht="13">
      <c r="A841" s="115"/>
      <c r="B841" s="97"/>
      <c r="C841" s="115"/>
      <c r="D841" s="115"/>
      <c r="E841" s="115"/>
      <c r="F841" s="115"/>
      <c r="G841" s="99"/>
      <c r="H841" s="98"/>
      <c r="I841" s="100"/>
      <c r="J841" s="100"/>
      <c r="K841" s="100"/>
      <c r="L841" s="101"/>
      <c r="M841" s="101"/>
      <c r="N841" s="112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</row>
    <row r="842" spans="1:29" ht="13">
      <c r="A842" s="115"/>
      <c r="B842" s="97"/>
      <c r="C842" s="115"/>
      <c r="D842" s="115"/>
      <c r="E842" s="115"/>
      <c r="F842" s="115"/>
      <c r="G842" s="99"/>
      <c r="H842" s="98"/>
      <c r="I842" s="100"/>
      <c r="J842" s="100"/>
      <c r="K842" s="100"/>
      <c r="L842" s="101"/>
      <c r="M842" s="101"/>
      <c r="N842" s="112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</row>
    <row r="843" spans="1:29" ht="13">
      <c r="A843" s="115"/>
      <c r="B843" s="97"/>
      <c r="C843" s="115"/>
      <c r="D843" s="115"/>
      <c r="E843" s="115"/>
      <c r="F843" s="115"/>
      <c r="G843" s="99"/>
      <c r="H843" s="98"/>
      <c r="I843" s="100"/>
      <c r="J843" s="100"/>
      <c r="K843" s="100"/>
      <c r="L843" s="101"/>
      <c r="M843" s="101"/>
      <c r="N843" s="112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</row>
    <row r="844" spans="1:29" ht="13">
      <c r="A844" s="115"/>
      <c r="B844" s="97"/>
      <c r="C844" s="115"/>
      <c r="D844" s="115"/>
      <c r="E844" s="115"/>
      <c r="F844" s="115"/>
      <c r="G844" s="99"/>
      <c r="H844" s="98"/>
      <c r="I844" s="100"/>
      <c r="J844" s="100"/>
      <c r="K844" s="100"/>
      <c r="L844" s="101"/>
      <c r="M844" s="101"/>
      <c r="N844" s="112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</row>
    <row r="845" spans="1:29" ht="13">
      <c r="A845" s="115"/>
      <c r="B845" s="97"/>
      <c r="C845" s="115"/>
      <c r="D845" s="115"/>
      <c r="E845" s="115"/>
      <c r="F845" s="115"/>
      <c r="G845" s="99"/>
      <c r="H845" s="98"/>
      <c r="I845" s="100"/>
      <c r="J845" s="100"/>
      <c r="K845" s="100"/>
      <c r="L845" s="101"/>
      <c r="M845" s="101"/>
      <c r="N845" s="112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</row>
    <row r="846" spans="1:29" ht="13">
      <c r="A846" s="115"/>
      <c r="B846" s="97"/>
      <c r="C846" s="115"/>
      <c r="D846" s="115"/>
      <c r="E846" s="115"/>
      <c r="F846" s="115"/>
      <c r="G846" s="99"/>
      <c r="H846" s="98"/>
      <c r="I846" s="100"/>
      <c r="J846" s="100"/>
      <c r="K846" s="100"/>
      <c r="L846" s="101"/>
      <c r="M846" s="101"/>
      <c r="N846" s="112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</row>
    <row r="847" spans="1:29" ht="13">
      <c r="A847" s="115"/>
      <c r="B847" s="97"/>
      <c r="C847" s="115"/>
      <c r="D847" s="115"/>
      <c r="E847" s="115"/>
      <c r="F847" s="115"/>
      <c r="G847" s="99"/>
      <c r="H847" s="98"/>
      <c r="I847" s="100"/>
      <c r="J847" s="100"/>
      <c r="K847" s="100"/>
      <c r="L847" s="101"/>
      <c r="M847" s="101"/>
      <c r="N847" s="112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</row>
    <row r="848" spans="1:29" ht="13">
      <c r="A848" s="115"/>
      <c r="B848" s="97"/>
      <c r="C848" s="115"/>
      <c r="D848" s="115"/>
      <c r="E848" s="115"/>
      <c r="F848" s="115"/>
      <c r="G848" s="99"/>
      <c r="H848" s="98"/>
      <c r="I848" s="100"/>
      <c r="J848" s="100"/>
      <c r="K848" s="100"/>
      <c r="L848" s="101"/>
      <c r="M848" s="101"/>
      <c r="N848" s="112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</row>
    <row r="849" spans="1:29" ht="13">
      <c r="A849" s="115"/>
      <c r="B849" s="97"/>
      <c r="C849" s="115"/>
      <c r="D849" s="115"/>
      <c r="E849" s="115"/>
      <c r="F849" s="115"/>
      <c r="G849" s="99"/>
      <c r="H849" s="98"/>
      <c r="I849" s="100"/>
      <c r="J849" s="100"/>
      <c r="K849" s="100"/>
      <c r="L849" s="101"/>
      <c r="M849" s="101"/>
      <c r="N849" s="112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</row>
    <row r="850" spans="1:29" ht="13">
      <c r="A850" s="115"/>
      <c r="B850" s="97"/>
      <c r="C850" s="115"/>
      <c r="D850" s="115"/>
      <c r="E850" s="115"/>
      <c r="F850" s="115"/>
      <c r="G850" s="99"/>
      <c r="H850" s="98"/>
      <c r="I850" s="100"/>
      <c r="J850" s="100"/>
      <c r="K850" s="100"/>
      <c r="L850" s="101"/>
      <c r="M850" s="101"/>
      <c r="N850" s="112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</row>
    <row r="851" spans="1:29" ht="13">
      <c r="A851" s="115"/>
      <c r="B851" s="97"/>
      <c r="C851" s="115"/>
      <c r="D851" s="115"/>
      <c r="E851" s="115"/>
      <c r="F851" s="115"/>
      <c r="G851" s="99"/>
      <c r="H851" s="98"/>
      <c r="I851" s="100"/>
      <c r="J851" s="100"/>
      <c r="K851" s="100"/>
      <c r="L851" s="101"/>
      <c r="M851" s="101"/>
      <c r="N851" s="112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</row>
    <row r="852" spans="1:29" ht="13">
      <c r="A852" s="115"/>
      <c r="B852" s="97"/>
      <c r="C852" s="115"/>
      <c r="D852" s="115"/>
      <c r="E852" s="115"/>
      <c r="F852" s="115"/>
      <c r="G852" s="99"/>
      <c r="H852" s="98"/>
      <c r="I852" s="100"/>
      <c r="J852" s="100"/>
      <c r="K852" s="100"/>
      <c r="L852" s="101"/>
      <c r="M852" s="101"/>
      <c r="N852" s="112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</row>
    <row r="853" spans="1:29" ht="13">
      <c r="A853" s="115"/>
      <c r="B853" s="97"/>
      <c r="C853" s="115"/>
      <c r="D853" s="115"/>
      <c r="E853" s="115"/>
      <c r="F853" s="115"/>
      <c r="G853" s="99"/>
      <c r="H853" s="98"/>
      <c r="I853" s="100"/>
      <c r="J853" s="100"/>
      <c r="K853" s="100"/>
      <c r="L853" s="101"/>
      <c r="M853" s="101"/>
      <c r="N853" s="112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</row>
    <row r="854" spans="1:29" ht="13">
      <c r="A854" s="115"/>
      <c r="B854" s="97"/>
      <c r="C854" s="115"/>
      <c r="D854" s="115"/>
      <c r="E854" s="115"/>
      <c r="F854" s="115"/>
      <c r="G854" s="99"/>
      <c r="H854" s="98"/>
      <c r="I854" s="100"/>
      <c r="J854" s="100"/>
      <c r="K854" s="100"/>
      <c r="L854" s="101"/>
      <c r="M854" s="101"/>
      <c r="N854" s="112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</row>
    <row r="855" spans="1:29" ht="13">
      <c r="A855" s="115"/>
      <c r="B855" s="97"/>
      <c r="C855" s="115"/>
      <c r="D855" s="115"/>
      <c r="E855" s="115"/>
      <c r="F855" s="115"/>
      <c r="G855" s="99"/>
      <c r="H855" s="98"/>
      <c r="I855" s="100"/>
      <c r="J855" s="100"/>
      <c r="K855" s="100"/>
      <c r="L855" s="101"/>
      <c r="M855" s="101"/>
      <c r="N855" s="112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</row>
    <row r="856" spans="1:29" ht="13">
      <c r="A856" s="115"/>
      <c r="B856" s="97"/>
      <c r="C856" s="115"/>
      <c r="D856" s="115"/>
      <c r="E856" s="115"/>
      <c r="F856" s="115"/>
      <c r="G856" s="99"/>
      <c r="H856" s="98"/>
      <c r="I856" s="100"/>
      <c r="J856" s="100"/>
      <c r="K856" s="100"/>
      <c r="L856" s="101"/>
      <c r="M856" s="101"/>
      <c r="N856" s="112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</row>
    <row r="857" spans="1:29" ht="13">
      <c r="A857" s="115"/>
      <c r="B857" s="97"/>
      <c r="C857" s="115"/>
      <c r="D857" s="115"/>
      <c r="E857" s="115"/>
      <c r="F857" s="115"/>
      <c r="G857" s="99"/>
      <c r="H857" s="98"/>
      <c r="I857" s="100"/>
      <c r="J857" s="100"/>
      <c r="K857" s="100"/>
      <c r="L857" s="101"/>
      <c r="M857" s="101"/>
      <c r="N857" s="112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</row>
    <row r="858" spans="1:29" ht="13">
      <c r="A858" s="115"/>
      <c r="B858" s="97"/>
      <c r="C858" s="115"/>
      <c r="D858" s="115"/>
      <c r="E858" s="115"/>
      <c r="F858" s="115"/>
      <c r="G858" s="99"/>
      <c r="H858" s="98"/>
      <c r="I858" s="100"/>
      <c r="J858" s="100"/>
      <c r="K858" s="100"/>
      <c r="L858" s="101"/>
      <c r="M858" s="101"/>
      <c r="N858" s="112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</row>
    <row r="859" spans="1:29" ht="13">
      <c r="A859" s="115"/>
      <c r="B859" s="97"/>
      <c r="C859" s="115"/>
      <c r="D859" s="115"/>
      <c r="E859" s="115"/>
      <c r="F859" s="115"/>
      <c r="G859" s="99"/>
      <c r="H859" s="98"/>
      <c r="I859" s="100"/>
      <c r="J859" s="100"/>
      <c r="K859" s="100"/>
      <c r="L859" s="101"/>
      <c r="M859" s="101"/>
      <c r="N859" s="112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</row>
    <row r="860" spans="1:29" ht="13">
      <c r="A860" s="115"/>
      <c r="B860" s="97"/>
      <c r="C860" s="115"/>
      <c r="D860" s="115"/>
      <c r="E860" s="115"/>
      <c r="F860" s="115"/>
      <c r="G860" s="99"/>
      <c r="H860" s="98"/>
      <c r="I860" s="100"/>
      <c r="J860" s="100"/>
      <c r="K860" s="100"/>
      <c r="L860" s="101"/>
      <c r="M860" s="101"/>
      <c r="N860" s="112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</row>
    <row r="861" spans="1:29" ht="13">
      <c r="A861" s="115"/>
      <c r="B861" s="97"/>
      <c r="C861" s="115"/>
      <c r="D861" s="115"/>
      <c r="E861" s="115"/>
      <c r="F861" s="115"/>
      <c r="G861" s="99"/>
      <c r="H861" s="98"/>
      <c r="I861" s="100"/>
      <c r="J861" s="100"/>
      <c r="K861" s="100"/>
      <c r="L861" s="101"/>
      <c r="M861" s="101"/>
      <c r="N861" s="112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</row>
    <row r="862" spans="1:29" ht="13">
      <c r="A862" s="115"/>
      <c r="B862" s="97"/>
      <c r="C862" s="115"/>
      <c r="D862" s="115"/>
      <c r="E862" s="115"/>
      <c r="F862" s="115"/>
      <c r="G862" s="99"/>
      <c r="H862" s="98"/>
      <c r="I862" s="100"/>
      <c r="J862" s="100"/>
      <c r="K862" s="100"/>
      <c r="L862" s="101"/>
      <c r="M862" s="101"/>
      <c r="N862" s="112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</row>
    <row r="863" spans="1:29" ht="13">
      <c r="A863" s="115"/>
      <c r="B863" s="97"/>
      <c r="C863" s="115"/>
      <c r="D863" s="115"/>
      <c r="E863" s="115"/>
      <c r="F863" s="115"/>
      <c r="G863" s="99"/>
      <c r="H863" s="98"/>
      <c r="I863" s="100"/>
      <c r="J863" s="100"/>
      <c r="K863" s="100"/>
      <c r="L863" s="101"/>
      <c r="M863" s="101"/>
      <c r="N863" s="112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</row>
    <row r="864" spans="1:29" ht="13">
      <c r="A864" s="115"/>
      <c r="B864" s="97"/>
      <c r="C864" s="115"/>
      <c r="D864" s="115"/>
      <c r="E864" s="115"/>
      <c r="F864" s="115"/>
      <c r="G864" s="99"/>
      <c r="H864" s="98"/>
      <c r="I864" s="100"/>
      <c r="J864" s="100"/>
      <c r="K864" s="100"/>
      <c r="L864" s="101"/>
      <c r="M864" s="101"/>
      <c r="N864" s="112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</row>
    <row r="865" spans="1:29" ht="13">
      <c r="A865" s="115"/>
      <c r="B865" s="97"/>
      <c r="C865" s="115"/>
      <c r="D865" s="115"/>
      <c r="E865" s="115"/>
      <c r="F865" s="115"/>
      <c r="G865" s="99"/>
      <c r="H865" s="98"/>
      <c r="I865" s="100"/>
      <c r="J865" s="100"/>
      <c r="K865" s="100"/>
      <c r="L865" s="101"/>
      <c r="M865" s="101"/>
      <c r="N865" s="112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</row>
    <row r="866" spans="1:29" ht="13">
      <c r="A866" s="115"/>
      <c r="B866" s="97"/>
      <c r="C866" s="115"/>
      <c r="D866" s="115"/>
      <c r="E866" s="115"/>
      <c r="F866" s="115"/>
      <c r="G866" s="99"/>
      <c r="H866" s="98"/>
      <c r="I866" s="100"/>
      <c r="J866" s="100"/>
      <c r="K866" s="100"/>
      <c r="L866" s="101"/>
      <c r="M866" s="101"/>
      <c r="N866" s="112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</row>
    <row r="867" spans="1:29" ht="13">
      <c r="A867" s="115"/>
      <c r="B867" s="97"/>
      <c r="C867" s="115"/>
      <c r="D867" s="115"/>
      <c r="E867" s="115"/>
      <c r="F867" s="115"/>
      <c r="G867" s="99"/>
      <c r="H867" s="98"/>
      <c r="I867" s="100"/>
      <c r="J867" s="100"/>
      <c r="K867" s="100"/>
      <c r="L867" s="101"/>
      <c r="M867" s="101"/>
      <c r="N867" s="112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</row>
    <row r="868" spans="1:29" ht="13">
      <c r="A868" s="115"/>
      <c r="B868" s="97"/>
      <c r="C868" s="115"/>
      <c r="D868" s="115"/>
      <c r="E868" s="115"/>
      <c r="F868" s="115"/>
      <c r="G868" s="99"/>
      <c r="H868" s="98"/>
      <c r="I868" s="100"/>
      <c r="J868" s="100"/>
      <c r="K868" s="100"/>
      <c r="L868" s="101"/>
      <c r="M868" s="101"/>
      <c r="N868" s="112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</row>
    <row r="869" spans="1:29" ht="13">
      <c r="A869" s="115"/>
      <c r="B869" s="97"/>
      <c r="C869" s="115"/>
      <c r="D869" s="115"/>
      <c r="E869" s="115"/>
      <c r="F869" s="115"/>
      <c r="G869" s="99"/>
      <c r="H869" s="98"/>
      <c r="I869" s="100"/>
      <c r="J869" s="100"/>
      <c r="K869" s="100"/>
      <c r="L869" s="101"/>
      <c r="M869" s="101"/>
      <c r="N869" s="112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</row>
    <row r="870" spans="1:29" ht="13">
      <c r="A870" s="115"/>
      <c r="B870" s="97"/>
      <c r="C870" s="115"/>
      <c r="D870" s="115"/>
      <c r="E870" s="115"/>
      <c r="F870" s="115"/>
      <c r="G870" s="99"/>
      <c r="H870" s="98"/>
      <c r="I870" s="100"/>
      <c r="J870" s="100"/>
      <c r="K870" s="100"/>
      <c r="L870" s="101"/>
      <c r="M870" s="101"/>
      <c r="N870" s="112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</row>
    <row r="871" spans="1:29" ht="13">
      <c r="A871" s="115"/>
      <c r="B871" s="97"/>
      <c r="C871" s="115"/>
      <c r="D871" s="115"/>
      <c r="E871" s="115"/>
      <c r="F871" s="115"/>
      <c r="G871" s="99"/>
      <c r="H871" s="98"/>
      <c r="I871" s="100"/>
      <c r="J871" s="100"/>
      <c r="K871" s="100"/>
      <c r="L871" s="101"/>
      <c r="M871" s="101"/>
      <c r="N871" s="112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</row>
    <row r="872" spans="1:29" ht="13">
      <c r="A872" s="115"/>
      <c r="B872" s="97"/>
      <c r="C872" s="115"/>
      <c r="D872" s="115"/>
      <c r="E872" s="115"/>
      <c r="F872" s="115"/>
      <c r="G872" s="99"/>
      <c r="H872" s="98"/>
      <c r="I872" s="100"/>
      <c r="J872" s="100"/>
      <c r="K872" s="100"/>
      <c r="L872" s="101"/>
      <c r="M872" s="101"/>
      <c r="N872" s="112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</row>
    <row r="873" spans="1:29" ht="13">
      <c r="A873" s="115"/>
      <c r="B873" s="97"/>
      <c r="C873" s="115"/>
      <c r="D873" s="115"/>
      <c r="E873" s="115"/>
      <c r="F873" s="115"/>
      <c r="G873" s="99"/>
      <c r="H873" s="98"/>
      <c r="I873" s="100"/>
      <c r="J873" s="100"/>
      <c r="K873" s="100"/>
      <c r="L873" s="101"/>
      <c r="M873" s="101"/>
      <c r="N873" s="112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</row>
    <row r="874" spans="1:29" ht="13">
      <c r="A874" s="115"/>
      <c r="B874" s="97"/>
      <c r="C874" s="115"/>
      <c r="D874" s="115"/>
      <c r="E874" s="115"/>
      <c r="F874" s="115"/>
      <c r="G874" s="99"/>
      <c r="H874" s="98"/>
      <c r="I874" s="100"/>
      <c r="J874" s="100"/>
      <c r="K874" s="100"/>
      <c r="L874" s="101"/>
      <c r="M874" s="101"/>
      <c r="N874" s="112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</row>
    <row r="875" spans="1:29" ht="13">
      <c r="A875" s="115"/>
      <c r="B875" s="97"/>
      <c r="C875" s="115"/>
      <c r="D875" s="115"/>
      <c r="E875" s="115"/>
      <c r="F875" s="115"/>
      <c r="G875" s="99"/>
      <c r="H875" s="98"/>
      <c r="I875" s="100"/>
      <c r="J875" s="100"/>
      <c r="K875" s="100"/>
      <c r="L875" s="101"/>
      <c r="M875" s="101"/>
      <c r="N875" s="112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</row>
    <row r="876" spans="1:29" ht="13">
      <c r="A876" s="115"/>
      <c r="B876" s="97"/>
      <c r="C876" s="115"/>
      <c r="D876" s="115"/>
      <c r="E876" s="115"/>
      <c r="F876" s="115"/>
      <c r="G876" s="99"/>
      <c r="H876" s="98"/>
      <c r="I876" s="100"/>
      <c r="J876" s="100"/>
      <c r="K876" s="100"/>
      <c r="L876" s="101"/>
      <c r="M876" s="101"/>
      <c r="N876" s="112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</row>
    <row r="877" spans="1:29" ht="13">
      <c r="A877" s="115"/>
      <c r="B877" s="97"/>
      <c r="C877" s="115"/>
      <c r="D877" s="115"/>
      <c r="E877" s="115"/>
      <c r="F877" s="115"/>
      <c r="G877" s="99"/>
      <c r="H877" s="98"/>
      <c r="I877" s="100"/>
      <c r="J877" s="100"/>
      <c r="K877" s="100"/>
      <c r="L877" s="101"/>
      <c r="M877" s="101"/>
      <c r="N877" s="112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</row>
    <row r="878" spans="1:29" ht="13">
      <c r="A878" s="115"/>
      <c r="B878" s="97"/>
      <c r="C878" s="115"/>
      <c r="D878" s="115"/>
      <c r="E878" s="115"/>
      <c r="F878" s="115"/>
      <c r="G878" s="99"/>
      <c r="H878" s="98"/>
      <c r="I878" s="100"/>
      <c r="J878" s="100"/>
      <c r="K878" s="100"/>
      <c r="L878" s="101"/>
      <c r="M878" s="101"/>
      <c r="N878" s="112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</row>
    <row r="879" spans="1:29" ht="13">
      <c r="A879" s="115"/>
      <c r="B879" s="97"/>
      <c r="C879" s="115"/>
      <c r="D879" s="115"/>
      <c r="E879" s="115"/>
      <c r="F879" s="115"/>
      <c r="G879" s="99"/>
      <c r="H879" s="98"/>
      <c r="I879" s="100"/>
      <c r="J879" s="100"/>
      <c r="K879" s="100"/>
      <c r="L879" s="101"/>
      <c r="M879" s="101"/>
      <c r="N879" s="112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</row>
    <row r="880" spans="1:29" ht="13">
      <c r="A880" s="115"/>
      <c r="B880" s="97"/>
      <c r="C880" s="115"/>
      <c r="D880" s="115"/>
      <c r="E880" s="115"/>
      <c r="F880" s="115"/>
      <c r="G880" s="99"/>
      <c r="H880" s="98"/>
      <c r="I880" s="100"/>
      <c r="J880" s="100"/>
      <c r="K880" s="100"/>
      <c r="L880" s="101"/>
      <c r="M880" s="101"/>
      <c r="N880" s="112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</row>
    <row r="881" spans="1:29" ht="13">
      <c r="A881" s="115"/>
      <c r="B881" s="97"/>
      <c r="C881" s="115"/>
      <c r="D881" s="115"/>
      <c r="E881" s="115"/>
      <c r="F881" s="115"/>
      <c r="G881" s="99"/>
      <c r="H881" s="98"/>
      <c r="I881" s="100"/>
      <c r="J881" s="100"/>
      <c r="K881" s="100"/>
      <c r="L881" s="101"/>
      <c r="M881" s="101"/>
      <c r="N881" s="112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</row>
    <row r="882" spans="1:29" ht="13">
      <c r="A882" s="115"/>
      <c r="B882" s="97"/>
      <c r="C882" s="115"/>
      <c r="D882" s="115"/>
      <c r="E882" s="115"/>
      <c r="F882" s="115"/>
      <c r="G882" s="99"/>
      <c r="H882" s="98"/>
      <c r="I882" s="100"/>
      <c r="J882" s="100"/>
      <c r="K882" s="100"/>
      <c r="L882" s="101"/>
      <c r="M882" s="101"/>
      <c r="N882" s="112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</row>
    <row r="883" spans="1:29" ht="13">
      <c r="A883" s="115"/>
      <c r="B883" s="97"/>
      <c r="C883" s="115"/>
      <c r="D883" s="115"/>
      <c r="E883" s="115"/>
      <c r="F883" s="115"/>
      <c r="G883" s="99"/>
      <c r="H883" s="98"/>
      <c r="I883" s="100"/>
      <c r="J883" s="100"/>
      <c r="K883" s="100"/>
      <c r="L883" s="101"/>
      <c r="M883" s="101"/>
      <c r="N883" s="112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</row>
    <row r="884" spans="1:29" ht="13">
      <c r="A884" s="115"/>
      <c r="B884" s="97"/>
      <c r="C884" s="115"/>
      <c r="D884" s="115"/>
      <c r="E884" s="115"/>
      <c r="F884" s="115"/>
      <c r="G884" s="99"/>
      <c r="H884" s="98"/>
      <c r="I884" s="100"/>
      <c r="J884" s="100"/>
      <c r="K884" s="100"/>
      <c r="L884" s="101"/>
      <c r="M884" s="101"/>
      <c r="N884" s="112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</row>
    <row r="885" spans="1:29" ht="13">
      <c r="A885" s="115"/>
      <c r="B885" s="97"/>
      <c r="C885" s="115"/>
      <c r="D885" s="115"/>
      <c r="E885" s="115"/>
      <c r="F885" s="115"/>
      <c r="G885" s="99"/>
      <c r="H885" s="98"/>
      <c r="I885" s="100"/>
      <c r="J885" s="100"/>
      <c r="K885" s="100"/>
      <c r="L885" s="101"/>
      <c r="M885" s="101"/>
      <c r="N885" s="112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</row>
    <row r="886" spans="1:29" ht="13">
      <c r="A886" s="115"/>
      <c r="B886" s="97"/>
      <c r="C886" s="115"/>
      <c r="D886" s="115"/>
      <c r="E886" s="115"/>
      <c r="F886" s="115"/>
      <c r="G886" s="99"/>
      <c r="H886" s="98"/>
      <c r="I886" s="100"/>
      <c r="J886" s="100"/>
      <c r="K886" s="100"/>
      <c r="L886" s="101"/>
      <c r="M886" s="101"/>
      <c r="N886" s="112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</row>
    <row r="887" spans="1:29" ht="13">
      <c r="A887" s="115"/>
      <c r="B887" s="97"/>
      <c r="C887" s="115"/>
      <c r="D887" s="115"/>
      <c r="E887" s="115"/>
      <c r="F887" s="115"/>
      <c r="G887" s="99"/>
      <c r="H887" s="98"/>
      <c r="I887" s="100"/>
      <c r="J887" s="100"/>
      <c r="K887" s="100"/>
      <c r="L887" s="101"/>
      <c r="M887" s="101"/>
      <c r="N887" s="112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</row>
    <row r="888" spans="1:29" ht="13">
      <c r="A888" s="115"/>
      <c r="B888" s="97"/>
      <c r="C888" s="115"/>
      <c r="D888" s="115"/>
      <c r="E888" s="115"/>
      <c r="F888" s="115"/>
      <c r="G888" s="99"/>
      <c r="H888" s="98"/>
      <c r="I888" s="100"/>
      <c r="J888" s="100"/>
      <c r="K888" s="100"/>
      <c r="L888" s="101"/>
      <c r="M888" s="101"/>
      <c r="N888" s="112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</row>
    <row r="889" spans="1:29" ht="13">
      <c r="A889" s="115"/>
      <c r="B889" s="97"/>
      <c r="C889" s="115"/>
      <c r="D889" s="115"/>
      <c r="E889" s="115"/>
      <c r="F889" s="115"/>
      <c r="G889" s="99"/>
      <c r="H889" s="98"/>
      <c r="I889" s="100"/>
      <c r="J889" s="100"/>
      <c r="K889" s="100"/>
      <c r="L889" s="101"/>
      <c r="M889" s="101"/>
      <c r="N889" s="112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</row>
    <row r="890" spans="1:29" ht="13">
      <c r="A890" s="115"/>
      <c r="B890" s="97"/>
      <c r="C890" s="115"/>
      <c r="D890" s="115"/>
      <c r="E890" s="115"/>
      <c r="F890" s="115"/>
      <c r="G890" s="99"/>
      <c r="H890" s="98"/>
      <c r="I890" s="100"/>
      <c r="J890" s="100"/>
      <c r="K890" s="100"/>
      <c r="L890" s="101"/>
      <c r="M890" s="101"/>
      <c r="N890" s="112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</row>
    <row r="891" spans="1:29" ht="13">
      <c r="A891" s="115"/>
      <c r="B891" s="97"/>
      <c r="C891" s="115"/>
      <c r="D891" s="115"/>
      <c r="E891" s="115"/>
      <c r="F891" s="115"/>
      <c r="G891" s="99"/>
      <c r="H891" s="98"/>
      <c r="I891" s="100"/>
      <c r="J891" s="100"/>
      <c r="K891" s="100"/>
      <c r="L891" s="101"/>
      <c r="M891" s="101"/>
      <c r="N891" s="112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</row>
    <row r="892" spans="1:29" ht="13">
      <c r="A892" s="115"/>
      <c r="B892" s="97"/>
      <c r="C892" s="115"/>
      <c r="D892" s="115"/>
      <c r="E892" s="115"/>
      <c r="F892" s="115"/>
      <c r="G892" s="99"/>
      <c r="H892" s="98"/>
      <c r="I892" s="100"/>
      <c r="J892" s="100"/>
      <c r="K892" s="100"/>
      <c r="L892" s="101"/>
      <c r="M892" s="101"/>
      <c r="N892" s="112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</row>
    <row r="893" spans="1:29" ht="13">
      <c r="A893" s="115"/>
      <c r="B893" s="97"/>
      <c r="C893" s="115"/>
      <c r="D893" s="115"/>
      <c r="E893" s="115"/>
      <c r="F893" s="115"/>
      <c r="G893" s="99"/>
      <c r="H893" s="98"/>
      <c r="I893" s="100"/>
      <c r="J893" s="100"/>
      <c r="K893" s="100"/>
      <c r="L893" s="101"/>
      <c r="M893" s="101"/>
      <c r="N893" s="112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</row>
    <row r="894" spans="1:29" ht="13">
      <c r="A894" s="115"/>
      <c r="B894" s="97"/>
      <c r="C894" s="115"/>
      <c r="D894" s="115"/>
      <c r="E894" s="115"/>
      <c r="F894" s="115"/>
      <c r="G894" s="99"/>
      <c r="H894" s="98"/>
      <c r="I894" s="100"/>
      <c r="J894" s="100"/>
      <c r="K894" s="100"/>
      <c r="L894" s="101"/>
      <c r="M894" s="101"/>
      <c r="N894" s="112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</row>
    <row r="895" spans="1:29" ht="13">
      <c r="A895" s="115"/>
      <c r="B895" s="97"/>
      <c r="C895" s="115"/>
      <c r="D895" s="115"/>
      <c r="E895" s="115"/>
      <c r="F895" s="115"/>
      <c r="G895" s="99"/>
      <c r="H895" s="98"/>
      <c r="I895" s="100"/>
      <c r="J895" s="100"/>
      <c r="K895" s="100"/>
      <c r="L895" s="101"/>
      <c r="M895" s="101"/>
      <c r="N895" s="112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</row>
    <row r="896" spans="1:29" ht="13">
      <c r="A896" s="115"/>
      <c r="B896" s="97"/>
      <c r="C896" s="115"/>
      <c r="D896" s="115"/>
      <c r="E896" s="115"/>
      <c r="F896" s="115"/>
      <c r="G896" s="99"/>
      <c r="H896" s="98"/>
      <c r="I896" s="100"/>
      <c r="J896" s="100"/>
      <c r="K896" s="100"/>
      <c r="L896" s="101"/>
      <c r="M896" s="101"/>
      <c r="N896" s="112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</row>
    <row r="897" spans="1:29" ht="13">
      <c r="A897" s="115"/>
      <c r="B897" s="97"/>
      <c r="C897" s="115"/>
      <c r="D897" s="115"/>
      <c r="E897" s="115"/>
      <c r="F897" s="115"/>
      <c r="G897" s="99"/>
      <c r="H897" s="98"/>
      <c r="I897" s="100"/>
      <c r="J897" s="100"/>
      <c r="K897" s="100"/>
      <c r="L897" s="101"/>
      <c r="M897" s="101"/>
      <c r="N897" s="112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</row>
    <row r="898" spans="1:29" ht="13">
      <c r="A898" s="115"/>
      <c r="B898" s="97"/>
      <c r="C898" s="115"/>
      <c r="D898" s="115"/>
      <c r="E898" s="115"/>
      <c r="F898" s="115"/>
      <c r="G898" s="99"/>
      <c r="H898" s="98"/>
      <c r="I898" s="100"/>
      <c r="J898" s="100"/>
      <c r="K898" s="100"/>
      <c r="L898" s="101"/>
      <c r="M898" s="101"/>
      <c r="N898" s="112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</row>
    <row r="899" spans="1:29" ht="13">
      <c r="A899" s="115"/>
      <c r="B899" s="97"/>
      <c r="C899" s="115"/>
      <c r="D899" s="115"/>
      <c r="E899" s="115"/>
      <c r="F899" s="115"/>
      <c r="G899" s="99"/>
      <c r="H899" s="98"/>
      <c r="I899" s="100"/>
      <c r="J899" s="100"/>
      <c r="K899" s="100"/>
      <c r="L899" s="101"/>
      <c r="M899" s="101"/>
      <c r="N899" s="112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</row>
    <row r="900" spans="1:29" ht="13">
      <c r="A900" s="115"/>
      <c r="B900" s="97"/>
      <c r="C900" s="115"/>
      <c r="D900" s="115"/>
      <c r="E900" s="115"/>
      <c r="F900" s="115"/>
      <c r="G900" s="99"/>
      <c r="H900" s="98"/>
      <c r="I900" s="100"/>
      <c r="J900" s="100"/>
      <c r="K900" s="100"/>
      <c r="L900" s="101"/>
      <c r="M900" s="101"/>
      <c r="N900" s="112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</row>
    <row r="901" spans="1:29" ht="13">
      <c r="A901" s="115"/>
      <c r="B901" s="97"/>
      <c r="C901" s="115"/>
      <c r="D901" s="115"/>
      <c r="E901" s="115"/>
      <c r="F901" s="115"/>
      <c r="G901" s="99"/>
      <c r="H901" s="98"/>
      <c r="I901" s="100"/>
      <c r="J901" s="100"/>
      <c r="K901" s="100"/>
      <c r="L901" s="101"/>
      <c r="M901" s="101"/>
      <c r="N901" s="112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</row>
    <row r="902" spans="1:29" ht="13">
      <c r="A902" s="115"/>
      <c r="B902" s="97"/>
      <c r="C902" s="115"/>
      <c r="D902" s="115"/>
      <c r="E902" s="115"/>
      <c r="F902" s="115"/>
      <c r="G902" s="99"/>
      <c r="H902" s="98"/>
      <c r="I902" s="100"/>
      <c r="J902" s="100"/>
      <c r="K902" s="100"/>
      <c r="L902" s="101"/>
      <c r="M902" s="101"/>
      <c r="N902" s="112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</row>
    <row r="903" spans="1:29" ht="13">
      <c r="A903" s="115"/>
      <c r="B903" s="97"/>
      <c r="C903" s="115"/>
      <c r="D903" s="115"/>
      <c r="E903" s="115"/>
      <c r="F903" s="115"/>
      <c r="G903" s="99"/>
      <c r="H903" s="98"/>
      <c r="I903" s="100"/>
      <c r="J903" s="100"/>
      <c r="K903" s="100"/>
      <c r="L903" s="101"/>
      <c r="M903" s="101"/>
      <c r="N903" s="112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</row>
    <row r="904" spans="1:29" ht="13">
      <c r="A904" s="115"/>
      <c r="B904" s="97"/>
      <c r="C904" s="115"/>
      <c r="D904" s="115"/>
      <c r="E904" s="115"/>
      <c r="F904" s="115"/>
      <c r="G904" s="99"/>
      <c r="H904" s="98"/>
      <c r="I904" s="100"/>
      <c r="J904" s="100"/>
      <c r="K904" s="100"/>
      <c r="L904" s="101"/>
      <c r="M904" s="101"/>
      <c r="N904" s="112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</row>
    <row r="905" spans="1:29" ht="13">
      <c r="A905" s="115"/>
      <c r="B905" s="97"/>
      <c r="C905" s="115"/>
      <c r="D905" s="115"/>
      <c r="E905" s="115"/>
      <c r="F905" s="115"/>
      <c r="G905" s="99"/>
      <c r="H905" s="98"/>
      <c r="I905" s="100"/>
      <c r="J905" s="100"/>
      <c r="K905" s="100"/>
      <c r="L905" s="101"/>
      <c r="M905" s="101"/>
      <c r="N905" s="112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</row>
    <row r="906" spans="1:29" ht="13">
      <c r="A906" s="115"/>
      <c r="B906" s="97"/>
      <c r="C906" s="115"/>
      <c r="D906" s="115"/>
      <c r="E906" s="115"/>
      <c r="F906" s="115"/>
      <c r="G906" s="99"/>
      <c r="H906" s="98"/>
      <c r="I906" s="100"/>
      <c r="J906" s="100"/>
      <c r="K906" s="100"/>
      <c r="L906" s="101"/>
      <c r="M906" s="101"/>
      <c r="N906" s="112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</row>
    <row r="907" spans="1:29" ht="13">
      <c r="A907" s="115"/>
      <c r="B907" s="97"/>
      <c r="C907" s="115"/>
      <c r="D907" s="115"/>
      <c r="E907" s="115"/>
      <c r="F907" s="115"/>
      <c r="G907" s="99"/>
      <c r="H907" s="98"/>
      <c r="I907" s="100"/>
      <c r="J907" s="100"/>
      <c r="K907" s="100"/>
      <c r="L907" s="101"/>
      <c r="M907" s="101"/>
      <c r="N907" s="112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</row>
    <row r="908" spans="1:29" ht="13">
      <c r="A908" s="115"/>
      <c r="B908" s="97"/>
      <c r="C908" s="115"/>
      <c r="D908" s="115"/>
      <c r="E908" s="115"/>
      <c r="F908" s="115"/>
      <c r="G908" s="99"/>
      <c r="H908" s="98"/>
      <c r="I908" s="100"/>
      <c r="J908" s="100"/>
      <c r="K908" s="100"/>
      <c r="L908" s="101"/>
      <c r="M908" s="101"/>
      <c r="N908" s="112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</row>
    <row r="909" spans="1:29" ht="13">
      <c r="A909" s="115"/>
      <c r="B909" s="97"/>
      <c r="C909" s="115"/>
      <c r="D909" s="115"/>
      <c r="E909" s="115"/>
      <c r="F909" s="115"/>
      <c r="G909" s="99"/>
      <c r="H909" s="98"/>
      <c r="I909" s="100"/>
      <c r="J909" s="100"/>
      <c r="K909" s="100"/>
      <c r="L909" s="101"/>
      <c r="M909" s="101"/>
      <c r="N909" s="112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</row>
    <row r="910" spans="1:29" ht="13">
      <c r="A910" s="115"/>
      <c r="B910" s="97"/>
      <c r="C910" s="115"/>
      <c r="D910" s="115"/>
      <c r="E910" s="115"/>
      <c r="F910" s="115"/>
      <c r="G910" s="99"/>
      <c r="H910" s="98"/>
      <c r="I910" s="100"/>
      <c r="J910" s="100"/>
      <c r="K910" s="100"/>
      <c r="L910" s="101"/>
      <c r="M910" s="101"/>
      <c r="N910" s="112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</row>
    <row r="911" spans="1:29" ht="13">
      <c r="A911" s="115"/>
      <c r="B911" s="97"/>
      <c r="C911" s="115"/>
      <c r="D911" s="115"/>
      <c r="E911" s="115"/>
      <c r="F911" s="115"/>
      <c r="G911" s="99"/>
      <c r="H911" s="98"/>
      <c r="I911" s="100"/>
      <c r="J911" s="100"/>
      <c r="K911" s="100"/>
      <c r="L911" s="101"/>
      <c r="M911" s="101"/>
      <c r="N911" s="112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</row>
    <row r="912" spans="1:29" ht="13">
      <c r="A912" s="115"/>
      <c r="B912" s="97"/>
      <c r="C912" s="115"/>
      <c r="D912" s="115"/>
      <c r="E912" s="115"/>
      <c r="F912" s="115"/>
      <c r="G912" s="99"/>
      <c r="H912" s="98"/>
      <c r="I912" s="100"/>
      <c r="J912" s="100"/>
      <c r="K912" s="100"/>
      <c r="L912" s="101"/>
      <c r="M912" s="101"/>
      <c r="N912" s="112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</row>
    <row r="913" spans="1:29" ht="13">
      <c r="A913" s="115"/>
      <c r="B913" s="97"/>
      <c r="C913" s="115"/>
      <c r="D913" s="115"/>
      <c r="E913" s="115"/>
      <c r="F913" s="115"/>
      <c r="G913" s="99"/>
      <c r="H913" s="98"/>
      <c r="I913" s="100"/>
      <c r="J913" s="100"/>
      <c r="K913" s="100"/>
      <c r="L913" s="101"/>
      <c r="M913" s="101"/>
      <c r="N913" s="112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</row>
    <row r="914" spans="1:29" ht="13">
      <c r="A914" s="115"/>
      <c r="B914" s="97"/>
      <c r="C914" s="115"/>
      <c r="D914" s="115"/>
      <c r="E914" s="115"/>
      <c r="F914" s="115"/>
      <c r="G914" s="99"/>
      <c r="H914" s="98"/>
      <c r="I914" s="100"/>
      <c r="J914" s="100"/>
      <c r="K914" s="100"/>
      <c r="L914" s="101"/>
      <c r="M914" s="101"/>
      <c r="N914" s="112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</row>
    <row r="915" spans="1:29" ht="13">
      <c r="A915" s="115"/>
      <c r="B915" s="97"/>
      <c r="C915" s="115"/>
      <c r="D915" s="115"/>
      <c r="E915" s="115"/>
      <c r="F915" s="115"/>
      <c r="G915" s="99"/>
      <c r="H915" s="98"/>
      <c r="I915" s="100"/>
      <c r="J915" s="100"/>
      <c r="K915" s="100"/>
      <c r="L915" s="101"/>
      <c r="M915" s="101"/>
      <c r="N915" s="112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</row>
    <row r="916" spans="1:29" ht="13">
      <c r="A916" s="115"/>
      <c r="B916" s="97"/>
      <c r="C916" s="115"/>
      <c r="D916" s="115"/>
      <c r="E916" s="115"/>
      <c r="F916" s="115"/>
      <c r="G916" s="99"/>
      <c r="H916" s="98"/>
      <c r="I916" s="100"/>
      <c r="J916" s="100"/>
      <c r="K916" s="100"/>
      <c r="L916" s="101"/>
      <c r="M916" s="101"/>
      <c r="N916" s="112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</row>
    <row r="917" spans="1:29" ht="13">
      <c r="A917" s="115"/>
      <c r="B917" s="97"/>
      <c r="C917" s="115"/>
      <c r="D917" s="115"/>
      <c r="E917" s="115"/>
      <c r="F917" s="115"/>
      <c r="G917" s="99"/>
      <c r="H917" s="98"/>
      <c r="I917" s="100"/>
      <c r="J917" s="100"/>
      <c r="K917" s="100"/>
      <c r="L917" s="101"/>
      <c r="M917" s="101"/>
      <c r="N917" s="112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</row>
    <row r="918" spans="1:29" ht="13">
      <c r="A918" s="115"/>
      <c r="B918" s="97"/>
      <c r="C918" s="115"/>
      <c r="D918" s="115"/>
      <c r="E918" s="115"/>
      <c r="F918" s="115"/>
      <c r="G918" s="99"/>
      <c r="H918" s="98"/>
      <c r="I918" s="100"/>
      <c r="J918" s="100"/>
      <c r="K918" s="100"/>
      <c r="L918" s="101"/>
      <c r="M918" s="101"/>
      <c r="N918" s="112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</row>
    <row r="919" spans="1:29" ht="13">
      <c r="A919" s="115"/>
      <c r="B919" s="97"/>
      <c r="C919" s="115"/>
      <c r="D919" s="115"/>
      <c r="E919" s="115"/>
      <c r="F919" s="115"/>
      <c r="G919" s="99"/>
      <c r="H919" s="98"/>
      <c r="I919" s="100"/>
      <c r="J919" s="100"/>
      <c r="K919" s="100"/>
      <c r="L919" s="101"/>
      <c r="M919" s="101"/>
      <c r="N919" s="112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</row>
    <row r="920" spans="1:29" ht="13">
      <c r="A920" s="115"/>
      <c r="B920" s="97"/>
      <c r="C920" s="115"/>
      <c r="D920" s="115"/>
      <c r="E920" s="115"/>
      <c r="F920" s="115"/>
      <c r="G920" s="99"/>
      <c r="H920" s="98"/>
      <c r="I920" s="100"/>
      <c r="J920" s="100"/>
      <c r="K920" s="100"/>
      <c r="L920" s="101"/>
      <c r="M920" s="101"/>
      <c r="N920" s="112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</row>
    <row r="921" spans="1:29" ht="13">
      <c r="A921" s="115"/>
      <c r="B921" s="97"/>
      <c r="C921" s="115"/>
      <c r="D921" s="115"/>
      <c r="E921" s="115"/>
      <c r="F921" s="115"/>
      <c r="G921" s="99"/>
      <c r="H921" s="98"/>
      <c r="I921" s="100"/>
      <c r="J921" s="100"/>
      <c r="K921" s="100"/>
      <c r="L921" s="101"/>
      <c r="M921" s="101"/>
      <c r="N921" s="112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</row>
    <row r="922" spans="1:29" ht="13">
      <c r="A922" s="115"/>
      <c r="B922" s="97"/>
      <c r="C922" s="115"/>
      <c r="D922" s="115"/>
      <c r="E922" s="115"/>
      <c r="F922" s="115"/>
      <c r="G922" s="99"/>
      <c r="H922" s="98"/>
      <c r="I922" s="100"/>
      <c r="J922" s="100"/>
      <c r="K922" s="100"/>
      <c r="L922" s="101"/>
      <c r="M922" s="101"/>
      <c r="N922" s="112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</row>
    <row r="923" spans="1:29" ht="13">
      <c r="A923" s="115"/>
      <c r="B923" s="97"/>
      <c r="C923" s="115"/>
      <c r="D923" s="115"/>
      <c r="E923" s="115"/>
      <c r="F923" s="115"/>
      <c r="G923" s="99"/>
      <c r="H923" s="98"/>
      <c r="I923" s="100"/>
      <c r="J923" s="100"/>
      <c r="K923" s="100"/>
      <c r="L923" s="101"/>
      <c r="M923" s="101"/>
      <c r="N923" s="112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</row>
    <row r="924" spans="1:29" ht="13">
      <c r="A924" s="115"/>
      <c r="B924" s="97"/>
      <c r="C924" s="115"/>
      <c r="D924" s="115"/>
      <c r="E924" s="115"/>
      <c r="F924" s="115"/>
      <c r="G924" s="99"/>
      <c r="H924" s="98"/>
      <c r="I924" s="100"/>
      <c r="J924" s="100"/>
      <c r="K924" s="100"/>
      <c r="L924" s="101"/>
      <c r="M924" s="101"/>
      <c r="N924" s="112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</row>
    <row r="925" spans="1:29" ht="13">
      <c r="A925" s="115"/>
      <c r="B925" s="97"/>
      <c r="C925" s="115"/>
      <c r="D925" s="115"/>
      <c r="E925" s="115"/>
      <c r="F925" s="115"/>
      <c r="G925" s="99"/>
      <c r="H925" s="98"/>
      <c r="I925" s="100"/>
      <c r="J925" s="100"/>
      <c r="K925" s="100"/>
      <c r="L925" s="101"/>
      <c r="M925" s="101"/>
      <c r="N925" s="112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</row>
    <row r="926" spans="1:29" ht="13">
      <c r="A926" s="115"/>
      <c r="B926" s="97"/>
      <c r="C926" s="115"/>
      <c r="D926" s="115"/>
      <c r="E926" s="115"/>
      <c r="F926" s="115"/>
      <c r="G926" s="99"/>
      <c r="H926" s="98"/>
      <c r="I926" s="100"/>
      <c r="J926" s="100"/>
      <c r="K926" s="100"/>
      <c r="L926" s="101"/>
      <c r="M926" s="101"/>
      <c r="N926" s="112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</row>
    <row r="927" spans="1:29" ht="13">
      <c r="A927" s="115"/>
      <c r="B927" s="97"/>
      <c r="C927" s="115"/>
      <c r="D927" s="115"/>
      <c r="E927" s="115"/>
      <c r="F927" s="115"/>
      <c r="G927" s="99"/>
      <c r="H927" s="98"/>
      <c r="I927" s="100"/>
      <c r="J927" s="100"/>
      <c r="K927" s="100"/>
      <c r="L927" s="101"/>
      <c r="M927" s="101"/>
      <c r="N927" s="112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</row>
    <row r="928" spans="1:29" ht="13">
      <c r="A928" s="115"/>
      <c r="B928" s="97"/>
      <c r="C928" s="115"/>
      <c r="D928" s="115"/>
      <c r="E928" s="115"/>
      <c r="F928" s="115"/>
      <c r="G928" s="99"/>
      <c r="H928" s="98"/>
      <c r="I928" s="100"/>
      <c r="J928" s="100"/>
      <c r="K928" s="100"/>
      <c r="L928" s="101"/>
      <c r="M928" s="101"/>
      <c r="N928" s="112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</row>
    <row r="929" spans="1:29" ht="13">
      <c r="A929" s="115"/>
      <c r="B929" s="97"/>
      <c r="C929" s="115"/>
      <c r="D929" s="115"/>
      <c r="E929" s="115"/>
      <c r="F929" s="115"/>
      <c r="G929" s="99"/>
      <c r="H929" s="98"/>
      <c r="I929" s="100"/>
      <c r="J929" s="100"/>
      <c r="K929" s="100"/>
      <c r="L929" s="101"/>
      <c r="M929" s="101"/>
      <c r="N929" s="112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</row>
    <row r="930" spans="1:29" ht="13">
      <c r="A930" s="115"/>
      <c r="B930" s="97"/>
      <c r="C930" s="115"/>
      <c r="D930" s="115"/>
      <c r="E930" s="115"/>
      <c r="F930" s="115"/>
      <c r="G930" s="99"/>
      <c r="H930" s="98"/>
      <c r="I930" s="100"/>
      <c r="J930" s="100"/>
      <c r="K930" s="100"/>
      <c r="L930" s="101"/>
      <c r="M930" s="101"/>
      <c r="N930" s="112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</row>
    <row r="931" spans="1:29" ht="13">
      <c r="A931" s="115"/>
      <c r="B931" s="97"/>
      <c r="C931" s="115"/>
      <c r="D931" s="115"/>
      <c r="E931" s="115"/>
      <c r="F931" s="115"/>
      <c r="G931" s="99"/>
      <c r="H931" s="98"/>
      <c r="I931" s="100"/>
      <c r="J931" s="100"/>
      <c r="K931" s="100"/>
      <c r="L931" s="101"/>
      <c r="M931" s="101"/>
      <c r="N931" s="112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</row>
    <row r="932" spans="1:29" ht="13">
      <c r="A932" s="115"/>
      <c r="B932" s="97"/>
      <c r="C932" s="115"/>
      <c r="D932" s="115"/>
      <c r="E932" s="115"/>
      <c r="F932" s="115"/>
      <c r="G932" s="99"/>
      <c r="H932" s="98"/>
      <c r="I932" s="100"/>
      <c r="J932" s="100"/>
      <c r="K932" s="100"/>
      <c r="L932" s="101"/>
      <c r="M932" s="101"/>
      <c r="N932" s="112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</row>
    <row r="933" spans="1:29" ht="13">
      <c r="A933" s="115"/>
      <c r="B933" s="97"/>
      <c r="C933" s="115"/>
      <c r="D933" s="115"/>
      <c r="E933" s="115"/>
      <c r="F933" s="115"/>
      <c r="G933" s="99"/>
      <c r="H933" s="98"/>
      <c r="I933" s="100"/>
      <c r="J933" s="100"/>
      <c r="K933" s="100"/>
      <c r="L933" s="101"/>
      <c r="M933" s="101"/>
      <c r="N933" s="112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</row>
    <row r="934" spans="1:29" ht="13">
      <c r="A934" s="115"/>
      <c r="B934" s="97"/>
      <c r="C934" s="115"/>
      <c r="D934" s="115"/>
      <c r="E934" s="115"/>
      <c r="F934" s="115"/>
      <c r="G934" s="99"/>
      <c r="H934" s="98"/>
      <c r="I934" s="100"/>
      <c r="J934" s="100"/>
      <c r="K934" s="100"/>
      <c r="L934" s="101"/>
      <c r="M934" s="101"/>
      <c r="N934" s="112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</row>
    <row r="935" spans="1:29" ht="13">
      <c r="A935" s="115"/>
      <c r="B935" s="97"/>
      <c r="C935" s="115"/>
      <c r="D935" s="115"/>
      <c r="E935" s="115"/>
      <c r="F935" s="115"/>
      <c r="G935" s="99"/>
      <c r="H935" s="98"/>
      <c r="I935" s="100"/>
      <c r="J935" s="100"/>
      <c r="K935" s="100"/>
      <c r="L935" s="101"/>
      <c r="M935" s="101"/>
      <c r="N935" s="112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</row>
    <row r="936" spans="1:29" ht="13">
      <c r="A936" s="115"/>
      <c r="B936" s="97"/>
      <c r="C936" s="115"/>
      <c r="D936" s="115"/>
      <c r="E936" s="115"/>
      <c r="F936" s="115"/>
      <c r="G936" s="99"/>
      <c r="H936" s="98"/>
      <c r="I936" s="100"/>
      <c r="J936" s="100"/>
      <c r="K936" s="100"/>
      <c r="L936" s="101"/>
      <c r="M936" s="101"/>
      <c r="N936" s="112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</row>
    <row r="937" spans="1:29" ht="13">
      <c r="A937" s="115"/>
      <c r="B937" s="97"/>
      <c r="C937" s="115"/>
      <c r="D937" s="115"/>
      <c r="E937" s="115"/>
      <c r="F937" s="115"/>
      <c r="G937" s="99"/>
      <c r="H937" s="98"/>
      <c r="I937" s="100"/>
      <c r="J937" s="100"/>
      <c r="K937" s="100"/>
      <c r="L937" s="101"/>
      <c r="M937" s="101"/>
      <c r="N937" s="112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</row>
    <row r="938" spans="1:29" ht="13">
      <c r="A938" s="115"/>
      <c r="B938" s="97"/>
      <c r="C938" s="115"/>
      <c r="D938" s="115"/>
      <c r="E938" s="115"/>
      <c r="F938" s="115"/>
      <c r="G938" s="99"/>
      <c r="H938" s="98"/>
      <c r="I938" s="100"/>
      <c r="J938" s="100"/>
      <c r="K938" s="100"/>
      <c r="L938" s="101"/>
      <c r="M938" s="101"/>
      <c r="N938" s="112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</row>
    <row r="939" spans="1:29" ht="13">
      <c r="A939" s="115"/>
      <c r="B939" s="97"/>
      <c r="C939" s="115"/>
      <c r="D939" s="115"/>
      <c r="E939" s="115"/>
      <c r="F939" s="115"/>
      <c r="G939" s="99"/>
      <c r="H939" s="98"/>
      <c r="I939" s="100"/>
      <c r="J939" s="100"/>
      <c r="K939" s="100"/>
      <c r="L939" s="101"/>
      <c r="M939" s="101"/>
      <c r="N939" s="112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</row>
    <row r="940" spans="1:29" ht="13">
      <c r="A940" s="115"/>
      <c r="B940" s="97"/>
      <c r="C940" s="115"/>
      <c r="D940" s="115"/>
      <c r="E940" s="115"/>
      <c r="F940" s="115"/>
      <c r="G940" s="99"/>
      <c r="H940" s="98"/>
      <c r="I940" s="100"/>
      <c r="J940" s="100"/>
      <c r="K940" s="100"/>
      <c r="L940" s="101"/>
      <c r="M940" s="101"/>
      <c r="N940" s="112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</row>
    <row r="941" spans="1:29" ht="13">
      <c r="A941" s="115"/>
      <c r="B941" s="97"/>
      <c r="C941" s="115"/>
      <c r="D941" s="115"/>
      <c r="E941" s="115"/>
      <c r="F941" s="115"/>
      <c r="G941" s="99"/>
      <c r="H941" s="98"/>
      <c r="I941" s="100"/>
      <c r="J941" s="100"/>
      <c r="K941" s="100"/>
      <c r="L941" s="101"/>
      <c r="M941" s="101"/>
      <c r="N941" s="112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</row>
    <row r="942" spans="1:29" ht="13">
      <c r="A942" s="115"/>
      <c r="B942" s="97"/>
      <c r="C942" s="115"/>
      <c r="D942" s="115"/>
      <c r="E942" s="115"/>
      <c r="F942" s="115"/>
      <c r="G942" s="99"/>
      <c r="H942" s="98"/>
      <c r="I942" s="100"/>
      <c r="J942" s="100"/>
      <c r="K942" s="100"/>
      <c r="L942" s="101"/>
      <c r="M942" s="101"/>
      <c r="N942" s="112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</row>
    <row r="943" spans="1:29" ht="13">
      <c r="A943" s="115"/>
      <c r="B943" s="97"/>
      <c r="C943" s="115"/>
      <c r="D943" s="115"/>
      <c r="E943" s="115"/>
      <c r="F943" s="115"/>
      <c r="G943" s="99"/>
      <c r="H943" s="98"/>
      <c r="I943" s="100"/>
      <c r="J943" s="100"/>
      <c r="K943" s="100"/>
      <c r="L943" s="101"/>
      <c r="M943" s="101"/>
      <c r="N943" s="112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</row>
    <row r="944" spans="1:29" ht="13">
      <c r="A944" s="115"/>
      <c r="B944" s="97"/>
      <c r="C944" s="115"/>
      <c r="D944" s="115"/>
      <c r="E944" s="115"/>
      <c r="F944" s="115"/>
      <c r="G944" s="99"/>
      <c r="H944" s="98"/>
      <c r="I944" s="100"/>
      <c r="J944" s="100"/>
      <c r="K944" s="100"/>
      <c r="L944" s="101"/>
      <c r="M944" s="101"/>
      <c r="N944" s="112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</row>
    <row r="945" spans="1:29" ht="13">
      <c r="A945" s="115"/>
      <c r="B945" s="97"/>
      <c r="C945" s="115"/>
      <c r="D945" s="115"/>
      <c r="E945" s="115"/>
      <c r="F945" s="115"/>
      <c r="G945" s="99"/>
      <c r="H945" s="98"/>
      <c r="I945" s="100"/>
      <c r="J945" s="100"/>
      <c r="K945" s="100"/>
      <c r="L945" s="101"/>
      <c r="M945" s="101"/>
      <c r="N945" s="112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</row>
    <row r="946" spans="1:29" ht="13">
      <c r="A946" s="115"/>
      <c r="B946" s="97"/>
      <c r="C946" s="115"/>
      <c r="D946" s="115"/>
      <c r="E946" s="115"/>
      <c r="F946" s="115"/>
      <c r="G946" s="99"/>
      <c r="H946" s="98"/>
      <c r="I946" s="100"/>
      <c r="J946" s="100"/>
      <c r="K946" s="100"/>
      <c r="L946" s="101"/>
      <c r="M946" s="101"/>
      <c r="N946" s="112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</row>
    <row r="947" spans="1:29" ht="13">
      <c r="A947" s="115"/>
      <c r="B947" s="97"/>
      <c r="C947" s="115"/>
      <c r="D947" s="115"/>
      <c r="E947" s="115"/>
      <c r="F947" s="115"/>
      <c r="G947" s="99"/>
      <c r="H947" s="98"/>
      <c r="I947" s="100"/>
      <c r="J947" s="100"/>
      <c r="K947" s="100"/>
      <c r="L947" s="101"/>
      <c r="M947" s="101"/>
      <c r="N947" s="112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</row>
    <row r="948" spans="1:29" ht="13">
      <c r="A948" s="115"/>
      <c r="B948" s="97"/>
      <c r="C948" s="115"/>
      <c r="D948" s="115"/>
      <c r="E948" s="115"/>
      <c r="F948" s="115"/>
      <c r="G948" s="99"/>
      <c r="H948" s="98"/>
      <c r="I948" s="100"/>
      <c r="J948" s="100"/>
      <c r="K948" s="100"/>
      <c r="L948" s="101"/>
      <c r="M948" s="101"/>
      <c r="N948" s="112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</row>
    <row r="949" spans="1:29" ht="13">
      <c r="A949" s="115"/>
      <c r="B949" s="97"/>
      <c r="C949" s="115"/>
      <c r="D949" s="115"/>
      <c r="E949" s="115"/>
      <c r="F949" s="115"/>
      <c r="G949" s="99"/>
      <c r="H949" s="98"/>
      <c r="I949" s="100"/>
      <c r="J949" s="100"/>
      <c r="K949" s="100"/>
      <c r="L949" s="101"/>
      <c r="M949" s="101"/>
      <c r="N949" s="112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</row>
    <row r="950" spans="1:29" ht="13">
      <c r="A950" s="115"/>
      <c r="B950" s="97"/>
      <c r="C950" s="115"/>
      <c r="D950" s="115"/>
      <c r="E950" s="115"/>
      <c r="F950" s="115"/>
      <c r="G950" s="99"/>
      <c r="H950" s="98"/>
      <c r="I950" s="100"/>
      <c r="J950" s="100"/>
      <c r="K950" s="100"/>
      <c r="L950" s="101"/>
      <c r="M950" s="101"/>
      <c r="N950" s="112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</row>
    <row r="951" spans="1:29" ht="13">
      <c r="A951" s="115"/>
      <c r="B951" s="97"/>
      <c r="C951" s="115"/>
      <c r="D951" s="115"/>
      <c r="E951" s="115"/>
      <c r="F951" s="115"/>
      <c r="G951" s="99"/>
      <c r="H951" s="98"/>
      <c r="I951" s="100"/>
      <c r="J951" s="100"/>
      <c r="K951" s="100"/>
      <c r="L951" s="101"/>
      <c r="M951" s="101"/>
      <c r="N951" s="112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1"/>
      <c r="AC951" s="101"/>
    </row>
    <row r="952" spans="1:29" ht="13">
      <c r="A952" s="115"/>
      <c r="B952" s="97"/>
      <c r="C952" s="115"/>
      <c r="D952" s="115"/>
      <c r="E952" s="115"/>
      <c r="F952" s="115"/>
      <c r="G952" s="99"/>
      <c r="H952" s="98"/>
      <c r="I952" s="100"/>
      <c r="J952" s="100"/>
      <c r="K952" s="100"/>
      <c r="L952" s="101"/>
      <c r="M952" s="101"/>
      <c r="N952" s="112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1"/>
      <c r="AC952" s="101"/>
    </row>
    <row r="953" spans="1:29" ht="13">
      <c r="A953" s="115"/>
      <c r="B953" s="97"/>
      <c r="C953" s="115"/>
      <c r="D953" s="115"/>
      <c r="E953" s="115"/>
      <c r="F953" s="115"/>
      <c r="G953" s="99"/>
      <c r="H953" s="98"/>
      <c r="I953" s="100"/>
      <c r="J953" s="100"/>
      <c r="K953" s="100"/>
      <c r="L953" s="101"/>
      <c r="M953" s="101"/>
      <c r="N953" s="112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</row>
    <row r="954" spans="1:29" ht="13">
      <c r="A954" s="115"/>
      <c r="B954" s="97"/>
      <c r="C954" s="115"/>
      <c r="D954" s="115"/>
      <c r="E954" s="115"/>
      <c r="F954" s="115"/>
      <c r="G954" s="99"/>
      <c r="H954" s="98"/>
      <c r="I954" s="100"/>
      <c r="J954" s="100"/>
      <c r="K954" s="100"/>
      <c r="L954" s="101"/>
      <c r="M954" s="101"/>
      <c r="N954" s="112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  <c r="AA954" s="101"/>
      <c r="AB954" s="101"/>
      <c r="AC954" s="101"/>
    </row>
    <row r="955" spans="1:29" ht="13">
      <c r="A955" s="115"/>
      <c r="B955" s="97"/>
      <c r="C955" s="115"/>
      <c r="D955" s="115"/>
      <c r="E955" s="115"/>
      <c r="F955" s="115"/>
      <c r="G955" s="99"/>
      <c r="H955" s="98"/>
      <c r="I955" s="100"/>
      <c r="J955" s="100"/>
      <c r="K955" s="100"/>
      <c r="L955" s="101"/>
      <c r="M955" s="101"/>
      <c r="N955" s="112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  <c r="AA955" s="101"/>
      <c r="AB955" s="101"/>
      <c r="AC955" s="101"/>
    </row>
    <row r="956" spans="1:29" ht="13">
      <c r="A956" s="115"/>
      <c r="B956" s="97"/>
      <c r="C956" s="115"/>
      <c r="D956" s="115"/>
      <c r="E956" s="115"/>
      <c r="F956" s="115"/>
      <c r="G956" s="99"/>
      <c r="H956" s="98"/>
      <c r="I956" s="100"/>
      <c r="J956" s="100"/>
      <c r="K956" s="100"/>
      <c r="L956" s="101"/>
      <c r="M956" s="101"/>
      <c r="N956" s="112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1"/>
      <c r="AC956" s="101"/>
    </row>
    <row r="957" spans="1:29" ht="13">
      <c r="A957" s="115"/>
      <c r="B957" s="97"/>
      <c r="C957" s="115"/>
      <c r="D957" s="115"/>
      <c r="E957" s="115"/>
      <c r="F957" s="115"/>
      <c r="G957" s="99"/>
      <c r="H957" s="98"/>
      <c r="I957" s="100"/>
      <c r="J957" s="100"/>
      <c r="K957" s="100"/>
      <c r="L957" s="101"/>
      <c r="M957" s="101"/>
      <c r="N957" s="112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  <c r="AA957" s="101"/>
      <c r="AB957" s="101"/>
      <c r="AC957" s="101"/>
    </row>
    <row r="958" spans="1:29" ht="13">
      <c r="A958" s="115"/>
      <c r="B958" s="97"/>
      <c r="C958" s="115"/>
      <c r="D958" s="115"/>
      <c r="E958" s="115"/>
      <c r="F958" s="115"/>
      <c r="G958" s="99"/>
      <c r="H958" s="98"/>
      <c r="I958" s="100"/>
      <c r="J958" s="100"/>
      <c r="K958" s="100"/>
      <c r="L958" s="101"/>
      <c r="M958" s="101"/>
      <c r="N958" s="112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  <c r="AA958" s="101"/>
      <c r="AB958" s="101"/>
      <c r="AC958" s="101"/>
    </row>
    <row r="959" spans="1:29" ht="13">
      <c r="A959" s="115"/>
      <c r="B959" s="97"/>
      <c r="C959" s="115"/>
      <c r="D959" s="115"/>
      <c r="E959" s="115"/>
      <c r="F959" s="115"/>
      <c r="G959" s="99"/>
      <c r="H959" s="98"/>
      <c r="I959" s="100"/>
      <c r="J959" s="100"/>
      <c r="K959" s="100"/>
      <c r="L959" s="101"/>
      <c r="M959" s="101"/>
      <c r="N959" s="112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  <c r="AA959" s="101"/>
      <c r="AB959" s="101"/>
      <c r="AC959" s="101"/>
    </row>
    <row r="960" spans="1:29" ht="13">
      <c r="A960" s="115"/>
      <c r="B960" s="97"/>
      <c r="C960" s="115"/>
      <c r="D960" s="115"/>
      <c r="E960" s="115"/>
      <c r="F960" s="115"/>
      <c r="G960" s="99"/>
      <c r="H960" s="98"/>
      <c r="I960" s="100"/>
      <c r="J960" s="100"/>
      <c r="K960" s="100"/>
      <c r="L960" s="101"/>
      <c r="M960" s="101"/>
      <c r="N960" s="112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  <c r="AA960" s="101"/>
      <c r="AB960" s="101"/>
      <c r="AC960" s="101"/>
    </row>
    <row r="961" spans="1:29" ht="13">
      <c r="A961" s="115"/>
      <c r="B961" s="97"/>
      <c r="C961" s="115"/>
      <c r="D961" s="115"/>
      <c r="E961" s="115"/>
      <c r="F961" s="115"/>
      <c r="G961" s="99"/>
      <c r="H961" s="98"/>
      <c r="I961" s="100"/>
      <c r="J961" s="100"/>
      <c r="K961" s="100"/>
      <c r="L961" s="101"/>
      <c r="M961" s="101"/>
      <c r="N961" s="112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  <c r="AA961" s="101"/>
      <c r="AB961" s="101"/>
      <c r="AC961" s="101"/>
    </row>
    <row r="962" spans="1:29" ht="13">
      <c r="A962" s="115"/>
      <c r="B962" s="97"/>
      <c r="C962" s="115"/>
      <c r="D962" s="115"/>
      <c r="E962" s="115"/>
      <c r="F962" s="115"/>
      <c r="G962" s="99"/>
      <c r="H962" s="98"/>
      <c r="I962" s="100"/>
      <c r="J962" s="100"/>
      <c r="K962" s="100"/>
      <c r="L962" s="101"/>
      <c r="M962" s="101"/>
      <c r="N962" s="112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  <c r="AA962" s="101"/>
      <c r="AB962" s="101"/>
      <c r="AC962" s="101"/>
    </row>
    <row r="963" spans="1:29" ht="13">
      <c r="A963" s="115"/>
      <c r="B963" s="97"/>
      <c r="C963" s="115"/>
      <c r="D963" s="115"/>
      <c r="E963" s="115"/>
      <c r="F963" s="115"/>
      <c r="G963" s="99"/>
      <c r="H963" s="98"/>
      <c r="I963" s="100"/>
      <c r="J963" s="100"/>
      <c r="K963" s="100"/>
      <c r="L963" s="101"/>
      <c r="M963" s="101"/>
      <c r="N963" s="112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  <c r="AA963" s="101"/>
      <c r="AB963" s="101"/>
      <c r="AC963" s="101"/>
    </row>
    <row r="964" spans="1:29" ht="13">
      <c r="A964" s="115"/>
      <c r="B964" s="97"/>
      <c r="C964" s="115"/>
      <c r="D964" s="115"/>
      <c r="E964" s="115"/>
      <c r="F964" s="115"/>
      <c r="G964" s="99"/>
      <c r="H964" s="98"/>
      <c r="I964" s="100"/>
      <c r="J964" s="100"/>
      <c r="K964" s="100"/>
      <c r="L964" s="101"/>
      <c r="M964" s="101"/>
      <c r="N964" s="112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  <c r="AA964" s="101"/>
      <c r="AB964" s="101"/>
      <c r="AC964" s="101"/>
    </row>
    <row r="965" spans="1:29" ht="13">
      <c r="A965" s="115"/>
      <c r="B965" s="97"/>
      <c r="C965" s="115"/>
      <c r="D965" s="115"/>
      <c r="E965" s="115"/>
      <c r="F965" s="115"/>
      <c r="G965" s="99"/>
      <c r="H965" s="98"/>
      <c r="I965" s="100"/>
      <c r="J965" s="100"/>
      <c r="K965" s="100"/>
      <c r="L965" s="101"/>
      <c r="M965" s="101"/>
      <c r="N965" s="112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  <c r="AA965" s="101"/>
      <c r="AB965" s="101"/>
      <c r="AC965" s="101"/>
    </row>
    <row r="966" spans="1:29" ht="13">
      <c r="A966" s="115"/>
      <c r="B966" s="97"/>
      <c r="C966" s="115"/>
      <c r="D966" s="115"/>
      <c r="E966" s="115"/>
      <c r="F966" s="115"/>
      <c r="G966" s="99"/>
      <c r="H966" s="98"/>
      <c r="I966" s="100"/>
      <c r="J966" s="100"/>
      <c r="K966" s="100"/>
      <c r="L966" s="101"/>
      <c r="M966" s="101"/>
      <c r="N966" s="112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  <c r="AA966" s="101"/>
      <c r="AB966" s="101"/>
      <c r="AC966" s="101"/>
    </row>
    <row r="967" spans="1:29" ht="13">
      <c r="A967" s="115"/>
      <c r="B967" s="97"/>
      <c r="C967" s="115"/>
      <c r="D967" s="115"/>
      <c r="E967" s="115"/>
      <c r="F967" s="115"/>
      <c r="G967" s="99"/>
      <c r="H967" s="98"/>
      <c r="I967" s="100"/>
      <c r="J967" s="100"/>
      <c r="K967" s="100"/>
      <c r="L967" s="101"/>
      <c r="M967" s="101"/>
      <c r="N967" s="112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  <c r="AA967" s="101"/>
      <c r="AB967" s="101"/>
      <c r="AC967" s="101"/>
    </row>
    <row r="968" spans="1:29" ht="13">
      <c r="A968" s="115"/>
      <c r="B968" s="97"/>
      <c r="C968" s="115"/>
      <c r="D968" s="115"/>
      <c r="E968" s="115"/>
      <c r="F968" s="115"/>
      <c r="G968" s="99"/>
      <c r="H968" s="98"/>
      <c r="I968" s="100"/>
      <c r="J968" s="100"/>
      <c r="K968" s="100"/>
      <c r="L968" s="101"/>
      <c r="M968" s="101"/>
      <c r="N968" s="112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  <c r="AA968" s="101"/>
      <c r="AB968" s="101"/>
      <c r="AC968" s="101"/>
    </row>
    <row r="969" spans="1:29" ht="13">
      <c r="A969" s="115"/>
      <c r="B969" s="97"/>
      <c r="C969" s="115"/>
      <c r="D969" s="115"/>
      <c r="E969" s="115"/>
      <c r="F969" s="115"/>
      <c r="G969" s="99"/>
      <c r="H969" s="98"/>
      <c r="I969" s="100"/>
      <c r="J969" s="100"/>
      <c r="K969" s="100"/>
      <c r="L969" s="101"/>
      <c r="M969" s="101"/>
      <c r="N969" s="112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  <c r="AA969" s="101"/>
      <c r="AB969" s="101"/>
      <c r="AC969" s="101"/>
    </row>
    <row r="970" spans="1:29" ht="13">
      <c r="A970" s="115"/>
      <c r="B970" s="97"/>
      <c r="C970" s="115"/>
      <c r="D970" s="115"/>
      <c r="E970" s="115"/>
      <c r="F970" s="115"/>
      <c r="G970" s="99"/>
      <c r="H970" s="98"/>
      <c r="I970" s="100"/>
      <c r="J970" s="100"/>
      <c r="K970" s="100"/>
      <c r="L970" s="101"/>
      <c r="M970" s="101"/>
      <c r="N970" s="112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  <c r="AA970" s="101"/>
      <c r="AB970" s="101"/>
      <c r="AC970" s="101"/>
    </row>
    <row r="971" spans="1:29" ht="13">
      <c r="A971" s="115"/>
      <c r="B971" s="97"/>
      <c r="C971" s="115"/>
      <c r="D971" s="115"/>
      <c r="E971" s="115"/>
      <c r="F971" s="115"/>
      <c r="G971" s="99"/>
      <c r="H971" s="98"/>
      <c r="I971" s="100"/>
      <c r="J971" s="100"/>
      <c r="K971" s="100"/>
      <c r="L971" s="101"/>
      <c r="M971" s="101"/>
      <c r="N971" s="112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  <c r="AA971" s="101"/>
      <c r="AB971" s="101"/>
      <c r="AC971" s="101"/>
    </row>
    <row r="972" spans="1:29" ht="13">
      <c r="A972" s="115"/>
      <c r="B972" s="97"/>
      <c r="C972" s="115"/>
      <c r="D972" s="115"/>
      <c r="E972" s="115"/>
      <c r="F972" s="115"/>
      <c r="G972" s="99"/>
      <c r="H972" s="98"/>
      <c r="I972" s="100"/>
      <c r="J972" s="100"/>
      <c r="K972" s="100"/>
      <c r="L972" s="101"/>
      <c r="M972" s="101"/>
      <c r="N972" s="112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  <c r="AA972" s="101"/>
      <c r="AB972" s="101"/>
      <c r="AC972" s="101"/>
    </row>
    <row r="973" spans="1:29" ht="13">
      <c r="A973" s="115"/>
      <c r="B973" s="97"/>
      <c r="C973" s="115"/>
      <c r="D973" s="115"/>
      <c r="E973" s="115"/>
      <c r="F973" s="115"/>
      <c r="G973" s="99"/>
      <c r="H973" s="98"/>
      <c r="I973" s="100"/>
      <c r="J973" s="100"/>
      <c r="K973" s="100"/>
      <c r="L973" s="101"/>
      <c r="M973" s="101"/>
      <c r="N973" s="112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  <c r="AA973" s="101"/>
      <c r="AB973" s="101"/>
      <c r="AC973" s="101"/>
    </row>
    <row r="974" spans="1:29" ht="13">
      <c r="A974" s="115"/>
      <c r="B974" s="97"/>
      <c r="C974" s="115"/>
      <c r="D974" s="115"/>
      <c r="E974" s="115"/>
      <c r="F974" s="115"/>
      <c r="G974" s="99"/>
      <c r="H974" s="98"/>
      <c r="I974" s="100"/>
      <c r="J974" s="100"/>
      <c r="K974" s="100"/>
      <c r="L974" s="101"/>
      <c r="M974" s="101"/>
      <c r="N974" s="112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  <c r="AA974" s="101"/>
      <c r="AB974" s="101"/>
      <c r="AC974" s="101"/>
    </row>
    <row r="975" spans="1:29" ht="13">
      <c r="A975" s="115"/>
      <c r="B975" s="97"/>
      <c r="C975" s="115"/>
      <c r="D975" s="115"/>
      <c r="E975" s="115"/>
      <c r="F975" s="115"/>
      <c r="G975" s="99"/>
      <c r="H975" s="98"/>
      <c r="I975" s="100"/>
      <c r="J975" s="100"/>
      <c r="K975" s="100"/>
      <c r="L975" s="101"/>
      <c r="M975" s="101"/>
      <c r="N975" s="112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  <c r="AA975" s="101"/>
      <c r="AB975" s="101"/>
      <c r="AC975" s="101"/>
    </row>
    <row r="976" spans="1:29" ht="13">
      <c r="A976" s="115"/>
      <c r="B976" s="97"/>
      <c r="C976" s="115"/>
      <c r="D976" s="115"/>
      <c r="E976" s="115"/>
      <c r="F976" s="115"/>
      <c r="G976" s="99"/>
      <c r="H976" s="98"/>
      <c r="I976" s="100"/>
      <c r="J976" s="100"/>
      <c r="K976" s="100"/>
      <c r="L976" s="101"/>
      <c r="M976" s="101"/>
      <c r="N976" s="112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  <c r="AA976" s="101"/>
      <c r="AB976" s="101"/>
      <c r="AC976" s="101"/>
    </row>
    <row r="977" spans="1:29" ht="13">
      <c r="A977" s="115"/>
      <c r="B977" s="97"/>
      <c r="C977" s="115"/>
      <c r="D977" s="115"/>
      <c r="E977" s="115"/>
      <c r="F977" s="115"/>
      <c r="G977" s="99"/>
      <c r="H977" s="98"/>
      <c r="I977" s="100"/>
      <c r="J977" s="100"/>
      <c r="K977" s="100"/>
      <c r="L977" s="101"/>
      <c r="M977" s="101"/>
      <c r="N977" s="112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  <c r="AA977" s="101"/>
      <c r="AB977" s="101"/>
      <c r="AC977" s="101"/>
    </row>
    <row r="978" spans="1:29" ht="13">
      <c r="A978" s="115"/>
      <c r="B978" s="97"/>
      <c r="C978" s="115"/>
      <c r="D978" s="115"/>
      <c r="E978" s="115"/>
      <c r="F978" s="115"/>
      <c r="G978" s="99"/>
      <c r="H978" s="98"/>
      <c r="I978" s="100"/>
      <c r="J978" s="100"/>
      <c r="K978" s="100"/>
      <c r="L978" s="101"/>
      <c r="M978" s="101"/>
      <c r="N978" s="112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  <c r="AA978" s="101"/>
      <c r="AB978" s="101"/>
      <c r="AC978" s="101"/>
    </row>
    <row r="979" spans="1:29" ht="13">
      <c r="A979" s="115"/>
      <c r="B979" s="97"/>
      <c r="C979" s="115"/>
      <c r="D979" s="115"/>
      <c r="E979" s="115"/>
      <c r="F979" s="115"/>
      <c r="G979" s="99"/>
      <c r="H979" s="98"/>
      <c r="I979" s="100"/>
      <c r="J979" s="100"/>
      <c r="K979" s="100"/>
      <c r="L979" s="101"/>
      <c r="M979" s="101"/>
      <c r="N979" s="112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  <c r="AA979" s="101"/>
      <c r="AB979" s="101"/>
      <c r="AC979" s="101"/>
    </row>
    <row r="980" spans="1:29" ht="13">
      <c r="A980" s="115"/>
      <c r="B980" s="97"/>
      <c r="C980" s="115"/>
      <c r="D980" s="115"/>
      <c r="E980" s="115"/>
      <c r="F980" s="115"/>
      <c r="G980" s="99"/>
      <c r="H980" s="98"/>
      <c r="I980" s="100"/>
      <c r="J980" s="100"/>
      <c r="K980" s="100"/>
      <c r="L980" s="101"/>
      <c r="M980" s="101"/>
      <c r="N980" s="112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  <c r="AA980" s="101"/>
      <c r="AB980" s="101"/>
      <c r="AC980" s="101"/>
    </row>
    <row r="981" spans="1:29" ht="13">
      <c r="A981" s="115"/>
      <c r="B981" s="97"/>
      <c r="C981" s="115"/>
      <c r="D981" s="115"/>
      <c r="E981" s="115"/>
      <c r="F981" s="115"/>
      <c r="G981" s="99"/>
      <c r="H981" s="98"/>
      <c r="I981" s="100"/>
      <c r="J981" s="100"/>
      <c r="K981" s="100"/>
      <c r="L981" s="101"/>
      <c r="M981" s="101"/>
      <c r="N981" s="112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  <c r="AA981" s="101"/>
      <c r="AB981" s="101"/>
      <c r="AC981" s="101"/>
    </row>
    <row r="982" spans="1:29" ht="13">
      <c r="A982" s="115"/>
      <c r="B982" s="97"/>
      <c r="C982" s="115"/>
      <c r="D982" s="115"/>
      <c r="E982" s="115"/>
      <c r="F982" s="115"/>
      <c r="G982" s="99"/>
      <c r="H982" s="98"/>
      <c r="I982" s="100"/>
      <c r="J982" s="100"/>
      <c r="K982" s="100"/>
      <c r="L982" s="101"/>
      <c r="M982" s="101"/>
      <c r="N982" s="112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  <c r="AA982" s="101"/>
      <c r="AB982" s="101"/>
      <c r="AC982" s="101"/>
    </row>
    <row r="983" spans="1:29" ht="13">
      <c r="A983" s="115"/>
      <c r="B983" s="97"/>
      <c r="C983" s="115"/>
      <c r="D983" s="115"/>
      <c r="E983" s="115"/>
      <c r="F983" s="115"/>
      <c r="G983" s="99"/>
      <c r="H983" s="98"/>
      <c r="I983" s="100"/>
      <c r="J983" s="100"/>
      <c r="K983" s="100"/>
      <c r="L983" s="101"/>
      <c r="M983" s="101"/>
      <c r="N983" s="112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  <c r="AA983" s="101"/>
      <c r="AB983" s="101"/>
      <c r="AC983" s="101"/>
    </row>
    <row r="984" spans="1:29" ht="13">
      <c r="A984" s="115"/>
      <c r="B984" s="97"/>
      <c r="C984" s="115"/>
      <c r="D984" s="115"/>
      <c r="E984" s="115"/>
      <c r="F984" s="115"/>
      <c r="G984" s="99"/>
      <c r="H984" s="98"/>
      <c r="I984" s="100"/>
      <c r="J984" s="100"/>
      <c r="K984" s="100"/>
      <c r="L984" s="101"/>
      <c r="M984" s="101"/>
      <c r="N984" s="112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  <c r="AA984" s="101"/>
      <c r="AB984" s="101"/>
      <c r="AC984" s="101"/>
    </row>
    <row r="985" spans="1:29" ht="13">
      <c r="A985" s="115"/>
      <c r="B985" s="97"/>
      <c r="C985" s="115"/>
      <c r="D985" s="115"/>
      <c r="E985" s="115"/>
      <c r="F985" s="115"/>
      <c r="G985" s="99"/>
      <c r="H985" s="98"/>
      <c r="I985" s="100"/>
      <c r="J985" s="100"/>
      <c r="K985" s="100"/>
      <c r="L985" s="101"/>
      <c r="M985" s="101"/>
      <c r="N985" s="112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  <c r="AA985" s="101"/>
      <c r="AB985" s="101"/>
      <c r="AC985" s="101"/>
    </row>
    <row r="986" spans="1:29" ht="13">
      <c r="A986" s="115"/>
      <c r="B986" s="97"/>
      <c r="C986" s="115"/>
      <c r="D986" s="115"/>
      <c r="E986" s="115"/>
      <c r="F986" s="115"/>
      <c r="G986" s="99"/>
      <c r="H986" s="98"/>
      <c r="I986" s="100"/>
      <c r="J986" s="100"/>
      <c r="K986" s="100"/>
      <c r="L986" s="101"/>
      <c r="M986" s="101"/>
      <c r="N986" s="112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  <c r="AA986" s="101"/>
      <c r="AB986" s="101"/>
      <c r="AC986" s="101"/>
    </row>
    <row r="987" spans="1:29" ht="13">
      <c r="A987" s="115"/>
      <c r="B987" s="97"/>
      <c r="C987" s="115"/>
      <c r="D987" s="115"/>
      <c r="E987" s="115"/>
      <c r="F987" s="115"/>
      <c r="G987" s="99"/>
      <c r="H987" s="98"/>
      <c r="I987" s="100"/>
      <c r="J987" s="100"/>
      <c r="K987" s="100"/>
      <c r="L987" s="101"/>
      <c r="M987" s="101"/>
      <c r="N987" s="112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  <c r="AA987" s="101"/>
      <c r="AB987" s="101"/>
      <c r="AC987" s="101"/>
    </row>
    <row r="988" spans="1:29" ht="13">
      <c r="A988" s="115"/>
      <c r="B988" s="97"/>
      <c r="C988" s="115"/>
      <c r="D988" s="115"/>
      <c r="E988" s="115"/>
      <c r="F988" s="115"/>
      <c r="G988" s="99"/>
      <c r="H988" s="98"/>
      <c r="I988" s="100"/>
      <c r="J988" s="100"/>
      <c r="K988" s="100"/>
      <c r="L988" s="101"/>
      <c r="M988" s="101"/>
      <c r="N988" s="112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  <c r="AA988" s="101"/>
      <c r="AB988" s="101"/>
      <c r="AC988" s="101"/>
    </row>
    <row r="989" spans="1:29" ht="13">
      <c r="A989" s="115"/>
      <c r="B989" s="97"/>
      <c r="C989" s="115"/>
      <c r="D989" s="115"/>
      <c r="E989" s="115"/>
      <c r="F989" s="115"/>
      <c r="G989" s="99"/>
      <c r="H989" s="98"/>
      <c r="I989" s="100"/>
      <c r="J989" s="100"/>
      <c r="K989" s="100"/>
      <c r="L989" s="101"/>
      <c r="M989" s="101"/>
      <c r="N989" s="112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  <c r="AA989" s="101"/>
      <c r="AB989" s="101"/>
      <c r="AC989" s="101"/>
    </row>
    <row r="990" spans="1:29" ht="13">
      <c r="A990" s="115"/>
      <c r="B990" s="97"/>
      <c r="C990" s="115"/>
      <c r="D990" s="115"/>
      <c r="E990" s="115"/>
      <c r="F990" s="115"/>
      <c r="G990" s="99"/>
      <c r="H990" s="98"/>
      <c r="I990" s="100"/>
      <c r="J990" s="100"/>
      <c r="K990" s="100"/>
      <c r="L990" s="101"/>
      <c r="M990" s="101"/>
      <c r="N990" s="112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  <c r="AA990" s="101"/>
      <c r="AB990" s="101"/>
      <c r="AC990" s="101"/>
    </row>
    <row r="991" spans="1:29" ht="13">
      <c r="A991" s="115"/>
      <c r="B991" s="97"/>
      <c r="C991" s="115"/>
      <c r="D991" s="115"/>
      <c r="E991" s="115"/>
      <c r="F991" s="115"/>
      <c r="G991" s="99"/>
      <c r="H991" s="98"/>
      <c r="I991" s="100"/>
      <c r="J991" s="100"/>
      <c r="K991" s="100"/>
      <c r="L991" s="101"/>
      <c r="M991" s="101"/>
      <c r="N991" s="112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  <c r="AA991" s="101"/>
      <c r="AB991" s="101"/>
      <c r="AC991" s="101"/>
    </row>
    <row r="992" spans="1:29" ht="13">
      <c r="A992" s="115"/>
      <c r="B992" s="97"/>
      <c r="C992" s="115"/>
      <c r="D992" s="115"/>
      <c r="E992" s="115"/>
      <c r="F992" s="115"/>
      <c r="G992" s="99"/>
      <c r="H992" s="98"/>
      <c r="I992" s="100"/>
      <c r="J992" s="100"/>
      <c r="K992" s="100"/>
      <c r="L992" s="101"/>
      <c r="M992" s="101"/>
      <c r="N992" s="112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  <c r="AA992" s="101"/>
      <c r="AB992" s="101"/>
      <c r="AC992" s="101"/>
    </row>
    <row r="993" spans="1:29" ht="13">
      <c r="A993" s="115"/>
      <c r="B993" s="97"/>
      <c r="C993" s="115"/>
      <c r="D993" s="115"/>
      <c r="E993" s="115"/>
      <c r="F993" s="115"/>
      <c r="G993" s="99"/>
      <c r="H993" s="98"/>
      <c r="I993" s="100"/>
      <c r="J993" s="100"/>
      <c r="K993" s="100"/>
      <c r="L993" s="101"/>
      <c r="M993" s="101"/>
      <c r="N993" s="112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  <c r="AA993" s="101"/>
      <c r="AB993" s="101"/>
      <c r="AC993" s="101"/>
    </row>
    <row r="994" spans="1:29" ht="13">
      <c r="A994" s="115"/>
      <c r="B994" s="97"/>
      <c r="C994" s="115"/>
      <c r="D994" s="115"/>
      <c r="E994" s="115"/>
      <c r="F994" s="115"/>
      <c r="G994" s="99"/>
      <c r="H994" s="98"/>
      <c r="I994" s="100"/>
      <c r="J994" s="100"/>
      <c r="K994" s="100"/>
      <c r="L994" s="101"/>
      <c r="M994" s="101"/>
      <c r="N994" s="112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  <c r="AA994" s="101"/>
      <c r="AB994" s="101"/>
      <c r="AC994" s="101"/>
    </row>
    <row r="995" spans="1:29" ht="13">
      <c r="A995" s="115"/>
      <c r="B995" s="97"/>
      <c r="C995" s="115"/>
      <c r="D995" s="115"/>
      <c r="E995" s="115"/>
      <c r="F995" s="115"/>
      <c r="G995" s="99"/>
      <c r="H995" s="98"/>
      <c r="I995" s="100"/>
      <c r="J995" s="100"/>
      <c r="K995" s="100"/>
      <c r="L995" s="101"/>
      <c r="M995" s="101"/>
      <c r="N995" s="112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  <c r="AA995" s="101"/>
      <c r="AB995" s="101"/>
      <c r="AC995" s="101"/>
    </row>
    <row r="996" spans="1:29" ht="13">
      <c r="A996" s="115"/>
      <c r="B996" s="97"/>
      <c r="C996" s="115"/>
      <c r="D996" s="115"/>
      <c r="E996" s="115"/>
      <c r="F996" s="115"/>
      <c r="G996" s="99"/>
      <c r="H996" s="98"/>
      <c r="I996" s="100"/>
      <c r="J996" s="100"/>
      <c r="K996" s="100"/>
      <c r="L996" s="101"/>
      <c r="M996" s="101"/>
      <c r="N996" s="112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  <c r="AA996" s="101"/>
      <c r="AB996" s="101"/>
      <c r="AC996" s="101"/>
    </row>
    <row r="997" spans="1:29" ht="13">
      <c r="A997" s="115"/>
      <c r="B997" s="97"/>
      <c r="C997" s="115"/>
      <c r="D997" s="115"/>
      <c r="E997" s="115"/>
      <c r="F997" s="115"/>
      <c r="G997" s="99"/>
      <c r="H997" s="98"/>
      <c r="I997" s="100"/>
      <c r="J997" s="100"/>
      <c r="K997" s="100"/>
      <c r="L997" s="101"/>
      <c r="M997" s="101"/>
      <c r="N997" s="112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  <c r="AA997" s="101"/>
      <c r="AB997" s="101"/>
      <c r="AC997" s="101"/>
    </row>
    <row r="998" spans="1:29" ht="13">
      <c r="A998" s="115"/>
      <c r="B998" s="97"/>
      <c r="C998" s="115"/>
      <c r="D998" s="115"/>
      <c r="E998" s="115"/>
      <c r="F998" s="115"/>
      <c r="G998" s="99"/>
      <c r="H998" s="98"/>
      <c r="I998" s="100"/>
      <c r="J998" s="100"/>
      <c r="K998" s="100"/>
      <c r="L998" s="101"/>
      <c r="M998" s="101"/>
      <c r="N998" s="112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  <c r="AA998" s="101"/>
      <c r="AB998" s="101"/>
      <c r="AC998" s="101"/>
    </row>
    <row r="999" spans="1:29" ht="13">
      <c r="A999" s="115"/>
      <c r="B999" s="97"/>
      <c r="C999" s="115"/>
      <c r="D999" s="115"/>
      <c r="E999" s="115"/>
      <c r="F999" s="115"/>
      <c r="G999" s="99"/>
      <c r="H999" s="98"/>
      <c r="I999" s="100"/>
      <c r="J999" s="100"/>
      <c r="K999" s="100"/>
      <c r="L999" s="101"/>
      <c r="M999" s="101"/>
      <c r="N999" s="112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  <c r="AA999" s="101"/>
      <c r="AB999" s="101"/>
      <c r="AC999" s="101"/>
    </row>
    <row r="1000" spans="1:29" ht="13">
      <c r="A1000" s="115"/>
      <c r="B1000" s="97"/>
      <c r="C1000" s="115"/>
      <c r="D1000" s="115"/>
      <c r="E1000" s="115"/>
      <c r="F1000" s="115"/>
      <c r="G1000" s="99"/>
      <c r="H1000" s="98"/>
      <c r="I1000" s="100"/>
      <c r="J1000" s="100"/>
      <c r="K1000" s="100"/>
      <c r="L1000" s="101"/>
      <c r="M1000" s="101"/>
      <c r="N1000" s="112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  <c r="AA1000" s="101"/>
      <c r="AB1000" s="101"/>
      <c r="AC1000" s="101"/>
    </row>
    <row r="1001" spans="1:29" ht="13">
      <c r="A1001" s="115"/>
      <c r="B1001" s="97"/>
      <c r="C1001" s="115"/>
      <c r="D1001" s="115"/>
      <c r="E1001" s="115"/>
      <c r="F1001" s="115"/>
      <c r="G1001" s="99"/>
      <c r="H1001" s="98"/>
      <c r="I1001" s="100"/>
      <c r="J1001" s="100"/>
      <c r="K1001" s="100"/>
      <c r="L1001" s="101"/>
      <c r="M1001" s="101"/>
      <c r="N1001" s="112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1"/>
      <c r="Y1001" s="101"/>
      <c r="Z1001" s="101"/>
      <c r="AA1001" s="101"/>
      <c r="AB1001" s="101"/>
      <c r="AC1001" s="101"/>
    </row>
  </sheetData>
  <mergeCells count="1">
    <mergeCell ref="M1:N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9DAF8"/>
    <outlinePr summaryBelow="0" summaryRight="0"/>
    <pageSetUpPr fitToPage="1"/>
  </sheetPr>
  <dimension ref="A1:Z1006"/>
  <sheetViews>
    <sheetView workbookViewId="0"/>
  </sheetViews>
  <sheetFormatPr defaultColWidth="14.453125" defaultRowHeight="15" customHeight="1"/>
  <cols>
    <col min="1" max="1" width="7.26953125" customWidth="1"/>
    <col min="2" max="3" width="5.453125" customWidth="1"/>
    <col min="4" max="4" width="7.08984375" customWidth="1"/>
    <col min="5" max="5" width="22.7265625" hidden="1" customWidth="1"/>
    <col min="6" max="6" width="13.453125" hidden="1" customWidth="1"/>
    <col min="7" max="7" width="56.54296875" customWidth="1"/>
    <col min="8" max="8" width="25.81640625" hidden="1" customWidth="1"/>
    <col min="9" max="10" width="12.7265625" hidden="1" customWidth="1"/>
    <col min="11" max="11" width="7.453125" hidden="1" customWidth="1"/>
    <col min="12" max="12" width="13.7265625" hidden="1" customWidth="1"/>
    <col min="13" max="13" width="7.453125" hidden="1" customWidth="1"/>
    <col min="14" max="14" width="12.7265625" hidden="1" customWidth="1"/>
    <col min="15" max="15" width="9.54296875" hidden="1" customWidth="1"/>
    <col min="16" max="16" width="27" hidden="1" customWidth="1"/>
    <col min="17" max="17" width="11.54296875" customWidth="1"/>
    <col min="18" max="18" width="8.453125" customWidth="1"/>
    <col min="19" max="19" width="7.453125" hidden="1" customWidth="1"/>
    <col min="20" max="20" width="10.54296875" hidden="1" customWidth="1"/>
    <col min="21" max="21" width="10.54296875" customWidth="1"/>
    <col min="22" max="23" width="10.54296875" hidden="1" customWidth="1"/>
    <col min="24" max="24" width="11.54296875" hidden="1" customWidth="1"/>
    <col min="25" max="25" width="13.54296875" hidden="1" customWidth="1"/>
    <col min="26" max="26" width="13.54296875" customWidth="1"/>
  </cols>
  <sheetData>
    <row r="1" spans="1:26" ht="15.75" customHeight="1">
      <c r="A1" s="37" t="s">
        <v>1538</v>
      </c>
      <c r="B1" s="331"/>
      <c r="C1" s="73"/>
      <c r="D1" s="41"/>
      <c r="E1" s="40"/>
      <c r="F1" s="40"/>
      <c r="G1" s="41"/>
      <c r="H1" s="40"/>
      <c r="I1" s="40"/>
      <c r="J1" s="40"/>
      <c r="K1" s="40"/>
      <c r="L1" s="40"/>
      <c r="M1" s="40"/>
      <c r="N1" s="40"/>
      <c r="O1" s="40"/>
      <c r="P1" s="42"/>
      <c r="Q1" s="43"/>
      <c r="R1" s="43"/>
      <c r="S1" s="43"/>
      <c r="T1" s="43"/>
      <c r="U1" s="44"/>
      <c r="V1" s="40"/>
      <c r="W1" s="40"/>
      <c r="X1" s="40"/>
      <c r="Y1" s="40"/>
      <c r="Z1" s="40"/>
    </row>
    <row r="2" spans="1:26" ht="26">
      <c r="A2" s="46" t="s">
        <v>36</v>
      </c>
      <c r="B2" s="54" t="s">
        <v>95</v>
      </c>
      <c r="C2" s="54" t="s">
        <v>38</v>
      </c>
      <c r="D2" s="332" t="s">
        <v>40</v>
      </c>
      <c r="E2" s="49" t="s">
        <v>43</v>
      </c>
      <c r="F2" s="50" t="s">
        <v>45</v>
      </c>
      <c r="G2" s="47" t="s">
        <v>96</v>
      </c>
      <c r="H2" s="50" t="s">
        <v>97</v>
      </c>
      <c r="I2" s="50" t="s">
        <v>98</v>
      </c>
      <c r="J2" s="50" t="s">
        <v>99</v>
      </c>
      <c r="K2" s="48" t="s">
        <v>100</v>
      </c>
      <c r="L2" s="50" t="s">
        <v>101</v>
      </c>
      <c r="M2" s="48" t="s">
        <v>102</v>
      </c>
      <c r="N2" s="50" t="s">
        <v>103</v>
      </c>
      <c r="O2" s="48" t="s">
        <v>104</v>
      </c>
      <c r="P2" s="51" t="s">
        <v>1156</v>
      </c>
      <c r="Q2" s="52" t="s">
        <v>63</v>
      </c>
      <c r="R2" s="52" t="s">
        <v>65</v>
      </c>
      <c r="S2" s="52" t="s">
        <v>67</v>
      </c>
      <c r="T2" s="52" t="s">
        <v>69</v>
      </c>
      <c r="U2" s="53" t="s">
        <v>71</v>
      </c>
      <c r="V2" s="54" t="s">
        <v>106</v>
      </c>
      <c r="W2" s="54" t="s">
        <v>107</v>
      </c>
      <c r="X2" s="54" t="s">
        <v>108</v>
      </c>
      <c r="Y2" s="54" t="s">
        <v>73</v>
      </c>
      <c r="Z2" s="55" t="s">
        <v>109</v>
      </c>
    </row>
    <row r="3" spans="1:26" ht="15.75" customHeight="1">
      <c r="A3" s="56" t="str">
        <f ca="1">IFERROR(__xludf.DUMMYFUNCTION("QUERY({N!A3:Y138;E!A3:Y142;S!A3:Y26;W!A3:Y70},""SELECT * ORDER BY Col4 ASC"")"),"E0NE")</f>
        <v>E0NE</v>
      </c>
      <c r="B3" s="333">
        <f ca="1">IFERROR(__xludf.DUMMYFUNCTION("""COMPUTED_VALUE"""),0)</f>
        <v>0</v>
      </c>
      <c r="C3" s="60" t="str">
        <f ca="1">IFERROR(__xludf.DUMMYFUNCTION("""COMPUTED_VALUE"""),"NE")</f>
        <v>NE</v>
      </c>
      <c r="D3" s="334">
        <f ca="1">IFERROR(__xludf.DUMMYFUNCTION("""COMPUTED_VALUE"""),200)</f>
        <v>200</v>
      </c>
      <c r="E3" s="60" t="str">
        <f ca="1">IFERROR(__xludf.DUMMYFUNCTION("""COMPUTED_VALUE"""),"3434916064T20050430")</f>
        <v>3434916064T20050430</v>
      </c>
      <c r="F3" s="60">
        <f ca="1">IFERROR(__xludf.DUMMYFUNCTION("""COMPUTED_VALUE"""),1103124226)</f>
        <v>1103124226</v>
      </c>
      <c r="G3" s="58" t="str">
        <f ca="1">IFERROR(__xludf.DUMMYFUNCTION("""COMPUTED_VALUE"""),"One Exchange Square")</f>
        <v>One Exchange Square</v>
      </c>
      <c r="H3" s="60" t="str">
        <f ca="1">IFERROR(__xludf.DUMMYFUNCTION("""COMPUTED_VALUE"""),"交易廣場第一座")</f>
        <v>交易廣場第一座</v>
      </c>
      <c r="I3" s="60">
        <f ca="1">IFERROR(__xludf.DUMMYFUNCTION("""COMPUTED_VALUE"""),114.1583588)</f>
        <v>114.1583588</v>
      </c>
      <c r="J3" s="60">
        <f ca="1">IFERROR(__xludf.DUMMYFUNCTION("""COMPUTED_VALUE"""),22.28344217)</f>
        <v>22.283442170000001</v>
      </c>
      <c r="K3" s="61">
        <f ca="1">IFERROR(__xludf.DUMMYFUNCTION("""COMPUTED_VALUE"""),3.6)</f>
        <v>3.6</v>
      </c>
      <c r="L3" s="60" t="str">
        <f ca="1">IFERROR(__xludf.DUMMYFUNCTION("""COMPUTED_VALUE"""),"l")</f>
        <v>l</v>
      </c>
      <c r="M3" s="61">
        <f ca="1">IFERROR(__xludf.DUMMYFUNCTION("""COMPUTED_VALUE"""),185.9)</f>
        <v>185.9</v>
      </c>
      <c r="N3" s="60" t="str">
        <f ca="1">IFERROR(__xludf.DUMMYFUNCTION("""COMPUTED_VALUE"""),"p")</f>
        <v>p</v>
      </c>
      <c r="O3" s="61">
        <f ca="1">IFERROR(__xludf.DUMMYFUNCTION("""COMPUTED_VALUE"""),182.3)</f>
        <v>182.3</v>
      </c>
      <c r="P3" s="62"/>
      <c r="Q3" s="43" t="b">
        <f ca="1">IFERROR(__xludf.DUMMYFUNCTION("""COMPUTED_VALUE"""),FALSE)</f>
        <v>0</v>
      </c>
      <c r="R3" s="43" t="b">
        <f ca="1">IFERROR(__xludf.DUMMYFUNCTION("""COMPUTED_VALUE"""),FALSE)</f>
        <v>0</v>
      </c>
      <c r="S3" s="43" t="b">
        <f ca="1">IFERROR(__xludf.DUMMYFUNCTION("""COMPUTED_VALUE"""),FALSE)</f>
        <v>0</v>
      </c>
      <c r="T3" s="63" t="b">
        <f ca="1">IFERROR(__xludf.DUMMYFUNCTION("""COMPUTED_VALUE"""),FALSE)</f>
        <v>0</v>
      </c>
      <c r="U3" s="64">
        <f ca="1">IFERROR(__xludf.DUMMYFUNCTION("""COMPUTED_VALUE"""),50)</f>
        <v>50</v>
      </c>
      <c r="V3" s="60">
        <f ca="1">IFERROR(__xludf.DUMMYFUNCTION("""COMPUTED_VALUE"""),0)</f>
        <v>0</v>
      </c>
      <c r="W3" s="59">
        <f ca="1">IFERROR(__xludf.DUMMYFUNCTION("""COMPUTED_VALUE"""),100)</f>
        <v>100</v>
      </c>
      <c r="X3" s="60">
        <f ca="1">IFERROR(__xludf.DUMMYFUNCTION("""COMPUTED_VALUE"""),1984)</f>
        <v>1984</v>
      </c>
      <c r="Y3" s="65" t="str">
        <f ca="1">IFERROR(__xludf.DUMMYFUNCTION("""COMPUTED_VALUE"""),"BMIS_auto")</f>
        <v>BMIS_auto</v>
      </c>
      <c r="Z3" s="66" t="s">
        <v>1761</v>
      </c>
    </row>
    <row r="4" spans="1:26" ht="15.75" customHeight="1">
      <c r="A4" s="56" t="str">
        <f ca="1">IFERROR(__xludf.DUMMYFUNCTION("""COMPUTED_VALUE"""),"E0SE")</f>
        <v>E0SE</v>
      </c>
      <c r="B4" s="333">
        <f ca="1">IFERROR(__xludf.DUMMYFUNCTION("""COMPUTED_VALUE"""),0)</f>
        <v>0</v>
      </c>
      <c r="C4" s="60" t="str">
        <f ca="1">IFERROR(__xludf.DUMMYFUNCTION("""COMPUTED_VALUE"""),"SE")</f>
        <v>SE</v>
      </c>
      <c r="D4" s="334">
        <f ca="1">IFERROR(__xludf.DUMMYFUNCTION("""COMPUTED_VALUE"""),200)</f>
        <v>200</v>
      </c>
      <c r="E4" s="60" t="str">
        <f ca="1">IFERROR(__xludf.DUMMYFUNCTION("""COMPUTED_VALUE"""),"3432516207T20050430")</f>
        <v>3432516207T20050430</v>
      </c>
      <c r="F4" s="60">
        <f ca="1">IFERROR(__xludf.DUMMYFUNCTION("""COMPUTED_VALUE"""),1103123008)</f>
        <v>1103123008</v>
      </c>
      <c r="G4" s="58" t="str">
        <f ca="1">IFERROR(__xludf.DUMMYFUNCTION("""COMPUTED_VALUE"""),"IFC Mall (Hong Kong Station)")</f>
        <v>IFC Mall (Hong Kong Station)</v>
      </c>
      <c r="H4" s="60" t="str">
        <f ca="1">IFERROR(__xludf.DUMMYFUNCTION("""COMPUTED_VALUE"""),"國際金融中心商場（香港站）")</f>
        <v>國際金融中心商場（香港站）</v>
      </c>
      <c r="I4" s="60">
        <f ca="1">IFERROR(__xludf.DUMMYFUNCTION("""COMPUTED_VALUE"""),114.1581677)</f>
        <v>114.15816770000001</v>
      </c>
      <c r="J4" s="60">
        <f ca="1">IFERROR(__xludf.DUMMYFUNCTION("""COMPUTED_VALUE"""),22.28462355)</f>
        <v>22.284623549999999</v>
      </c>
      <c r="K4" s="61">
        <f ca="1">IFERROR(__xludf.DUMMYFUNCTION("""COMPUTED_VALUE"""),3.8)</f>
        <v>3.8</v>
      </c>
      <c r="L4" s="60" t="str">
        <f ca="1">IFERROR(__xludf.DUMMYFUNCTION("""COMPUTED_VALUE"""),"p")</f>
        <v>p</v>
      </c>
      <c r="M4" s="61">
        <f ca="1">IFERROR(__xludf.DUMMYFUNCTION("""COMPUTED_VALUE"""),34.4)</f>
        <v>34.4</v>
      </c>
      <c r="N4" s="60" t="str">
        <f ca="1">IFERROR(__xludf.DUMMYFUNCTION("""COMPUTED_VALUE"""),"p")</f>
        <v>p</v>
      </c>
      <c r="O4" s="61">
        <f ca="1">IFERROR(__xludf.DUMMYFUNCTION("""COMPUTED_VALUE"""),30.6)</f>
        <v>30.6</v>
      </c>
      <c r="P4" s="67" t="str">
        <f ca="1">IFERROR(__xludf.DUMMYFUNCTION("""COMPUTED_VALUE"""),"public transport area")</f>
        <v>public transport area</v>
      </c>
      <c r="Q4" s="43" t="b">
        <f ca="1">IFERROR(__xludf.DUMMYFUNCTION("""COMPUTED_VALUE"""),FALSE)</f>
        <v>0</v>
      </c>
      <c r="R4" s="43" t="b">
        <f ca="1">IFERROR(__xludf.DUMMYFUNCTION("""COMPUTED_VALUE"""),TRUE)</f>
        <v>1</v>
      </c>
      <c r="S4" s="43" t="b">
        <f ca="1">IFERROR(__xludf.DUMMYFUNCTION("""COMPUTED_VALUE"""),FALSE)</f>
        <v>0</v>
      </c>
      <c r="T4" s="63" t="b">
        <f ca="1">IFERROR(__xludf.DUMMYFUNCTION("""COMPUTED_VALUE"""),TRUE)</f>
        <v>1</v>
      </c>
      <c r="U4" s="68">
        <f ca="1">IFERROR(__xludf.DUMMYFUNCTION("""COMPUTED_VALUE"""),4)</f>
        <v>4</v>
      </c>
      <c r="V4" s="60"/>
      <c r="W4" s="59"/>
      <c r="X4" s="60"/>
      <c r="Y4" s="60" t="str">
        <f ca="1">IFERROR(__xludf.DUMMYFUNCTION("""COMPUTED_VALUE"""),"Street View")</f>
        <v>Street View</v>
      </c>
      <c r="Z4" s="66" t="s">
        <v>1763</v>
      </c>
    </row>
    <row r="5" spans="1:26" ht="15.75" customHeight="1">
      <c r="A5" s="56" t="str">
        <f ca="1">IFERROR(__xludf.DUMMYFUNCTION("""COMPUTED_VALUE"""),"E0SW")</f>
        <v>E0SW</v>
      </c>
      <c r="B5" s="333">
        <f ca="1">IFERROR(__xludf.DUMMYFUNCTION("""COMPUTED_VALUE"""),0)</f>
        <v>0</v>
      </c>
      <c r="C5" s="60" t="str">
        <f ca="1">IFERROR(__xludf.DUMMYFUNCTION("""COMPUTED_VALUE"""),"SW")</f>
        <v>SW</v>
      </c>
      <c r="D5" s="334">
        <f ca="1">IFERROR(__xludf.DUMMYFUNCTION("""COMPUTED_VALUE"""),200)</f>
        <v>200</v>
      </c>
      <c r="E5" s="60" t="str">
        <f ca="1">IFERROR(__xludf.DUMMYFUNCTION("""COMPUTED_VALUE"""),"3446816065T20050430")</f>
        <v>3446816065T20050430</v>
      </c>
      <c r="F5" s="60">
        <f ca="1">IFERROR(__xludf.DUMMYFUNCTION("""COMPUTED_VALUE"""),1103124028)</f>
        <v>1103124028</v>
      </c>
      <c r="G5" s="58" t="str">
        <f ca="1">IFERROR(__xludf.DUMMYFUNCTION("""COMPUTED_VALUE"""),"General Post Office")</f>
        <v>General Post Office</v>
      </c>
      <c r="H5" s="60" t="str">
        <f ca="1">IFERROR(__xludf.DUMMYFUNCTION("""COMPUTED_VALUE"""),"郵政總局")</f>
        <v>郵政總局</v>
      </c>
      <c r="I5" s="60">
        <f ca="1">IFERROR(__xludf.DUMMYFUNCTION("""COMPUTED_VALUE"""),114.1595438)</f>
        <v>114.15954379999999</v>
      </c>
      <c r="J5" s="60">
        <f ca="1">IFERROR(__xludf.DUMMYFUNCTION("""COMPUTED_VALUE"""),22.28356294)</f>
        <v>22.283562939999999</v>
      </c>
      <c r="K5" s="61">
        <f ca="1">IFERROR(__xludf.DUMMYFUNCTION("""COMPUTED_VALUE"""),3.9)</f>
        <v>3.9</v>
      </c>
      <c r="L5" s="60" t="str">
        <f ca="1">IFERROR(__xludf.DUMMYFUNCTION("""COMPUTED_VALUE"""),"p")</f>
        <v>p</v>
      </c>
      <c r="M5" s="61">
        <f ca="1">IFERROR(__xludf.DUMMYFUNCTION("""COMPUTED_VALUE"""),30.1)</f>
        <v>30.1</v>
      </c>
      <c r="N5" s="60" t="str">
        <f ca="1">IFERROR(__xludf.DUMMYFUNCTION("""COMPUTED_VALUE"""),"p")</f>
        <v>p</v>
      </c>
      <c r="O5" s="61">
        <f ca="1">IFERROR(__xludf.DUMMYFUNCTION("""COMPUTED_VALUE"""),26.2)</f>
        <v>26.2</v>
      </c>
      <c r="P5" s="67" t="str">
        <f ca="1">IFERROR(__xludf.DUMMYFUNCTION("""COMPUTED_VALUE"""),"government building")</f>
        <v>government building</v>
      </c>
      <c r="Q5" s="43" t="b">
        <f ca="1">IFERROR(__xludf.DUMMYFUNCTION("""COMPUTED_VALUE"""),FALSE)</f>
        <v>0</v>
      </c>
      <c r="R5" s="43" t="b">
        <f ca="1">IFERROR(__xludf.DUMMYFUNCTION("""COMPUTED_VALUE"""),TRUE)</f>
        <v>1</v>
      </c>
      <c r="S5" s="43" t="b">
        <f ca="1">IFERROR(__xludf.DUMMYFUNCTION("""COMPUTED_VALUE"""),FALSE)</f>
        <v>0</v>
      </c>
      <c r="T5" s="63" t="b">
        <f ca="1">IFERROR(__xludf.DUMMYFUNCTION("""COMPUTED_VALUE"""),TRUE)</f>
        <v>1</v>
      </c>
      <c r="U5" s="68">
        <f ca="1">IFERROR(__xludf.DUMMYFUNCTION("""COMPUTED_VALUE"""),3)</f>
        <v>3</v>
      </c>
      <c r="V5" s="65"/>
      <c r="W5" s="66"/>
      <c r="X5" s="65"/>
      <c r="Y5" s="60" t="str">
        <f ca="1">IFERROR(__xludf.DUMMYFUNCTION("""COMPUTED_VALUE"""),"Street View")</f>
        <v>Street View</v>
      </c>
      <c r="Z5" s="66" t="s">
        <v>1765</v>
      </c>
    </row>
    <row r="6" spans="1:26" ht="15.75" customHeight="1">
      <c r="A6" s="56" t="str">
        <f ca="1">IFERROR(__xludf.DUMMYFUNCTION("""COMPUTED_VALUE"""),"E0NW")</f>
        <v>E0NW</v>
      </c>
      <c r="B6" s="333">
        <f ca="1">IFERROR(__xludf.DUMMYFUNCTION("""COMPUTED_VALUE"""),0)</f>
        <v>0</v>
      </c>
      <c r="C6" s="60" t="str">
        <f ca="1">IFERROR(__xludf.DUMMYFUNCTION("""COMPUTED_VALUE"""),"NW")</f>
        <v>NW</v>
      </c>
      <c r="D6" s="334">
        <f ca="1">IFERROR(__xludf.DUMMYFUNCTION("""COMPUTED_VALUE"""),200)</f>
        <v>200</v>
      </c>
      <c r="E6" s="60" t="str">
        <f ca="1">IFERROR(__xludf.DUMMYFUNCTION("""COMPUTED_VALUE"""),"3444516024T20050430")</f>
        <v>3444516024T20050430</v>
      </c>
      <c r="F6" s="60">
        <f ca="1">IFERROR(__xludf.DUMMYFUNCTION("""COMPUTED_VALUE"""),1103124531)</f>
        <v>1103124531</v>
      </c>
      <c r="G6" s="58" t="str">
        <f ca="1">IFERROR(__xludf.DUMMYFUNCTION("""COMPUTED_VALUE"""),"Jardine House")</f>
        <v>Jardine House</v>
      </c>
      <c r="H6" s="60" t="str">
        <f ca="1">IFERROR(__xludf.DUMMYFUNCTION("""COMPUTED_VALUE"""),"怡和大廈")</f>
        <v>怡和大廈</v>
      </c>
      <c r="I6" s="60">
        <f ca="1">IFERROR(__xludf.DUMMYFUNCTION("""COMPUTED_VALUE"""),114.1591553)</f>
        <v>114.15915529999999</v>
      </c>
      <c r="J6" s="60">
        <f ca="1">IFERROR(__xludf.DUMMYFUNCTION("""COMPUTED_VALUE"""),22.28300407)</f>
        <v>22.28300407</v>
      </c>
      <c r="K6" s="61">
        <f ca="1">IFERROR(__xludf.DUMMYFUNCTION("""COMPUTED_VALUE"""),3.7)</f>
        <v>3.7</v>
      </c>
      <c r="L6" s="60" t="str">
        <f ca="1">IFERROR(__xludf.DUMMYFUNCTION("""COMPUTED_VALUE"""),"p")</f>
        <v>p</v>
      </c>
      <c r="M6" s="61">
        <f ca="1">IFERROR(__xludf.DUMMYFUNCTION("""COMPUTED_VALUE"""),182)</f>
        <v>182</v>
      </c>
      <c r="N6" s="60" t="str">
        <f ca="1">IFERROR(__xludf.DUMMYFUNCTION("""COMPUTED_VALUE"""),"p")</f>
        <v>p</v>
      </c>
      <c r="O6" s="61">
        <f ca="1">IFERROR(__xludf.DUMMYFUNCTION("""COMPUTED_VALUE"""),178.3)</f>
        <v>178.3</v>
      </c>
      <c r="P6" s="62"/>
      <c r="Q6" s="43" t="b">
        <f ca="1">IFERROR(__xludf.DUMMYFUNCTION("""COMPUTED_VALUE"""),FALSE)</f>
        <v>0</v>
      </c>
      <c r="R6" s="43" t="b">
        <f ca="1">IFERROR(__xludf.DUMMYFUNCTION("""COMPUTED_VALUE"""),FALSE)</f>
        <v>0</v>
      </c>
      <c r="S6" s="43" t="b">
        <f ca="1">IFERROR(__xludf.DUMMYFUNCTION("""COMPUTED_VALUE"""),FALSE)</f>
        <v>0</v>
      </c>
      <c r="T6" s="63" t="b">
        <f ca="1">IFERROR(__xludf.DUMMYFUNCTION("""COMPUTED_VALUE"""),FALSE)</f>
        <v>0</v>
      </c>
      <c r="U6" s="64">
        <f ca="1">IFERROR(__xludf.DUMMYFUNCTION("""COMPUTED_VALUE"""),48)</f>
        <v>48</v>
      </c>
      <c r="V6" s="60">
        <f ca="1">IFERROR(__xludf.DUMMYFUNCTION("""COMPUTED_VALUE"""),1)</f>
        <v>1</v>
      </c>
      <c r="W6" s="59">
        <f ca="1">IFERROR(__xludf.DUMMYFUNCTION("""COMPUTED_VALUE"""),108)</f>
        <v>108</v>
      </c>
      <c r="X6" s="60">
        <f ca="1">IFERROR(__xludf.DUMMYFUNCTION("""COMPUTED_VALUE"""),1972)</f>
        <v>1972</v>
      </c>
      <c r="Y6" s="65" t="str">
        <f ca="1">IFERROR(__xludf.DUMMYFUNCTION("""COMPUTED_VALUE"""),"BMIS_auto")</f>
        <v>BMIS_auto</v>
      </c>
      <c r="Z6" s="66" t="s">
        <v>1767</v>
      </c>
    </row>
    <row r="7" spans="1:26" ht="15.75" customHeight="1">
      <c r="A7" s="56" t="str">
        <f ca="1">IFERROR(__xludf.DUMMYFUNCTION("""COMPUTED_VALUE"""),"S0NE")</f>
        <v>S0NE</v>
      </c>
      <c r="B7" s="333">
        <f ca="1">IFERROR(__xludf.DUMMYFUNCTION("""COMPUTED_VALUE"""),0)</f>
        <v>0</v>
      </c>
      <c r="C7" s="60" t="str">
        <f ca="1">IFERROR(__xludf.DUMMYFUNCTION("""COMPUTED_VALUE"""),"NE")</f>
        <v>NE</v>
      </c>
      <c r="D7" s="334">
        <f ca="1">IFERROR(__xludf.DUMMYFUNCTION("""COMPUTED_VALUE"""),200)</f>
        <v>200</v>
      </c>
      <c r="E7" s="60" t="str">
        <f ca="1">IFERROR(__xludf.DUMMYFUNCTION("""COMPUTED_VALUE"""),"3434916064T20050430")</f>
        <v>3434916064T20050430</v>
      </c>
      <c r="F7" s="60">
        <f ca="1">IFERROR(__xludf.DUMMYFUNCTION("""COMPUTED_VALUE"""),1103124226)</f>
        <v>1103124226</v>
      </c>
      <c r="G7" s="58" t="str">
        <f ca="1">IFERROR(__xludf.DUMMYFUNCTION("""COMPUTED_VALUE"""),"One Exchange Square")</f>
        <v>One Exchange Square</v>
      </c>
      <c r="H7" s="60" t="str">
        <f ca="1">IFERROR(__xludf.DUMMYFUNCTION("""COMPUTED_VALUE"""),"交易廣場第一座")</f>
        <v>交易廣場第一座</v>
      </c>
      <c r="I7" s="60">
        <f ca="1">IFERROR(__xludf.DUMMYFUNCTION("""COMPUTED_VALUE"""),114.1583588)</f>
        <v>114.1583588</v>
      </c>
      <c r="J7" s="60">
        <f ca="1">IFERROR(__xludf.DUMMYFUNCTION("""COMPUTED_VALUE"""),22.28344217)</f>
        <v>22.283442170000001</v>
      </c>
      <c r="K7" s="61">
        <f ca="1">IFERROR(__xludf.DUMMYFUNCTION("""COMPUTED_VALUE"""),3.6)</f>
        <v>3.6</v>
      </c>
      <c r="L7" s="60" t="str">
        <f ca="1">IFERROR(__xludf.DUMMYFUNCTION("""COMPUTED_VALUE"""),"l")</f>
        <v>l</v>
      </c>
      <c r="M7" s="61">
        <f ca="1">IFERROR(__xludf.DUMMYFUNCTION("""COMPUTED_VALUE"""),185.9)</f>
        <v>185.9</v>
      </c>
      <c r="N7" s="60" t="str">
        <f ca="1">IFERROR(__xludf.DUMMYFUNCTION("""COMPUTED_VALUE"""),"p")</f>
        <v>p</v>
      </c>
      <c r="O7" s="61">
        <f ca="1">IFERROR(__xludf.DUMMYFUNCTION("""COMPUTED_VALUE"""),182.3)</f>
        <v>182.3</v>
      </c>
      <c r="P7" s="62"/>
      <c r="Q7" s="43" t="b">
        <f ca="1">IFERROR(__xludf.DUMMYFUNCTION("""COMPUTED_VALUE"""),FALSE)</f>
        <v>0</v>
      </c>
      <c r="R7" s="43" t="b">
        <f ca="1">IFERROR(__xludf.DUMMYFUNCTION("""COMPUTED_VALUE"""),FALSE)</f>
        <v>0</v>
      </c>
      <c r="S7" s="43" t="b">
        <f ca="1">IFERROR(__xludf.DUMMYFUNCTION("""COMPUTED_VALUE"""),FALSE)</f>
        <v>0</v>
      </c>
      <c r="T7" s="63" t="b">
        <f ca="1">IFERROR(__xludf.DUMMYFUNCTION("""COMPUTED_VALUE"""),FALSE)</f>
        <v>0</v>
      </c>
      <c r="U7" s="68">
        <f ca="1">IFERROR(__xludf.DUMMYFUNCTION("""COMPUTED_VALUE"""),50)</f>
        <v>50</v>
      </c>
      <c r="V7" s="60">
        <f ca="1">IFERROR(__xludf.DUMMYFUNCTION("""COMPUTED_VALUE"""),0)</f>
        <v>0</v>
      </c>
      <c r="W7" s="59">
        <f ca="1">IFERROR(__xludf.DUMMYFUNCTION("""COMPUTED_VALUE"""),100)</f>
        <v>100</v>
      </c>
      <c r="X7" s="60">
        <f ca="1">IFERROR(__xludf.DUMMYFUNCTION("""COMPUTED_VALUE"""),1984)</f>
        <v>1984</v>
      </c>
      <c r="Y7" s="60" t="str">
        <f ca="1">IFERROR(__xludf.DUMMYFUNCTION("""COMPUTED_VALUE"""),"BMIS")</f>
        <v>BMIS</v>
      </c>
      <c r="Z7" s="66" t="s">
        <v>1761</v>
      </c>
    </row>
    <row r="8" spans="1:26" ht="15.75" customHeight="1">
      <c r="A8" s="56" t="str">
        <f ca="1">IFERROR(__xludf.DUMMYFUNCTION("""COMPUTED_VALUE"""),"S0SE")</f>
        <v>S0SE</v>
      </c>
      <c r="B8" s="333">
        <f ca="1">IFERROR(__xludf.DUMMYFUNCTION("""COMPUTED_VALUE"""),0)</f>
        <v>0</v>
      </c>
      <c r="C8" s="60" t="str">
        <f ca="1">IFERROR(__xludf.DUMMYFUNCTION("""COMPUTED_VALUE"""),"SE")</f>
        <v>SE</v>
      </c>
      <c r="D8" s="334">
        <f ca="1">IFERROR(__xludf.DUMMYFUNCTION("""COMPUTED_VALUE"""),200)</f>
        <v>200</v>
      </c>
      <c r="E8" s="60" t="str">
        <f ca="1">IFERROR(__xludf.DUMMYFUNCTION("""COMPUTED_VALUE"""),"3432516207T20050430")</f>
        <v>3432516207T20050430</v>
      </c>
      <c r="F8" s="60">
        <f ca="1">IFERROR(__xludf.DUMMYFUNCTION("""COMPUTED_VALUE"""),1103123008)</f>
        <v>1103123008</v>
      </c>
      <c r="G8" s="58" t="str">
        <f ca="1">IFERROR(__xludf.DUMMYFUNCTION("""COMPUTED_VALUE"""),"IFC Mall (Hong Kong Station)")</f>
        <v>IFC Mall (Hong Kong Station)</v>
      </c>
      <c r="H8" s="60" t="str">
        <f ca="1">IFERROR(__xludf.DUMMYFUNCTION("""COMPUTED_VALUE"""),"國際金融中心商場（香港站）")</f>
        <v>國際金融中心商場（香港站）</v>
      </c>
      <c r="I8" s="60">
        <f ca="1">IFERROR(__xludf.DUMMYFUNCTION("""COMPUTED_VALUE"""),114.1581677)</f>
        <v>114.15816770000001</v>
      </c>
      <c r="J8" s="60">
        <f ca="1">IFERROR(__xludf.DUMMYFUNCTION("""COMPUTED_VALUE"""),22.28462355)</f>
        <v>22.284623549999999</v>
      </c>
      <c r="K8" s="61">
        <f ca="1">IFERROR(__xludf.DUMMYFUNCTION("""COMPUTED_VALUE"""),3.8)</f>
        <v>3.8</v>
      </c>
      <c r="L8" s="60" t="str">
        <f ca="1">IFERROR(__xludf.DUMMYFUNCTION("""COMPUTED_VALUE"""),"p")</f>
        <v>p</v>
      </c>
      <c r="M8" s="61">
        <f ca="1">IFERROR(__xludf.DUMMYFUNCTION("""COMPUTED_VALUE"""),34.4)</f>
        <v>34.4</v>
      </c>
      <c r="N8" s="60" t="str">
        <f ca="1">IFERROR(__xludf.DUMMYFUNCTION("""COMPUTED_VALUE"""),"p")</f>
        <v>p</v>
      </c>
      <c r="O8" s="61">
        <f ca="1">IFERROR(__xludf.DUMMYFUNCTION("""COMPUTED_VALUE"""),30.6)</f>
        <v>30.6</v>
      </c>
      <c r="P8" s="69" t="str">
        <f ca="1">IFERROR(__xludf.DUMMYFUNCTION("""COMPUTED_VALUE"""),"Public Transport (MTR)")</f>
        <v>Public Transport (MTR)</v>
      </c>
      <c r="Q8" s="43" t="b">
        <f ca="1">IFERROR(__xludf.DUMMYFUNCTION("""COMPUTED_VALUE"""),FALSE)</f>
        <v>0</v>
      </c>
      <c r="R8" s="43" t="b">
        <f ca="1">IFERROR(__xludf.DUMMYFUNCTION("""COMPUTED_VALUE"""),TRUE)</f>
        <v>1</v>
      </c>
      <c r="S8" s="43" t="b">
        <f ca="1">IFERROR(__xludf.DUMMYFUNCTION("""COMPUTED_VALUE"""),FALSE)</f>
        <v>0</v>
      </c>
      <c r="T8" s="63" t="b">
        <f ca="1">IFERROR(__xludf.DUMMYFUNCTION("""COMPUTED_VALUE"""),TRUE)</f>
        <v>1</v>
      </c>
      <c r="U8" s="68">
        <f ca="1">IFERROR(__xludf.DUMMYFUNCTION("""COMPUTED_VALUE"""),4)</f>
        <v>4</v>
      </c>
      <c r="V8" s="65"/>
      <c r="W8" s="66"/>
      <c r="X8" s="65"/>
      <c r="Y8" s="60" t="str">
        <f ca="1">IFERROR(__xludf.DUMMYFUNCTION("""COMPUTED_VALUE"""),"Street View")</f>
        <v>Street View</v>
      </c>
      <c r="Z8" s="66" t="s">
        <v>1763</v>
      </c>
    </row>
    <row r="9" spans="1:26" ht="15.75" customHeight="1">
      <c r="A9" s="56" t="str">
        <f ca="1">IFERROR(__xludf.DUMMYFUNCTION("""COMPUTED_VALUE"""),"S0SW")</f>
        <v>S0SW</v>
      </c>
      <c r="B9" s="333">
        <f ca="1">IFERROR(__xludf.DUMMYFUNCTION("""COMPUTED_VALUE"""),0)</f>
        <v>0</v>
      </c>
      <c r="C9" s="60" t="str">
        <f ca="1">IFERROR(__xludf.DUMMYFUNCTION("""COMPUTED_VALUE"""),"SW")</f>
        <v>SW</v>
      </c>
      <c r="D9" s="334">
        <f ca="1">IFERROR(__xludf.DUMMYFUNCTION("""COMPUTED_VALUE"""),200)</f>
        <v>200</v>
      </c>
      <c r="E9" s="60" t="str">
        <f ca="1">IFERROR(__xludf.DUMMYFUNCTION("""COMPUTED_VALUE"""),"3446816065T20050430")</f>
        <v>3446816065T20050430</v>
      </c>
      <c r="F9" s="60">
        <f ca="1">IFERROR(__xludf.DUMMYFUNCTION("""COMPUTED_VALUE"""),1103124028)</f>
        <v>1103124028</v>
      </c>
      <c r="G9" s="58" t="str">
        <f ca="1">IFERROR(__xludf.DUMMYFUNCTION("""COMPUTED_VALUE"""),"General Post Office")</f>
        <v>General Post Office</v>
      </c>
      <c r="H9" s="60" t="str">
        <f ca="1">IFERROR(__xludf.DUMMYFUNCTION("""COMPUTED_VALUE"""),"郵政總局")</f>
        <v>郵政總局</v>
      </c>
      <c r="I9" s="60">
        <f ca="1">IFERROR(__xludf.DUMMYFUNCTION("""COMPUTED_VALUE"""),114.1595438)</f>
        <v>114.15954379999999</v>
      </c>
      <c r="J9" s="60">
        <f ca="1">IFERROR(__xludf.DUMMYFUNCTION("""COMPUTED_VALUE"""),22.28356294)</f>
        <v>22.283562939999999</v>
      </c>
      <c r="K9" s="61">
        <f ca="1">IFERROR(__xludf.DUMMYFUNCTION("""COMPUTED_VALUE"""),3.9)</f>
        <v>3.9</v>
      </c>
      <c r="L9" s="60" t="str">
        <f ca="1">IFERROR(__xludf.DUMMYFUNCTION("""COMPUTED_VALUE"""),"p")</f>
        <v>p</v>
      </c>
      <c r="M9" s="61">
        <f ca="1">IFERROR(__xludf.DUMMYFUNCTION("""COMPUTED_VALUE"""),30.1)</f>
        <v>30.1</v>
      </c>
      <c r="N9" s="60" t="str">
        <f ca="1">IFERROR(__xludf.DUMMYFUNCTION("""COMPUTED_VALUE"""),"p")</f>
        <v>p</v>
      </c>
      <c r="O9" s="61">
        <f ca="1">IFERROR(__xludf.DUMMYFUNCTION("""COMPUTED_VALUE"""),26.2)</f>
        <v>26.2</v>
      </c>
      <c r="P9" s="69" t="str">
        <f ca="1">IFERROR(__xludf.DUMMYFUNCTION("""COMPUTED_VALUE"""),"Government Building")</f>
        <v>Government Building</v>
      </c>
      <c r="Q9" s="43" t="b">
        <f ca="1">IFERROR(__xludf.DUMMYFUNCTION("""COMPUTED_VALUE"""),FALSE)</f>
        <v>0</v>
      </c>
      <c r="R9" s="43" t="b">
        <f ca="1">IFERROR(__xludf.DUMMYFUNCTION("""COMPUTED_VALUE"""),TRUE)</f>
        <v>1</v>
      </c>
      <c r="S9" s="43" t="b">
        <f ca="1">IFERROR(__xludf.DUMMYFUNCTION("""COMPUTED_VALUE"""),FALSE)</f>
        <v>0</v>
      </c>
      <c r="T9" s="63" t="b">
        <f ca="1">IFERROR(__xludf.DUMMYFUNCTION("""COMPUTED_VALUE"""),TRUE)</f>
        <v>1</v>
      </c>
      <c r="U9" s="68">
        <f ca="1">IFERROR(__xludf.DUMMYFUNCTION("""COMPUTED_VALUE"""),3)</f>
        <v>3</v>
      </c>
      <c r="V9" s="65"/>
      <c r="W9" s="66"/>
      <c r="X9" s="65"/>
      <c r="Y9" s="60" t="str">
        <f ca="1">IFERROR(__xludf.DUMMYFUNCTION("""COMPUTED_VALUE"""),"Street View")</f>
        <v>Street View</v>
      </c>
      <c r="Z9" s="66" t="s">
        <v>1765</v>
      </c>
    </row>
    <row r="10" spans="1:26" ht="15.75" customHeight="1">
      <c r="A10" s="56" t="str">
        <f ca="1">IFERROR(__xludf.DUMMYFUNCTION("""COMPUTED_VALUE"""),"S0NW")</f>
        <v>S0NW</v>
      </c>
      <c r="B10" s="333">
        <f ca="1">IFERROR(__xludf.DUMMYFUNCTION("""COMPUTED_VALUE"""),0)</f>
        <v>0</v>
      </c>
      <c r="C10" s="60" t="str">
        <f ca="1">IFERROR(__xludf.DUMMYFUNCTION("""COMPUTED_VALUE"""),"NW")</f>
        <v>NW</v>
      </c>
      <c r="D10" s="334">
        <f ca="1">IFERROR(__xludf.DUMMYFUNCTION("""COMPUTED_VALUE"""),200)</f>
        <v>200</v>
      </c>
      <c r="E10" s="60" t="str">
        <f ca="1">IFERROR(__xludf.DUMMYFUNCTION("""COMPUTED_VALUE"""),"3444516024T20050430")</f>
        <v>3444516024T20050430</v>
      </c>
      <c r="F10" s="60">
        <f ca="1">IFERROR(__xludf.DUMMYFUNCTION("""COMPUTED_VALUE"""),1103124531)</f>
        <v>1103124531</v>
      </c>
      <c r="G10" s="58" t="str">
        <f ca="1">IFERROR(__xludf.DUMMYFUNCTION("""COMPUTED_VALUE"""),"Jardine House")</f>
        <v>Jardine House</v>
      </c>
      <c r="H10" s="60" t="str">
        <f ca="1">IFERROR(__xludf.DUMMYFUNCTION("""COMPUTED_VALUE"""),"怡和大廈")</f>
        <v>怡和大廈</v>
      </c>
      <c r="I10" s="60">
        <f ca="1">IFERROR(__xludf.DUMMYFUNCTION("""COMPUTED_VALUE"""),114.1591553)</f>
        <v>114.15915529999999</v>
      </c>
      <c r="J10" s="60">
        <f ca="1">IFERROR(__xludf.DUMMYFUNCTION("""COMPUTED_VALUE"""),22.28300407)</f>
        <v>22.28300407</v>
      </c>
      <c r="K10" s="61">
        <f ca="1">IFERROR(__xludf.DUMMYFUNCTION("""COMPUTED_VALUE"""),3.7)</f>
        <v>3.7</v>
      </c>
      <c r="L10" s="60" t="str">
        <f ca="1">IFERROR(__xludf.DUMMYFUNCTION("""COMPUTED_VALUE"""),"p")</f>
        <v>p</v>
      </c>
      <c r="M10" s="61">
        <f ca="1">IFERROR(__xludf.DUMMYFUNCTION("""COMPUTED_VALUE"""),182)</f>
        <v>182</v>
      </c>
      <c r="N10" s="60" t="str">
        <f ca="1">IFERROR(__xludf.DUMMYFUNCTION("""COMPUTED_VALUE"""),"p")</f>
        <v>p</v>
      </c>
      <c r="O10" s="61">
        <f ca="1">IFERROR(__xludf.DUMMYFUNCTION("""COMPUTED_VALUE"""),178.3)</f>
        <v>178.3</v>
      </c>
      <c r="P10" s="62"/>
      <c r="Q10" s="43" t="b">
        <f ca="1">IFERROR(__xludf.DUMMYFUNCTION("""COMPUTED_VALUE"""),FALSE)</f>
        <v>0</v>
      </c>
      <c r="R10" s="43" t="b">
        <f ca="1">IFERROR(__xludf.DUMMYFUNCTION("""COMPUTED_VALUE"""),FALSE)</f>
        <v>0</v>
      </c>
      <c r="S10" s="43" t="b">
        <f ca="1">IFERROR(__xludf.DUMMYFUNCTION("""COMPUTED_VALUE"""),FALSE)</f>
        <v>0</v>
      </c>
      <c r="T10" s="63" t="b">
        <f ca="1">IFERROR(__xludf.DUMMYFUNCTION("""COMPUTED_VALUE"""),FALSE)</f>
        <v>0</v>
      </c>
      <c r="U10" s="68">
        <f ca="1">IFERROR(__xludf.DUMMYFUNCTION("""COMPUTED_VALUE"""),48)</f>
        <v>48</v>
      </c>
      <c r="V10" s="60">
        <f ca="1">IFERROR(__xludf.DUMMYFUNCTION("""COMPUTED_VALUE"""),1)</f>
        <v>1</v>
      </c>
      <c r="W10" s="59">
        <f ca="1">IFERROR(__xludf.DUMMYFUNCTION("""COMPUTED_VALUE"""),108)</f>
        <v>108</v>
      </c>
      <c r="X10" s="60">
        <f ca="1">IFERROR(__xludf.DUMMYFUNCTION("""COMPUTED_VALUE"""),1972)</f>
        <v>1972</v>
      </c>
      <c r="Y10" s="60" t="str">
        <f ca="1">IFERROR(__xludf.DUMMYFUNCTION("""COMPUTED_VALUE"""),"BMIS")</f>
        <v>BMIS</v>
      </c>
      <c r="Z10" s="66" t="s">
        <v>1767</v>
      </c>
    </row>
    <row r="11" spans="1:26" ht="15.75" customHeight="1">
      <c r="A11" s="56" t="str">
        <f ca="1">IFERROR(__xludf.DUMMYFUNCTION("""COMPUTED_VALUE"""),"W0NE")</f>
        <v>W0NE</v>
      </c>
      <c r="B11" s="333">
        <f ca="1">IFERROR(__xludf.DUMMYFUNCTION("""COMPUTED_VALUE"""),0)</f>
        <v>0</v>
      </c>
      <c r="C11" s="60" t="str">
        <f ca="1">IFERROR(__xludf.DUMMYFUNCTION("""COMPUTED_VALUE"""),"NE")</f>
        <v>NE</v>
      </c>
      <c r="D11" s="334">
        <f ca="1">IFERROR(__xludf.DUMMYFUNCTION("""COMPUTED_VALUE"""),200)</f>
        <v>200</v>
      </c>
      <c r="E11" s="60" t="str">
        <f ca="1">IFERROR(__xludf.DUMMYFUNCTION("""COMPUTED_VALUE"""),"3446816065T20050430")</f>
        <v>3446816065T20050430</v>
      </c>
      <c r="F11" s="60">
        <f ca="1">IFERROR(__xludf.DUMMYFUNCTION("""COMPUTED_VALUE"""),1103124028)</f>
        <v>1103124028</v>
      </c>
      <c r="G11" s="58" t="str">
        <f ca="1">IFERROR(__xludf.DUMMYFUNCTION("""COMPUTED_VALUE"""),"General Post Office")</f>
        <v>General Post Office</v>
      </c>
      <c r="H11" s="60" t="str">
        <f ca="1">IFERROR(__xludf.DUMMYFUNCTION("""COMPUTED_VALUE"""),"郵政總局")</f>
        <v>郵政總局</v>
      </c>
      <c r="I11" s="60">
        <f ca="1">IFERROR(__xludf.DUMMYFUNCTION("""COMPUTED_VALUE"""),114.1595438)</f>
        <v>114.15954379999999</v>
      </c>
      <c r="J11" s="60">
        <f ca="1">IFERROR(__xludf.DUMMYFUNCTION("""COMPUTED_VALUE"""),22.28356294)</f>
        <v>22.283562939999999</v>
      </c>
      <c r="K11" s="61">
        <f ca="1">IFERROR(__xludf.DUMMYFUNCTION("""COMPUTED_VALUE"""),3.9)</f>
        <v>3.9</v>
      </c>
      <c r="L11" s="60" t="str">
        <f ca="1">IFERROR(__xludf.DUMMYFUNCTION("""COMPUTED_VALUE"""),"p")</f>
        <v>p</v>
      </c>
      <c r="M11" s="61">
        <f ca="1">IFERROR(__xludf.DUMMYFUNCTION("""COMPUTED_VALUE"""),30.1)</f>
        <v>30.1</v>
      </c>
      <c r="N11" s="60" t="str">
        <f ca="1">IFERROR(__xludf.DUMMYFUNCTION("""COMPUTED_VALUE"""),"p")</f>
        <v>p</v>
      </c>
      <c r="O11" s="61">
        <f ca="1">IFERROR(__xludf.DUMMYFUNCTION("""COMPUTED_VALUE"""),26.2)</f>
        <v>26.2</v>
      </c>
      <c r="P11" s="69"/>
      <c r="Q11" s="43" t="b">
        <f ca="1">IFERROR(__xludf.DUMMYFUNCTION("""COMPUTED_VALUE"""),FALSE)</f>
        <v>0</v>
      </c>
      <c r="R11" s="43" t="b">
        <f ca="1">IFERROR(__xludf.DUMMYFUNCTION("""COMPUTED_VALUE"""),TRUE)</f>
        <v>1</v>
      </c>
      <c r="S11" s="43" t="b">
        <f ca="1">IFERROR(__xludf.DUMMYFUNCTION("""COMPUTED_VALUE"""),FALSE)</f>
        <v>0</v>
      </c>
      <c r="T11" s="63" t="b">
        <f ca="1">IFERROR(__xludf.DUMMYFUNCTION("""COMPUTED_VALUE"""),TRUE)</f>
        <v>1</v>
      </c>
      <c r="U11" s="68">
        <f ca="1">IFERROR(__xludf.DUMMYFUNCTION("""COMPUTED_VALUE"""),3)</f>
        <v>3</v>
      </c>
      <c r="V11" s="65"/>
      <c r="W11" s="66"/>
      <c r="X11" s="65"/>
      <c r="Y11" s="60" t="str">
        <f ca="1">IFERROR(__xludf.DUMMYFUNCTION("""COMPUTED_VALUE"""),"Street View")</f>
        <v>Street View</v>
      </c>
      <c r="Z11" s="66" t="s">
        <v>1765</v>
      </c>
    </row>
    <row r="12" spans="1:26" ht="15.75" customHeight="1">
      <c r="A12" s="56" t="str">
        <f ca="1">IFERROR(__xludf.DUMMYFUNCTION("""COMPUTED_VALUE"""),"W0SE")</f>
        <v>W0SE</v>
      </c>
      <c r="B12" s="333">
        <f ca="1">IFERROR(__xludf.DUMMYFUNCTION("""COMPUTED_VALUE"""),0)</f>
        <v>0</v>
      </c>
      <c r="C12" s="60" t="str">
        <f ca="1">IFERROR(__xludf.DUMMYFUNCTION("""COMPUTED_VALUE"""),"SE")</f>
        <v>SE</v>
      </c>
      <c r="D12" s="334">
        <f ca="1">IFERROR(__xludf.DUMMYFUNCTION("""COMPUTED_VALUE"""),200)</f>
        <v>200</v>
      </c>
      <c r="E12" s="60" t="str">
        <f ca="1">IFERROR(__xludf.DUMMYFUNCTION("""COMPUTED_VALUE"""),"3444516024T20050430")</f>
        <v>3444516024T20050430</v>
      </c>
      <c r="F12" s="60">
        <f ca="1">IFERROR(__xludf.DUMMYFUNCTION("""COMPUTED_VALUE"""),1103124531)</f>
        <v>1103124531</v>
      </c>
      <c r="G12" s="58" t="str">
        <f ca="1">IFERROR(__xludf.DUMMYFUNCTION("""COMPUTED_VALUE"""),"Jardine House")</f>
        <v>Jardine House</v>
      </c>
      <c r="H12" s="60" t="str">
        <f ca="1">IFERROR(__xludf.DUMMYFUNCTION("""COMPUTED_VALUE"""),"怡和大廈")</f>
        <v>怡和大廈</v>
      </c>
      <c r="I12" s="60">
        <f ca="1">IFERROR(__xludf.DUMMYFUNCTION("""COMPUTED_VALUE"""),114.1591553)</f>
        <v>114.15915529999999</v>
      </c>
      <c r="J12" s="60">
        <f ca="1">IFERROR(__xludf.DUMMYFUNCTION("""COMPUTED_VALUE"""),22.28300407)</f>
        <v>22.28300407</v>
      </c>
      <c r="K12" s="61">
        <f ca="1">IFERROR(__xludf.DUMMYFUNCTION("""COMPUTED_VALUE"""),3.7)</f>
        <v>3.7</v>
      </c>
      <c r="L12" s="60" t="str">
        <f ca="1">IFERROR(__xludf.DUMMYFUNCTION("""COMPUTED_VALUE"""),"p")</f>
        <v>p</v>
      </c>
      <c r="M12" s="61">
        <f ca="1">IFERROR(__xludf.DUMMYFUNCTION("""COMPUTED_VALUE"""),182)</f>
        <v>182</v>
      </c>
      <c r="N12" s="60" t="str">
        <f ca="1">IFERROR(__xludf.DUMMYFUNCTION("""COMPUTED_VALUE"""),"p")</f>
        <v>p</v>
      </c>
      <c r="O12" s="61">
        <f ca="1">IFERROR(__xludf.DUMMYFUNCTION("""COMPUTED_VALUE"""),178.3)</f>
        <v>178.3</v>
      </c>
      <c r="P12" s="62"/>
      <c r="Q12" s="43" t="b">
        <f ca="1">IFERROR(__xludf.DUMMYFUNCTION("""COMPUTED_VALUE"""),FALSE)</f>
        <v>0</v>
      </c>
      <c r="R12" s="43" t="b">
        <f ca="1">IFERROR(__xludf.DUMMYFUNCTION("""COMPUTED_VALUE"""),FALSE)</f>
        <v>0</v>
      </c>
      <c r="S12" s="43" t="b">
        <f ca="1">IFERROR(__xludf.DUMMYFUNCTION("""COMPUTED_VALUE"""),FALSE)</f>
        <v>0</v>
      </c>
      <c r="T12" s="63" t="b">
        <f ca="1">IFERROR(__xludf.DUMMYFUNCTION("""COMPUTED_VALUE"""),FALSE)</f>
        <v>0</v>
      </c>
      <c r="U12" s="64">
        <f ca="1">IFERROR(__xludf.DUMMYFUNCTION("""COMPUTED_VALUE"""),48)</f>
        <v>48</v>
      </c>
      <c r="V12" s="60"/>
      <c r="W12" s="59"/>
      <c r="X12" s="65"/>
      <c r="Y12" s="65" t="str">
        <f ca="1">IFERROR(__xludf.DUMMYFUNCTION("""COMPUTED_VALUE"""),"Fieldwork")</f>
        <v>Fieldwork</v>
      </c>
      <c r="Z12" s="66" t="s">
        <v>1767</v>
      </c>
    </row>
    <row r="13" spans="1:26" ht="15.75" customHeight="1">
      <c r="A13" s="56" t="str">
        <f ca="1">IFERROR(__xludf.DUMMYFUNCTION("""COMPUTED_VALUE"""),"W0SW")</f>
        <v>W0SW</v>
      </c>
      <c r="B13" s="333">
        <f ca="1">IFERROR(__xludf.DUMMYFUNCTION("""COMPUTED_VALUE"""),0)</f>
        <v>0</v>
      </c>
      <c r="C13" s="60" t="str">
        <f ca="1">IFERROR(__xludf.DUMMYFUNCTION("""COMPUTED_VALUE"""),"SW")</f>
        <v>SW</v>
      </c>
      <c r="D13" s="334">
        <f ca="1">IFERROR(__xludf.DUMMYFUNCTION("""COMPUTED_VALUE"""),200)</f>
        <v>200</v>
      </c>
      <c r="E13" s="60" t="str">
        <f ca="1">IFERROR(__xludf.DUMMYFUNCTION("""COMPUTED_VALUE"""),"3433916108T20050430")</f>
        <v>3433916108T20050430</v>
      </c>
      <c r="F13" s="60">
        <f ca="1">IFERROR(__xludf.DUMMYFUNCTION("""COMPUTED_VALUE"""),1103123897)</f>
        <v>1103123897</v>
      </c>
      <c r="G13" s="58" t="str">
        <f ca="1">IFERROR(__xludf.DUMMYFUNCTION("""COMPUTED_VALUE"""),"Two Exchange Square")</f>
        <v>Two Exchange Square</v>
      </c>
      <c r="H13" s="60" t="str">
        <f ca="1">IFERROR(__xludf.DUMMYFUNCTION("""COMPUTED_VALUE"""),"交易廣場第二座")</f>
        <v>交易廣場第二座</v>
      </c>
      <c r="I13" s="60">
        <f ca="1">IFERROR(__xludf.DUMMYFUNCTION("""COMPUTED_VALUE"""),114.15824)</f>
        <v>114.15824000000001</v>
      </c>
      <c r="J13" s="60">
        <f ca="1">IFERROR(__xludf.DUMMYFUNCTION("""COMPUTED_VALUE"""),22.28389293)</f>
        <v>22.28389293</v>
      </c>
      <c r="K13" s="61">
        <f ca="1">IFERROR(__xludf.DUMMYFUNCTION("""COMPUTED_VALUE"""),3.6)</f>
        <v>3.6</v>
      </c>
      <c r="L13" s="60" t="str">
        <f ca="1">IFERROR(__xludf.DUMMYFUNCTION("""COMPUTED_VALUE"""),"l")</f>
        <v>l</v>
      </c>
      <c r="M13" s="61">
        <f ca="1">IFERROR(__xludf.DUMMYFUNCTION("""COMPUTED_VALUE"""),185.9)</f>
        <v>185.9</v>
      </c>
      <c r="N13" s="60" t="str">
        <f ca="1">IFERROR(__xludf.DUMMYFUNCTION("""COMPUTED_VALUE"""),"p")</f>
        <v>p</v>
      </c>
      <c r="O13" s="61">
        <f ca="1">IFERROR(__xludf.DUMMYFUNCTION("""COMPUTED_VALUE"""),182.3)</f>
        <v>182.3</v>
      </c>
      <c r="P13" s="62"/>
      <c r="Q13" s="43" t="b">
        <f ca="1">IFERROR(__xludf.DUMMYFUNCTION("""COMPUTED_VALUE"""),FALSE)</f>
        <v>0</v>
      </c>
      <c r="R13" s="43" t="b">
        <f ca="1">IFERROR(__xludf.DUMMYFUNCTION("""COMPUTED_VALUE"""),FALSE)</f>
        <v>0</v>
      </c>
      <c r="S13" s="43" t="b">
        <f ca="1">IFERROR(__xludf.DUMMYFUNCTION("""COMPUTED_VALUE"""),FALSE)</f>
        <v>0</v>
      </c>
      <c r="T13" s="63" t="b">
        <f ca="1">IFERROR(__xludf.DUMMYFUNCTION("""COMPUTED_VALUE"""),FALSE)</f>
        <v>0</v>
      </c>
      <c r="U13" s="68">
        <f ca="1">IFERROR(__xludf.DUMMYFUNCTION("""COMPUTED_VALUE"""),50)</f>
        <v>50</v>
      </c>
      <c r="V13" s="65"/>
      <c r="W13" s="66"/>
      <c r="X13" s="65"/>
      <c r="Y13" s="60" t="str">
        <f ca="1">IFERROR(__xludf.DUMMYFUNCTION("""COMPUTED_VALUE"""),"Fieldwork")</f>
        <v>Fieldwork</v>
      </c>
      <c r="Z13" s="66" t="s">
        <v>1761</v>
      </c>
    </row>
    <row r="14" spans="1:26" ht="15.75" customHeight="1">
      <c r="A14" s="56" t="str">
        <f ca="1">IFERROR(__xludf.DUMMYFUNCTION("""COMPUTED_VALUE"""),"W0NW")</f>
        <v>W0NW</v>
      </c>
      <c r="B14" s="333">
        <f ca="1">IFERROR(__xludf.DUMMYFUNCTION("""COMPUTED_VALUE"""),0)</f>
        <v>0</v>
      </c>
      <c r="C14" s="60" t="str">
        <f ca="1">IFERROR(__xludf.DUMMYFUNCTION("""COMPUTED_VALUE"""),"NW")</f>
        <v>NW</v>
      </c>
      <c r="D14" s="334">
        <f ca="1">IFERROR(__xludf.DUMMYFUNCTION("""COMPUTED_VALUE"""),200)</f>
        <v>200</v>
      </c>
      <c r="E14" s="60" t="str">
        <f ca="1">IFERROR(__xludf.DUMMYFUNCTION("""COMPUTED_VALUE"""),"3432516207T20050430")</f>
        <v>3432516207T20050430</v>
      </c>
      <c r="F14" s="60">
        <f ca="1">IFERROR(__xludf.DUMMYFUNCTION("""COMPUTED_VALUE"""),1103123008)</f>
        <v>1103123008</v>
      </c>
      <c r="G14" s="58" t="str">
        <f ca="1">IFERROR(__xludf.DUMMYFUNCTION("""COMPUTED_VALUE"""),"IFC Mall (Hong Kong Station)")</f>
        <v>IFC Mall (Hong Kong Station)</v>
      </c>
      <c r="H14" s="60" t="str">
        <f ca="1">IFERROR(__xludf.DUMMYFUNCTION("""COMPUTED_VALUE"""),"國際金融中心商場（香港站）")</f>
        <v>國際金融中心商場（香港站）</v>
      </c>
      <c r="I14" s="60">
        <f ca="1">IFERROR(__xludf.DUMMYFUNCTION("""COMPUTED_VALUE"""),114.1581677)</f>
        <v>114.15816770000001</v>
      </c>
      <c r="J14" s="60">
        <f ca="1">IFERROR(__xludf.DUMMYFUNCTION("""COMPUTED_VALUE"""),22.28462355)</f>
        <v>22.284623549999999</v>
      </c>
      <c r="K14" s="61">
        <f ca="1">IFERROR(__xludf.DUMMYFUNCTION("""COMPUTED_VALUE"""),3.8)</f>
        <v>3.8</v>
      </c>
      <c r="L14" s="60" t="str">
        <f ca="1">IFERROR(__xludf.DUMMYFUNCTION("""COMPUTED_VALUE"""),"p")</f>
        <v>p</v>
      </c>
      <c r="M14" s="61">
        <f ca="1">IFERROR(__xludf.DUMMYFUNCTION("""COMPUTED_VALUE"""),34.4)</f>
        <v>34.4</v>
      </c>
      <c r="N14" s="60" t="str">
        <f ca="1">IFERROR(__xludf.DUMMYFUNCTION("""COMPUTED_VALUE"""),"p")</f>
        <v>p</v>
      </c>
      <c r="O14" s="61">
        <f ca="1">IFERROR(__xludf.DUMMYFUNCTION("""COMPUTED_VALUE"""),30.6)</f>
        <v>30.6</v>
      </c>
      <c r="P14" s="69"/>
      <c r="Q14" s="43" t="b">
        <f ca="1">IFERROR(__xludf.DUMMYFUNCTION("""COMPUTED_VALUE"""),FALSE)</f>
        <v>0</v>
      </c>
      <c r="R14" s="43" t="b">
        <f ca="1">IFERROR(__xludf.DUMMYFUNCTION("""COMPUTED_VALUE"""),TRUE)</f>
        <v>1</v>
      </c>
      <c r="S14" s="43" t="b">
        <f ca="1">IFERROR(__xludf.DUMMYFUNCTION("""COMPUTED_VALUE"""),FALSE)</f>
        <v>0</v>
      </c>
      <c r="T14" s="63" t="b">
        <f ca="1">IFERROR(__xludf.DUMMYFUNCTION("""COMPUTED_VALUE"""),TRUE)</f>
        <v>1</v>
      </c>
      <c r="U14" s="68">
        <f ca="1">IFERROR(__xludf.DUMMYFUNCTION("""COMPUTED_VALUE"""),4)</f>
        <v>4</v>
      </c>
      <c r="V14" s="65"/>
      <c r="W14" s="66"/>
      <c r="X14" s="65"/>
      <c r="Y14" s="60" t="str">
        <f ca="1">IFERROR(__xludf.DUMMYFUNCTION("""COMPUTED_VALUE"""),"Street View")</f>
        <v>Street View</v>
      </c>
      <c r="Z14" s="66" t="s">
        <v>1763</v>
      </c>
    </row>
    <row r="15" spans="1:26" ht="15.75" customHeight="1">
      <c r="A15" s="56" t="str">
        <f ca="1">IFERROR(__xludf.DUMMYFUNCTION("""COMPUTED_VALUE"""),"E1NE")</f>
        <v>E1NE</v>
      </c>
      <c r="B15" s="333">
        <f ca="1">IFERROR(__xludf.DUMMYFUNCTION("""COMPUTED_VALUE"""),1)</f>
        <v>1</v>
      </c>
      <c r="C15" s="60" t="str">
        <f ca="1">IFERROR(__xludf.DUMMYFUNCTION("""COMPUTED_VALUE"""),"NE")</f>
        <v>NE</v>
      </c>
      <c r="D15" s="334">
        <f ca="1">IFERROR(__xludf.DUMMYFUNCTION("""COMPUTED_VALUE"""),400)</f>
        <v>400</v>
      </c>
      <c r="E15" s="60" t="str">
        <f ca="1">IFERROR(__xludf.DUMMYFUNCTION("""COMPUTED_VALUE"""),"3430115966T20050430")</f>
        <v>3430115966T20050430</v>
      </c>
      <c r="F15" s="60">
        <f ca="1">IFERROR(__xludf.DUMMYFUNCTION("""COMPUTED_VALUE"""),1103124903)</f>
        <v>1103124903</v>
      </c>
      <c r="G15" s="58" t="str">
        <f ca="1">IFERROR(__xludf.DUMMYFUNCTION("""COMPUTED_VALUE"""),"World-wide House")</f>
        <v>World-wide House</v>
      </c>
      <c r="H15" s="60" t="str">
        <f ca="1">IFERROR(__xludf.DUMMYFUNCTION("""COMPUTED_VALUE"""),"環球大廈")</f>
        <v>環球大廈</v>
      </c>
      <c r="I15" s="60">
        <f ca="1">IFERROR(__xludf.DUMMYFUNCTION("""COMPUTED_VALUE"""),114.1577892)</f>
        <v>114.1577892</v>
      </c>
      <c r="J15" s="60">
        <f ca="1">IFERROR(__xludf.DUMMYFUNCTION("""COMPUTED_VALUE"""),22.28255406)</f>
        <v>22.282554059999999</v>
      </c>
      <c r="K15" s="61">
        <f ca="1">IFERROR(__xludf.DUMMYFUNCTION("""COMPUTED_VALUE"""),3.7)</f>
        <v>3.7</v>
      </c>
      <c r="L15" s="60" t="str">
        <f ca="1">IFERROR(__xludf.DUMMYFUNCTION("""COMPUTED_VALUE"""),"p")</f>
        <v>p</v>
      </c>
      <c r="M15" s="61">
        <f ca="1">IFERROR(__xludf.DUMMYFUNCTION("""COMPUTED_VALUE"""),109)</f>
        <v>109</v>
      </c>
      <c r="N15" s="60" t="str">
        <f ca="1">IFERROR(__xludf.DUMMYFUNCTION("""COMPUTED_VALUE"""),"3")</f>
        <v>3</v>
      </c>
      <c r="O15" s="61">
        <f ca="1">IFERROR(__xludf.DUMMYFUNCTION("""COMPUTED_VALUE"""),105.3)</f>
        <v>105.3</v>
      </c>
      <c r="P15" s="69"/>
      <c r="Q15" s="43" t="b">
        <f ca="1">IFERROR(__xludf.DUMMYFUNCTION("""COMPUTED_VALUE"""),FALSE)</f>
        <v>0</v>
      </c>
      <c r="R15" s="43" t="b">
        <f ca="1">IFERROR(__xludf.DUMMYFUNCTION("""COMPUTED_VALUE"""),FALSE)</f>
        <v>0</v>
      </c>
      <c r="S15" s="43" t="b">
        <f ca="1">IFERROR(__xludf.DUMMYFUNCTION("""COMPUTED_VALUE"""),FALSE)</f>
        <v>0</v>
      </c>
      <c r="T15" s="63" t="b">
        <f ca="1">IFERROR(__xludf.DUMMYFUNCTION("""COMPUTED_VALUE"""),FALSE)</f>
        <v>0</v>
      </c>
      <c r="U15" s="64">
        <f ca="1">IFERROR(__xludf.DUMMYFUNCTION("""COMPUTED_VALUE"""),27)</f>
        <v>27</v>
      </c>
      <c r="V15" s="65">
        <f ca="1">IFERROR(__xludf.DUMMYFUNCTION("""COMPUTED_VALUE"""),0)</f>
        <v>0</v>
      </c>
      <c r="W15" s="66">
        <f ca="1">IFERROR(__xludf.DUMMYFUNCTION("""COMPUTED_VALUE"""),363)</f>
        <v>363</v>
      </c>
      <c r="X15" s="65">
        <f ca="1">IFERROR(__xludf.DUMMYFUNCTION("""COMPUTED_VALUE"""),1980)</f>
        <v>1980</v>
      </c>
      <c r="Y15" s="65" t="str">
        <f ca="1">IFERROR(__xludf.DUMMYFUNCTION("""COMPUTED_VALUE"""),"BMIS_auto")</f>
        <v>BMIS_auto</v>
      </c>
      <c r="Z15" s="66" t="s">
        <v>1769</v>
      </c>
    </row>
    <row r="16" spans="1:26" ht="15.75" customHeight="1">
      <c r="A16" s="56" t="str">
        <f ca="1">IFERROR(__xludf.DUMMYFUNCTION("""COMPUTED_VALUE"""),"E1SE")</f>
        <v>E1SE</v>
      </c>
      <c r="B16" s="333">
        <f ca="1">IFERROR(__xludf.DUMMYFUNCTION("""COMPUTED_VALUE"""),1)</f>
        <v>1</v>
      </c>
      <c r="C16" s="60" t="str">
        <f ca="1">IFERROR(__xludf.DUMMYFUNCTION("""COMPUTED_VALUE"""),"SE")</f>
        <v>SE</v>
      </c>
      <c r="D16" s="334">
        <f ca="1">IFERROR(__xludf.DUMMYFUNCTION("""COMPUTED_VALUE"""),400)</f>
        <v>400</v>
      </c>
      <c r="E16" s="60"/>
      <c r="F16" s="60"/>
      <c r="G16" s="58" t="str">
        <f ca="1">IFERROR(__xludf.DUMMYFUNCTION("""COMPUTED_VALUE"""),"Connaught Rd Flyover")</f>
        <v>Connaught Rd Flyover</v>
      </c>
      <c r="H16" s="60"/>
      <c r="I16" s="60"/>
      <c r="J16" s="60"/>
      <c r="K16" s="61"/>
      <c r="L16" s="60"/>
      <c r="M16" s="61"/>
      <c r="N16" s="60"/>
      <c r="O16" s="61"/>
      <c r="P16" s="69" t="str">
        <f ca="1">IFERROR(__xludf.DUMMYFUNCTION("""COMPUTED_VALUE"""),"no building ")</f>
        <v xml:space="preserve">no building </v>
      </c>
      <c r="Q16" s="43" t="b">
        <f ca="1">IFERROR(__xludf.DUMMYFUNCTION("""COMPUTED_VALUE"""),TRUE)</f>
        <v>1</v>
      </c>
      <c r="R16" s="43" t="b">
        <f ca="1">IFERROR(__xludf.DUMMYFUNCTION("""COMPUTED_VALUE"""),TRUE)</f>
        <v>1</v>
      </c>
      <c r="S16" s="43" t="b">
        <f ca="1">IFERROR(__xludf.DUMMYFUNCTION("""COMPUTED_VALUE"""),FALSE)</f>
        <v>0</v>
      </c>
      <c r="T16" s="63" t="b">
        <f ca="1">IFERROR(__xludf.DUMMYFUNCTION("""COMPUTED_VALUE"""),TRUE)</f>
        <v>1</v>
      </c>
      <c r="U16" s="64">
        <f ca="1">IFERROR(__xludf.DUMMYFUNCTION("""COMPUTED_VALUE"""),0)</f>
        <v>0</v>
      </c>
      <c r="V16" s="65"/>
      <c r="W16" s="66"/>
      <c r="X16" s="65"/>
      <c r="Y16" s="70"/>
      <c r="Z16" s="66" t="s">
        <v>556</v>
      </c>
    </row>
    <row r="17" spans="1:26" ht="15.75" customHeight="1">
      <c r="A17" s="56" t="str">
        <f ca="1">IFERROR(__xludf.DUMMYFUNCTION("""COMPUTED_VALUE"""),"E1SW")</f>
        <v>E1SW</v>
      </c>
      <c r="B17" s="333">
        <f ca="1">IFERROR(__xludf.DUMMYFUNCTION("""COMPUTED_VALUE"""),1)</f>
        <v>1</v>
      </c>
      <c r="C17" s="60" t="str">
        <f ca="1">IFERROR(__xludf.DUMMYFUNCTION("""COMPUTED_VALUE"""),"SW")</f>
        <v>SW</v>
      </c>
      <c r="D17" s="334">
        <f ca="1">IFERROR(__xludf.DUMMYFUNCTION("""COMPUTED_VALUE"""),400)</f>
        <v>400</v>
      </c>
      <c r="E17" s="60"/>
      <c r="F17" s="60"/>
      <c r="G17" s="58" t="str">
        <f ca="1">IFERROR(__xludf.DUMMYFUNCTION("""COMPUTED_VALUE"""),"Connaught Rd Flyover")</f>
        <v>Connaught Rd Flyover</v>
      </c>
      <c r="H17" s="60"/>
      <c r="I17" s="60"/>
      <c r="J17" s="60"/>
      <c r="K17" s="61"/>
      <c r="L17" s="60"/>
      <c r="M17" s="61"/>
      <c r="N17" s="60"/>
      <c r="O17" s="61"/>
      <c r="P17" s="62" t="str">
        <f ca="1">IFERROR(__xludf.DUMMYFUNCTION("""COMPUTED_VALUE"""),"no building ")</f>
        <v xml:space="preserve">no building </v>
      </c>
      <c r="Q17" s="43" t="b">
        <f ca="1">IFERROR(__xludf.DUMMYFUNCTION("""COMPUTED_VALUE"""),TRUE)</f>
        <v>1</v>
      </c>
      <c r="R17" s="43" t="b">
        <f ca="1">IFERROR(__xludf.DUMMYFUNCTION("""COMPUTED_VALUE"""),TRUE)</f>
        <v>1</v>
      </c>
      <c r="S17" s="43" t="b">
        <f ca="1">IFERROR(__xludf.DUMMYFUNCTION("""COMPUTED_VALUE"""),FALSE)</f>
        <v>0</v>
      </c>
      <c r="T17" s="63" t="b">
        <f ca="1">IFERROR(__xludf.DUMMYFUNCTION("""COMPUTED_VALUE"""),TRUE)</f>
        <v>1</v>
      </c>
      <c r="U17" s="68">
        <f ca="1">IFERROR(__xludf.DUMMYFUNCTION("""COMPUTED_VALUE"""),0)</f>
        <v>0</v>
      </c>
      <c r="V17" s="60"/>
      <c r="W17" s="59"/>
      <c r="X17" s="60"/>
      <c r="Y17" s="60"/>
      <c r="Z17" s="66" t="s">
        <v>556</v>
      </c>
    </row>
    <row r="18" spans="1:26" ht="15.75" customHeight="1">
      <c r="A18" s="56" t="str">
        <f ca="1">IFERROR(__xludf.DUMMYFUNCTION("""COMPUTED_VALUE"""),"E1NW")</f>
        <v>E1NW</v>
      </c>
      <c r="B18" s="333">
        <f ca="1">IFERROR(__xludf.DUMMYFUNCTION("""COMPUTED_VALUE"""),1)</f>
        <v>1</v>
      </c>
      <c r="C18" s="60" t="str">
        <f ca="1">IFERROR(__xludf.DUMMYFUNCTION("""COMPUTED_VALUE"""),"NW")</f>
        <v>NW</v>
      </c>
      <c r="D18" s="334">
        <f ca="1">IFERROR(__xludf.DUMMYFUNCTION("""COMPUTED_VALUE"""),400)</f>
        <v>400</v>
      </c>
      <c r="E18" s="60" t="str">
        <f ca="1">IFERROR(__xludf.DUMMYFUNCTION("""COMPUTED_VALUE"""),"3437915919T20050430")</f>
        <v>3437915919T20050430</v>
      </c>
      <c r="F18" s="60">
        <f ca="1">IFERROR(__xludf.DUMMYFUNCTION("""COMPUTED_VALUE"""),1103125246)</f>
        <v>1103125246</v>
      </c>
      <c r="G18" s="58" t="str">
        <f ca="1">IFERROR(__xludf.DUMMYFUNCTION("""COMPUTED_VALUE"""),"Chater House")</f>
        <v>Chater House</v>
      </c>
      <c r="H18" s="60" t="str">
        <f ca="1">IFERROR(__xludf.DUMMYFUNCTION("""COMPUTED_VALUE"""),"遮打大廈")</f>
        <v>遮打大廈</v>
      </c>
      <c r="I18" s="60">
        <f ca="1">IFERROR(__xludf.DUMMYFUNCTION("""COMPUTED_VALUE"""),114.1584381)</f>
        <v>114.1584381</v>
      </c>
      <c r="J18" s="60">
        <f ca="1">IFERROR(__xludf.DUMMYFUNCTION("""COMPUTED_VALUE"""),22.28223046)</f>
        <v>22.282230460000001</v>
      </c>
      <c r="K18" s="61">
        <f ca="1">IFERROR(__xludf.DUMMYFUNCTION("""COMPUTED_VALUE"""),3.7)</f>
        <v>3.7</v>
      </c>
      <c r="L18" s="60" t="str">
        <f ca="1">IFERROR(__xludf.DUMMYFUNCTION("""COMPUTED_VALUE"""),"p")</f>
        <v>p</v>
      </c>
      <c r="M18" s="61">
        <f ca="1">IFERROR(__xludf.DUMMYFUNCTION("""COMPUTED_VALUE"""),127.5)</f>
        <v>127.5</v>
      </c>
      <c r="N18" s="60" t="str">
        <f ca="1">IFERROR(__xludf.DUMMYFUNCTION("""COMPUTED_VALUE"""),"p")</f>
        <v>p</v>
      </c>
      <c r="O18" s="61">
        <f ca="1">IFERROR(__xludf.DUMMYFUNCTION("""COMPUTED_VALUE"""),123.8)</f>
        <v>123.8</v>
      </c>
      <c r="P18" s="62"/>
      <c r="Q18" s="43" t="b">
        <f ca="1">IFERROR(__xludf.DUMMYFUNCTION("""COMPUTED_VALUE"""),FALSE)</f>
        <v>0</v>
      </c>
      <c r="R18" s="43" t="b">
        <f ca="1">IFERROR(__xludf.DUMMYFUNCTION("""COMPUTED_VALUE"""),FALSE)</f>
        <v>0</v>
      </c>
      <c r="S18" s="43" t="b">
        <f ca="1">IFERROR(__xludf.DUMMYFUNCTION("""COMPUTED_VALUE"""),FALSE)</f>
        <v>0</v>
      </c>
      <c r="T18" s="63" t="b">
        <f ca="1">IFERROR(__xludf.DUMMYFUNCTION("""COMPUTED_VALUE"""),FALSE)</f>
        <v>0</v>
      </c>
      <c r="U18" s="68">
        <f ca="1">IFERROR(__xludf.DUMMYFUNCTION("""COMPUTED_VALUE"""),31)</f>
        <v>31</v>
      </c>
      <c r="V18" s="60">
        <f ca="1">IFERROR(__xludf.DUMMYFUNCTION("""COMPUTED_VALUE"""),3)</f>
        <v>3</v>
      </c>
      <c r="W18" s="59">
        <f ca="1">IFERROR(__xludf.DUMMYFUNCTION("""COMPUTED_VALUE"""),31)</f>
        <v>31</v>
      </c>
      <c r="X18" s="60">
        <f ca="1">IFERROR(__xludf.DUMMYFUNCTION("""COMPUTED_VALUE"""),2002)</f>
        <v>2002</v>
      </c>
      <c r="Y18" s="60" t="str">
        <f ca="1">IFERROR(__xludf.DUMMYFUNCTION("""COMPUTED_VALUE"""),"BMIS_auto")</f>
        <v>BMIS_auto</v>
      </c>
      <c r="Z18" s="66" t="s">
        <v>1773</v>
      </c>
    </row>
    <row r="19" spans="1:26" ht="15.75" customHeight="1">
      <c r="A19" s="56" t="str">
        <f ca="1">IFERROR(__xludf.DUMMYFUNCTION("""COMPUTED_VALUE"""),"S1NE")</f>
        <v>S1NE</v>
      </c>
      <c r="B19" s="333">
        <f ca="1">IFERROR(__xludf.DUMMYFUNCTION("""COMPUTED_VALUE"""),1)</f>
        <v>1</v>
      </c>
      <c r="C19" s="60" t="str">
        <f ca="1">IFERROR(__xludf.DUMMYFUNCTION("""COMPUTED_VALUE"""),"NE")</f>
        <v>NE</v>
      </c>
      <c r="D19" s="334">
        <f ca="1">IFERROR(__xludf.DUMMYFUNCTION("""COMPUTED_VALUE"""),400)</f>
        <v>400</v>
      </c>
      <c r="E19" s="60" t="str">
        <f ca="1">IFERROR(__xludf.DUMMYFUNCTION("""COMPUTED_VALUE"""),"3429815844T20050430")</f>
        <v>3429815844T20050430</v>
      </c>
      <c r="F19" s="60">
        <f ca="1">IFERROR(__xludf.DUMMYFUNCTION("""COMPUTED_VALUE"""),1103125853)</f>
        <v>1103125853</v>
      </c>
      <c r="G19" s="58" t="str">
        <f ca="1">IFERROR(__xludf.DUMMYFUNCTION("""COMPUTED_VALUE"""),"Gloucester Tower")</f>
        <v>Gloucester Tower</v>
      </c>
      <c r="H19" s="60" t="str">
        <f ca="1">IFERROR(__xludf.DUMMYFUNCTION("""COMPUTED_VALUE"""),"告羅士打大廈")</f>
        <v>告羅士打大廈</v>
      </c>
      <c r="I19" s="60">
        <f ca="1">IFERROR(__xludf.DUMMYFUNCTION("""COMPUTED_VALUE"""),114.1577702)</f>
        <v>114.1577702</v>
      </c>
      <c r="J19" s="60">
        <f ca="1">IFERROR(__xludf.DUMMYFUNCTION("""COMPUTED_VALUE"""),22.28150732)</f>
        <v>22.281507319999999</v>
      </c>
      <c r="K19" s="61">
        <f ca="1">IFERROR(__xludf.DUMMYFUNCTION("""COMPUTED_VALUE"""),4)</f>
        <v>4</v>
      </c>
      <c r="L19" s="60" t="str">
        <f ca="1">IFERROR(__xludf.DUMMYFUNCTION("""COMPUTED_VALUE"""),"l")</f>
        <v>l</v>
      </c>
      <c r="M19" s="61">
        <f ca="1">IFERROR(__xludf.DUMMYFUNCTION("""COMPUTED_VALUE"""),158.3)</f>
        <v>158.30000000000001</v>
      </c>
      <c r="N19" s="60" t="str">
        <f ca="1">IFERROR(__xludf.DUMMYFUNCTION("""COMPUTED_VALUE"""),"p")</f>
        <v>p</v>
      </c>
      <c r="O19" s="61">
        <f ca="1">IFERROR(__xludf.DUMMYFUNCTION("""COMPUTED_VALUE"""),154.3)</f>
        <v>154.30000000000001</v>
      </c>
      <c r="P19" s="69"/>
      <c r="Q19" s="43" t="b">
        <f ca="1">IFERROR(__xludf.DUMMYFUNCTION("""COMPUTED_VALUE"""),FALSE)</f>
        <v>0</v>
      </c>
      <c r="R19" s="43" t="b">
        <f ca="1">IFERROR(__xludf.DUMMYFUNCTION("""COMPUTED_VALUE"""),FALSE)</f>
        <v>0</v>
      </c>
      <c r="S19" s="43" t="b">
        <f ca="1">IFERROR(__xludf.DUMMYFUNCTION("""COMPUTED_VALUE"""),FALSE)</f>
        <v>0</v>
      </c>
      <c r="T19" s="63" t="b">
        <f ca="1">IFERROR(__xludf.DUMMYFUNCTION("""COMPUTED_VALUE"""),FALSE)</f>
        <v>0</v>
      </c>
      <c r="U19" s="68">
        <f ca="1">IFERROR(__xludf.DUMMYFUNCTION("""COMPUTED_VALUE"""),44)</f>
        <v>44</v>
      </c>
      <c r="V19" s="65">
        <f ca="1">IFERROR(__xludf.DUMMYFUNCTION("""COMPUTED_VALUE"""),2)</f>
        <v>2</v>
      </c>
      <c r="W19" s="66">
        <f ca="1">IFERROR(__xludf.DUMMYFUNCTION("""COMPUTED_VALUE"""),264)</f>
        <v>264</v>
      </c>
      <c r="X19" s="65">
        <f ca="1">IFERROR(__xludf.DUMMYFUNCTION("""COMPUTED_VALUE"""),1979)</f>
        <v>1979</v>
      </c>
      <c r="Y19" s="60" t="str">
        <f ca="1">IFERROR(__xludf.DUMMYFUNCTION("""COMPUTED_VALUE"""),"BMIS")</f>
        <v>BMIS</v>
      </c>
      <c r="Z19" s="66" t="s">
        <v>1774</v>
      </c>
    </row>
    <row r="20" spans="1:26" ht="15.75" customHeight="1">
      <c r="A20" s="56" t="str">
        <f ca="1">IFERROR(__xludf.DUMMYFUNCTION("""COMPUTED_VALUE"""),"S1SE")</f>
        <v>S1SE</v>
      </c>
      <c r="B20" s="333">
        <f ca="1">IFERROR(__xludf.DUMMYFUNCTION("""COMPUTED_VALUE"""),1)</f>
        <v>1</v>
      </c>
      <c r="C20" s="60" t="str">
        <f ca="1">IFERROR(__xludf.DUMMYFUNCTION("""COMPUTED_VALUE"""),"SE")</f>
        <v>SE</v>
      </c>
      <c r="D20" s="334">
        <f ca="1">IFERROR(__xludf.DUMMYFUNCTION("""COMPUTED_VALUE"""),400)</f>
        <v>400</v>
      </c>
      <c r="E20" s="60" t="str">
        <f ca="1">IFERROR(__xludf.DUMMYFUNCTION("""COMPUTED_VALUE"""),"3430115966T20050430")</f>
        <v>3430115966T20050430</v>
      </c>
      <c r="F20" s="60">
        <f ca="1">IFERROR(__xludf.DUMMYFUNCTION("""COMPUTED_VALUE"""),1103124903)</f>
        <v>1103124903</v>
      </c>
      <c r="G20" s="58" t="str">
        <f ca="1">IFERROR(__xludf.DUMMYFUNCTION("""COMPUTED_VALUE"""),"World-wide House")</f>
        <v>World-wide House</v>
      </c>
      <c r="H20" s="60" t="str">
        <f ca="1">IFERROR(__xludf.DUMMYFUNCTION("""COMPUTED_VALUE"""),"環球大廈")</f>
        <v>環球大廈</v>
      </c>
      <c r="I20" s="60">
        <f ca="1">IFERROR(__xludf.DUMMYFUNCTION("""COMPUTED_VALUE"""),114.1577892)</f>
        <v>114.1577892</v>
      </c>
      <c r="J20" s="60">
        <f ca="1">IFERROR(__xludf.DUMMYFUNCTION("""COMPUTED_VALUE"""),22.28255406)</f>
        <v>22.282554059999999</v>
      </c>
      <c r="K20" s="61">
        <f ca="1">IFERROR(__xludf.DUMMYFUNCTION("""COMPUTED_VALUE"""),3.7)</f>
        <v>3.7</v>
      </c>
      <c r="L20" s="60" t="str">
        <f ca="1">IFERROR(__xludf.DUMMYFUNCTION("""COMPUTED_VALUE"""),"p")</f>
        <v>p</v>
      </c>
      <c r="M20" s="61">
        <f ca="1">IFERROR(__xludf.DUMMYFUNCTION("""COMPUTED_VALUE"""),109)</f>
        <v>109</v>
      </c>
      <c r="N20" s="60" t="str">
        <f ca="1">IFERROR(__xludf.DUMMYFUNCTION("""COMPUTED_VALUE"""),"3")</f>
        <v>3</v>
      </c>
      <c r="O20" s="61">
        <f ca="1">IFERROR(__xludf.DUMMYFUNCTION("""COMPUTED_VALUE"""),105.3)</f>
        <v>105.3</v>
      </c>
      <c r="P20" s="62"/>
      <c r="Q20" s="43" t="b">
        <f ca="1">IFERROR(__xludf.DUMMYFUNCTION("""COMPUTED_VALUE"""),FALSE)</f>
        <v>0</v>
      </c>
      <c r="R20" s="43" t="b">
        <f ca="1">IFERROR(__xludf.DUMMYFUNCTION("""COMPUTED_VALUE"""),FALSE)</f>
        <v>0</v>
      </c>
      <c r="S20" s="43" t="b">
        <f ca="1">IFERROR(__xludf.DUMMYFUNCTION("""COMPUTED_VALUE"""),FALSE)</f>
        <v>0</v>
      </c>
      <c r="T20" s="63" t="b">
        <f ca="1">IFERROR(__xludf.DUMMYFUNCTION("""COMPUTED_VALUE"""),FALSE)</f>
        <v>0</v>
      </c>
      <c r="U20" s="68">
        <f ca="1">IFERROR(__xludf.DUMMYFUNCTION("""COMPUTED_VALUE"""),27)</f>
        <v>27</v>
      </c>
      <c r="V20" s="60">
        <f ca="1">IFERROR(__xludf.DUMMYFUNCTION("""COMPUTED_VALUE"""),0)</f>
        <v>0</v>
      </c>
      <c r="W20" s="59">
        <f ca="1">IFERROR(__xludf.DUMMYFUNCTION("""COMPUTED_VALUE"""),363)</f>
        <v>363</v>
      </c>
      <c r="X20" s="60">
        <f ca="1">IFERROR(__xludf.DUMMYFUNCTION("""COMPUTED_VALUE"""),1980)</f>
        <v>1980</v>
      </c>
      <c r="Y20" s="60" t="str">
        <f ca="1">IFERROR(__xludf.DUMMYFUNCTION("""COMPUTED_VALUE"""),"BMIS")</f>
        <v>BMIS</v>
      </c>
      <c r="Z20" s="66" t="s">
        <v>1769</v>
      </c>
    </row>
    <row r="21" spans="1:26" ht="15.75" customHeight="1">
      <c r="A21" s="56" t="str">
        <f ca="1">IFERROR(__xludf.DUMMYFUNCTION("""COMPUTED_VALUE"""),"S1SW")</f>
        <v>S1SW</v>
      </c>
      <c r="B21" s="333">
        <f ca="1">IFERROR(__xludf.DUMMYFUNCTION("""COMPUTED_VALUE"""),1)</f>
        <v>1</v>
      </c>
      <c r="C21" s="60" t="str">
        <f ca="1">IFERROR(__xludf.DUMMYFUNCTION("""COMPUTED_VALUE"""),"SW")</f>
        <v>SW</v>
      </c>
      <c r="D21" s="334">
        <f ca="1">IFERROR(__xludf.DUMMYFUNCTION("""COMPUTED_VALUE"""),400)</f>
        <v>400</v>
      </c>
      <c r="E21" s="60" t="str">
        <f ca="1">IFERROR(__xludf.DUMMYFUNCTION("""COMPUTED_VALUE"""),"3437915919T20050430")</f>
        <v>3437915919T20050430</v>
      </c>
      <c r="F21" s="60">
        <f ca="1">IFERROR(__xludf.DUMMYFUNCTION("""COMPUTED_VALUE"""),1103125246)</f>
        <v>1103125246</v>
      </c>
      <c r="G21" s="58" t="str">
        <f ca="1">IFERROR(__xludf.DUMMYFUNCTION("""COMPUTED_VALUE"""),"Chater House")</f>
        <v>Chater House</v>
      </c>
      <c r="H21" s="60" t="str">
        <f ca="1">IFERROR(__xludf.DUMMYFUNCTION("""COMPUTED_VALUE"""),"遮打大廈")</f>
        <v>遮打大廈</v>
      </c>
      <c r="I21" s="60">
        <f ca="1">IFERROR(__xludf.DUMMYFUNCTION("""COMPUTED_VALUE"""),114.1584381)</f>
        <v>114.1584381</v>
      </c>
      <c r="J21" s="60">
        <f ca="1">IFERROR(__xludf.DUMMYFUNCTION("""COMPUTED_VALUE"""),22.28223046)</f>
        <v>22.282230460000001</v>
      </c>
      <c r="K21" s="61">
        <f ca="1">IFERROR(__xludf.DUMMYFUNCTION("""COMPUTED_VALUE"""),3.7)</f>
        <v>3.7</v>
      </c>
      <c r="L21" s="60" t="str">
        <f ca="1">IFERROR(__xludf.DUMMYFUNCTION("""COMPUTED_VALUE"""),"p")</f>
        <v>p</v>
      </c>
      <c r="M21" s="61">
        <f ca="1">IFERROR(__xludf.DUMMYFUNCTION("""COMPUTED_VALUE"""),127.5)</f>
        <v>127.5</v>
      </c>
      <c r="N21" s="60" t="str">
        <f ca="1">IFERROR(__xludf.DUMMYFUNCTION("""COMPUTED_VALUE"""),"p")</f>
        <v>p</v>
      </c>
      <c r="O21" s="61">
        <f ca="1">IFERROR(__xludf.DUMMYFUNCTION("""COMPUTED_VALUE"""),123.8)</f>
        <v>123.8</v>
      </c>
      <c r="P21" s="69"/>
      <c r="Q21" s="43" t="b">
        <f ca="1">IFERROR(__xludf.DUMMYFUNCTION("""COMPUTED_VALUE"""),FALSE)</f>
        <v>0</v>
      </c>
      <c r="R21" s="43" t="b">
        <f ca="1">IFERROR(__xludf.DUMMYFUNCTION("""COMPUTED_VALUE"""),FALSE)</f>
        <v>0</v>
      </c>
      <c r="S21" s="43" t="b">
        <f ca="1">IFERROR(__xludf.DUMMYFUNCTION("""COMPUTED_VALUE"""),FALSE)</f>
        <v>0</v>
      </c>
      <c r="T21" s="63" t="b">
        <f ca="1">IFERROR(__xludf.DUMMYFUNCTION("""COMPUTED_VALUE"""),FALSE)</f>
        <v>0</v>
      </c>
      <c r="U21" s="68">
        <f ca="1">IFERROR(__xludf.DUMMYFUNCTION("""COMPUTED_VALUE"""),31)</f>
        <v>31</v>
      </c>
      <c r="V21" s="65">
        <f ca="1">IFERROR(__xludf.DUMMYFUNCTION("""COMPUTED_VALUE"""),3)</f>
        <v>3</v>
      </c>
      <c r="W21" s="66">
        <f ca="1">IFERROR(__xludf.DUMMYFUNCTION("""COMPUTED_VALUE"""),31)</f>
        <v>31</v>
      </c>
      <c r="X21" s="65">
        <f ca="1">IFERROR(__xludf.DUMMYFUNCTION("""COMPUTED_VALUE"""),2002)</f>
        <v>2002</v>
      </c>
      <c r="Y21" s="60" t="str">
        <f ca="1">IFERROR(__xludf.DUMMYFUNCTION("""COMPUTED_VALUE"""),"BMIS")</f>
        <v>BMIS</v>
      </c>
      <c r="Z21" s="66" t="s">
        <v>1773</v>
      </c>
    </row>
    <row r="22" spans="1:26" ht="15.75" customHeight="1">
      <c r="A22" s="56" t="str">
        <f ca="1">IFERROR(__xludf.DUMMYFUNCTION("""COMPUTED_VALUE"""),"S1NW")</f>
        <v>S1NW</v>
      </c>
      <c r="B22" s="333">
        <f ca="1">IFERROR(__xludf.DUMMYFUNCTION("""COMPUTED_VALUE"""),1)</f>
        <v>1</v>
      </c>
      <c r="C22" s="60" t="str">
        <f ca="1">IFERROR(__xludf.DUMMYFUNCTION("""COMPUTED_VALUE"""),"NW")</f>
        <v>NW</v>
      </c>
      <c r="D22" s="334">
        <f ca="1">IFERROR(__xludf.DUMMYFUNCTION("""COMPUTED_VALUE"""),400)</f>
        <v>400</v>
      </c>
      <c r="E22" s="60" t="str">
        <f ca="1">IFERROR(__xludf.DUMMYFUNCTION("""COMPUTED_VALUE"""),"3436015848T20050430")</f>
        <v>3436015848T20050430</v>
      </c>
      <c r="F22" s="60">
        <f ca="1">IFERROR(__xludf.DUMMYFUNCTION("""COMPUTED_VALUE"""),1103125889)</f>
        <v>1103125889</v>
      </c>
      <c r="G22" s="58" t="str">
        <f ca="1">IFERROR(__xludf.DUMMYFUNCTION("""COMPUTED_VALUE"""),"Alexandra House")</f>
        <v>Alexandra House</v>
      </c>
      <c r="H22" s="60" t="str">
        <f ca="1">IFERROR(__xludf.DUMMYFUNCTION("""COMPUTED_VALUE"""),"歷山大廈")</f>
        <v>歷山大廈</v>
      </c>
      <c r="I22" s="60">
        <f ca="1">IFERROR(__xludf.DUMMYFUNCTION("""COMPUTED_VALUE"""),114.1585436)</f>
        <v>114.1585436</v>
      </c>
      <c r="J22" s="60">
        <f ca="1">IFERROR(__xludf.DUMMYFUNCTION("""COMPUTED_VALUE"""),22.28149516)</f>
        <v>22.281495159999999</v>
      </c>
      <c r="K22" s="61">
        <f ca="1">IFERROR(__xludf.DUMMYFUNCTION("""COMPUTED_VALUE"""),3.8)</f>
        <v>3.8</v>
      </c>
      <c r="L22" s="60" t="str">
        <f ca="1">IFERROR(__xludf.DUMMYFUNCTION("""COMPUTED_VALUE"""),"l")</f>
        <v>l</v>
      </c>
      <c r="M22" s="61">
        <f ca="1">IFERROR(__xludf.DUMMYFUNCTION("""COMPUTED_VALUE"""),127.5)</f>
        <v>127.5</v>
      </c>
      <c r="N22" s="60" t="str">
        <f ca="1">IFERROR(__xludf.DUMMYFUNCTION("""COMPUTED_VALUE"""),"p")</f>
        <v>p</v>
      </c>
      <c r="O22" s="61">
        <f ca="1">IFERROR(__xludf.DUMMYFUNCTION("""COMPUTED_VALUE"""),123.7)</f>
        <v>123.7</v>
      </c>
      <c r="P22" s="69"/>
      <c r="Q22" s="43"/>
      <c r="R22" s="43" t="b">
        <f ca="1">IFERROR(__xludf.DUMMYFUNCTION("""COMPUTED_VALUE"""),FALSE)</f>
        <v>0</v>
      </c>
      <c r="S22" s="43" t="b">
        <f ca="1">IFERROR(__xludf.DUMMYFUNCTION("""COMPUTED_VALUE"""),FALSE)</f>
        <v>0</v>
      </c>
      <c r="T22" s="63" t="b">
        <f ca="1">IFERROR(__xludf.DUMMYFUNCTION("""COMPUTED_VALUE"""),FALSE)</f>
        <v>0</v>
      </c>
      <c r="U22" s="68">
        <f ca="1">IFERROR(__xludf.DUMMYFUNCTION("""COMPUTED_VALUE"""),35)</f>
        <v>35</v>
      </c>
      <c r="V22" s="65">
        <f ca="1">IFERROR(__xludf.DUMMYFUNCTION("""COMPUTED_VALUE"""),0)</f>
        <v>0</v>
      </c>
      <c r="W22" s="66">
        <f ca="1">IFERROR(__xludf.DUMMYFUNCTION("""COMPUTED_VALUE"""),310)</f>
        <v>310</v>
      </c>
      <c r="X22" s="65">
        <f ca="1">IFERROR(__xludf.DUMMYFUNCTION("""COMPUTED_VALUE"""),1976)</f>
        <v>1976</v>
      </c>
      <c r="Y22" s="60" t="str">
        <f ca="1">IFERROR(__xludf.DUMMYFUNCTION("""COMPUTED_VALUE"""),"BMIS")</f>
        <v>BMIS</v>
      </c>
      <c r="Z22" s="66" t="s">
        <v>1775</v>
      </c>
    </row>
    <row r="23" spans="1:26" ht="15.75" customHeight="1">
      <c r="A23" s="56" t="str">
        <f ca="1">IFERROR(__xludf.DUMMYFUNCTION("""COMPUTED_VALUE"""),"W1NE")</f>
        <v>W1NE</v>
      </c>
      <c r="B23" s="333">
        <f ca="1">IFERROR(__xludf.DUMMYFUNCTION("""COMPUTED_VALUE"""),1)</f>
        <v>1</v>
      </c>
      <c r="C23" s="60" t="str">
        <f ca="1">IFERROR(__xludf.DUMMYFUNCTION("""COMPUTED_VALUE"""),"NE")</f>
        <v>NE</v>
      </c>
      <c r="D23" s="334">
        <f ca="1">IFERROR(__xludf.DUMMYFUNCTION("""COMPUTED_VALUE"""),400)</f>
        <v>400</v>
      </c>
      <c r="E23" s="60"/>
      <c r="F23" s="60"/>
      <c r="G23" s="58"/>
      <c r="H23" s="60"/>
      <c r="I23" s="60"/>
      <c r="J23" s="60"/>
      <c r="K23" s="61"/>
      <c r="L23" s="60"/>
      <c r="M23" s="61"/>
      <c r="N23" s="60"/>
      <c r="O23" s="61"/>
      <c r="P23" s="67"/>
      <c r="Q23" s="43" t="b">
        <f ca="1">IFERROR(__xludf.DUMMYFUNCTION("""COMPUTED_VALUE"""),TRUE)</f>
        <v>1</v>
      </c>
      <c r="R23" s="43" t="b">
        <f ca="1">IFERROR(__xludf.DUMMYFUNCTION("""COMPUTED_VALUE"""),FALSE)</f>
        <v>0</v>
      </c>
      <c r="S23" s="43" t="b">
        <f ca="1">IFERROR(__xludf.DUMMYFUNCTION("""COMPUTED_VALUE"""),FALSE)</f>
        <v>0</v>
      </c>
      <c r="T23" s="63" t="b">
        <f ca="1">IFERROR(__xludf.DUMMYFUNCTION("""COMPUTED_VALUE"""),TRUE)</f>
        <v>1</v>
      </c>
      <c r="U23" s="68">
        <f ca="1">IFERROR(__xludf.DUMMYFUNCTION("""COMPUTED_VALUE"""),0)</f>
        <v>0</v>
      </c>
      <c r="V23" s="65"/>
      <c r="W23" s="66"/>
      <c r="X23" s="65"/>
      <c r="Y23" s="60"/>
      <c r="Z23" s="66" t="s">
        <v>556</v>
      </c>
    </row>
    <row r="24" spans="1:26" ht="15.75" customHeight="1">
      <c r="A24" s="56" t="str">
        <f ca="1">IFERROR(__xludf.DUMMYFUNCTION("""COMPUTED_VALUE"""),"W1SE")</f>
        <v>W1SE</v>
      </c>
      <c r="B24" s="333">
        <f ca="1">IFERROR(__xludf.DUMMYFUNCTION("""COMPUTED_VALUE"""),1)</f>
        <v>1</v>
      </c>
      <c r="C24" s="60" t="str">
        <f ca="1">IFERROR(__xludf.DUMMYFUNCTION("""COMPUTED_VALUE"""),"SE")</f>
        <v>SE</v>
      </c>
      <c r="D24" s="334">
        <f ca="1">IFERROR(__xludf.DUMMYFUNCTION("""COMPUTED_VALUE"""),400)</f>
        <v>400</v>
      </c>
      <c r="E24" s="60" t="str">
        <f ca="1">IFERROR(__xludf.DUMMYFUNCTION("""COMPUTED_VALUE"""),"3437915919T20050430")</f>
        <v>3437915919T20050430</v>
      </c>
      <c r="F24" s="60">
        <f ca="1">IFERROR(__xludf.DUMMYFUNCTION("""COMPUTED_VALUE"""),1103125246)</f>
        <v>1103125246</v>
      </c>
      <c r="G24" s="58" t="str">
        <f ca="1">IFERROR(__xludf.DUMMYFUNCTION("""COMPUTED_VALUE"""),"Chater House")</f>
        <v>Chater House</v>
      </c>
      <c r="H24" s="60" t="str">
        <f ca="1">IFERROR(__xludf.DUMMYFUNCTION("""COMPUTED_VALUE"""),"遮打大廈")</f>
        <v>遮打大廈</v>
      </c>
      <c r="I24" s="60">
        <f ca="1">IFERROR(__xludf.DUMMYFUNCTION("""COMPUTED_VALUE"""),114.1584381)</f>
        <v>114.1584381</v>
      </c>
      <c r="J24" s="60">
        <f ca="1">IFERROR(__xludf.DUMMYFUNCTION("""COMPUTED_VALUE"""),22.28223046)</f>
        <v>22.282230460000001</v>
      </c>
      <c r="K24" s="61">
        <f ca="1">IFERROR(__xludf.DUMMYFUNCTION("""COMPUTED_VALUE"""),3.7)</f>
        <v>3.7</v>
      </c>
      <c r="L24" s="60" t="str">
        <f ca="1">IFERROR(__xludf.DUMMYFUNCTION("""COMPUTED_VALUE"""),"p")</f>
        <v>p</v>
      </c>
      <c r="M24" s="61">
        <f ca="1">IFERROR(__xludf.DUMMYFUNCTION("""COMPUTED_VALUE"""),127.5)</f>
        <v>127.5</v>
      </c>
      <c r="N24" s="60" t="str">
        <f ca="1">IFERROR(__xludf.DUMMYFUNCTION("""COMPUTED_VALUE"""),"p")</f>
        <v>p</v>
      </c>
      <c r="O24" s="61">
        <f ca="1">IFERROR(__xludf.DUMMYFUNCTION("""COMPUTED_VALUE"""),123.8)</f>
        <v>123.8</v>
      </c>
      <c r="P24" s="69"/>
      <c r="Q24" s="43" t="b">
        <f ca="1">IFERROR(__xludf.DUMMYFUNCTION("""COMPUTED_VALUE"""),FALSE)</f>
        <v>0</v>
      </c>
      <c r="R24" s="43" t="b">
        <f ca="1">IFERROR(__xludf.DUMMYFUNCTION("""COMPUTED_VALUE"""),FALSE)</f>
        <v>0</v>
      </c>
      <c r="S24" s="43" t="b">
        <f ca="1">IFERROR(__xludf.DUMMYFUNCTION("""COMPUTED_VALUE"""),FALSE)</f>
        <v>0</v>
      </c>
      <c r="T24" s="63" t="b">
        <f ca="1">IFERROR(__xludf.DUMMYFUNCTION("""COMPUTED_VALUE"""),FALSE)</f>
        <v>0</v>
      </c>
      <c r="U24" s="68">
        <f ca="1">IFERROR(__xludf.DUMMYFUNCTION("""COMPUTED_VALUE"""),30)</f>
        <v>30</v>
      </c>
      <c r="V24" s="65"/>
      <c r="W24" s="66"/>
      <c r="X24" s="65"/>
      <c r="Y24" s="60" t="str">
        <f ca="1">IFERROR(__xludf.DUMMYFUNCTION("""COMPUTED_VALUE"""),"Fieldwork")</f>
        <v>Fieldwork</v>
      </c>
      <c r="Z24" s="66" t="s">
        <v>1773</v>
      </c>
    </row>
    <row r="25" spans="1:26" ht="15.75" customHeight="1">
      <c r="A25" s="56" t="str">
        <f ca="1">IFERROR(__xludf.DUMMYFUNCTION("""COMPUTED_VALUE"""),"W1SW")</f>
        <v>W1SW</v>
      </c>
      <c r="B25" s="333">
        <f ca="1">IFERROR(__xludf.DUMMYFUNCTION("""COMPUTED_VALUE"""),1)</f>
        <v>1</v>
      </c>
      <c r="C25" s="60" t="str">
        <f ca="1">IFERROR(__xludf.DUMMYFUNCTION("""COMPUTED_VALUE"""),"SW")</f>
        <v>SW</v>
      </c>
      <c r="D25" s="334">
        <f ca="1">IFERROR(__xludf.DUMMYFUNCTION("""COMPUTED_VALUE"""),400)</f>
        <v>400</v>
      </c>
      <c r="E25" s="60"/>
      <c r="F25" s="60"/>
      <c r="G25" s="58"/>
      <c r="H25" s="60"/>
      <c r="I25" s="60"/>
      <c r="J25" s="60"/>
      <c r="K25" s="61"/>
      <c r="L25" s="60"/>
      <c r="M25" s="61"/>
      <c r="N25" s="60"/>
      <c r="O25" s="61"/>
      <c r="P25" s="62"/>
      <c r="Q25" s="43" t="b">
        <f ca="1">IFERROR(__xludf.DUMMYFUNCTION("""COMPUTED_VALUE"""),TRUE)</f>
        <v>1</v>
      </c>
      <c r="R25" s="43" t="b">
        <f ca="1">IFERROR(__xludf.DUMMYFUNCTION("""COMPUTED_VALUE"""),FALSE)</f>
        <v>0</v>
      </c>
      <c r="S25" s="43" t="b">
        <f ca="1">IFERROR(__xludf.DUMMYFUNCTION("""COMPUTED_VALUE"""),FALSE)</f>
        <v>0</v>
      </c>
      <c r="T25" s="63" t="b">
        <f ca="1">IFERROR(__xludf.DUMMYFUNCTION("""COMPUTED_VALUE"""),TRUE)</f>
        <v>1</v>
      </c>
      <c r="U25" s="68">
        <f ca="1">IFERROR(__xludf.DUMMYFUNCTION("""COMPUTED_VALUE"""),0)</f>
        <v>0</v>
      </c>
      <c r="V25" s="60"/>
      <c r="W25" s="59"/>
      <c r="X25" s="60"/>
      <c r="Y25" s="60"/>
      <c r="Z25" s="66" t="s">
        <v>556</v>
      </c>
    </row>
    <row r="26" spans="1:26" ht="15.75" customHeight="1">
      <c r="A26" s="56" t="str">
        <f ca="1">IFERROR(__xludf.DUMMYFUNCTION("""COMPUTED_VALUE"""),"W1NW")</f>
        <v>W1NW</v>
      </c>
      <c r="B26" s="333">
        <f ca="1">IFERROR(__xludf.DUMMYFUNCTION("""COMPUTED_VALUE"""),1)</f>
        <v>1</v>
      </c>
      <c r="C26" s="60" t="str">
        <f ca="1">IFERROR(__xludf.DUMMYFUNCTION("""COMPUTED_VALUE"""),"NW")</f>
        <v>NW</v>
      </c>
      <c r="D26" s="334">
        <f ca="1">IFERROR(__xludf.DUMMYFUNCTION("""COMPUTED_VALUE"""),400)</f>
        <v>400</v>
      </c>
      <c r="E26" s="60" t="str">
        <f ca="1">IFERROR(__xludf.DUMMYFUNCTION("""COMPUTED_VALUE"""),"3430115966T20050430")</f>
        <v>3430115966T20050430</v>
      </c>
      <c r="F26" s="60">
        <f ca="1">IFERROR(__xludf.DUMMYFUNCTION("""COMPUTED_VALUE"""),1103124903)</f>
        <v>1103124903</v>
      </c>
      <c r="G26" s="58" t="str">
        <f ca="1">IFERROR(__xludf.DUMMYFUNCTION("""COMPUTED_VALUE"""),"World-wide House")</f>
        <v>World-wide House</v>
      </c>
      <c r="H26" s="60" t="str">
        <f ca="1">IFERROR(__xludf.DUMMYFUNCTION("""COMPUTED_VALUE"""),"環球大廈")</f>
        <v>環球大廈</v>
      </c>
      <c r="I26" s="60">
        <f ca="1">IFERROR(__xludf.DUMMYFUNCTION("""COMPUTED_VALUE"""),114.1577892)</f>
        <v>114.1577892</v>
      </c>
      <c r="J26" s="60">
        <f ca="1">IFERROR(__xludf.DUMMYFUNCTION("""COMPUTED_VALUE"""),22.28255406)</f>
        <v>22.282554059999999</v>
      </c>
      <c r="K26" s="61">
        <f ca="1">IFERROR(__xludf.DUMMYFUNCTION("""COMPUTED_VALUE"""),3.7)</f>
        <v>3.7</v>
      </c>
      <c r="L26" s="60" t="str">
        <f ca="1">IFERROR(__xludf.DUMMYFUNCTION("""COMPUTED_VALUE"""),"p")</f>
        <v>p</v>
      </c>
      <c r="M26" s="61">
        <f ca="1">IFERROR(__xludf.DUMMYFUNCTION("""COMPUTED_VALUE"""),109)</f>
        <v>109</v>
      </c>
      <c r="N26" s="60" t="str">
        <f ca="1">IFERROR(__xludf.DUMMYFUNCTION("""COMPUTED_VALUE"""),"3")</f>
        <v>3</v>
      </c>
      <c r="O26" s="61">
        <f ca="1">IFERROR(__xludf.DUMMYFUNCTION("""COMPUTED_VALUE"""),105.3)</f>
        <v>105.3</v>
      </c>
      <c r="P26" s="62"/>
      <c r="Q26" s="43" t="b">
        <f ca="1">IFERROR(__xludf.DUMMYFUNCTION("""COMPUTED_VALUE"""),FALSE)</f>
        <v>0</v>
      </c>
      <c r="R26" s="43" t="b">
        <f ca="1">IFERROR(__xludf.DUMMYFUNCTION("""COMPUTED_VALUE"""),FALSE)</f>
        <v>0</v>
      </c>
      <c r="S26" s="43" t="b">
        <f ca="1">IFERROR(__xludf.DUMMYFUNCTION("""COMPUTED_VALUE"""),FALSE)</f>
        <v>0</v>
      </c>
      <c r="T26" s="63" t="b">
        <f ca="1">IFERROR(__xludf.DUMMYFUNCTION("""COMPUTED_VALUE"""),FALSE)</f>
        <v>0</v>
      </c>
      <c r="U26" s="68">
        <f ca="1">IFERROR(__xludf.DUMMYFUNCTION("""COMPUTED_VALUE"""),30)</f>
        <v>30</v>
      </c>
      <c r="V26" s="60"/>
      <c r="W26" s="59"/>
      <c r="X26" s="60"/>
      <c r="Y26" s="60" t="str">
        <f ca="1">IFERROR(__xludf.DUMMYFUNCTION("""COMPUTED_VALUE"""),"Fieldwork")</f>
        <v>Fieldwork</v>
      </c>
      <c r="Z26" s="66" t="s">
        <v>1769</v>
      </c>
    </row>
    <row r="27" spans="1:26" ht="15.75" customHeight="1">
      <c r="A27" s="56" t="str">
        <f ca="1">IFERROR(__xludf.DUMMYFUNCTION("""COMPUTED_VALUE"""),"E2NE")</f>
        <v>E2NE</v>
      </c>
      <c r="B27" s="333">
        <f ca="1">IFERROR(__xludf.DUMMYFUNCTION("""COMPUTED_VALUE"""),2)</f>
        <v>2</v>
      </c>
      <c r="C27" s="60" t="str">
        <f ca="1">IFERROR(__xludf.DUMMYFUNCTION("""COMPUTED_VALUE"""),"NE")</f>
        <v>NE</v>
      </c>
      <c r="D27" s="334">
        <f ca="1">IFERROR(__xludf.DUMMYFUNCTION("""COMPUTED_VALUE"""),600)</f>
        <v>600</v>
      </c>
      <c r="E27" s="60"/>
      <c r="F27" s="60"/>
      <c r="G27" s="58" t="str">
        <f ca="1">IFERROR(__xludf.DUMMYFUNCTION("""COMPUTED_VALUE""")," ")</f>
        <v xml:space="preserve"> </v>
      </c>
      <c r="H27" s="60"/>
      <c r="I27" s="60"/>
      <c r="J27" s="60"/>
      <c r="K27" s="61"/>
      <c r="L27" s="60"/>
      <c r="M27" s="61"/>
      <c r="N27" s="60"/>
      <c r="O27" s="61"/>
      <c r="P27" s="62" t="str">
        <f ca="1">IFERROR(__xludf.DUMMYFUNCTION("""COMPUTED_VALUE"""),"no building ")</f>
        <v xml:space="preserve">no building </v>
      </c>
      <c r="Q27" s="43" t="b">
        <f ca="1">IFERROR(__xludf.DUMMYFUNCTION("""COMPUTED_VALUE"""),TRUE)</f>
        <v>1</v>
      </c>
      <c r="R27" s="43" t="b">
        <f ca="1">IFERROR(__xludf.DUMMYFUNCTION("""COMPUTED_VALUE"""),TRUE)</f>
        <v>1</v>
      </c>
      <c r="S27" s="43" t="b">
        <f ca="1">IFERROR(__xludf.DUMMYFUNCTION("""COMPUTED_VALUE"""),FALSE)</f>
        <v>0</v>
      </c>
      <c r="T27" s="63" t="b">
        <f ca="1">IFERROR(__xludf.DUMMYFUNCTION("""COMPUTED_VALUE"""),TRUE)</f>
        <v>1</v>
      </c>
      <c r="U27" s="68">
        <f ca="1">IFERROR(__xludf.DUMMYFUNCTION("""COMPUTED_VALUE"""),0)</f>
        <v>0</v>
      </c>
      <c r="V27" s="60"/>
      <c r="W27" s="59"/>
      <c r="X27" s="60"/>
      <c r="Y27" s="60"/>
      <c r="Z27" s="66" t="s">
        <v>556</v>
      </c>
    </row>
    <row r="28" spans="1:26" ht="15.75" customHeight="1">
      <c r="A28" s="56" t="str">
        <f ca="1">IFERROR(__xludf.DUMMYFUNCTION("""COMPUTED_VALUE"""),"E2SE")</f>
        <v>E2SE</v>
      </c>
      <c r="B28" s="333">
        <f ca="1">IFERROR(__xludf.DUMMYFUNCTION("""COMPUTED_VALUE"""),2)</f>
        <v>2</v>
      </c>
      <c r="C28" s="60" t="str">
        <f ca="1">IFERROR(__xludf.DUMMYFUNCTION("""COMPUTED_VALUE"""),"SE")</f>
        <v>SE</v>
      </c>
      <c r="D28" s="334">
        <f ca="1">IFERROR(__xludf.DUMMYFUNCTION("""COMPUTED_VALUE"""),600)</f>
        <v>600</v>
      </c>
      <c r="E28" s="60" t="str">
        <f ca="1">IFERROR(__xludf.DUMMYFUNCTION("""COMPUTED_VALUE"""),"3442015820T20050430")</f>
        <v>3442015820T20050430</v>
      </c>
      <c r="F28" s="60">
        <f ca="1">IFERROR(__xludf.DUMMYFUNCTION("""COMPUTED_VALUE"""),1103125983)</f>
        <v>1103125983</v>
      </c>
      <c r="G28" s="58" t="str">
        <f ca="1">IFERROR(__xludf.DUMMYFUNCTION("""COMPUTED_VALUE"""),"Prince's Building")</f>
        <v>Prince's Building</v>
      </c>
      <c r="H28" s="60" t="str">
        <f ca="1">IFERROR(__xludf.DUMMYFUNCTION("""COMPUTED_VALUE"""),"太子大廈")</f>
        <v>太子大廈</v>
      </c>
      <c r="I28" s="60">
        <f ca="1">IFERROR(__xludf.DUMMYFUNCTION("""COMPUTED_VALUE"""),114.1591631)</f>
        <v>114.1591631</v>
      </c>
      <c r="J28" s="60">
        <f ca="1">IFERROR(__xludf.DUMMYFUNCTION("""COMPUTED_VALUE"""),22.28122499)</f>
        <v>22.281224989999998</v>
      </c>
      <c r="K28" s="61">
        <f ca="1">IFERROR(__xludf.DUMMYFUNCTION("""COMPUTED_VALUE"""),3.7)</f>
        <v>3.7</v>
      </c>
      <c r="L28" s="60" t="str">
        <f ca="1">IFERROR(__xludf.DUMMYFUNCTION("""COMPUTED_VALUE"""),"p")</f>
        <v>p</v>
      </c>
      <c r="M28" s="61">
        <f ca="1">IFERROR(__xludf.DUMMYFUNCTION("""COMPUTED_VALUE"""),84.1)</f>
        <v>84.1</v>
      </c>
      <c r="N28" s="60" t="str">
        <f ca="1">IFERROR(__xludf.DUMMYFUNCTION("""COMPUTED_VALUE"""),"3")</f>
        <v>3</v>
      </c>
      <c r="O28" s="61">
        <f ca="1">IFERROR(__xludf.DUMMYFUNCTION("""COMPUTED_VALUE"""),80.4)</f>
        <v>80.400000000000006</v>
      </c>
      <c r="P28" s="69"/>
      <c r="Q28" s="43" t="b">
        <f ca="1">IFERROR(__xludf.DUMMYFUNCTION("""COMPUTED_VALUE"""),FALSE)</f>
        <v>0</v>
      </c>
      <c r="R28" s="43" t="b">
        <f ca="1">IFERROR(__xludf.DUMMYFUNCTION("""COMPUTED_VALUE"""),FALSE)</f>
        <v>0</v>
      </c>
      <c r="S28" s="43" t="b">
        <f ca="1">IFERROR(__xludf.DUMMYFUNCTION("""COMPUTED_VALUE"""),FALSE)</f>
        <v>0</v>
      </c>
      <c r="T28" s="63" t="b">
        <f ca="1">IFERROR(__xludf.DUMMYFUNCTION("""COMPUTED_VALUE"""),FALSE)</f>
        <v>0</v>
      </c>
      <c r="U28" s="64">
        <f ca="1">IFERROR(__xludf.DUMMYFUNCTION("""COMPUTED_VALUE"""),26)</f>
        <v>26</v>
      </c>
      <c r="V28" s="65">
        <f ca="1">IFERROR(__xludf.DUMMYFUNCTION("""COMPUTED_VALUE"""),1)</f>
        <v>1</v>
      </c>
      <c r="W28" s="66">
        <f ca="1">IFERROR(__xludf.DUMMYFUNCTION("""COMPUTED_VALUE"""),229)</f>
        <v>229</v>
      </c>
      <c r="X28" s="65">
        <f ca="1">IFERROR(__xludf.DUMMYFUNCTION("""COMPUTED_VALUE"""),1965)</f>
        <v>1965</v>
      </c>
      <c r="Y28" s="65" t="str">
        <f ca="1">IFERROR(__xludf.DUMMYFUNCTION("""COMPUTED_VALUE"""),"BMIS_auto")</f>
        <v>BMIS_auto</v>
      </c>
      <c r="Z28" s="66" t="s">
        <v>1780</v>
      </c>
    </row>
    <row r="29" spans="1:26" ht="15.75" customHeight="1">
      <c r="A29" s="56" t="str">
        <f ca="1">IFERROR(__xludf.DUMMYFUNCTION("""COMPUTED_VALUE"""),"E2SW")</f>
        <v>E2SW</v>
      </c>
      <c r="B29" s="333">
        <f ca="1">IFERROR(__xludf.DUMMYFUNCTION("""COMPUTED_VALUE"""),2)</f>
        <v>2</v>
      </c>
      <c r="C29" s="60" t="str">
        <f ca="1">IFERROR(__xludf.DUMMYFUNCTION("""COMPUTED_VALUE"""),"SW")</f>
        <v>SW</v>
      </c>
      <c r="D29" s="334">
        <f ca="1">IFERROR(__xludf.DUMMYFUNCTION("""COMPUTED_VALUE"""),600)</f>
        <v>600</v>
      </c>
      <c r="E29" s="60" t="str">
        <f ca="1">IFERROR(__xludf.DUMMYFUNCTION("""COMPUTED_VALUE"""),"3445915874T20050430")</f>
        <v>3445915874T20050430</v>
      </c>
      <c r="F29" s="60">
        <f ca="1">IFERROR(__xludf.DUMMYFUNCTION("""COMPUTED_VALUE"""),1103125448)</f>
        <v>1103125448</v>
      </c>
      <c r="G29" s="58" t="str">
        <f ca="1">IFERROR(__xludf.DUMMYFUNCTION("""COMPUTED_VALUE"""),"Mandarin Oriental Hotel")</f>
        <v>Mandarin Oriental Hotel</v>
      </c>
      <c r="H29" s="60" t="str">
        <f ca="1">IFERROR(__xludf.DUMMYFUNCTION("""COMPUTED_VALUE"""),"文華東方酒店")</f>
        <v>文華東方酒店</v>
      </c>
      <c r="I29" s="60">
        <f ca="1">IFERROR(__xludf.DUMMYFUNCTION("""COMPUTED_VALUE"""),114.1593912)</f>
        <v>114.1593912</v>
      </c>
      <c r="J29" s="60">
        <f ca="1">IFERROR(__xludf.DUMMYFUNCTION("""COMPUTED_VALUE"""),22.28193604)</f>
        <v>22.281936040000001</v>
      </c>
      <c r="K29" s="61">
        <f ca="1">IFERROR(__xludf.DUMMYFUNCTION("""COMPUTED_VALUE"""),3.7)</f>
        <v>3.7</v>
      </c>
      <c r="L29" s="60" t="str">
        <f ca="1">IFERROR(__xludf.DUMMYFUNCTION("""COMPUTED_VALUE"""),"p")</f>
        <v>p</v>
      </c>
      <c r="M29" s="61">
        <f ca="1">IFERROR(__xludf.DUMMYFUNCTION("""COMPUTED_VALUE"""),83.4)</f>
        <v>83.4</v>
      </c>
      <c r="N29" s="60" t="str">
        <f ca="1">IFERROR(__xludf.DUMMYFUNCTION("""COMPUTED_VALUE"""),"p")</f>
        <v>p</v>
      </c>
      <c r="O29" s="61">
        <f ca="1">IFERROR(__xludf.DUMMYFUNCTION("""COMPUTED_VALUE"""),79.7)</f>
        <v>79.7</v>
      </c>
      <c r="P29" s="62"/>
      <c r="Q29" s="43" t="b">
        <f ca="1">IFERROR(__xludf.DUMMYFUNCTION("""COMPUTED_VALUE"""),FALSE)</f>
        <v>0</v>
      </c>
      <c r="R29" s="43" t="b">
        <f ca="1">IFERROR(__xludf.DUMMYFUNCTION("""COMPUTED_VALUE"""),FALSE)</f>
        <v>0</v>
      </c>
      <c r="S29" s="43" t="b">
        <f ca="1">IFERROR(__xludf.DUMMYFUNCTION("""COMPUTED_VALUE"""),FALSE)</f>
        <v>0</v>
      </c>
      <c r="T29" s="63" t="b">
        <f ca="1">IFERROR(__xludf.DUMMYFUNCTION("""COMPUTED_VALUE"""),FALSE)</f>
        <v>0</v>
      </c>
      <c r="U29" s="64">
        <f ca="1">IFERROR(__xludf.DUMMYFUNCTION("""COMPUTED_VALUE"""),25)</f>
        <v>25</v>
      </c>
      <c r="V29" s="60">
        <f ca="1">IFERROR(__xludf.DUMMYFUNCTION("""COMPUTED_VALUE"""),0)</f>
        <v>0</v>
      </c>
      <c r="W29" s="59">
        <f ca="1">IFERROR(__xludf.DUMMYFUNCTION("""COMPUTED_VALUE"""),501)</f>
        <v>501</v>
      </c>
      <c r="X29" s="60">
        <f ca="1">IFERROR(__xludf.DUMMYFUNCTION("""COMPUTED_VALUE"""),1963)</f>
        <v>1963</v>
      </c>
      <c r="Y29" s="329" t="str">
        <f ca="1">IFERROR(__xludf.DUMMYFUNCTION("""COMPUTED_VALUE"""),"https://photos.mandarinoriental.com/is/content/MandarinOriental/hong-kong-fact-sheet")</f>
        <v>https://photos.mandarinoriental.com/is/content/MandarinOriental/hong-kong-fact-sheet</v>
      </c>
      <c r="Z29" s="66" t="s">
        <v>1782</v>
      </c>
    </row>
    <row r="30" spans="1:26" ht="15.75" customHeight="1">
      <c r="A30" s="56" t="str">
        <f ca="1">IFERROR(__xludf.DUMMYFUNCTION("""COMPUTED_VALUE"""),"E2NW")</f>
        <v>E2NW</v>
      </c>
      <c r="B30" s="333">
        <f ca="1">IFERROR(__xludf.DUMMYFUNCTION("""COMPUTED_VALUE"""),2)</f>
        <v>2</v>
      </c>
      <c r="C30" s="60" t="str">
        <f ca="1">IFERROR(__xludf.DUMMYFUNCTION("""COMPUTED_VALUE"""),"NW")</f>
        <v>NW</v>
      </c>
      <c r="D30" s="334">
        <f ca="1">IFERROR(__xludf.DUMMYFUNCTION("""COMPUTED_VALUE"""),600)</f>
        <v>600</v>
      </c>
      <c r="E30" s="60"/>
      <c r="F30" s="60"/>
      <c r="G30" s="58" t="str">
        <f ca="1">IFERROR(__xludf.DUMMYFUNCTION("""COMPUTED_VALUE"""),"Statue Square")</f>
        <v>Statue Square</v>
      </c>
      <c r="H30" s="60"/>
      <c r="I30" s="60"/>
      <c r="J30" s="60"/>
      <c r="K30" s="61"/>
      <c r="L30" s="60"/>
      <c r="M30" s="61"/>
      <c r="N30" s="60"/>
      <c r="O30" s="61"/>
      <c r="P30" s="69" t="str">
        <f ca="1">IFERROR(__xludf.DUMMYFUNCTION("""COMPUTED_VALUE"""),"no building ")</f>
        <v xml:space="preserve">no building </v>
      </c>
      <c r="Q30" s="43" t="b">
        <f ca="1">IFERROR(__xludf.DUMMYFUNCTION("""COMPUTED_VALUE"""),TRUE)</f>
        <v>1</v>
      </c>
      <c r="R30" s="43" t="b">
        <f ca="1">IFERROR(__xludf.DUMMYFUNCTION("""COMPUTED_VALUE"""),TRUE)</f>
        <v>1</v>
      </c>
      <c r="S30" s="43" t="b">
        <f ca="1">IFERROR(__xludf.DUMMYFUNCTION("""COMPUTED_VALUE"""),FALSE)</f>
        <v>0</v>
      </c>
      <c r="T30" s="63" t="b">
        <f ca="1">IFERROR(__xludf.DUMMYFUNCTION("""COMPUTED_VALUE"""),TRUE)</f>
        <v>1</v>
      </c>
      <c r="U30" s="64">
        <f ca="1">IFERROR(__xludf.DUMMYFUNCTION("""COMPUTED_VALUE"""),0)</f>
        <v>0</v>
      </c>
      <c r="V30" s="65"/>
      <c r="W30" s="66"/>
      <c r="X30" s="65"/>
      <c r="Y30" s="65"/>
      <c r="Z30" s="66" t="s">
        <v>556</v>
      </c>
    </row>
    <row r="31" spans="1:26" ht="15.75" customHeight="1">
      <c r="A31" s="56" t="str">
        <f ca="1">IFERROR(__xludf.DUMMYFUNCTION("""COMPUTED_VALUE"""),"S2NE")</f>
        <v>S2NE</v>
      </c>
      <c r="B31" s="333">
        <f ca="1">IFERROR(__xludf.DUMMYFUNCTION("""COMPUTED_VALUE"""),2)</f>
        <v>2</v>
      </c>
      <c r="C31" s="60" t="str">
        <f ca="1">IFERROR(__xludf.DUMMYFUNCTION("""COMPUTED_VALUE"""),"NE")</f>
        <v>NE</v>
      </c>
      <c r="D31" s="334">
        <f ca="1">IFERROR(__xludf.DUMMYFUNCTION("""COMPUTED_VALUE"""),600)</f>
        <v>600</v>
      </c>
      <c r="E31" s="60" t="str">
        <f ca="1">IFERROR(__xludf.DUMMYFUNCTION("""COMPUTED_VALUE"""),"3442015710T20050430")</f>
        <v>3442015710T20050430</v>
      </c>
      <c r="F31" s="60">
        <f ca="1">IFERROR(__xludf.DUMMYFUNCTION("""COMPUTED_VALUE"""),1103126642)</f>
        <v>1103126642</v>
      </c>
      <c r="G31" s="58" t="str">
        <f ca="1">IFERROR(__xludf.DUMMYFUNCTION("""COMPUTED_VALUE"""),"Standard Chartered Bank Building")</f>
        <v>Standard Chartered Bank Building</v>
      </c>
      <c r="H31" s="60" t="str">
        <f ca="1">IFERROR(__xludf.DUMMYFUNCTION("""COMPUTED_VALUE"""),"渣打銀行大廈")</f>
        <v>渣打銀行大廈</v>
      </c>
      <c r="I31" s="60">
        <f ca="1">IFERROR(__xludf.DUMMYFUNCTION("""COMPUTED_VALUE"""),114.159011)</f>
        <v>114.15901100000001</v>
      </c>
      <c r="J31" s="60">
        <f ca="1">IFERROR(__xludf.DUMMYFUNCTION("""COMPUTED_VALUE"""),22.28043036)</f>
        <v>22.28043036</v>
      </c>
      <c r="K31" s="61">
        <f ca="1">IFERROR(__xludf.DUMMYFUNCTION("""COMPUTED_VALUE"""),3.7)</f>
        <v>3.7</v>
      </c>
      <c r="L31" s="60" t="str">
        <f ca="1">IFERROR(__xludf.DUMMYFUNCTION("""COMPUTED_VALUE"""),"p")</f>
        <v>p</v>
      </c>
      <c r="M31" s="61">
        <f ca="1">IFERROR(__xludf.DUMMYFUNCTION("""COMPUTED_VALUE"""),189.8)</f>
        <v>189.8</v>
      </c>
      <c r="N31" s="60" t="str">
        <f ca="1">IFERROR(__xludf.DUMMYFUNCTION("""COMPUTED_VALUE"""),"3")</f>
        <v>3</v>
      </c>
      <c r="O31" s="61">
        <f ca="1">IFERROR(__xludf.DUMMYFUNCTION("""COMPUTED_VALUE"""),186.1)</f>
        <v>186.1</v>
      </c>
      <c r="P31" s="69"/>
      <c r="Q31" s="43" t="b">
        <f ca="1">IFERROR(__xludf.DUMMYFUNCTION("""COMPUTED_VALUE"""),FALSE)</f>
        <v>0</v>
      </c>
      <c r="R31" s="43" t="b">
        <f ca="1">IFERROR(__xludf.DUMMYFUNCTION("""COMPUTED_VALUE"""),FALSE)</f>
        <v>0</v>
      </c>
      <c r="S31" s="43" t="b">
        <f ca="1">IFERROR(__xludf.DUMMYFUNCTION("""COMPUTED_VALUE"""),FALSE)</f>
        <v>0</v>
      </c>
      <c r="T31" s="63" t="b">
        <f ca="1">IFERROR(__xludf.DUMMYFUNCTION("""COMPUTED_VALUE"""),FALSE)</f>
        <v>0</v>
      </c>
      <c r="U31" s="68">
        <f ca="1">IFERROR(__xludf.DUMMYFUNCTION("""COMPUTED_VALUE"""),32)</f>
        <v>32</v>
      </c>
      <c r="V31" s="65">
        <f ca="1">IFERROR(__xludf.DUMMYFUNCTION("""COMPUTED_VALUE"""),1)</f>
        <v>1</v>
      </c>
      <c r="W31" s="66"/>
      <c r="X31" s="65">
        <f ca="1">IFERROR(__xludf.DUMMYFUNCTION("""COMPUTED_VALUE"""),1989)</f>
        <v>1989</v>
      </c>
      <c r="Y31" s="60" t="str">
        <f ca="1">IFERROR(__xludf.DUMMYFUNCTION("""COMPUTED_VALUE"""),"BMIS")</f>
        <v>BMIS</v>
      </c>
      <c r="Z31" s="66" t="s">
        <v>1784</v>
      </c>
    </row>
    <row r="32" spans="1:26" ht="15.75" customHeight="1">
      <c r="A32" s="56" t="str">
        <f ca="1">IFERROR(__xludf.DUMMYFUNCTION("""COMPUTED_VALUE"""),"S2SE")</f>
        <v>S2SE</v>
      </c>
      <c r="B32" s="333">
        <f ca="1">IFERROR(__xludf.DUMMYFUNCTION("""COMPUTED_VALUE"""),2)</f>
        <v>2</v>
      </c>
      <c r="C32" s="60" t="str">
        <f ca="1">IFERROR(__xludf.DUMMYFUNCTION("""COMPUTED_VALUE"""),"SE")</f>
        <v>SE</v>
      </c>
      <c r="D32" s="334">
        <f ca="1">IFERROR(__xludf.DUMMYFUNCTION("""COMPUTED_VALUE"""),600)</f>
        <v>600</v>
      </c>
      <c r="E32" s="60" t="str">
        <f ca="1">IFERROR(__xludf.DUMMYFUNCTION("""COMPUTED_VALUE"""),"3435115710T20050430")</f>
        <v>3435115710T20050430</v>
      </c>
      <c r="F32" s="60">
        <f ca="1">IFERROR(__xludf.DUMMYFUNCTION("""COMPUTED_VALUE"""),1103126580)</f>
        <v>1103126580</v>
      </c>
      <c r="G32" s="58" t="str">
        <f ca="1">IFERROR(__xludf.DUMMYFUNCTION("""COMPUTED_VALUE"""),"The Galleria")</f>
        <v>The Galleria</v>
      </c>
      <c r="H32" s="60" t="str">
        <f ca="1">IFERROR(__xludf.DUMMYFUNCTION("""COMPUTED_VALUE"""),"嘉軒廣場")</f>
        <v>嘉軒廣場</v>
      </c>
      <c r="I32" s="60">
        <f ca="1">IFERROR(__xludf.DUMMYFUNCTION("""COMPUTED_VALUE"""),114.1585176)</f>
        <v>114.1585176</v>
      </c>
      <c r="J32" s="60">
        <f ca="1">IFERROR(__xludf.DUMMYFUNCTION("""COMPUTED_VALUE"""),22.28049694)</f>
        <v>22.280496939999999</v>
      </c>
      <c r="K32" s="61">
        <f ca="1">IFERROR(__xludf.DUMMYFUNCTION("""COMPUTED_VALUE"""),3.7)</f>
        <v>3.7</v>
      </c>
      <c r="L32" s="60" t="str">
        <f ca="1">IFERROR(__xludf.DUMMYFUNCTION("""COMPUTED_VALUE"""),"p")</f>
        <v>p</v>
      </c>
      <c r="M32" s="61">
        <f ca="1">IFERROR(__xludf.DUMMYFUNCTION("""COMPUTED_VALUE"""),185.4)</f>
        <v>185.4</v>
      </c>
      <c r="N32" s="60" t="str">
        <f ca="1">IFERROR(__xludf.DUMMYFUNCTION("""COMPUTED_VALUE"""),"p")</f>
        <v>p</v>
      </c>
      <c r="O32" s="61">
        <f ca="1">IFERROR(__xludf.DUMMYFUNCTION("""COMPUTED_VALUE"""),181.7)</f>
        <v>181.7</v>
      </c>
      <c r="P32" s="62"/>
      <c r="Q32" s="43" t="b">
        <f ca="1">IFERROR(__xludf.DUMMYFUNCTION("""COMPUTED_VALUE"""),FALSE)</f>
        <v>0</v>
      </c>
      <c r="R32" s="43" t="b">
        <f ca="1">IFERROR(__xludf.DUMMYFUNCTION("""COMPUTED_VALUE"""),FALSE)</f>
        <v>0</v>
      </c>
      <c r="S32" s="43" t="b">
        <f ca="1">IFERROR(__xludf.DUMMYFUNCTION("""COMPUTED_VALUE"""),FALSE)</f>
        <v>0</v>
      </c>
      <c r="T32" s="63" t="b">
        <f ca="1">IFERROR(__xludf.DUMMYFUNCTION("""COMPUTED_VALUE"""),FALSE)</f>
        <v>0</v>
      </c>
      <c r="U32" s="68">
        <f ca="1">IFERROR(__xludf.DUMMYFUNCTION("""COMPUTED_VALUE"""),33)</f>
        <v>33</v>
      </c>
      <c r="V32" s="65">
        <f ca="1">IFERROR(__xludf.DUMMYFUNCTION("""COMPUTED_VALUE"""),0)</f>
        <v>0</v>
      </c>
      <c r="W32" s="66">
        <f ca="1">IFERROR(__xludf.DUMMYFUNCTION("""COMPUTED_VALUE"""),396)</f>
        <v>396</v>
      </c>
      <c r="X32" s="65">
        <f ca="1">IFERROR(__xludf.DUMMYFUNCTION("""COMPUTED_VALUE"""),1991)</f>
        <v>1991</v>
      </c>
      <c r="Y32" s="60" t="str">
        <f ca="1">IFERROR(__xludf.DUMMYFUNCTION("""COMPUTED_VALUE"""),"BMIS")</f>
        <v>BMIS</v>
      </c>
      <c r="Z32" s="66" t="s">
        <v>1785</v>
      </c>
    </row>
    <row r="33" spans="1:26" ht="15.75" customHeight="1">
      <c r="A33" s="56" t="str">
        <f ca="1">IFERROR(__xludf.DUMMYFUNCTION("""COMPUTED_VALUE"""),"S2SW")</f>
        <v>S2SW</v>
      </c>
      <c r="B33" s="333">
        <f ca="1">IFERROR(__xludf.DUMMYFUNCTION("""COMPUTED_VALUE"""),2)</f>
        <v>2</v>
      </c>
      <c r="C33" s="60" t="str">
        <f ca="1">IFERROR(__xludf.DUMMYFUNCTION("""COMPUTED_VALUE"""),"SW")</f>
        <v>SW</v>
      </c>
      <c r="D33" s="334">
        <f ca="1">IFERROR(__xludf.DUMMYFUNCTION("""COMPUTED_VALUE"""),600)</f>
        <v>600</v>
      </c>
      <c r="E33" s="60"/>
      <c r="F33" s="60"/>
      <c r="G33" s="58"/>
      <c r="H33" s="60"/>
      <c r="I33" s="60"/>
      <c r="J33" s="60"/>
      <c r="K33" s="61"/>
      <c r="L33" s="60"/>
      <c r="M33" s="61"/>
      <c r="N33" s="60"/>
      <c r="O33" s="61"/>
      <c r="P33" s="69" t="str">
        <f ca="1">IFERROR(__xludf.DUMMYFUNCTION("""COMPUTED_VALUE"""),"Shares same building with S2NW, further south is S1NW (duplicate)")</f>
        <v>Shares same building with S2NW, further south is S1NW (duplicate)</v>
      </c>
      <c r="Q33" s="43" t="b">
        <f ca="1">IFERROR(__xludf.DUMMYFUNCTION("""COMPUTED_VALUE"""),TRUE)</f>
        <v>1</v>
      </c>
      <c r="R33" s="43" t="b">
        <f ca="1">IFERROR(__xludf.DUMMYFUNCTION("""COMPUTED_VALUE"""),FALSE)</f>
        <v>0</v>
      </c>
      <c r="S33" s="43" t="b">
        <f ca="1">IFERROR(__xludf.DUMMYFUNCTION("""COMPUTED_VALUE"""),FALSE)</f>
        <v>0</v>
      </c>
      <c r="T33" s="63" t="b">
        <f ca="1">IFERROR(__xludf.DUMMYFUNCTION("""COMPUTED_VALUE"""),TRUE)</f>
        <v>1</v>
      </c>
      <c r="U33" s="68">
        <f ca="1">IFERROR(__xludf.DUMMYFUNCTION("""COMPUTED_VALUE"""),0)</f>
        <v>0</v>
      </c>
      <c r="V33" s="65"/>
      <c r="W33" s="66"/>
      <c r="X33" s="65"/>
      <c r="Y33" s="60"/>
      <c r="Z33" s="66" t="s">
        <v>556</v>
      </c>
    </row>
    <row r="34" spans="1:26" ht="15.75" customHeight="1">
      <c r="A34" s="56" t="str">
        <f ca="1">IFERROR(__xludf.DUMMYFUNCTION("""COMPUTED_VALUE"""),"S2NW")</f>
        <v>S2NW</v>
      </c>
      <c r="B34" s="333">
        <f ca="1">IFERROR(__xludf.DUMMYFUNCTION("""COMPUTED_VALUE"""),2)</f>
        <v>2</v>
      </c>
      <c r="C34" s="60" t="str">
        <f ca="1">IFERROR(__xludf.DUMMYFUNCTION("""COMPUTED_VALUE"""),"NW")</f>
        <v>NW</v>
      </c>
      <c r="D34" s="334">
        <f ca="1">IFERROR(__xludf.DUMMYFUNCTION("""COMPUTED_VALUE"""),600)</f>
        <v>600</v>
      </c>
      <c r="E34" s="60" t="str">
        <f ca="1">IFERROR(__xludf.DUMMYFUNCTION("""COMPUTED_VALUE"""),"3442015820T20050430")</f>
        <v>3442015820T20050430</v>
      </c>
      <c r="F34" s="60">
        <f ca="1">IFERROR(__xludf.DUMMYFUNCTION("""COMPUTED_VALUE"""),1103125983)</f>
        <v>1103125983</v>
      </c>
      <c r="G34" s="58" t="str">
        <f ca="1">IFERROR(__xludf.DUMMYFUNCTION("""COMPUTED_VALUE"""),"Prince's Building")</f>
        <v>Prince's Building</v>
      </c>
      <c r="H34" s="60" t="str">
        <f ca="1">IFERROR(__xludf.DUMMYFUNCTION("""COMPUTED_VALUE"""),"太子大廈")</f>
        <v>太子大廈</v>
      </c>
      <c r="I34" s="60">
        <f ca="1">IFERROR(__xludf.DUMMYFUNCTION("""COMPUTED_VALUE"""),114.1591631)</f>
        <v>114.1591631</v>
      </c>
      <c r="J34" s="60">
        <f ca="1">IFERROR(__xludf.DUMMYFUNCTION("""COMPUTED_VALUE"""),22.28122499)</f>
        <v>22.281224989999998</v>
      </c>
      <c r="K34" s="61">
        <f ca="1">IFERROR(__xludf.DUMMYFUNCTION("""COMPUTED_VALUE"""),3.7)</f>
        <v>3.7</v>
      </c>
      <c r="L34" s="60" t="str">
        <f ca="1">IFERROR(__xludf.DUMMYFUNCTION("""COMPUTED_VALUE"""),"p")</f>
        <v>p</v>
      </c>
      <c r="M34" s="61">
        <f ca="1">IFERROR(__xludf.DUMMYFUNCTION("""COMPUTED_VALUE"""),84.1)</f>
        <v>84.1</v>
      </c>
      <c r="N34" s="60" t="str">
        <f ca="1">IFERROR(__xludf.DUMMYFUNCTION("""COMPUTED_VALUE"""),"3")</f>
        <v>3</v>
      </c>
      <c r="O34" s="61">
        <f ca="1">IFERROR(__xludf.DUMMYFUNCTION("""COMPUTED_VALUE"""),80.4)</f>
        <v>80.400000000000006</v>
      </c>
      <c r="P34" s="67"/>
      <c r="Q34" s="43" t="b">
        <f ca="1">IFERROR(__xludf.DUMMYFUNCTION("""COMPUTED_VALUE"""),FALSE)</f>
        <v>0</v>
      </c>
      <c r="R34" s="43" t="b">
        <f ca="1">IFERROR(__xludf.DUMMYFUNCTION("""COMPUTED_VALUE"""),FALSE)</f>
        <v>0</v>
      </c>
      <c r="S34" s="43" t="b">
        <f ca="1">IFERROR(__xludf.DUMMYFUNCTION("""COMPUTED_VALUE"""),FALSE)</f>
        <v>0</v>
      </c>
      <c r="T34" s="63" t="b">
        <f ca="1">IFERROR(__xludf.DUMMYFUNCTION("""COMPUTED_VALUE"""),FALSE)</f>
        <v>0</v>
      </c>
      <c r="U34" s="68">
        <f ca="1">IFERROR(__xludf.DUMMYFUNCTION("""COMPUTED_VALUE"""),26)</f>
        <v>26</v>
      </c>
      <c r="V34" s="60">
        <f ca="1">IFERROR(__xludf.DUMMYFUNCTION("""COMPUTED_VALUE"""),1)</f>
        <v>1</v>
      </c>
      <c r="W34" s="59">
        <f ca="1">IFERROR(__xludf.DUMMYFUNCTION("""COMPUTED_VALUE"""),229)</f>
        <v>229</v>
      </c>
      <c r="X34" s="65">
        <f ca="1">IFERROR(__xludf.DUMMYFUNCTION("""COMPUTED_VALUE"""),1965)</f>
        <v>1965</v>
      </c>
      <c r="Y34" s="60" t="str">
        <f ca="1">IFERROR(__xludf.DUMMYFUNCTION("""COMPUTED_VALUE"""),"BMIS")</f>
        <v>BMIS</v>
      </c>
      <c r="Z34" s="66" t="s">
        <v>1780</v>
      </c>
    </row>
    <row r="35" spans="1:26" ht="15.75" customHeight="1">
      <c r="A35" s="56" t="str">
        <f ca="1">IFERROR(__xludf.DUMMYFUNCTION("""COMPUTED_VALUE"""),"W2NE")</f>
        <v>W2NE</v>
      </c>
      <c r="B35" s="333">
        <f ca="1">IFERROR(__xludf.DUMMYFUNCTION("""COMPUTED_VALUE"""),2)</f>
        <v>2</v>
      </c>
      <c r="C35" s="60" t="str">
        <f ca="1">IFERROR(__xludf.DUMMYFUNCTION("""COMPUTED_VALUE"""),"NE")</f>
        <v>NE</v>
      </c>
      <c r="D35" s="334">
        <f ca="1">IFERROR(__xludf.DUMMYFUNCTION("""COMPUTED_VALUE"""),600)</f>
        <v>600</v>
      </c>
      <c r="E35" s="60" t="str">
        <f ca="1">IFERROR(__xludf.DUMMYFUNCTION("""COMPUTED_VALUE"""),"3418516083T20050430")</f>
        <v>3418516083T20050430</v>
      </c>
      <c r="F35" s="60">
        <f ca="1">IFERROR(__xludf.DUMMYFUNCTION("""COMPUTED_VALUE"""),1103124097)</f>
        <v>1103124097</v>
      </c>
      <c r="G35" s="58" t="str">
        <f ca="1">IFERROR(__xludf.DUMMYFUNCTION("""COMPUTED_VALUE"""),"The Chinese Bank Building")</f>
        <v>The Chinese Bank Building</v>
      </c>
      <c r="H35" s="60" t="str">
        <f ca="1">IFERROR(__xludf.DUMMYFUNCTION("""COMPUTED_VALUE"""),"華人銀行大廈")</f>
        <v>華人銀行大廈</v>
      </c>
      <c r="I35" s="60">
        <f ca="1">IFERROR(__xludf.DUMMYFUNCTION("""COMPUTED_VALUE"""),114.1567764)</f>
        <v>114.1567764</v>
      </c>
      <c r="J35" s="60">
        <f ca="1">IFERROR(__xludf.DUMMYFUNCTION("""COMPUTED_VALUE"""),22.28367579)</f>
        <v>22.28367579</v>
      </c>
      <c r="K35" s="61">
        <f ca="1">IFERROR(__xludf.DUMMYFUNCTION("""COMPUTED_VALUE"""),3.6)</f>
        <v>3.6</v>
      </c>
      <c r="L35" s="60" t="str">
        <f ca="1">IFERROR(__xludf.DUMMYFUNCTION("""COMPUTED_VALUE"""),"p")</f>
        <v>p</v>
      </c>
      <c r="M35" s="61">
        <f ca="1">IFERROR(__xludf.DUMMYFUNCTION("""COMPUTED_VALUE"""),75)</f>
        <v>75</v>
      </c>
      <c r="N35" s="60" t="str">
        <f ca="1">IFERROR(__xludf.DUMMYFUNCTION("""COMPUTED_VALUE"""),"p")</f>
        <v>p</v>
      </c>
      <c r="O35" s="61">
        <f ca="1">IFERROR(__xludf.DUMMYFUNCTION("""COMPUTED_VALUE"""),71.4)</f>
        <v>71.400000000000006</v>
      </c>
      <c r="P35" s="69" t="str">
        <f ca="1">IFERROR(__xludf.DUMMYFUNCTION("""COMPUTED_VALUE"""),"To be changed, waiting confirmation")</f>
        <v>To be changed, waiting confirmation</v>
      </c>
      <c r="Q35" s="43" t="b">
        <f ca="1">IFERROR(__xludf.DUMMYFUNCTION("""COMPUTED_VALUE"""),FALSE)</f>
        <v>0</v>
      </c>
      <c r="R35" s="43" t="b">
        <f ca="1">IFERROR(__xludf.DUMMYFUNCTION("""COMPUTED_VALUE"""),FALSE)</f>
        <v>0</v>
      </c>
      <c r="S35" s="43" t="b">
        <f ca="1">IFERROR(__xludf.DUMMYFUNCTION("""COMPUTED_VALUE"""),FALSE)</f>
        <v>0</v>
      </c>
      <c r="T35" s="63" t="b">
        <f ca="1">IFERROR(__xludf.DUMMYFUNCTION("""COMPUTED_VALUE"""),FALSE)</f>
        <v>0</v>
      </c>
      <c r="U35" s="68">
        <f ca="1">IFERROR(__xludf.DUMMYFUNCTION("""COMPUTED_VALUE"""),29)</f>
        <v>29</v>
      </c>
      <c r="V35" s="60"/>
      <c r="W35" s="66"/>
      <c r="X35" s="65"/>
      <c r="Y35" s="60" t="str">
        <f ca="1">IFERROR(__xludf.DUMMYFUNCTION("""COMPUTED_VALUE"""),"Fieldwork")</f>
        <v>Fieldwork</v>
      </c>
      <c r="Z35" s="66" t="s">
        <v>1787</v>
      </c>
    </row>
    <row r="36" spans="1:26" ht="15.75" customHeight="1">
      <c r="A36" s="56" t="str">
        <f ca="1">IFERROR(__xludf.DUMMYFUNCTION("""COMPUTED_VALUE"""),"W2SE")</f>
        <v>W2SE</v>
      </c>
      <c r="B36" s="333">
        <f ca="1">IFERROR(__xludf.DUMMYFUNCTION("""COMPUTED_VALUE"""),2)</f>
        <v>2</v>
      </c>
      <c r="C36" s="60" t="str">
        <f ca="1">IFERROR(__xludf.DUMMYFUNCTION("""COMPUTED_VALUE"""),"SE")</f>
        <v>SE</v>
      </c>
      <c r="D36" s="334">
        <f ca="1">IFERROR(__xludf.DUMMYFUNCTION("""COMPUTED_VALUE"""),600)</f>
        <v>600</v>
      </c>
      <c r="E36" s="60" t="str">
        <f ca="1">IFERROR(__xludf.DUMMYFUNCTION("""COMPUTED_VALUE"""),"3421116068T20050430")</f>
        <v>3421116068T20050430</v>
      </c>
      <c r="F36" s="60">
        <f ca="1">IFERROR(__xludf.DUMMYFUNCTION("""COMPUTED_VALUE"""),1103124289)</f>
        <v>1103124289</v>
      </c>
      <c r="G36" s="58" t="str">
        <f ca="1">IFERROR(__xludf.DUMMYFUNCTION("""COMPUTED_VALUE"""),"Hip Shing Hong Centre")</f>
        <v>Hip Shing Hong Centre</v>
      </c>
      <c r="H36" s="60" t="str">
        <f ca="1">IFERROR(__xludf.DUMMYFUNCTION("""COMPUTED_VALUE"""),"協成行中心")</f>
        <v>協成行中心</v>
      </c>
      <c r="I36" s="60">
        <f ca="1">IFERROR(__xludf.DUMMYFUNCTION("""COMPUTED_VALUE"""),114.1568775)</f>
        <v>114.15687749999999</v>
      </c>
      <c r="J36" s="60">
        <f ca="1">IFERROR(__xludf.DUMMYFUNCTION("""COMPUTED_VALUE"""),22.28345818)</f>
        <v>22.28345818</v>
      </c>
      <c r="K36" s="61">
        <f ca="1">IFERROR(__xludf.DUMMYFUNCTION("""COMPUTED_VALUE"""),3.6)</f>
        <v>3.6</v>
      </c>
      <c r="L36" s="60" t="str">
        <f ca="1">IFERROR(__xludf.DUMMYFUNCTION("""COMPUTED_VALUE"""),"p")</f>
        <v>p</v>
      </c>
      <c r="M36" s="61">
        <f ca="1">IFERROR(__xludf.DUMMYFUNCTION("""COMPUTED_VALUE"""),123.6)</f>
        <v>123.6</v>
      </c>
      <c r="N36" s="60" t="str">
        <f ca="1">IFERROR(__xludf.DUMMYFUNCTION("""COMPUTED_VALUE"""),"3")</f>
        <v>3</v>
      </c>
      <c r="O36" s="61">
        <f ca="1">IFERROR(__xludf.DUMMYFUNCTION("""COMPUTED_VALUE"""),120)</f>
        <v>120</v>
      </c>
      <c r="P36" s="62"/>
      <c r="Q36" s="43" t="b">
        <f ca="1">IFERROR(__xludf.DUMMYFUNCTION("""COMPUTED_VALUE"""),FALSE)</f>
        <v>0</v>
      </c>
      <c r="R36" s="43" t="b">
        <f ca="1">IFERROR(__xludf.DUMMYFUNCTION("""COMPUTED_VALUE"""),FALSE)</f>
        <v>0</v>
      </c>
      <c r="S36" s="43" t="b">
        <f ca="1">IFERROR(__xludf.DUMMYFUNCTION("""COMPUTED_VALUE"""),FALSE)</f>
        <v>0</v>
      </c>
      <c r="T36" s="63" t="b">
        <f ca="1">IFERROR(__xludf.DUMMYFUNCTION("""COMPUTED_VALUE"""),FALSE)</f>
        <v>0</v>
      </c>
      <c r="U36" s="68">
        <f ca="1">IFERROR(__xludf.DUMMYFUNCTION("""COMPUTED_VALUE"""),22)</f>
        <v>22</v>
      </c>
      <c r="V36" s="60"/>
      <c r="W36" s="59"/>
      <c r="X36" s="60">
        <f ca="1">IFERROR(__xludf.DUMMYFUNCTION("""COMPUTED_VALUE"""),1995)</f>
        <v>1995</v>
      </c>
      <c r="Y36" s="60" t="str">
        <f ca="1">IFERROR(__xludf.DUMMYFUNCTION("""COMPUTED_VALUE"""),"Fieldwork+BMIS")</f>
        <v>Fieldwork+BMIS</v>
      </c>
      <c r="Z36" s="66" t="s">
        <v>1788</v>
      </c>
    </row>
    <row r="37" spans="1:26" ht="15.75" customHeight="1">
      <c r="A37" s="56" t="str">
        <f ca="1">IFERROR(__xludf.DUMMYFUNCTION("""COMPUTED_VALUE"""),"W2SW")</f>
        <v>W2SW</v>
      </c>
      <c r="B37" s="333">
        <f ca="1">IFERROR(__xludf.DUMMYFUNCTION("""COMPUTED_VALUE"""),2)</f>
        <v>2</v>
      </c>
      <c r="C37" s="60" t="str">
        <f ca="1">IFERROR(__xludf.DUMMYFUNCTION("""COMPUTED_VALUE"""),"SW")</f>
        <v>SW</v>
      </c>
      <c r="D37" s="334">
        <f ca="1">IFERROR(__xludf.DUMMYFUNCTION("""COMPUTED_VALUE"""),600)</f>
        <v>600</v>
      </c>
      <c r="E37" s="60" t="str">
        <f ca="1">IFERROR(__xludf.DUMMYFUNCTION("""COMPUTED_VALUE"""),"3418516038T20050430")</f>
        <v>3418516038T20050430</v>
      </c>
      <c r="F37" s="60">
        <f ca="1">IFERROR(__xludf.DUMMYFUNCTION("""COMPUTED_VALUE"""),1103124542)</f>
        <v>1103124542</v>
      </c>
      <c r="G37" s="58" t="str">
        <f ca="1">IFERROR(__xludf.DUMMYFUNCTION("""COMPUTED_VALUE"""),"Tung Ming Building")</f>
        <v>Tung Ming Building</v>
      </c>
      <c r="H37" s="60" t="str">
        <f ca="1">IFERROR(__xludf.DUMMYFUNCTION("""COMPUTED_VALUE"""),"通明大廈")</f>
        <v>通明大廈</v>
      </c>
      <c r="I37" s="60">
        <f ca="1">IFERROR(__xludf.DUMMYFUNCTION("""COMPUTED_VALUE"""),114.1566421)</f>
        <v>114.1566421</v>
      </c>
      <c r="J37" s="60">
        <f ca="1">IFERROR(__xludf.DUMMYFUNCTION("""COMPUTED_VALUE"""),22.28316857)</f>
        <v>22.283168570000001</v>
      </c>
      <c r="K37" s="61">
        <f ca="1">IFERROR(__xludf.DUMMYFUNCTION("""COMPUTED_VALUE"""),3.4)</f>
        <v>3.4</v>
      </c>
      <c r="L37" s="60" t="str">
        <f ca="1">IFERROR(__xludf.DUMMYFUNCTION("""COMPUTED_VALUE"""),"l")</f>
        <v>l</v>
      </c>
      <c r="M37" s="61">
        <f ca="1">IFERROR(__xludf.DUMMYFUNCTION("""COMPUTED_VALUE"""),48.9)</f>
        <v>48.9</v>
      </c>
      <c r="N37" s="60" t="str">
        <f ca="1">IFERROR(__xludf.DUMMYFUNCTION("""COMPUTED_VALUE"""),"p")</f>
        <v>p</v>
      </c>
      <c r="O37" s="61">
        <f ca="1">IFERROR(__xludf.DUMMYFUNCTION("""COMPUTED_VALUE"""),45.5)</f>
        <v>45.5</v>
      </c>
      <c r="P37" s="62"/>
      <c r="Q37" s="43" t="b">
        <f ca="1">IFERROR(__xludf.DUMMYFUNCTION("""COMPUTED_VALUE"""),FALSE)</f>
        <v>0</v>
      </c>
      <c r="R37" s="43" t="b">
        <f ca="1">IFERROR(__xludf.DUMMYFUNCTION("""COMPUTED_VALUE"""),FALSE)</f>
        <v>0</v>
      </c>
      <c r="S37" s="43" t="b">
        <f ca="1">IFERROR(__xludf.DUMMYFUNCTION("""COMPUTED_VALUE"""),FALSE)</f>
        <v>0</v>
      </c>
      <c r="T37" s="63" t="b">
        <f ca="1">IFERROR(__xludf.DUMMYFUNCTION("""COMPUTED_VALUE"""),FALSE)</f>
        <v>0</v>
      </c>
      <c r="U37" s="68">
        <f ca="1">IFERROR(__xludf.DUMMYFUNCTION("""COMPUTED_VALUE"""),15)</f>
        <v>15</v>
      </c>
      <c r="V37" s="60"/>
      <c r="W37" s="59"/>
      <c r="X37" s="60"/>
      <c r="Y37" s="60" t="str">
        <f ca="1">IFERROR(__xludf.DUMMYFUNCTION("""COMPUTED_VALUE"""),"Fieldwork")</f>
        <v>Fieldwork</v>
      </c>
      <c r="Z37" s="66" t="s">
        <v>1789</v>
      </c>
    </row>
    <row r="38" spans="1:26" ht="15.75" customHeight="1">
      <c r="A38" s="56" t="str">
        <f ca="1">IFERROR(__xludf.DUMMYFUNCTION("""COMPUTED_VALUE"""),"W2NW")</f>
        <v>W2NW</v>
      </c>
      <c r="B38" s="333">
        <f ca="1">IFERROR(__xludf.DUMMYFUNCTION("""COMPUTED_VALUE"""),2)</f>
        <v>2</v>
      </c>
      <c r="C38" s="60" t="str">
        <f ca="1">IFERROR(__xludf.DUMMYFUNCTION("""COMPUTED_VALUE"""),"NW")</f>
        <v>NW</v>
      </c>
      <c r="D38" s="334">
        <f ca="1">IFERROR(__xludf.DUMMYFUNCTION("""COMPUTED_VALUE"""),600)</f>
        <v>600</v>
      </c>
      <c r="E38" s="60" t="str">
        <f ca="1">IFERROR(__xludf.DUMMYFUNCTION("""COMPUTED_VALUE"""),"3416816060T20050430")</f>
        <v>3416816060T20050430</v>
      </c>
      <c r="F38" s="60">
        <f ca="1">IFERROR(__xludf.DUMMYFUNCTION("""COMPUTED_VALUE"""),1103124370)</f>
        <v>1103124370</v>
      </c>
      <c r="G38" s="58" t="str">
        <f ca="1">IFERROR(__xludf.DUMMYFUNCTION("""COMPUTED_VALUE"""),"Prosperous Building")</f>
        <v>Prosperous Building</v>
      </c>
      <c r="H38" s="60" t="str">
        <f ca="1">IFERROR(__xludf.DUMMYFUNCTION("""COMPUTED_VALUE"""),"裕昌大廈")</f>
        <v>裕昌大廈</v>
      </c>
      <c r="I38" s="60">
        <f ca="1">IFERROR(__xludf.DUMMYFUNCTION("""COMPUTED_VALUE"""),114.1564544)</f>
        <v>114.1564544</v>
      </c>
      <c r="J38" s="60">
        <f ca="1">IFERROR(__xludf.DUMMYFUNCTION("""COMPUTED_VALUE"""),22.28335748)</f>
        <v>22.283357479999999</v>
      </c>
      <c r="K38" s="61">
        <f ca="1">IFERROR(__xludf.DUMMYFUNCTION("""COMPUTED_VALUE"""),3.5)</f>
        <v>3.5</v>
      </c>
      <c r="L38" s="60" t="str">
        <f ca="1">IFERROR(__xludf.DUMMYFUNCTION("""COMPUTED_VALUE"""),"l")</f>
        <v>l</v>
      </c>
      <c r="M38" s="61">
        <f ca="1">IFERROR(__xludf.DUMMYFUNCTION("""COMPUTED_VALUE"""),58.400002)</f>
        <v>58.400002000000001</v>
      </c>
      <c r="N38" s="60" t="str">
        <f ca="1">IFERROR(__xludf.DUMMYFUNCTION("""COMPUTED_VALUE"""),"p")</f>
        <v>p</v>
      </c>
      <c r="O38" s="61">
        <f ca="1">IFERROR(__xludf.DUMMYFUNCTION("""COMPUTED_VALUE"""),53.8)</f>
        <v>53.8</v>
      </c>
      <c r="P38" s="71"/>
      <c r="Q38" s="43" t="b">
        <f ca="1">IFERROR(__xludf.DUMMYFUNCTION("""COMPUTED_VALUE"""),FALSE)</f>
        <v>0</v>
      </c>
      <c r="R38" s="43" t="b">
        <f ca="1">IFERROR(__xludf.DUMMYFUNCTION("""COMPUTED_VALUE"""),FALSE)</f>
        <v>0</v>
      </c>
      <c r="S38" s="43" t="b">
        <f ca="1">IFERROR(__xludf.DUMMYFUNCTION("""COMPUTED_VALUE"""),FALSE)</f>
        <v>0</v>
      </c>
      <c r="T38" s="63" t="b">
        <f ca="1">IFERROR(__xludf.DUMMYFUNCTION("""COMPUTED_VALUE"""),FALSE)</f>
        <v>0</v>
      </c>
      <c r="U38" s="68">
        <f ca="1">IFERROR(__xludf.DUMMYFUNCTION("""COMPUTED_VALUE"""),17)</f>
        <v>17</v>
      </c>
      <c r="V38" s="65"/>
      <c r="W38" s="66"/>
      <c r="X38" s="65"/>
      <c r="Y38" s="60" t="str">
        <f ca="1">IFERROR(__xludf.DUMMYFUNCTION("""COMPUTED_VALUE"""),"Fieldwork")</f>
        <v>Fieldwork</v>
      </c>
      <c r="Z38" s="66" t="s">
        <v>1790</v>
      </c>
    </row>
    <row r="39" spans="1:26" ht="15.75" customHeight="1">
      <c r="A39" s="56" t="str">
        <f ca="1">IFERROR(__xludf.DUMMYFUNCTION("""COMPUTED_VALUE"""),"E3NE")</f>
        <v>E3NE</v>
      </c>
      <c r="B39" s="333">
        <f ca="1">IFERROR(__xludf.DUMMYFUNCTION("""COMPUTED_VALUE"""),3)</f>
        <v>3</v>
      </c>
      <c r="C39" s="60" t="str">
        <f ca="1">IFERROR(__xludf.DUMMYFUNCTION("""COMPUTED_VALUE"""),"NE")</f>
        <v>NE</v>
      </c>
      <c r="D39" s="334">
        <f ca="1">IFERROR(__xludf.DUMMYFUNCTION("""COMPUTED_VALUE"""),800)</f>
        <v>800</v>
      </c>
      <c r="E39" s="60"/>
      <c r="F39" s="60"/>
      <c r="G39" s="58" t="str">
        <f ca="1">IFERROR(__xludf.DUMMYFUNCTION("""COMPUTED_VALUE"""),"Chater Garden")</f>
        <v>Chater Garden</v>
      </c>
      <c r="H39" s="60"/>
      <c r="I39" s="60"/>
      <c r="J39" s="60"/>
      <c r="K39" s="61"/>
      <c r="L39" s="60"/>
      <c r="M39" s="61"/>
      <c r="N39" s="60"/>
      <c r="O39" s="61"/>
      <c r="P39" s="62" t="str">
        <f ca="1">IFERROR(__xludf.DUMMYFUNCTION("""COMPUTED_VALUE"""),"no building ")</f>
        <v xml:space="preserve">no building </v>
      </c>
      <c r="Q39" s="43" t="b">
        <f ca="1">IFERROR(__xludf.DUMMYFUNCTION("""COMPUTED_VALUE"""),TRUE)</f>
        <v>1</v>
      </c>
      <c r="R39" s="43" t="b">
        <f ca="1">IFERROR(__xludf.DUMMYFUNCTION("""COMPUTED_VALUE"""),TRUE)</f>
        <v>1</v>
      </c>
      <c r="S39" s="43" t="b">
        <f ca="1">IFERROR(__xludf.DUMMYFUNCTION("""COMPUTED_VALUE"""),FALSE)</f>
        <v>0</v>
      </c>
      <c r="T39" s="63" t="b">
        <f ca="1">IFERROR(__xludf.DUMMYFUNCTION("""COMPUTED_VALUE"""),TRUE)</f>
        <v>1</v>
      </c>
      <c r="U39" s="68">
        <f ca="1">IFERROR(__xludf.DUMMYFUNCTION("""COMPUTED_VALUE"""),0)</f>
        <v>0</v>
      </c>
      <c r="V39" s="60"/>
      <c r="W39" s="59"/>
      <c r="X39" s="60"/>
      <c r="Y39" s="60"/>
      <c r="Z39" s="66" t="s">
        <v>556</v>
      </c>
    </row>
    <row r="40" spans="1:26" ht="15.75" customHeight="1">
      <c r="A40" s="56" t="str">
        <f ca="1">IFERROR(__xludf.DUMMYFUNCTION("""COMPUTED_VALUE"""),"E3SE")</f>
        <v>E3SE</v>
      </c>
      <c r="B40" s="333">
        <f ca="1">IFERROR(__xludf.DUMMYFUNCTION("""COMPUTED_VALUE"""),3)</f>
        <v>3</v>
      </c>
      <c r="C40" s="60" t="str">
        <f ca="1">IFERROR(__xludf.DUMMYFUNCTION("""COMPUTED_VALUE"""),"SE")</f>
        <v>SE</v>
      </c>
      <c r="D40" s="334">
        <f ca="1">IFERROR(__xludf.DUMMYFUNCTION("""COMPUTED_VALUE"""),800)</f>
        <v>800</v>
      </c>
      <c r="E40" s="60"/>
      <c r="F40" s="60"/>
      <c r="G40" s="58" t="str">
        <f ca="1">IFERROR(__xludf.DUMMYFUNCTION("""COMPUTED_VALUE"""),"Chater Garden")</f>
        <v>Chater Garden</v>
      </c>
      <c r="H40" s="60"/>
      <c r="I40" s="60"/>
      <c r="J40" s="60"/>
      <c r="K40" s="61"/>
      <c r="L40" s="60"/>
      <c r="M40" s="61"/>
      <c r="N40" s="60"/>
      <c r="O40" s="61"/>
      <c r="P40" s="69" t="str">
        <f ca="1">IFERROR(__xludf.DUMMYFUNCTION("""COMPUTED_VALUE"""),"no building ")</f>
        <v xml:space="preserve">no building </v>
      </c>
      <c r="Q40" s="43" t="b">
        <f ca="1">IFERROR(__xludf.DUMMYFUNCTION("""COMPUTED_VALUE"""),TRUE)</f>
        <v>1</v>
      </c>
      <c r="R40" s="43" t="b">
        <f ca="1">IFERROR(__xludf.DUMMYFUNCTION("""COMPUTED_VALUE"""),TRUE)</f>
        <v>1</v>
      </c>
      <c r="S40" s="43" t="b">
        <f ca="1">IFERROR(__xludf.DUMMYFUNCTION("""COMPUTED_VALUE"""),FALSE)</f>
        <v>0</v>
      </c>
      <c r="T40" s="63" t="b">
        <f ca="1">IFERROR(__xludf.DUMMYFUNCTION("""COMPUTED_VALUE"""),TRUE)</f>
        <v>1</v>
      </c>
      <c r="U40" s="68">
        <f ca="1">IFERROR(__xludf.DUMMYFUNCTION("""COMPUTED_VALUE"""),0)</f>
        <v>0</v>
      </c>
      <c r="V40" s="60"/>
      <c r="W40" s="59"/>
      <c r="X40" s="60"/>
      <c r="Y40" s="60"/>
      <c r="Z40" s="66" t="s">
        <v>556</v>
      </c>
    </row>
    <row r="41" spans="1:26" ht="15.75" customHeight="1">
      <c r="A41" s="56" t="str">
        <f ca="1">IFERROR(__xludf.DUMMYFUNCTION("""COMPUTED_VALUE"""),"E3SW")</f>
        <v>E3SW</v>
      </c>
      <c r="B41" s="60">
        <f ca="1">IFERROR(__xludf.DUMMYFUNCTION("""COMPUTED_VALUE"""),3)</f>
        <v>3</v>
      </c>
      <c r="C41" s="60" t="str">
        <f ca="1">IFERROR(__xludf.DUMMYFUNCTION("""COMPUTED_VALUE"""),"SW")</f>
        <v>SW</v>
      </c>
      <c r="D41" s="334">
        <f ca="1">IFERROR(__xludf.DUMMYFUNCTION("""COMPUTED_VALUE"""),800)</f>
        <v>800</v>
      </c>
      <c r="E41" s="60" t="str">
        <f ca="1">IFERROR(__xludf.DUMMYFUNCTION("""COMPUTED_VALUE"""),"3468115836T20130111")</f>
        <v>3468115836T20130111</v>
      </c>
      <c r="F41" s="60">
        <f ca="1">IFERROR(__xludf.DUMMYFUNCTION("""COMPUTED_VALUE"""),1810094197)</f>
        <v>1810094197</v>
      </c>
      <c r="G41" s="58" t="str">
        <f ca="1">IFERROR(__xludf.DUMMYFUNCTION("""COMPUTED_VALUE"""),"CCB Tower")</f>
        <v>CCB Tower</v>
      </c>
      <c r="H41" s="60" t="str">
        <f ca="1">IFERROR(__xludf.DUMMYFUNCTION("""COMPUTED_VALUE"""),"中國建設銀行大廈")</f>
        <v>中國建設銀行大廈</v>
      </c>
      <c r="I41" s="60">
        <f ca="1">IFERROR(__xludf.DUMMYFUNCTION("""COMPUTED_VALUE"""),114.1614723)</f>
        <v>114.1614723</v>
      </c>
      <c r="J41" s="60">
        <f ca="1">IFERROR(__xludf.DUMMYFUNCTION("""COMPUTED_VALUE"""),22.28140311)</f>
        <v>22.281403109999999</v>
      </c>
      <c r="K41" s="61">
        <f ca="1">IFERROR(__xludf.DUMMYFUNCTION("""COMPUTED_VALUE"""),44.2)</f>
        <v>44.2</v>
      </c>
      <c r="L41" s="60" t="str">
        <f ca="1">IFERROR(__xludf.DUMMYFUNCTION("""COMPUTED_VALUE"""),"b")</f>
        <v>b</v>
      </c>
      <c r="M41" s="61">
        <f ca="1">IFERROR(__xludf.DUMMYFUNCTION("""COMPUTED_VALUE"""),137.2)</f>
        <v>137.19999999999999</v>
      </c>
      <c r="N41" s="60" t="str">
        <f ca="1">IFERROR(__xludf.DUMMYFUNCTION("""COMPUTED_VALUE"""),"b")</f>
        <v>b</v>
      </c>
      <c r="O41" s="61">
        <f ca="1">IFERROR(__xludf.DUMMYFUNCTION("""COMPUTED_VALUE"""),93)</f>
        <v>93</v>
      </c>
      <c r="P41" s="62"/>
      <c r="Q41" s="43" t="b">
        <f ca="1">IFERROR(__xludf.DUMMYFUNCTION("""COMPUTED_VALUE"""),FALSE)</f>
        <v>0</v>
      </c>
      <c r="R41" s="43" t="b">
        <f ca="1">IFERROR(__xludf.DUMMYFUNCTION("""COMPUTED_VALUE"""),FALSE)</f>
        <v>0</v>
      </c>
      <c r="S41" s="43" t="b">
        <f ca="1">IFERROR(__xludf.DUMMYFUNCTION("""COMPUTED_VALUE"""),FALSE)</f>
        <v>0</v>
      </c>
      <c r="T41" s="63" t="b">
        <f ca="1">IFERROR(__xludf.DUMMYFUNCTION("""COMPUTED_VALUE"""),FALSE)</f>
        <v>0</v>
      </c>
      <c r="U41" s="68">
        <f ca="1">IFERROR(__xludf.DUMMYFUNCTION("""COMPUTED_VALUE"""),27)</f>
        <v>27</v>
      </c>
      <c r="V41" s="65">
        <f ca="1">IFERROR(__xludf.DUMMYFUNCTION("""COMPUTED_VALUE"""),4)</f>
        <v>4</v>
      </c>
      <c r="W41" s="66"/>
      <c r="X41" s="65">
        <f ca="1">IFERROR(__xludf.DUMMYFUNCTION("""COMPUTED_VALUE"""),2012)</f>
        <v>2012</v>
      </c>
      <c r="Y41" s="60" t="str">
        <f ca="1">IFERROR(__xludf.DUMMYFUNCTION("""COMPUTED_VALUE"""),"BMIS_auto")</f>
        <v>BMIS_auto</v>
      </c>
      <c r="Z41" s="66" t="s">
        <v>1794</v>
      </c>
    </row>
    <row r="42" spans="1:26" ht="15.75" customHeight="1">
      <c r="A42" s="56" t="str">
        <f ca="1">IFERROR(__xludf.DUMMYFUNCTION("""COMPUTED_VALUE"""),"E3NW")</f>
        <v>E3NW</v>
      </c>
      <c r="B42" s="60">
        <f ca="1">IFERROR(__xludf.DUMMYFUNCTION("""COMPUTED_VALUE"""),3)</f>
        <v>3</v>
      </c>
      <c r="C42" s="60" t="str">
        <f ca="1">IFERROR(__xludf.DUMMYFUNCTION("""COMPUTED_VALUE"""),"NW")</f>
        <v>NW</v>
      </c>
      <c r="D42" s="334">
        <f ca="1">IFERROR(__xludf.DUMMYFUNCTION("""COMPUTED_VALUE"""),800)</f>
        <v>800</v>
      </c>
      <c r="E42" s="60" t="str">
        <f ca="1">IFERROR(__xludf.DUMMYFUNCTION("""COMPUTED_VALUE"""),"3471615826T20050511")</f>
        <v>3471615826T20050511</v>
      </c>
      <c r="F42" s="60">
        <f ca="1">IFERROR(__xludf.DUMMYFUNCTION("""COMPUTED_VALUE"""),1103126040)</f>
        <v>1103126040</v>
      </c>
      <c r="G42" s="58" t="str">
        <f ca="1">IFERROR(__xludf.DUMMYFUNCTION("""COMPUTED_VALUE"""),"AIA Central")</f>
        <v>AIA Central</v>
      </c>
      <c r="H42" s="60" t="str">
        <f ca="1">IFERROR(__xludf.DUMMYFUNCTION("""COMPUTED_VALUE"""),"友邦金融中心")</f>
        <v>友邦金融中心</v>
      </c>
      <c r="I42" s="60">
        <f ca="1">IFERROR(__xludf.DUMMYFUNCTION("""COMPUTED_VALUE"""),114.161831)</f>
        <v>114.16183100000001</v>
      </c>
      <c r="J42" s="60">
        <f ca="1">IFERROR(__xludf.DUMMYFUNCTION("""COMPUTED_VALUE"""),22.28130955)</f>
        <v>22.28130955</v>
      </c>
      <c r="K42" s="61">
        <f ca="1">IFERROR(__xludf.DUMMYFUNCTION("""COMPUTED_VALUE"""),4.7)</f>
        <v>4.7</v>
      </c>
      <c r="L42" s="60" t="str">
        <f ca="1">IFERROR(__xludf.DUMMYFUNCTION("""COMPUTED_VALUE"""),"p")</f>
        <v>p</v>
      </c>
      <c r="M42" s="61">
        <f ca="1">IFERROR(__xludf.DUMMYFUNCTION("""COMPUTED_VALUE"""),173.6)</f>
        <v>173.6</v>
      </c>
      <c r="N42" s="60" t="str">
        <f ca="1">IFERROR(__xludf.DUMMYFUNCTION("""COMPUTED_VALUE"""),"p")</f>
        <v>p</v>
      </c>
      <c r="O42" s="61">
        <f ca="1">IFERROR(__xludf.DUMMYFUNCTION("""COMPUTED_VALUE"""),168.9)</f>
        <v>168.9</v>
      </c>
      <c r="P42" s="62"/>
      <c r="Q42" s="43" t="b">
        <f ca="1">IFERROR(__xludf.DUMMYFUNCTION("""COMPUTED_VALUE"""),FALSE)</f>
        <v>0</v>
      </c>
      <c r="R42" s="43" t="b">
        <f ca="1">IFERROR(__xludf.DUMMYFUNCTION("""COMPUTED_VALUE"""),FALSE)</f>
        <v>0</v>
      </c>
      <c r="S42" s="43" t="b">
        <f ca="1">IFERROR(__xludf.DUMMYFUNCTION("""COMPUTED_VALUE"""),FALSE)</f>
        <v>0</v>
      </c>
      <c r="T42" s="63" t="b">
        <f ca="1">IFERROR(__xludf.DUMMYFUNCTION("""COMPUTED_VALUE"""),FALSE)</f>
        <v>0</v>
      </c>
      <c r="U42" s="64">
        <f ca="1">IFERROR(__xludf.DUMMYFUNCTION("""COMPUTED_VALUE"""),38)</f>
        <v>38</v>
      </c>
      <c r="V42" s="65"/>
      <c r="W42" s="66">
        <f ca="1">IFERROR(__xludf.DUMMYFUNCTION("""COMPUTED_VALUE"""),234)</f>
        <v>234</v>
      </c>
      <c r="X42" s="65">
        <f ca="1">IFERROR(__xludf.DUMMYFUNCTION("""COMPUTED_VALUE"""),2005)</f>
        <v>2005</v>
      </c>
      <c r="Y42" s="65" t="str">
        <f ca="1">IFERROR(__xludf.DUMMYFUNCTION("""COMPUTED_VALUE"""),"BMIS_auto")</f>
        <v>BMIS_auto</v>
      </c>
      <c r="Z42" s="66" t="s">
        <v>1796</v>
      </c>
    </row>
    <row r="43" spans="1:26" ht="15.75" customHeight="1">
      <c r="A43" s="56" t="str">
        <f ca="1">IFERROR(__xludf.DUMMYFUNCTION("""COMPUTED_VALUE"""),"S3NE")</f>
        <v>S3NE</v>
      </c>
      <c r="B43" s="60">
        <f ca="1">IFERROR(__xludf.DUMMYFUNCTION("""COMPUTED_VALUE"""),3)</f>
        <v>3</v>
      </c>
      <c r="C43" s="60" t="str">
        <f ca="1">IFERROR(__xludf.DUMMYFUNCTION("""COMPUTED_VALUE"""),"NE")</f>
        <v>NE</v>
      </c>
      <c r="D43" s="334">
        <f ca="1">IFERROR(__xludf.DUMMYFUNCTION("""COMPUTED_VALUE"""),800)</f>
        <v>800</v>
      </c>
      <c r="E43" s="60" t="str">
        <f ca="1">IFERROR(__xludf.DUMMYFUNCTION("""COMPUTED_VALUE"""),"3458315630T20050430")</f>
        <v>3458315630T20050430</v>
      </c>
      <c r="F43" s="60">
        <f ca="1">IFERROR(__xludf.DUMMYFUNCTION("""COMPUTED_VALUE"""),1103127201)</f>
        <v>1103127201</v>
      </c>
      <c r="G43" s="58" t="str">
        <f ca="1">IFERROR(__xludf.DUMMYFUNCTION("""COMPUTED_VALUE"""),"Cheung Kong Center")</f>
        <v>Cheung Kong Center</v>
      </c>
      <c r="H43" s="60" t="str">
        <f ca="1">IFERROR(__xludf.DUMMYFUNCTION("""COMPUTED_VALUE"""),"長江集團中心")</f>
        <v>長江集團中心</v>
      </c>
      <c r="I43" s="60">
        <f ca="1">IFERROR(__xludf.DUMMYFUNCTION("""COMPUTED_VALUE"""),114.1605385)</f>
        <v>114.1605385</v>
      </c>
      <c r="J43" s="60">
        <f ca="1">IFERROR(__xludf.DUMMYFUNCTION("""COMPUTED_VALUE"""),22.2795425)</f>
        <v>22.279542500000002</v>
      </c>
      <c r="K43" s="61">
        <f ca="1">IFERROR(__xludf.DUMMYFUNCTION("""COMPUTED_VALUE"""),7.2)</f>
        <v>7.2</v>
      </c>
      <c r="L43" s="60" t="str">
        <f ca="1">IFERROR(__xludf.DUMMYFUNCTION("""COMPUTED_VALUE"""),"l")</f>
        <v>l</v>
      </c>
      <c r="M43" s="61">
        <f ca="1">IFERROR(__xludf.DUMMYFUNCTION("""COMPUTED_VALUE"""),288.7)</f>
        <v>288.7</v>
      </c>
      <c r="N43" s="60" t="str">
        <f ca="1">IFERROR(__xludf.DUMMYFUNCTION("""COMPUTED_VALUE"""),"3")</f>
        <v>3</v>
      </c>
      <c r="O43" s="61">
        <f ca="1">IFERROR(__xludf.DUMMYFUNCTION("""COMPUTED_VALUE"""),281.5)</f>
        <v>281.5</v>
      </c>
      <c r="P43" s="62"/>
      <c r="Q43" s="43" t="b">
        <f ca="1">IFERROR(__xludf.DUMMYFUNCTION("""COMPUTED_VALUE"""),FALSE)</f>
        <v>0</v>
      </c>
      <c r="R43" s="43" t="b">
        <f ca="1">IFERROR(__xludf.DUMMYFUNCTION("""COMPUTED_VALUE"""),FALSE)</f>
        <v>0</v>
      </c>
      <c r="S43" s="43" t="b">
        <f ca="1">IFERROR(__xludf.DUMMYFUNCTION("""COMPUTED_VALUE"""),FALSE)</f>
        <v>0</v>
      </c>
      <c r="T43" s="63" t="b">
        <f ca="1">IFERROR(__xludf.DUMMYFUNCTION("""COMPUTED_VALUE"""),FALSE)</f>
        <v>0</v>
      </c>
      <c r="U43" s="68">
        <f ca="1">IFERROR(__xludf.DUMMYFUNCTION("""COMPUTED_VALUE"""),70)</f>
        <v>70</v>
      </c>
      <c r="V43" s="60">
        <f ca="1">IFERROR(__xludf.DUMMYFUNCTION("""COMPUTED_VALUE"""),6)</f>
        <v>6</v>
      </c>
      <c r="W43" s="59">
        <f ca="1">IFERROR(__xludf.DUMMYFUNCTION("""COMPUTED_VALUE"""),96)</f>
        <v>96</v>
      </c>
      <c r="X43" s="60">
        <f ca="1">IFERROR(__xludf.DUMMYFUNCTION("""COMPUTED_VALUE"""),1998)</f>
        <v>1998</v>
      </c>
      <c r="Y43" s="60" t="str">
        <f ca="1">IFERROR(__xludf.DUMMYFUNCTION("""COMPUTED_VALUE"""),"BMIS")</f>
        <v>BMIS</v>
      </c>
      <c r="Z43" s="66" t="s">
        <v>1797</v>
      </c>
    </row>
    <row r="44" spans="1:26" ht="15.75" customHeight="1">
      <c r="A44" s="56" t="str">
        <f ca="1">IFERROR(__xludf.DUMMYFUNCTION("""COMPUTED_VALUE"""),"S3SE")</f>
        <v>S3SE</v>
      </c>
      <c r="B44" s="60">
        <f ca="1">IFERROR(__xludf.DUMMYFUNCTION("""COMPUTED_VALUE"""),3)</f>
        <v>3</v>
      </c>
      <c r="C44" s="60" t="str">
        <f ca="1">IFERROR(__xludf.DUMMYFUNCTION("""COMPUTED_VALUE"""),"SE")</f>
        <v>SE</v>
      </c>
      <c r="D44" s="334">
        <f ca="1">IFERROR(__xludf.DUMMYFUNCTION("""COMPUTED_VALUE"""),800)</f>
        <v>800</v>
      </c>
      <c r="E44" s="60" t="str">
        <f ca="1">IFERROR(__xludf.DUMMYFUNCTION("""COMPUTED_VALUE"""),"3448415634T20050430")</f>
        <v>3448415634T20050430</v>
      </c>
      <c r="F44" s="60">
        <f ca="1">IFERROR(__xludf.DUMMYFUNCTION("""COMPUTED_VALUE"""),1103127307)</f>
        <v>1103127307</v>
      </c>
      <c r="G44" s="58" t="str">
        <f ca="1">IFERROR(__xludf.DUMMYFUNCTION("""COMPUTED_VALUE"""),"Former French Mission Building")</f>
        <v>Former French Mission Building</v>
      </c>
      <c r="H44" s="60" t="str">
        <f ca="1">IFERROR(__xludf.DUMMYFUNCTION("""COMPUTED_VALUE"""),"前法國外方傳道會大樓 ")</f>
        <v xml:space="preserve">前法國外方傳道會大樓 </v>
      </c>
      <c r="I44" s="60">
        <f ca="1">IFERROR(__xludf.DUMMYFUNCTION("""COMPUTED_VALUE"""),114.1596737)</f>
        <v>114.1596737</v>
      </c>
      <c r="J44" s="60">
        <f ca="1">IFERROR(__xludf.DUMMYFUNCTION("""COMPUTED_VALUE"""),22.27944157)</f>
        <v>22.279441569999999</v>
      </c>
      <c r="K44" s="61">
        <f ca="1">IFERROR(__xludf.DUMMYFUNCTION("""COMPUTED_VALUE"""),21)</f>
        <v>21</v>
      </c>
      <c r="L44" s="60" t="str">
        <f ca="1">IFERROR(__xludf.DUMMYFUNCTION("""COMPUTED_VALUE"""),"p")</f>
        <v>p</v>
      </c>
      <c r="M44" s="61">
        <f ca="1">IFERROR(__xludf.DUMMYFUNCTION("""COMPUTED_VALUE"""),36.2)</f>
        <v>36.200000000000003</v>
      </c>
      <c r="N44" s="60" t="str">
        <f ca="1">IFERROR(__xludf.DUMMYFUNCTION("""COMPUTED_VALUE"""),"p")</f>
        <v>p</v>
      </c>
      <c r="O44" s="61">
        <f ca="1">IFERROR(__xludf.DUMMYFUNCTION("""COMPUTED_VALUE"""),15.2)</f>
        <v>15.2</v>
      </c>
      <c r="P44" s="62" t="str">
        <f ca="1">IFERROR(__xludf.DUMMYFUNCTION("""COMPUTED_VALUE"""),"Declared Monument, Name manually edited due to misrecognition")</f>
        <v>Declared Monument, Name manually edited due to misrecognition</v>
      </c>
      <c r="Q44" s="43" t="b">
        <f ca="1">IFERROR(__xludf.DUMMYFUNCTION("""COMPUTED_VALUE"""),FALSE)</f>
        <v>0</v>
      </c>
      <c r="R44" s="43" t="b">
        <f ca="1">IFERROR(__xludf.DUMMYFUNCTION("""COMPUTED_VALUE"""),TRUE)</f>
        <v>1</v>
      </c>
      <c r="S44" s="43" t="b">
        <f ca="1">IFERROR(__xludf.DUMMYFUNCTION("""COMPUTED_VALUE"""),TRUE)</f>
        <v>1</v>
      </c>
      <c r="T44" s="63" t="b">
        <f ca="1">IFERROR(__xludf.DUMMYFUNCTION("""COMPUTED_VALUE"""),FALSE)</f>
        <v>0</v>
      </c>
      <c r="U44" s="68">
        <f ca="1">IFERROR(__xludf.DUMMYFUNCTION("""COMPUTED_VALUE"""),3)</f>
        <v>3</v>
      </c>
      <c r="V44" s="60"/>
      <c r="W44" s="59"/>
      <c r="X44" s="60">
        <f ca="1">IFERROR(__xludf.DUMMYFUNCTION("""COMPUTED_VALUE"""),1917)</f>
        <v>1917</v>
      </c>
      <c r="Y44" s="335" t="str">
        <f ca="1">IFERROR(__xludf.DUMMYFUNCTION("""COMPUTED_VALUE"""),"https://www.amo.gov.hk/en/monuments_37.php")</f>
        <v>https://www.amo.gov.hk/en/monuments_37.php</v>
      </c>
      <c r="Z44" s="66" t="s">
        <v>1798</v>
      </c>
    </row>
    <row r="45" spans="1:26" ht="15.75" customHeight="1">
      <c r="A45" s="56" t="str">
        <f ca="1">IFERROR(__xludf.DUMMYFUNCTION("""COMPUTED_VALUE"""),"S3SW")</f>
        <v>S3SW</v>
      </c>
      <c r="B45" s="60">
        <f ca="1">IFERROR(__xludf.DUMMYFUNCTION("""COMPUTED_VALUE"""),3)</f>
        <v>3</v>
      </c>
      <c r="C45" s="60" t="str">
        <f ca="1">IFERROR(__xludf.DUMMYFUNCTION("""COMPUTED_VALUE"""),"SW")</f>
        <v>SW</v>
      </c>
      <c r="D45" s="334">
        <f ca="1">IFERROR(__xludf.DUMMYFUNCTION("""COMPUTED_VALUE"""),800)</f>
        <v>800</v>
      </c>
      <c r="E45" s="60" t="str">
        <f ca="1">IFERROR(__xludf.DUMMYFUNCTION("""COMPUTED_VALUE"""),"3447515691T20050430")</f>
        <v>3447515691T20050430</v>
      </c>
      <c r="F45" s="60">
        <f ca="1">IFERROR(__xludf.DUMMYFUNCTION("""COMPUTED_VALUE"""),1103126706)</f>
        <v>1103126706</v>
      </c>
      <c r="G45" s="58" t="str">
        <f ca="1">IFERROR(__xludf.DUMMYFUNCTION("""COMPUTED_VALUE"""),"HSBC Main Building")</f>
        <v>HSBC Main Building</v>
      </c>
      <c r="H45" s="60" t="str">
        <f ca="1">IFERROR(__xludf.DUMMYFUNCTION("""COMPUTED_VALUE"""),"滙豐總行大廈")</f>
        <v>滙豐總行大廈</v>
      </c>
      <c r="I45" s="60">
        <f ca="1">IFERROR(__xludf.DUMMYFUNCTION("""COMPUTED_VALUE"""),114.1595453)</f>
        <v>114.1595453</v>
      </c>
      <c r="J45" s="60">
        <f ca="1">IFERROR(__xludf.DUMMYFUNCTION("""COMPUTED_VALUE"""),22.2802969)</f>
        <v>22.2802969</v>
      </c>
      <c r="K45" s="61">
        <f ca="1">IFERROR(__xludf.DUMMYFUNCTION("""COMPUTED_VALUE"""),3.7)</f>
        <v>3.7</v>
      </c>
      <c r="L45" s="60" t="str">
        <f ca="1">IFERROR(__xludf.DUMMYFUNCTION("""COMPUTED_VALUE"""),"p")</f>
        <v>p</v>
      </c>
      <c r="M45" s="61">
        <f ca="1">IFERROR(__xludf.DUMMYFUNCTION("""COMPUTED_VALUE"""),180.9)</f>
        <v>180.9</v>
      </c>
      <c r="N45" s="60" t="str">
        <f ca="1">IFERROR(__xludf.DUMMYFUNCTION("""COMPUTED_VALUE"""),"p")</f>
        <v>p</v>
      </c>
      <c r="O45" s="61">
        <f ca="1">IFERROR(__xludf.DUMMYFUNCTION("""COMPUTED_VALUE"""),177.2)</f>
        <v>177.2</v>
      </c>
      <c r="P45" s="62"/>
      <c r="Q45" s="43" t="b">
        <f ca="1">IFERROR(__xludf.DUMMYFUNCTION("""COMPUTED_VALUE"""),FALSE)</f>
        <v>0</v>
      </c>
      <c r="R45" s="43" t="b">
        <f ca="1">IFERROR(__xludf.DUMMYFUNCTION("""COMPUTED_VALUE"""),FALSE)</f>
        <v>0</v>
      </c>
      <c r="S45" s="43" t="b">
        <f ca="1">IFERROR(__xludf.DUMMYFUNCTION("""COMPUTED_VALUE"""),FALSE)</f>
        <v>0</v>
      </c>
      <c r="T45" s="63" t="b">
        <f ca="1">IFERROR(__xludf.DUMMYFUNCTION("""COMPUTED_VALUE"""),FALSE)</f>
        <v>0</v>
      </c>
      <c r="U45" s="68">
        <f ca="1">IFERROR(__xludf.DUMMYFUNCTION("""COMPUTED_VALUE"""),46)</f>
        <v>46</v>
      </c>
      <c r="V45" s="60">
        <f ca="1">IFERROR(__xludf.DUMMYFUNCTION("""COMPUTED_VALUE"""),4)</f>
        <v>4</v>
      </c>
      <c r="W45" s="59">
        <f ca="1">IFERROR(__xludf.DUMMYFUNCTION("""COMPUTED_VALUE"""),50)</f>
        <v>50</v>
      </c>
      <c r="X45" s="60">
        <f ca="1">IFERROR(__xludf.DUMMYFUNCTION("""COMPUTED_VALUE"""),1986)</f>
        <v>1986</v>
      </c>
      <c r="Y45" s="60" t="str">
        <f ca="1">IFERROR(__xludf.DUMMYFUNCTION("""COMPUTED_VALUE"""),"BMIS")</f>
        <v>BMIS</v>
      </c>
      <c r="Z45" s="66" t="s">
        <v>1799</v>
      </c>
    </row>
    <row r="46" spans="1:26" ht="15.75" customHeight="1">
      <c r="A46" s="56" t="str">
        <f ca="1">IFERROR(__xludf.DUMMYFUNCTION("""COMPUTED_VALUE"""),"S3NW")</f>
        <v>S3NW</v>
      </c>
      <c r="B46" s="60">
        <f ca="1">IFERROR(__xludf.DUMMYFUNCTION("""COMPUTED_VALUE"""),3)</f>
        <v>3</v>
      </c>
      <c r="C46" s="60" t="str">
        <f ca="1">IFERROR(__xludf.DUMMYFUNCTION("""COMPUTED_VALUE"""),"NW")</f>
        <v>NW</v>
      </c>
      <c r="D46" s="334">
        <f ca="1">IFERROR(__xludf.DUMMYFUNCTION("""COMPUTED_VALUE"""),800)</f>
        <v>800</v>
      </c>
      <c r="E46" s="60" t="str">
        <f ca="1">IFERROR(__xludf.DUMMYFUNCTION("""COMPUTED_VALUE"""),"3454715722T20050430")</f>
        <v>3454715722T20050430</v>
      </c>
      <c r="F46" s="60">
        <f ca="1">IFERROR(__xludf.DUMMYFUNCTION("""COMPUTED_VALUE"""),1103126848)</f>
        <v>1103126848</v>
      </c>
      <c r="G46" s="58" t="str">
        <f ca="1">IFERROR(__xludf.DUMMYFUNCTION("""COMPUTED_VALUE"""),"Bank of China Building")</f>
        <v>Bank of China Building</v>
      </c>
      <c r="H46" s="60" t="str">
        <f ca="1">IFERROR(__xludf.DUMMYFUNCTION("""COMPUTED_VALUE"""),"中國銀行大廈")</f>
        <v>中國銀行大廈</v>
      </c>
      <c r="I46" s="60">
        <f ca="1">IFERROR(__xludf.DUMMYFUNCTION("""COMPUTED_VALUE"""),114.1601375)</f>
        <v>114.1601375</v>
      </c>
      <c r="J46" s="60">
        <f ca="1">IFERROR(__xludf.DUMMYFUNCTION("""COMPUTED_VALUE"""),22.28021008)</f>
        <v>22.28021008</v>
      </c>
      <c r="K46" s="61">
        <f ca="1">IFERROR(__xludf.DUMMYFUNCTION("""COMPUTED_VALUE"""),4.6)</f>
        <v>4.5999999999999996</v>
      </c>
      <c r="L46" s="60" t="str">
        <f ca="1">IFERROR(__xludf.DUMMYFUNCTION("""COMPUTED_VALUE"""),"l")</f>
        <v>l</v>
      </c>
      <c r="M46" s="61">
        <f ca="1">IFERROR(__xludf.DUMMYFUNCTION("""COMPUTED_VALUE"""),78.3)</f>
        <v>78.3</v>
      </c>
      <c r="N46" s="60" t="str">
        <f ca="1">IFERROR(__xludf.DUMMYFUNCTION("""COMPUTED_VALUE"""),"p")</f>
        <v>p</v>
      </c>
      <c r="O46" s="61">
        <f ca="1">IFERROR(__xludf.DUMMYFUNCTION("""COMPUTED_VALUE"""),73.7)</f>
        <v>73.7</v>
      </c>
      <c r="P46" s="62"/>
      <c r="Q46" s="43" t="b">
        <f ca="1">IFERROR(__xludf.DUMMYFUNCTION("""COMPUTED_VALUE"""),FALSE)</f>
        <v>0</v>
      </c>
      <c r="R46" s="43" t="b">
        <f ca="1">IFERROR(__xludf.DUMMYFUNCTION("""COMPUTED_VALUE"""),FALSE)</f>
        <v>0</v>
      </c>
      <c r="S46" s="43" t="b">
        <f ca="1">IFERROR(__xludf.DUMMYFUNCTION("""COMPUTED_VALUE"""),FALSE)</f>
        <v>0</v>
      </c>
      <c r="T46" s="63" t="b">
        <f ca="1">IFERROR(__xludf.DUMMYFUNCTION("""COMPUTED_VALUE"""),FALSE)</f>
        <v>0</v>
      </c>
      <c r="U46" s="68">
        <f ca="1">IFERROR(__xludf.DUMMYFUNCTION("""COMPUTED_VALUE"""),15)</f>
        <v>15</v>
      </c>
      <c r="V46" s="60">
        <f ca="1">IFERROR(__xludf.DUMMYFUNCTION("""COMPUTED_VALUE"""),0)</f>
        <v>0</v>
      </c>
      <c r="W46" s="59">
        <f ca="1">IFERROR(__xludf.DUMMYFUNCTION("""COMPUTED_VALUE"""),15)</f>
        <v>15</v>
      </c>
      <c r="X46" s="60">
        <f ca="1">IFERROR(__xludf.DUMMYFUNCTION("""COMPUTED_VALUE"""),1952)</f>
        <v>1952</v>
      </c>
      <c r="Y46" s="60" t="str">
        <f ca="1">IFERROR(__xludf.DUMMYFUNCTION("""COMPUTED_VALUE"""),"BMIS")</f>
        <v>BMIS</v>
      </c>
      <c r="Z46" s="66" t="s">
        <v>1800</v>
      </c>
    </row>
    <row r="47" spans="1:26" ht="15.75" customHeight="1">
      <c r="A47" s="56" t="str">
        <f ca="1">IFERROR(__xludf.DUMMYFUNCTION("""COMPUTED_VALUE"""),"W3NE")</f>
        <v>W3NE</v>
      </c>
      <c r="B47" s="60">
        <f ca="1">IFERROR(__xludf.DUMMYFUNCTION("""COMPUTED_VALUE"""),3)</f>
        <v>3</v>
      </c>
      <c r="C47" s="60" t="str">
        <f ca="1">IFERROR(__xludf.DUMMYFUNCTION("""COMPUTED_VALUE"""),"NE")</f>
        <v>NE</v>
      </c>
      <c r="D47" s="334">
        <f ca="1">IFERROR(__xludf.DUMMYFUNCTION("""COMPUTED_VALUE"""),800)</f>
        <v>800</v>
      </c>
      <c r="E47" s="60" t="str">
        <f ca="1">IFERROR(__xludf.DUMMYFUNCTION("""COMPUTED_VALUE"""),"3408616210T20050430")</f>
        <v>3408616210T20050430</v>
      </c>
      <c r="F47" s="60">
        <f ca="1">IFERROR(__xludf.DUMMYFUNCTION("""COMPUTED_VALUE"""),1103123339)</f>
        <v>1103123339</v>
      </c>
      <c r="G47" s="58" t="str">
        <f ca="1">IFERROR(__xludf.DUMMYFUNCTION("""COMPUTED_VALUE"""),"Dah Sing Life Building")</f>
        <v>Dah Sing Life Building</v>
      </c>
      <c r="H47" s="60" t="str">
        <f ca="1">IFERROR(__xludf.DUMMYFUNCTION("""COMPUTED_VALUE"""),"大新人壽大廈")</f>
        <v>大新人壽大廈</v>
      </c>
      <c r="I47" s="60">
        <f ca="1">IFERROR(__xludf.DUMMYFUNCTION("""COMPUTED_VALUE"""),114.1557917)</f>
        <v>114.15579169999999</v>
      </c>
      <c r="J47" s="60">
        <f ca="1">IFERROR(__xludf.DUMMYFUNCTION("""COMPUTED_VALUE"""),22.2848037)</f>
        <v>22.284803700000001</v>
      </c>
      <c r="K47" s="61">
        <f ca="1">IFERROR(__xludf.DUMMYFUNCTION("""COMPUTED_VALUE"""),3.7)</f>
        <v>3.7</v>
      </c>
      <c r="L47" s="60" t="str">
        <f ca="1">IFERROR(__xludf.DUMMYFUNCTION("""COMPUTED_VALUE"""),"e")</f>
        <v>e</v>
      </c>
      <c r="M47" s="61">
        <f ca="1">IFERROR(__xludf.DUMMYFUNCTION("""COMPUTED_VALUE"""),64.800003)</f>
        <v>64.800003000000004</v>
      </c>
      <c r="N47" s="60" t="str">
        <f ca="1">IFERROR(__xludf.DUMMYFUNCTION("""COMPUTED_VALUE"""),"3")</f>
        <v>3</v>
      </c>
      <c r="O47" s="61">
        <f ca="1">IFERROR(__xludf.DUMMYFUNCTION("""COMPUTED_VALUE"""),75)</f>
        <v>75</v>
      </c>
      <c r="P47" s="62" t="str">
        <f ca="1">IFERROR(__xludf.DUMMYFUNCTION("""COMPUTED_VALUE"""),"To be changed, waiting confirmation")</f>
        <v>To be changed, waiting confirmation</v>
      </c>
      <c r="Q47" s="43" t="b">
        <f ca="1">IFERROR(__xludf.DUMMYFUNCTION("""COMPUTED_VALUE"""),FALSE)</f>
        <v>0</v>
      </c>
      <c r="R47" s="43" t="b">
        <f ca="1">IFERROR(__xludf.DUMMYFUNCTION("""COMPUTED_VALUE"""),FALSE)</f>
        <v>0</v>
      </c>
      <c r="S47" s="43" t="b">
        <f ca="1">IFERROR(__xludf.DUMMYFUNCTION("""COMPUTED_VALUE"""),FALSE)</f>
        <v>0</v>
      </c>
      <c r="T47" s="63" t="b">
        <f ca="1">IFERROR(__xludf.DUMMYFUNCTION("""COMPUTED_VALUE"""),FALSE)</f>
        <v>0</v>
      </c>
      <c r="U47" s="68">
        <f ca="1">IFERROR(__xludf.DUMMYFUNCTION("""COMPUTED_VALUE"""),22)</f>
        <v>22</v>
      </c>
      <c r="V47" s="60"/>
      <c r="W47" s="59"/>
      <c r="X47" s="60">
        <f ca="1">IFERROR(__xludf.DUMMYFUNCTION("""COMPUTED_VALUE"""),2014)</f>
        <v>2014</v>
      </c>
      <c r="Y47" s="60" t="str">
        <f ca="1">IFERROR(__xludf.DUMMYFUNCTION("""COMPUTED_VALUE"""),"BMIS")</f>
        <v>BMIS</v>
      </c>
      <c r="Z47" s="66" t="s">
        <v>1801</v>
      </c>
    </row>
    <row r="48" spans="1:26" ht="15.75" customHeight="1">
      <c r="A48" s="56" t="str">
        <f ca="1">IFERROR(__xludf.DUMMYFUNCTION("""COMPUTED_VALUE"""),"W3SE")</f>
        <v>W3SE</v>
      </c>
      <c r="B48" s="60">
        <f ca="1">IFERROR(__xludf.DUMMYFUNCTION("""COMPUTED_VALUE"""),3)</f>
        <v>3</v>
      </c>
      <c r="C48" s="60" t="str">
        <f ca="1">IFERROR(__xludf.DUMMYFUNCTION("""COMPUTED_VALUE"""),"SE")</f>
        <v>SE</v>
      </c>
      <c r="D48" s="334">
        <f ca="1">IFERROR(__xludf.DUMMYFUNCTION("""COMPUTED_VALUE"""),800)</f>
        <v>800</v>
      </c>
      <c r="E48" s="60" t="str">
        <f ca="1">IFERROR(__xludf.DUMMYFUNCTION("""COMPUTED_VALUE"""),"3413016183T20050430")</f>
        <v>3413016183T20050430</v>
      </c>
      <c r="F48" s="60">
        <f ca="1">IFERROR(__xludf.DUMMYFUNCTION("""COMPUTED_VALUE"""),1103123422)</f>
        <v>1103123422</v>
      </c>
      <c r="G48" s="58" t="str">
        <f ca="1">IFERROR(__xludf.DUMMYFUNCTION("""COMPUTED_VALUE"""),"Hang Seng Bank Headquarters")</f>
        <v>Hang Seng Bank Headquarters</v>
      </c>
      <c r="H48" s="60" t="str">
        <f ca="1">IFERROR(__xludf.DUMMYFUNCTION("""COMPUTED_VALUE"""),"恒生銀行總行大廈")</f>
        <v>恒生銀行總行大廈</v>
      </c>
      <c r="I48" s="60">
        <f ca="1">IFERROR(__xludf.DUMMYFUNCTION("""COMPUTED_VALUE"""),114.1562378)</f>
        <v>114.1562378</v>
      </c>
      <c r="J48" s="60">
        <f ca="1">IFERROR(__xludf.DUMMYFUNCTION("""COMPUTED_VALUE"""),22.28461147)</f>
        <v>22.284611470000002</v>
      </c>
      <c r="K48" s="61">
        <f ca="1">IFERROR(__xludf.DUMMYFUNCTION("""COMPUTED_VALUE"""),3.6)</f>
        <v>3.6</v>
      </c>
      <c r="L48" s="60" t="str">
        <f ca="1">IFERROR(__xludf.DUMMYFUNCTION("""COMPUTED_VALUE"""),"l")</f>
        <v>l</v>
      </c>
      <c r="M48" s="61">
        <f ca="1">IFERROR(__xludf.DUMMYFUNCTION("""COMPUTED_VALUE"""),134.7)</f>
        <v>134.69999999999999</v>
      </c>
      <c r="N48" s="60" t="str">
        <f ca="1">IFERROR(__xludf.DUMMYFUNCTION("""COMPUTED_VALUE"""),"3")</f>
        <v>3</v>
      </c>
      <c r="O48" s="61">
        <f ca="1">IFERROR(__xludf.DUMMYFUNCTION("""COMPUTED_VALUE"""),131.1)</f>
        <v>131.1</v>
      </c>
      <c r="P48" s="62"/>
      <c r="Q48" s="43" t="b">
        <f ca="1">IFERROR(__xludf.DUMMYFUNCTION("""COMPUTED_VALUE"""),FALSE)</f>
        <v>0</v>
      </c>
      <c r="R48" s="43" t="b">
        <f ca="1">IFERROR(__xludf.DUMMYFUNCTION("""COMPUTED_VALUE"""),FALSE)</f>
        <v>0</v>
      </c>
      <c r="S48" s="43" t="b">
        <f ca="1">IFERROR(__xludf.DUMMYFUNCTION("""COMPUTED_VALUE"""),FALSE)</f>
        <v>0</v>
      </c>
      <c r="T48" s="63" t="b">
        <f ca="1">IFERROR(__xludf.DUMMYFUNCTION("""COMPUTED_VALUE"""),FALSE)</f>
        <v>0</v>
      </c>
      <c r="U48" s="68">
        <f ca="1">IFERROR(__xludf.DUMMYFUNCTION("""COMPUTED_VALUE"""),27)</f>
        <v>27</v>
      </c>
      <c r="V48" s="60"/>
      <c r="W48" s="59"/>
      <c r="X48" s="60"/>
      <c r="Y48" s="335" t="str">
        <f ca="1">IFERROR(__xludf.DUMMYFUNCTION("""COMPUTED_VALUE"""),"http://www.hongkongoffice.com/building_search/office_profile.asp?B=21276")</f>
        <v>http://www.hongkongoffice.com/building_search/office_profile.asp?B=21276</v>
      </c>
      <c r="Z48" s="66" t="s">
        <v>1802</v>
      </c>
    </row>
    <row r="49" spans="1:26" ht="15.75" customHeight="1">
      <c r="A49" s="56" t="str">
        <f ca="1">IFERROR(__xludf.DUMMYFUNCTION("""COMPUTED_VALUE"""),"W3SW")</f>
        <v>W3SW</v>
      </c>
      <c r="B49" s="60">
        <f ca="1">IFERROR(__xludf.DUMMYFUNCTION("""COMPUTED_VALUE"""),3)</f>
        <v>3</v>
      </c>
      <c r="C49" s="60" t="str">
        <f ca="1">IFERROR(__xludf.DUMMYFUNCTION("""COMPUTED_VALUE"""),"SW")</f>
        <v>SW</v>
      </c>
      <c r="D49" s="334">
        <f ca="1">IFERROR(__xludf.DUMMYFUNCTION("""COMPUTED_VALUE"""),800)</f>
        <v>800</v>
      </c>
      <c r="E49" s="60" t="str">
        <f ca="1">IFERROR(__xludf.DUMMYFUNCTION("""COMPUTED_VALUE"""),"3405416208T20050430")</f>
        <v>3405416208T20050430</v>
      </c>
      <c r="F49" s="60">
        <f ca="1">IFERROR(__xludf.DUMMYFUNCTION("""COMPUTED_VALUE"""),1103123440)</f>
        <v>1103123440</v>
      </c>
      <c r="G49" s="58" t="str">
        <f ca="1">IFERROR(__xludf.DUMMYFUNCTION("""COMPUTED_VALUE"""),"Central 88")</f>
        <v>Central 88</v>
      </c>
      <c r="H49" s="60" t="str">
        <f ca="1">IFERROR(__xludf.DUMMYFUNCTION("""COMPUTED_VALUE"""),"中環８８")</f>
        <v>中環８８</v>
      </c>
      <c r="I49" s="60">
        <f ca="1">IFERROR(__xludf.DUMMYFUNCTION("""COMPUTED_VALUE"""),114.1554176)</f>
        <v>114.15541760000001</v>
      </c>
      <c r="J49" s="60">
        <f ca="1">IFERROR(__xludf.DUMMYFUNCTION("""COMPUTED_VALUE"""),22.28468077)</f>
        <v>22.284680770000001</v>
      </c>
      <c r="K49" s="61">
        <f ca="1">IFERROR(__xludf.DUMMYFUNCTION("""COMPUTED_VALUE"""),3.3)</f>
        <v>3.3</v>
      </c>
      <c r="L49" s="60" t="str">
        <f ca="1">IFERROR(__xludf.DUMMYFUNCTION("""COMPUTED_VALUE"""),"p")</f>
        <v>p</v>
      </c>
      <c r="M49" s="61">
        <f ca="1">IFERROR(__xludf.DUMMYFUNCTION("""COMPUTED_VALUE"""),78.5)</f>
        <v>78.5</v>
      </c>
      <c r="N49" s="60" t="str">
        <f ca="1">IFERROR(__xludf.DUMMYFUNCTION("""COMPUTED_VALUE"""),"p")</f>
        <v>p</v>
      </c>
      <c r="O49" s="61">
        <f ca="1">IFERROR(__xludf.DUMMYFUNCTION("""COMPUTED_VALUE"""),75.2)</f>
        <v>75.2</v>
      </c>
      <c r="P49" s="62"/>
      <c r="Q49" s="43" t="b">
        <f ca="1">IFERROR(__xludf.DUMMYFUNCTION("""COMPUTED_VALUE"""),FALSE)</f>
        <v>0</v>
      </c>
      <c r="R49" s="43" t="b">
        <f ca="1">IFERROR(__xludf.DUMMYFUNCTION("""COMPUTED_VALUE"""),FALSE)</f>
        <v>0</v>
      </c>
      <c r="S49" s="43" t="b">
        <f ca="1">IFERROR(__xludf.DUMMYFUNCTION("""COMPUTED_VALUE"""),FALSE)</f>
        <v>0</v>
      </c>
      <c r="T49" s="63" t="b">
        <f ca="1">IFERROR(__xludf.DUMMYFUNCTION("""COMPUTED_VALUE"""),FALSE)</f>
        <v>0</v>
      </c>
      <c r="U49" s="68">
        <f ca="1">IFERROR(__xludf.DUMMYFUNCTION("""COMPUTED_VALUE"""),26)</f>
        <v>26</v>
      </c>
      <c r="V49" s="60"/>
      <c r="W49" s="59"/>
      <c r="X49" s="60"/>
      <c r="Y49" s="60" t="str">
        <f ca="1">IFERROR(__xludf.DUMMYFUNCTION("""COMPUTED_VALUE"""),"Fieldwork")</f>
        <v>Fieldwork</v>
      </c>
      <c r="Z49" s="66" t="s">
        <v>1803</v>
      </c>
    </row>
    <row r="50" spans="1:26" ht="15.75" customHeight="1">
      <c r="A50" s="56" t="str">
        <f ca="1">IFERROR(__xludf.DUMMYFUNCTION("""COMPUTED_VALUE"""),"W3NW")</f>
        <v>W3NW</v>
      </c>
      <c r="B50" s="60">
        <f ca="1">IFERROR(__xludf.DUMMYFUNCTION("""COMPUTED_VALUE"""),3)</f>
        <v>3</v>
      </c>
      <c r="C50" s="60" t="str">
        <f ca="1">IFERROR(__xludf.DUMMYFUNCTION("""COMPUTED_VALUE"""),"NW")</f>
        <v>NW</v>
      </c>
      <c r="D50" s="334">
        <f ca="1">IFERROR(__xludf.DUMMYFUNCTION("""COMPUTED_VALUE"""),800)</f>
        <v>800</v>
      </c>
      <c r="E50" s="60" t="str">
        <f ca="1">IFERROR(__xludf.DUMMYFUNCTION("""COMPUTED_VALUE"""),"3403716230T20050430")</f>
        <v>3403716230T20050430</v>
      </c>
      <c r="F50" s="60">
        <f ca="1">IFERROR(__xludf.DUMMYFUNCTION("""COMPUTED_VALUE"""),1103123315)</f>
        <v>1103123315</v>
      </c>
      <c r="G50" s="58" t="str">
        <f ca="1">IFERROR(__xludf.DUMMYFUNCTION("""COMPUTED_VALUE"""),"Hung Tak Building")</f>
        <v>Hung Tak Building</v>
      </c>
      <c r="H50" s="60" t="str">
        <f ca="1">IFERROR(__xludf.DUMMYFUNCTION("""COMPUTED_VALUE"""),"鴻德大廈")</f>
        <v>鴻德大廈</v>
      </c>
      <c r="I50" s="60">
        <f ca="1">IFERROR(__xludf.DUMMYFUNCTION("""COMPUTED_VALUE"""),114.1552131)</f>
        <v>114.1552131</v>
      </c>
      <c r="J50" s="60">
        <f ca="1">IFERROR(__xludf.DUMMYFUNCTION("""COMPUTED_VALUE"""),22.28488831)</f>
        <v>22.284888309999999</v>
      </c>
      <c r="K50" s="61">
        <f ca="1">IFERROR(__xludf.DUMMYFUNCTION("""COMPUTED_VALUE"""),18.3)</f>
        <v>18.3</v>
      </c>
      <c r="L50" s="60" t="str">
        <f ca="1">IFERROR(__xludf.DUMMYFUNCTION("""COMPUTED_VALUE"""),"p")</f>
        <v>p</v>
      </c>
      <c r="M50" s="61">
        <f ca="1">IFERROR(__xludf.DUMMYFUNCTION("""COMPUTED_VALUE"""),58.3)</f>
        <v>58.3</v>
      </c>
      <c r="N50" s="60" t="str">
        <f ca="1">IFERROR(__xludf.DUMMYFUNCTION("""COMPUTED_VALUE"""),"3")</f>
        <v>3</v>
      </c>
      <c r="O50" s="61">
        <f ca="1">IFERROR(__xludf.DUMMYFUNCTION("""COMPUTED_VALUE"""),40)</f>
        <v>40</v>
      </c>
      <c r="P50" s="62"/>
      <c r="Q50" s="43" t="b">
        <f ca="1">IFERROR(__xludf.DUMMYFUNCTION("""COMPUTED_VALUE"""),FALSE)</f>
        <v>0</v>
      </c>
      <c r="R50" s="43" t="b">
        <f ca="1">IFERROR(__xludf.DUMMYFUNCTION("""COMPUTED_VALUE"""),FALSE)</f>
        <v>0</v>
      </c>
      <c r="S50" s="43" t="b">
        <f ca="1">IFERROR(__xludf.DUMMYFUNCTION("""COMPUTED_VALUE"""),FALSE)</f>
        <v>0</v>
      </c>
      <c r="T50" s="63" t="b">
        <f ca="1">IFERROR(__xludf.DUMMYFUNCTION("""COMPUTED_VALUE"""),FALSE)</f>
        <v>0</v>
      </c>
      <c r="U50" s="68">
        <f ca="1">IFERROR(__xludf.DUMMYFUNCTION("""COMPUTED_VALUE"""),16)</f>
        <v>16</v>
      </c>
      <c r="V50" s="60"/>
      <c r="W50" s="59"/>
      <c r="X50" s="60"/>
      <c r="Y50" s="60" t="str">
        <f ca="1">IFERROR(__xludf.DUMMYFUNCTION("""COMPUTED_VALUE"""),"Fieldwork")</f>
        <v>Fieldwork</v>
      </c>
      <c r="Z50" s="66" t="s">
        <v>1804</v>
      </c>
    </row>
    <row r="51" spans="1:26" ht="15.75" customHeight="1">
      <c r="A51" s="56" t="str">
        <f ca="1">IFERROR(__xludf.DUMMYFUNCTION("""COMPUTED_VALUE"""),"E4NE")</f>
        <v>E4NE</v>
      </c>
      <c r="B51" s="60">
        <f ca="1">IFERROR(__xludf.DUMMYFUNCTION("""COMPUTED_VALUE"""),4)</f>
        <v>4</v>
      </c>
      <c r="C51" s="60" t="str">
        <f ca="1">IFERROR(__xludf.DUMMYFUNCTION("""COMPUTED_VALUE"""),"NE")</f>
        <v>NE</v>
      </c>
      <c r="D51" s="334">
        <f ca="1">IFERROR(__xludf.DUMMYFUNCTION("""COMPUTED_VALUE"""),1000)</f>
        <v>1000</v>
      </c>
      <c r="E51" s="60"/>
      <c r="F51" s="60"/>
      <c r="G51" s="58" t="str">
        <f ca="1">IFERROR(__xludf.DUMMYFUNCTION("""COMPUTED_VALUE"""),"Open Area")</f>
        <v>Open Area</v>
      </c>
      <c r="H51" s="60"/>
      <c r="I51" s="60"/>
      <c r="J51" s="60"/>
      <c r="K51" s="61"/>
      <c r="L51" s="60"/>
      <c r="M51" s="61"/>
      <c r="N51" s="60"/>
      <c r="O51" s="61"/>
      <c r="P51" s="62" t="str">
        <f ca="1">IFERROR(__xludf.DUMMYFUNCTION("""COMPUTED_VALUE"""),"no building ")</f>
        <v xml:space="preserve">no building </v>
      </c>
      <c r="Q51" s="43" t="b">
        <f ca="1">IFERROR(__xludf.DUMMYFUNCTION("""COMPUTED_VALUE"""),TRUE)</f>
        <v>1</v>
      </c>
      <c r="R51" s="43" t="b">
        <f ca="1">IFERROR(__xludf.DUMMYFUNCTION("""COMPUTED_VALUE"""),TRUE)</f>
        <v>1</v>
      </c>
      <c r="S51" s="43" t="b">
        <f ca="1">IFERROR(__xludf.DUMMYFUNCTION("""COMPUTED_VALUE"""),FALSE)</f>
        <v>0</v>
      </c>
      <c r="T51" s="63" t="b">
        <f ca="1">IFERROR(__xludf.DUMMYFUNCTION("""COMPUTED_VALUE"""),TRUE)</f>
        <v>1</v>
      </c>
      <c r="U51" s="68">
        <f ca="1">IFERROR(__xludf.DUMMYFUNCTION("""COMPUTED_VALUE"""),0)</f>
        <v>0</v>
      </c>
      <c r="V51" s="60"/>
      <c r="W51" s="59"/>
      <c r="X51" s="60"/>
      <c r="Y51" s="60"/>
      <c r="Z51" s="66" t="s">
        <v>556</v>
      </c>
    </row>
    <row r="52" spans="1:26" ht="15.75" customHeight="1">
      <c r="A52" s="56" t="str">
        <f ca="1">IFERROR(__xludf.DUMMYFUNCTION("""COMPUTED_VALUE"""),"E4SE")</f>
        <v>E4SE</v>
      </c>
      <c r="B52" s="60">
        <f ca="1">IFERROR(__xludf.DUMMYFUNCTION("""COMPUTED_VALUE"""),4)</f>
        <v>4</v>
      </c>
      <c r="C52" s="60" t="str">
        <f ca="1">IFERROR(__xludf.DUMMYFUNCTION("""COMPUTED_VALUE"""),"SE")</f>
        <v>SE</v>
      </c>
      <c r="D52" s="334">
        <f ca="1">IFERROR(__xludf.DUMMYFUNCTION("""COMPUTED_VALUE"""),1000)</f>
        <v>1000</v>
      </c>
      <c r="E52" s="60" t="str">
        <f ca="1">IFERROR(__xludf.DUMMYFUNCTION("""COMPUTED_VALUE"""),"3468315577T20050430")</f>
        <v>3468315577T20050430</v>
      </c>
      <c r="F52" s="60">
        <f ca="1">IFERROR(__xludf.DUMMYFUNCTION("""COMPUTED_VALUE"""),1103127344)</f>
        <v>1103127344</v>
      </c>
      <c r="G52" s="58" t="str">
        <f ca="1">IFERROR(__xludf.DUMMYFUNCTION("""COMPUTED_VALUE"""),"Bank of China Tower")</f>
        <v>Bank of China Tower</v>
      </c>
      <c r="H52" s="60" t="str">
        <f ca="1">IFERROR(__xludf.DUMMYFUNCTION("""COMPUTED_VALUE"""),"中銀大廈")</f>
        <v>中銀大廈</v>
      </c>
      <c r="I52" s="60">
        <f ca="1">IFERROR(__xludf.DUMMYFUNCTION("""COMPUTED_VALUE"""),114.1615713)</f>
        <v>114.16157130000001</v>
      </c>
      <c r="J52" s="60">
        <f ca="1">IFERROR(__xludf.DUMMYFUNCTION("""COMPUTED_VALUE"""),22.27927815)</f>
        <v>22.27927815</v>
      </c>
      <c r="K52" s="61">
        <f ca="1">IFERROR(__xludf.DUMMYFUNCTION("""COMPUTED_VALUE"""),7)</f>
        <v>7</v>
      </c>
      <c r="L52" s="60" t="str">
        <f ca="1">IFERROR(__xludf.DUMMYFUNCTION("""COMPUTED_VALUE"""),"l")</f>
        <v>l</v>
      </c>
      <c r="M52" s="61">
        <f ca="1">IFERROR(__xludf.DUMMYFUNCTION("""COMPUTED_VALUE"""),310.3)</f>
        <v>310.3</v>
      </c>
      <c r="N52" s="60" t="str">
        <f ca="1">IFERROR(__xludf.DUMMYFUNCTION("""COMPUTED_VALUE"""),"p")</f>
        <v>p</v>
      </c>
      <c r="O52" s="61">
        <f ca="1">IFERROR(__xludf.DUMMYFUNCTION("""COMPUTED_VALUE"""),303.3)</f>
        <v>303.3</v>
      </c>
      <c r="P52" s="69"/>
      <c r="Q52" s="43" t="b">
        <f ca="1">IFERROR(__xludf.DUMMYFUNCTION("""COMPUTED_VALUE"""),FALSE)</f>
        <v>0</v>
      </c>
      <c r="R52" s="43" t="b">
        <f ca="1">IFERROR(__xludf.DUMMYFUNCTION("""COMPUTED_VALUE"""),FALSE)</f>
        <v>0</v>
      </c>
      <c r="S52" s="43" t="b">
        <f ca="1">IFERROR(__xludf.DUMMYFUNCTION("""COMPUTED_VALUE"""),FALSE)</f>
        <v>0</v>
      </c>
      <c r="T52" s="63" t="b">
        <f ca="1">IFERROR(__xludf.DUMMYFUNCTION("""COMPUTED_VALUE"""),FALSE)</f>
        <v>0</v>
      </c>
      <c r="U52" s="68">
        <f ca="1">IFERROR(__xludf.DUMMYFUNCTION("""COMPUTED_VALUE"""),72)</f>
        <v>72</v>
      </c>
      <c r="V52" s="65">
        <f ca="1">IFERROR(__xludf.DUMMYFUNCTION("""COMPUTED_VALUE"""),0)</f>
        <v>0</v>
      </c>
      <c r="W52" s="66">
        <f ca="1">IFERROR(__xludf.DUMMYFUNCTION("""COMPUTED_VALUE"""),65)</f>
        <v>65</v>
      </c>
      <c r="X52" s="65">
        <f ca="1">IFERROR(__xludf.DUMMYFUNCTION("""COMPUTED_VALUE"""),1989)</f>
        <v>1989</v>
      </c>
      <c r="Y52" s="60" t="str">
        <f ca="1">IFERROR(__xludf.DUMMYFUNCTION("""COMPUTED_VALUE"""),"BMIS_auto+web")</f>
        <v>BMIS_auto+web</v>
      </c>
      <c r="Z52" s="66" t="s">
        <v>1807</v>
      </c>
    </row>
    <row r="53" spans="1:26" ht="20.25" customHeight="1">
      <c r="A53" s="56" t="str">
        <f ca="1">IFERROR(__xludf.DUMMYFUNCTION("""COMPUTED_VALUE"""),"E4SW")</f>
        <v>E4SW</v>
      </c>
      <c r="B53" s="60">
        <f ca="1">IFERROR(__xludf.DUMMYFUNCTION("""COMPUTED_VALUE"""),4)</f>
        <v>4</v>
      </c>
      <c r="C53" s="60" t="str">
        <f ca="1">IFERROR(__xludf.DUMMYFUNCTION("""COMPUTED_VALUE"""),"SW")</f>
        <v>SW</v>
      </c>
      <c r="D53" s="334">
        <f ca="1">IFERROR(__xludf.DUMMYFUNCTION("""COMPUTED_VALUE"""),1000)</f>
        <v>1000</v>
      </c>
      <c r="E53" s="60"/>
      <c r="F53" s="60"/>
      <c r="G53" s="58" t="str">
        <f ca="1">IFERROR(__xludf.DUMMYFUNCTION("""COMPUTED_VALUE"""),"Chater Garden")</f>
        <v>Chater Garden</v>
      </c>
      <c r="H53" s="60"/>
      <c r="I53" s="60"/>
      <c r="J53" s="60"/>
      <c r="K53" s="61"/>
      <c r="L53" s="60"/>
      <c r="M53" s="61"/>
      <c r="N53" s="60"/>
      <c r="O53" s="61"/>
      <c r="P53" s="62" t="str">
        <f ca="1">IFERROR(__xludf.DUMMYFUNCTION("""COMPUTED_VALUE"""),"no building ")</f>
        <v xml:space="preserve">no building </v>
      </c>
      <c r="Q53" s="43" t="b">
        <f ca="1">IFERROR(__xludf.DUMMYFUNCTION("""COMPUTED_VALUE"""),TRUE)</f>
        <v>1</v>
      </c>
      <c r="R53" s="43" t="b">
        <f ca="1">IFERROR(__xludf.DUMMYFUNCTION("""COMPUTED_VALUE"""),TRUE)</f>
        <v>1</v>
      </c>
      <c r="S53" s="43" t="b">
        <f ca="1">IFERROR(__xludf.DUMMYFUNCTION("""COMPUTED_VALUE"""),FALSE)</f>
        <v>0</v>
      </c>
      <c r="T53" s="63" t="b">
        <f ca="1">IFERROR(__xludf.DUMMYFUNCTION("""COMPUTED_VALUE"""),TRUE)</f>
        <v>1</v>
      </c>
      <c r="U53" s="68">
        <f ca="1">IFERROR(__xludf.DUMMYFUNCTION("""COMPUTED_VALUE"""),0)</f>
        <v>0</v>
      </c>
      <c r="V53" s="60"/>
      <c r="W53" s="59"/>
      <c r="X53" s="60"/>
      <c r="Y53" s="60"/>
      <c r="Z53" s="66" t="s">
        <v>556</v>
      </c>
    </row>
    <row r="54" spans="1:26" ht="15.75" customHeight="1">
      <c r="A54" s="56" t="str">
        <f ca="1">IFERROR(__xludf.DUMMYFUNCTION("""COMPUTED_VALUE"""),"E4NW")</f>
        <v>E4NW</v>
      </c>
      <c r="B54" s="60">
        <f ca="1">IFERROR(__xludf.DUMMYFUNCTION("""COMPUTED_VALUE"""),4)</f>
        <v>4</v>
      </c>
      <c r="C54" s="60" t="str">
        <f ca="1">IFERROR(__xludf.DUMMYFUNCTION("""COMPUTED_VALUE"""),"NW")</f>
        <v>NW</v>
      </c>
      <c r="D54" s="334">
        <f ca="1">IFERROR(__xludf.DUMMYFUNCTION("""COMPUTED_VALUE"""),1000)</f>
        <v>1000</v>
      </c>
      <c r="E54" s="60"/>
      <c r="F54" s="60"/>
      <c r="G54" s="58" t="str">
        <f ca="1">IFERROR(__xludf.DUMMYFUNCTION("""COMPUTED_VALUE"""),"Shatin-Central Link Construction Site")</f>
        <v>Shatin-Central Link Construction Site</v>
      </c>
      <c r="H54" s="60"/>
      <c r="I54" s="60"/>
      <c r="J54" s="60"/>
      <c r="K54" s="61"/>
      <c r="L54" s="60"/>
      <c r="M54" s="61"/>
      <c r="N54" s="60"/>
      <c r="O54" s="61"/>
      <c r="P54" s="62" t="str">
        <f ca="1">IFERROR(__xludf.DUMMYFUNCTION("""COMPUTED_VALUE"""),"no building ")</f>
        <v xml:space="preserve">no building </v>
      </c>
      <c r="Q54" s="43" t="b">
        <f ca="1">IFERROR(__xludf.DUMMYFUNCTION("""COMPUTED_VALUE"""),TRUE)</f>
        <v>1</v>
      </c>
      <c r="R54" s="43" t="b">
        <f ca="1">IFERROR(__xludf.DUMMYFUNCTION("""COMPUTED_VALUE"""),TRUE)</f>
        <v>1</v>
      </c>
      <c r="S54" s="43" t="b">
        <f ca="1">IFERROR(__xludf.DUMMYFUNCTION("""COMPUTED_VALUE"""),FALSE)</f>
        <v>0</v>
      </c>
      <c r="T54" s="63" t="b">
        <f ca="1">IFERROR(__xludf.DUMMYFUNCTION("""COMPUTED_VALUE"""),TRUE)</f>
        <v>1</v>
      </c>
      <c r="U54" s="68">
        <f ca="1">IFERROR(__xludf.DUMMYFUNCTION("""COMPUTED_VALUE"""),0)</f>
        <v>0</v>
      </c>
      <c r="V54" s="60"/>
      <c r="W54" s="59"/>
      <c r="X54" s="60"/>
      <c r="Y54" s="60"/>
      <c r="Z54" s="66" t="s">
        <v>556</v>
      </c>
    </row>
    <row r="55" spans="1:26" ht="15.75" customHeight="1">
      <c r="A55" s="56" t="str">
        <f ca="1">IFERROR(__xludf.DUMMYFUNCTION("""COMPUTED_VALUE"""),"S4NE")</f>
        <v>S4NE</v>
      </c>
      <c r="B55" s="60">
        <f ca="1">IFERROR(__xludf.DUMMYFUNCTION("""COMPUTED_VALUE"""),4)</f>
        <v>4</v>
      </c>
      <c r="C55" s="60" t="str">
        <f ca="1">IFERROR(__xludf.DUMMYFUNCTION("""COMPUTED_VALUE"""),"NE")</f>
        <v>NE</v>
      </c>
      <c r="D55" s="334">
        <f ca="1">IFERROR(__xludf.DUMMYFUNCTION("""COMPUTED_VALUE"""),1000)</f>
        <v>1000</v>
      </c>
      <c r="E55" s="60" t="str">
        <f ca="1">IFERROR(__xludf.DUMMYFUNCTION("""COMPUTED_VALUE"""),"3453715595T20050430")</f>
        <v>3453715595T20050430</v>
      </c>
      <c r="F55" s="60">
        <f ca="1">IFERROR(__xludf.DUMMYFUNCTION("""COMPUTED_VALUE"""),1103127404)</f>
        <v>1103127404</v>
      </c>
      <c r="G55" s="58" t="str">
        <f ca="1">IFERROR(__xludf.DUMMYFUNCTION("""COMPUTED_VALUE"""),"Cheung Kong Park")</f>
        <v>Cheung Kong Park</v>
      </c>
      <c r="H55" s="60" t="str">
        <f ca="1">IFERROR(__xludf.DUMMYFUNCTION("""COMPUTED_VALUE"""),"長江公園")</f>
        <v>長江公園</v>
      </c>
      <c r="I55" s="60">
        <f ca="1">IFERROR(__xludf.DUMMYFUNCTION("""COMPUTED_VALUE"""),114.1600599)</f>
        <v>114.16005989999999</v>
      </c>
      <c r="J55" s="60">
        <f ca="1">IFERROR(__xludf.DUMMYFUNCTION("""COMPUTED_VALUE"""),22.27918339)</f>
        <v>22.27918339</v>
      </c>
      <c r="K55" s="61">
        <f ca="1">IFERROR(__xludf.DUMMYFUNCTION("""COMPUTED_VALUE"""),13.8)</f>
        <v>13.8</v>
      </c>
      <c r="L55" s="60" t="str">
        <f ca="1">IFERROR(__xludf.DUMMYFUNCTION("""COMPUTED_VALUE"""),"l")</f>
        <v>l</v>
      </c>
      <c r="M55" s="61">
        <f ca="1">IFERROR(__xludf.DUMMYFUNCTION("""COMPUTED_VALUE"""),25.2)</f>
        <v>25.2</v>
      </c>
      <c r="N55" s="60" t="str">
        <f ca="1">IFERROR(__xludf.DUMMYFUNCTION("""COMPUTED_VALUE"""),"p")</f>
        <v>p</v>
      </c>
      <c r="O55" s="61">
        <f ca="1">IFERROR(__xludf.DUMMYFUNCTION("""COMPUTED_VALUE"""),11.4)</f>
        <v>11.4</v>
      </c>
      <c r="P55" s="62"/>
      <c r="Q55" s="43" t="b">
        <f ca="1">IFERROR(__xludf.DUMMYFUNCTION("""COMPUTED_VALUE"""),FALSE)</f>
        <v>0</v>
      </c>
      <c r="R55" s="43" t="b">
        <f ca="1">IFERROR(__xludf.DUMMYFUNCTION("""COMPUTED_VALUE"""),TRUE)</f>
        <v>1</v>
      </c>
      <c r="S55" s="43" t="b">
        <f ca="1">IFERROR(__xludf.DUMMYFUNCTION("""COMPUTED_VALUE"""),FALSE)</f>
        <v>0</v>
      </c>
      <c r="T55" s="63" t="b">
        <f ca="1">IFERROR(__xludf.DUMMYFUNCTION("""COMPUTED_VALUE"""),TRUE)</f>
        <v>1</v>
      </c>
      <c r="U55" s="68">
        <f ca="1">IFERROR(__xludf.DUMMYFUNCTION("""COMPUTED_VALUE"""),0)</f>
        <v>0</v>
      </c>
      <c r="V55" s="60"/>
      <c r="W55" s="59"/>
      <c r="X55" s="60"/>
      <c r="Y55" s="60" t="str">
        <f ca="1">IFERROR(__xludf.DUMMYFUNCTION("""COMPUTED_VALUE"""),"Google Earth")</f>
        <v>Google Earth</v>
      </c>
      <c r="Z55" s="66" t="s">
        <v>1797</v>
      </c>
    </row>
    <row r="56" spans="1:26" ht="15.75" customHeight="1">
      <c r="A56" s="56" t="str">
        <f ca="1">IFERROR(__xludf.DUMMYFUNCTION("""COMPUTED_VALUE"""),"S4SE")</f>
        <v>S4SE</v>
      </c>
      <c r="B56" s="60">
        <f ca="1">IFERROR(__xludf.DUMMYFUNCTION("""COMPUTED_VALUE"""),4)</f>
        <v>4</v>
      </c>
      <c r="C56" s="60" t="str">
        <f ca="1">IFERROR(__xludf.DUMMYFUNCTION("""COMPUTED_VALUE"""),"SE")</f>
        <v>SE</v>
      </c>
      <c r="D56" s="334">
        <f ca="1">IFERROR(__xludf.DUMMYFUNCTION("""COMPUTED_VALUE"""),1000)</f>
        <v>1000</v>
      </c>
      <c r="E56" s="60" t="str">
        <f ca="1">IFERROR(__xludf.DUMMYFUNCTION("""COMPUTED_VALUE"""),"3458315630T20050430")</f>
        <v>3458315630T20050430</v>
      </c>
      <c r="F56" s="60">
        <f ca="1">IFERROR(__xludf.DUMMYFUNCTION("""COMPUTED_VALUE"""),1103127201)</f>
        <v>1103127201</v>
      </c>
      <c r="G56" s="58" t="str">
        <f ca="1">IFERROR(__xludf.DUMMYFUNCTION("""COMPUTED_VALUE"""),"Cheung Kong Center")</f>
        <v>Cheung Kong Center</v>
      </c>
      <c r="H56" s="60" t="str">
        <f ca="1">IFERROR(__xludf.DUMMYFUNCTION("""COMPUTED_VALUE"""),"長江集團中心")</f>
        <v>長江集團中心</v>
      </c>
      <c r="I56" s="60">
        <f ca="1">IFERROR(__xludf.DUMMYFUNCTION("""COMPUTED_VALUE"""),114.1605385)</f>
        <v>114.1605385</v>
      </c>
      <c r="J56" s="60">
        <f ca="1">IFERROR(__xludf.DUMMYFUNCTION("""COMPUTED_VALUE"""),22.2795425)</f>
        <v>22.279542500000002</v>
      </c>
      <c r="K56" s="61">
        <f ca="1">IFERROR(__xludf.DUMMYFUNCTION("""COMPUTED_VALUE"""),7.2)</f>
        <v>7.2</v>
      </c>
      <c r="L56" s="60" t="str">
        <f ca="1">IFERROR(__xludf.DUMMYFUNCTION("""COMPUTED_VALUE"""),"l")</f>
        <v>l</v>
      </c>
      <c r="M56" s="61">
        <f ca="1">IFERROR(__xludf.DUMMYFUNCTION("""COMPUTED_VALUE"""),288.7)</f>
        <v>288.7</v>
      </c>
      <c r="N56" s="60" t="str">
        <f ca="1">IFERROR(__xludf.DUMMYFUNCTION("""COMPUTED_VALUE"""),"3")</f>
        <v>3</v>
      </c>
      <c r="O56" s="61">
        <f ca="1">IFERROR(__xludf.DUMMYFUNCTION("""COMPUTED_VALUE"""),281.5)</f>
        <v>281.5</v>
      </c>
      <c r="P56" s="62" t="str">
        <f ca="1">IFERROR(__xludf.DUMMYFUNCTION("""COMPUTED_VALUE"""),"Shares same building with S3NE")</f>
        <v>Shares same building with S3NE</v>
      </c>
      <c r="Q56" s="43" t="b">
        <f ca="1">IFERROR(__xludf.DUMMYFUNCTION("""COMPUTED_VALUE"""),FALSE)</f>
        <v>0</v>
      </c>
      <c r="R56" s="43" t="b">
        <f ca="1">IFERROR(__xludf.DUMMYFUNCTION("""COMPUTED_VALUE"""),TRUE)</f>
        <v>1</v>
      </c>
      <c r="S56" s="43" t="b">
        <f ca="1">IFERROR(__xludf.DUMMYFUNCTION("""COMPUTED_VALUE"""),FALSE)</f>
        <v>0</v>
      </c>
      <c r="T56" s="63" t="b">
        <f ca="1">IFERROR(__xludf.DUMMYFUNCTION("""COMPUTED_VALUE"""),FALSE)</f>
        <v>0</v>
      </c>
      <c r="U56" s="68">
        <f ca="1">IFERROR(__xludf.DUMMYFUNCTION("""COMPUTED_VALUE"""),70)</f>
        <v>70</v>
      </c>
      <c r="V56" s="60">
        <f ca="1">IFERROR(__xludf.DUMMYFUNCTION("""COMPUTED_VALUE"""),6)</f>
        <v>6</v>
      </c>
      <c r="W56" s="59">
        <f ca="1">IFERROR(__xludf.DUMMYFUNCTION("""COMPUTED_VALUE"""),96)</f>
        <v>96</v>
      </c>
      <c r="X56" s="60">
        <f ca="1">IFERROR(__xludf.DUMMYFUNCTION("""COMPUTED_VALUE"""),1998)</f>
        <v>1998</v>
      </c>
      <c r="Y56" s="60" t="str">
        <f ca="1">IFERROR(__xludf.DUMMYFUNCTION("""COMPUTED_VALUE"""),"BMIS")</f>
        <v>BMIS</v>
      </c>
      <c r="Z56" s="66" t="s">
        <v>1797</v>
      </c>
    </row>
    <row r="57" spans="1:26" ht="15.75" customHeight="1">
      <c r="A57" s="56" t="str">
        <f ca="1">IFERROR(__xludf.DUMMYFUNCTION("""COMPUTED_VALUE"""),"S4SW")</f>
        <v>S4SW</v>
      </c>
      <c r="B57" s="60">
        <f ca="1">IFERROR(__xludf.DUMMYFUNCTION("""COMPUTED_VALUE"""),4)</f>
        <v>4</v>
      </c>
      <c r="C57" s="60" t="str">
        <f ca="1">IFERROR(__xludf.DUMMYFUNCTION("""COMPUTED_VALUE"""),"SW")</f>
        <v>SW</v>
      </c>
      <c r="D57" s="334">
        <f ca="1">IFERROR(__xludf.DUMMYFUNCTION("""COMPUTED_VALUE"""),1000)</f>
        <v>1000</v>
      </c>
      <c r="E57" s="60" t="str">
        <f ca="1">IFERROR(__xludf.DUMMYFUNCTION("""COMPUTED_VALUE"""),"3468315577T20050430")</f>
        <v>3468315577T20050430</v>
      </c>
      <c r="F57" s="60">
        <f ca="1">IFERROR(__xludf.DUMMYFUNCTION("""COMPUTED_VALUE"""),1103127344)</f>
        <v>1103127344</v>
      </c>
      <c r="G57" s="58" t="str">
        <f ca="1">IFERROR(__xludf.DUMMYFUNCTION("""COMPUTED_VALUE"""),"Bank of China Tower")</f>
        <v>Bank of China Tower</v>
      </c>
      <c r="H57" s="60" t="str">
        <f ca="1">IFERROR(__xludf.DUMMYFUNCTION("""COMPUTED_VALUE"""),"中銀大廈")</f>
        <v>中銀大廈</v>
      </c>
      <c r="I57" s="60">
        <f ca="1">IFERROR(__xludf.DUMMYFUNCTION("""COMPUTED_VALUE"""),114.1615713)</f>
        <v>114.16157130000001</v>
      </c>
      <c r="J57" s="60">
        <f ca="1">IFERROR(__xludf.DUMMYFUNCTION("""COMPUTED_VALUE"""),22.27927815)</f>
        <v>22.27927815</v>
      </c>
      <c r="K57" s="61">
        <f ca="1">IFERROR(__xludf.DUMMYFUNCTION("""COMPUTED_VALUE"""),7)</f>
        <v>7</v>
      </c>
      <c r="L57" s="60" t="str">
        <f ca="1">IFERROR(__xludf.DUMMYFUNCTION("""COMPUTED_VALUE"""),"l")</f>
        <v>l</v>
      </c>
      <c r="M57" s="61">
        <f ca="1">IFERROR(__xludf.DUMMYFUNCTION("""COMPUTED_VALUE"""),310.3)</f>
        <v>310.3</v>
      </c>
      <c r="N57" s="60" t="str">
        <f ca="1">IFERROR(__xludf.DUMMYFUNCTION("""COMPUTED_VALUE"""),"p")</f>
        <v>p</v>
      </c>
      <c r="O57" s="61">
        <f ca="1">IFERROR(__xludf.DUMMYFUNCTION("""COMPUTED_VALUE"""),303.3)</f>
        <v>303.3</v>
      </c>
      <c r="P57" s="62"/>
      <c r="Q57" s="43" t="b">
        <f ca="1">IFERROR(__xludf.DUMMYFUNCTION("""COMPUTED_VALUE"""),FALSE)</f>
        <v>0</v>
      </c>
      <c r="R57" s="43" t="b">
        <f ca="1">IFERROR(__xludf.DUMMYFUNCTION("""COMPUTED_VALUE"""),FALSE)</f>
        <v>0</v>
      </c>
      <c r="S57" s="43" t="b">
        <f ca="1">IFERROR(__xludf.DUMMYFUNCTION("""COMPUTED_VALUE"""),FALSE)</f>
        <v>0</v>
      </c>
      <c r="T57" s="63" t="b">
        <f ca="1">IFERROR(__xludf.DUMMYFUNCTION("""COMPUTED_VALUE"""),FALSE)</f>
        <v>0</v>
      </c>
      <c r="U57" s="68">
        <f ca="1">IFERROR(__xludf.DUMMYFUNCTION("""COMPUTED_VALUE"""),70)</f>
        <v>70</v>
      </c>
      <c r="V57" s="60">
        <f ca="1">IFERROR(__xludf.DUMMYFUNCTION("""COMPUTED_VALUE"""),0)</f>
        <v>0</v>
      </c>
      <c r="W57" s="59">
        <f ca="1">IFERROR(__xludf.DUMMYFUNCTION("""COMPUTED_VALUE"""),65)</f>
        <v>65</v>
      </c>
      <c r="X57" s="60">
        <f ca="1">IFERROR(__xludf.DUMMYFUNCTION("""COMPUTED_VALUE"""),1989)</f>
        <v>1989</v>
      </c>
      <c r="Y57" s="60" t="str">
        <f ca="1">IFERROR(__xludf.DUMMYFUNCTION("""COMPUTED_VALUE"""),"BMIS")</f>
        <v>BMIS</v>
      </c>
      <c r="Z57" s="66" t="s">
        <v>1807</v>
      </c>
    </row>
    <row r="58" spans="1:26" ht="15.75" customHeight="1">
      <c r="A58" s="56" t="str">
        <f ca="1">IFERROR(__xludf.DUMMYFUNCTION("""COMPUTED_VALUE"""),"S4NW")</f>
        <v>S4NW</v>
      </c>
      <c r="B58" s="60">
        <f ca="1">IFERROR(__xludf.DUMMYFUNCTION("""COMPUTED_VALUE"""),4)</f>
        <v>4</v>
      </c>
      <c r="C58" s="60" t="str">
        <f ca="1">IFERROR(__xludf.DUMMYFUNCTION("""COMPUTED_VALUE"""),"NW")</f>
        <v>NW</v>
      </c>
      <c r="D58" s="334">
        <f ca="1">IFERROR(__xludf.DUMMYFUNCTION("""COMPUTED_VALUE"""),1000)</f>
        <v>1000</v>
      </c>
      <c r="E58" s="60" t="str">
        <f ca="1">IFERROR(__xludf.DUMMYFUNCTION("""COMPUTED_VALUE"""),"3457815511T20050430")</f>
        <v>3457815511T20050430</v>
      </c>
      <c r="F58" s="60">
        <f ca="1">IFERROR(__xludf.DUMMYFUNCTION("""COMPUTED_VALUE"""),1103127911)</f>
        <v>1103127911</v>
      </c>
      <c r="G58" s="58" t="str">
        <f ca="1">IFERROR(__xludf.DUMMYFUNCTION("""COMPUTED_VALUE"""),"Champion Tower")</f>
        <v>Champion Tower</v>
      </c>
      <c r="H58" s="60" t="str">
        <f ca="1">IFERROR(__xludf.DUMMYFUNCTION("""COMPUTED_VALUE"""),"冠君大廈")</f>
        <v>冠君大廈</v>
      </c>
      <c r="I58" s="60">
        <f ca="1">IFERROR(__xludf.DUMMYFUNCTION("""COMPUTED_VALUE"""),114.1605559)</f>
        <v>114.16055590000001</v>
      </c>
      <c r="J58" s="60">
        <f ca="1">IFERROR(__xludf.DUMMYFUNCTION("""COMPUTED_VALUE"""),22.27846185)</f>
        <v>22.278461849999999</v>
      </c>
      <c r="K58" s="61">
        <f ca="1">IFERROR(__xludf.DUMMYFUNCTION("""COMPUTED_VALUE"""),19.4)</f>
        <v>19.399999999999999</v>
      </c>
      <c r="L58" s="60" t="str">
        <f ca="1">IFERROR(__xludf.DUMMYFUNCTION("""COMPUTED_VALUE"""),"p")</f>
        <v>p</v>
      </c>
      <c r="M58" s="61">
        <f ca="1">IFERROR(__xludf.DUMMYFUNCTION("""COMPUTED_VALUE"""),213.4)</f>
        <v>213.4</v>
      </c>
      <c r="N58" s="60" t="str">
        <f ca="1">IFERROR(__xludf.DUMMYFUNCTION("""COMPUTED_VALUE"""),"3")</f>
        <v>3</v>
      </c>
      <c r="O58" s="61">
        <f ca="1">IFERROR(__xludf.DUMMYFUNCTION("""COMPUTED_VALUE"""),194)</f>
        <v>194</v>
      </c>
      <c r="P58" s="62"/>
      <c r="Q58" s="43" t="b">
        <f ca="1">IFERROR(__xludf.DUMMYFUNCTION("""COMPUTED_VALUE"""),FALSE)</f>
        <v>0</v>
      </c>
      <c r="R58" s="43" t="b">
        <f ca="1">IFERROR(__xludf.DUMMYFUNCTION("""COMPUTED_VALUE"""),FALSE)</f>
        <v>0</v>
      </c>
      <c r="S58" s="43" t="b">
        <f ca="1">IFERROR(__xludf.DUMMYFUNCTION("""COMPUTED_VALUE"""),FALSE)</f>
        <v>0</v>
      </c>
      <c r="T58" s="63" t="b">
        <f ca="1">IFERROR(__xludf.DUMMYFUNCTION("""COMPUTED_VALUE"""),FALSE)</f>
        <v>0</v>
      </c>
      <c r="U58" s="68">
        <f ca="1">IFERROR(__xludf.DUMMYFUNCTION("""COMPUTED_VALUE"""),47)</f>
        <v>47</v>
      </c>
      <c r="V58" s="60"/>
      <c r="W58" s="59"/>
      <c r="X58" s="60">
        <f ca="1">IFERROR(__xludf.DUMMYFUNCTION("""COMPUTED_VALUE"""),1992)</f>
        <v>1992</v>
      </c>
      <c r="Y58" s="60" t="str">
        <f ca="1">IFERROR(__xludf.DUMMYFUNCTION("""COMPUTED_VALUE"""),"Wikipedia+BMIS")</f>
        <v>Wikipedia+BMIS</v>
      </c>
      <c r="Z58" s="66" t="s">
        <v>1810</v>
      </c>
    </row>
    <row r="59" spans="1:26" ht="15.75" customHeight="1">
      <c r="A59" s="56" t="str">
        <f ca="1">IFERROR(__xludf.DUMMYFUNCTION("""COMPUTED_VALUE"""),"W4NE")</f>
        <v>W4NE</v>
      </c>
      <c r="B59" s="60">
        <f ca="1">IFERROR(__xludf.DUMMYFUNCTION("""COMPUTED_VALUE"""),4)</f>
        <v>4</v>
      </c>
      <c r="C59" s="60" t="str">
        <f ca="1">IFERROR(__xludf.DUMMYFUNCTION("""COMPUTED_VALUE"""),"NE")</f>
        <v>NE</v>
      </c>
      <c r="D59" s="334">
        <f ca="1">IFERROR(__xludf.DUMMYFUNCTION("""COMPUTED_VALUE"""),1000)</f>
        <v>1000</v>
      </c>
      <c r="E59" s="60" t="str">
        <f ca="1">IFERROR(__xludf.DUMMYFUNCTION("""COMPUTED_VALUE"""),"3396016363T20050430")</f>
        <v>3396016363T20050430</v>
      </c>
      <c r="F59" s="60">
        <f ca="1">IFERROR(__xludf.DUMMYFUNCTION("""COMPUTED_VALUE"""),1103122247)</f>
        <v>1103122247</v>
      </c>
      <c r="G59" s="58" t="str">
        <f ca="1">IFERROR(__xludf.DUMMYFUNCTION("""COMPUTED_VALUE"""),"Nan Fung Tower")</f>
        <v>Nan Fung Tower</v>
      </c>
      <c r="H59" s="60" t="str">
        <f ca="1">IFERROR(__xludf.DUMMYFUNCTION("""COMPUTED_VALUE"""),"南豐大廈")</f>
        <v>南豐大廈</v>
      </c>
      <c r="I59" s="60">
        <f ca="1">IFERROR(__xludf.DUMMYFUNCTION("""COMPUTED_VALUE"""),114.1543969)</f>
        <v>114.15439689999999</v>
      </c>
      <c r="J59" s="60">
        <f ca="1">IFERROR(__xludf.DUMMYFUNCTION("""COMPUTED_VALUE"""),22.28597768)</f>
        <v>22.285977679999998</v>
      </c>
      <c r="K59" s="61">
        <f ca="1">IFERROR(__xludf.DUMMYFUNCTION("""COMPUTED_VALUE"""),3.8)</f>
        <v>3.8</v>
      </c>
      <c r="L59" s="60" t="str">
        <f ca="1">IFERROR(__xludf.DUMMYFUNCTION("""COMPUTED_VALUE"""),"es")</f>
        <v>es</v>
      </c>
      <c r="M59" s="61">
        <f ca="1">IFERROR(__xludf.DUMMYFUNCTION("""COMPUTED_VALUE"""),96.7)</f>
        <v>96.7</v>
      </c>
      <c r="N59" s="60" t="str">
        <f ca="1">IFERROR(__xludf.DUMMYFUNCTION("""COMPUTED_VALUE"""),"p")</f>
        <v>p</v>
      </c>
      <c r="O59" s="61">
        <f ca="1">IFERROR(__xludf.DUMMYFUNCTION("""COMPUTED_VALUE"""),92.9)</f>
        <v>92.9</v>
      </c>
      <c r="P59" s="62"/>
      <c r="Q59" s="43" t="b">
        <f ca="1">IFERROR(__xludf.DUMMYFUNCTION("""COMPUTED_VALUE"""),FALSE)</f>
        <v>0</v>
      </c>
      <c r="R59" s="43" t="b">
        <f ca="1">IFERROR(__xludf.DUMMYFUNCTION("""COMPUTED_VALUE"""),FALSE)</f>
        <v>0</v>
      </c>
      <c r="S59" s="43" t="b">
        <f ca="1">IFERROR(__xludf.DUMMYFUNCTION("""COMPUTED_VALUE"""),FALSE)</f>
        <v>0</v>
      </c>
      <c r="T59" s="63" t="b">
        <f ca="1">IFERROR(__xludf.DUMMYFUNCTION("""COMPUTED_VALUE"""),FALSE)</f>
        <v>0</v>
      </c>
      <c r="U59" s="68">
        <f ca="1">IFERROR(__xludf.DUMMYFUNCTION("""COMPUTED_VALUE"""),29)</f>
        <v>29</v>
      </c>
      <c r="V59" s="60"/>
      <c r="W59" s="59"/>
      <c r="X59" s="60"/>
      <c r="Y59" s="60" t="str">
        <f ca="1">IFERROR(__xludf.DUMMYFUNCTION("""COMPUTED_VALUE"""),"Fieldwork")</f>
        <v>Fieldwork</v>
      </c>
      <c r="Z59" s="66" t="s">
        <v>1811</v>
      </c>
    </row>
    <row r="60" spans="1:26" ht="15.75" customHeight="1">
      <c r="A60" s="56" t="str">
        <f ca="1">IFERROR(__xludf.DUMMYFUNCTION("""COMPUTED_VALUE"""),"W4SE")</f>
        <v>W4SE</v>
      </c>
      <c r="B60" s="60">
        <f ca="1">IFERROR(__xludf.DUMMYFUNCTION("""COMPUTED_VALUE"""),4)</f>
        <v>4</v>
      </c>
      <c r="C60" s="60" t="str">
        <f ca="1">IFERROR(__xludf.DUMMYFUNCTION("""COMPUTED_VALUE"""),"SE")</f>
        <v>SE</v>
      </c>
      <c r="D60" s="334">
        <f ca="1">IFERROR(__xludf.DUMMYFUNCTION("""COMPUTED_VALUE"""),1000)</f>
        <v>1000</v>
      </c>
      <c r="E60" s="60"/>
      <c r="F60" s="60"/>
      <c r="G60" s="58"/>
      <c r="H60" s="60"/>
      <c r="I60" s="60"/>
      <c r="J60" s="60"/>
      <c r="K60" s="61"/>
      <c r="L60" s="60"/>
      <c r="M60" s="61"/>
      <c r="N60" s="60"/>
      <c r="O60" s="61"/>
      <c r="P60" s="67"/>
      <c r="Q60" s="43" t="b">
        <f ca="1">IFERROR(__xludf.DUMMYFUNCTION("""COMPUTED_VALUE"""),TRUE)</f>
        <v>1</v>
      </c>
      <c r="R60" s="43" t="b">
        <f ca="1">IFERROR(__xludf.DUMMYFUNCTION("""COMPUTED_VALUE"""),FALSE)</f>
        <v>0</v>
      </c>
      <c r="S60" s="43" t="b">
        <f ca="1">IFERROR(__xludf.DUMMYFUNCTION("""COMPUTED_VALUE"""),FALSE)</f>
        <v>0</v>
      </c>
      <c r="T60" s="63" t="b">
        <f ca="1">IFERROR(__xludf.DUMMYFUNCTION("""COMPUTED_VALUE"""),TRUE)</f>
        <v>1</v>
      </c>
      <c r="U60" s="68">
        <f ca="1">IFERROR(__xludf.DUMMYFUNCTION("""COMPUTED_VALUE"""),0)</f>
        <v>0</v>
      </c>
      <c r="V60" s="60"/>
      <c r="W60" s="59"/>
      <c r="X60" s="60"/>
      <c r="Y60" s="60"/>
      <c r="Z60" s="66" t="s">
        <v>556</v>
      </c>
    </row>
    <row r="61" spans="1:26" ht="15.75" customHeight="1">
      <c r="A61" s="56" t="str">
        <f ca="1">IFERROR(__xludf.DUMMYFUNCTION("""COMPUTED_VALUE"""),"W4SW")</f>
        <v>W4SW</v>
      </c>
      <c r="B61" s="60">
        <f ca="1">IFERROR(__xludf.DUMMYFUNCTION("""COMPUTED_VALUE"""),4)</f>
        <v>4</v>
      </c>
      <c r="C61" s="60" t="str">
        <f ca="1">IFERROR(__xludf.DUMMYFUNCTION("""COMPUTED_VALUE"""),"SW")</f>
        <v>SW</v>
      </c>
      <c r="D61" s="334">
        <f ca="1">IFERROR(__xludf.DUMMYFUNCTION("""COMPUTED_VALUE"""),1000)</f>
        <v>1000</v>
      </c>
      <c r="E61" s="60" t="str">
        <f ca="1">IFERROR(__xludf.DUMMYFUNCTION("""COMPUTED_VALUE"""),"3389716308T20050430")</f>
        <v>3389716308T20050430</v>
      </c>
      <c r="F61" s="60">
        <f ca="1">IFERROR(__xludf.DUMMYFUNCTION("""COMPUTED_VALUE"""),1103122673)</f>
        <v>1103122673</v>
      </c>
      <c r="G61" s="58" t="str">
        <f ca="1">IFERROR(__xludf.DUMMYFUNCTION("""COMPUTED_VALUE"""),"Cheung's Building")</f>
        <v>Cheung's Building</v>
      </c>
      <c r="H61" s="60" t="str">
        <f ca="1">IFERROR(__xludf.DUMMYFUNCTION("""COMPUTED_VALUE"""),"世瑛大廈")</f>
        <v>世瑛大廈</v>
      </c>
      <c r="I61" s="60">
        <f ca="1">IFERROR(__xludf.DUMMYFUNCTION("""COMPUTED_VALUE"""),114.1535644)</f>
        <v>114.15356439999999</v>
      </c>
      <c r="J61" s="60">
        <f ca="1">IFERROR(__xludf.DUMMYFUNCTION("""COMPUTED_VALUE"""),22.28541239)</f>
        <v>22.285412390000001</v>
      </c>
      <c r="K61" s="61">
        <f ca="1">IFERROR(__xludf.DUMMYFUNCTION("""COMPUTED_VALUE"""),3.7)</f>
        <v>3.7</v>
      </c>
      <c r="L61" s="60" t="str">
        <f ca="1">IFERROR(__xludf.DUMMYFUNCTION("""COMPUTED_VALUE"""),"es")</f>
        <v>es</v>
      </c>
      <c r="M61" s="61">
        <f ca="1">IFERROR(__xludf.DUMMYFUNCTION("""COMPUTED_VALUE"""),49.6)</f>
        <v>49.6</v>
      </c>
      <c r="N61" s="60" t="str">
        <f ca="1">IFERROR(__xludf.DUMMYFUNCTION("""COMPUTED_VALUE"""),"p")</f>
        <v>p</v>
      </c>
      <c r="O61" s="61">
        <f ca="1">IFERROR(__xludf.DUMMYFUNCTION("""COMPUTED_VALUE"""),45.9)</f>
        <v>45.9</v>
      </c>
      <c r="P61" s="62"/>
      <c r="Q61" s="43" t="b">
        <f ca="1">IFERROR(__xludf.DUMMYFUNCTION("""COMPUTED_VALUE"""),FALSE)</f>
        <v>0</v>
      </c>
      <c r="R61" s="43" t="b">
        <f ca="1">IFERROR(__xludf.DUMMYFUNCTION("""COMPUTED_VALUE"""),FALSE)</f>
        <v>0</v>
      </c>
      <c r="S61" s="43" t="b">
        <f ca="1">IFERROR(__xludf.DUMMYFUNCTION("""COMPUTED_VALUE"""),FALSE)</f>
        <v>0</v>
      </c>
      <c r="T61" s="63" t="b">
        <f ca="1">IFERROR(__xludf.DUMMYFUNCTION("""COMPUTED_VALUE"""),FALSE)</f>
        <v>0</v>
      </c>
      <c r="U61" s="68">
        <f ca="1">IFERROR(__xludf.DUMMYFUNCTION("""COMPUTED_VALUE"""),14)</f>
        <v>14</v>
      </c>
      <c r="V61" s="60"/>
      <c r="W61" s="59"/>
      <c r="X61" s="60"/>
      <c r="Y61" s="60" t="str">
        <f ca="1">IFERROR(__xludf.DUMMYFUNCTION("""COMPUTED_VALUE"""),"Fieldwork")</f>
        <v>Fieldwork</v>
      </c>
      <c r="Z61" s="66" t="s">
        <v>1813</v>
      </c>
    </row>
    <row r="62" spans="1:26" ht="15.75" customHeight="1">
      <c r="A62" s="56" t="str">
        <f ca="1">IFERROR(__xludf.DUMMYFUNCTION("""COMPUTED_VALUE"""),"W4NW")</f>
        <v>W4NW</v>
      </c>
      <c r="B62" s="60">
        <f ca="1">IFERROR(__xludf.DUMMYFUNCTION("""COMPUTED_VALUE"""),4)</f>
        <v>4</v>
      </c>
      <c r="C62" s="60" t="str">
        <f ca="1">IFERROR(__xludf.DUMMYFUNCTION("""COMPUTED_VALUE"""),"NW")</f>
        <v>NW</v>
      </c>
      <c r="D62" s="334">
        <f ca="1">IFERROR(__xludf.DUMMYFUNCTION("""COMPUTED_VALUE"""),1000)</f>
        <v>1000</v>
      </c>
      <c r="E62" s="60" t="str">
        <f ca="1">IFERROR(__xludf.DUMMYFUNCTION("""COMPUTED_VALUE"""),"3391716388T20050430")</f>
        <v>3391716388T20050430</v>
      </c>
      <c r="F62" s="60">
        <f ca="1">IFERROR(__xludf.DUMMYFUNCTION("""COMPUTED_VALUE"""),1103122090)</f>
        <v>1103122090</v>
      </c>
      <c r="G62" s="58" t="str">
        <f ca="1">IFERROR(__xludf.DUMMYFUNCTION("""COMPUTED_VALUE"""),"Li Po Chun Chambers")</f>
        <v>Li Po Chun Chambers</v>
      </c>
      <c r="H62" s="60" t="str">
        <f ca="1">IFERROR(__xludf.DUMMYFUNCTION("""COMPUTED_VALUE"""),"李寶椿大廈")</f>
        <v>李寶椿大廈</v>
      </c>
      <c r="I62" s="60">
        <f ca="1">IFERROR(__xludf.DUMMYFUNCTION("""COMPUTED_VALUE"""),114.153998)</f>
        <v>114.153998</v>
      </c>
      <c r="J62" s="60">
        <f ca="1">IFERROR(__xludf.DUMMYFUNCTION("""COMPUTED_VALUE"""),22.28628594)</f>
        <v>22.286285939999999</v>
      </c>
      <c r="K62" s="61">
        <f ca="1">IFERROR(__xludf.DUMMYFUNCTION("""COMPUTED_VALUE"""),3.7)</f>
        <v>3.7</v>
      </c>
      <c r="L62" s="60" t="str">
        <f ca="1">IFERROR(__xludf.DUMMYFUNCTION("""COMPUTED_VALUE"""),"es")</f>
        <v>es</v>
      </c>
      <c r="M62" s="61">
        <f ca="1">IFERROR(__xludf.DUMMYFUNCTION("""COMPUTED_VALUE"""),130.4)</f>
        <v>130.4</v>
      </c>
      <c r="N62" s="60" t="str">
        <f ca="1">IFERROR(__xludf.DUMMYFUNCTION("""COMPUTED_VALUE"""),"p")</f>
        <v>p</v>
      </c>
      <c r="O62" s="61">
        <f ca="1">IFERROR(__xludf.DUMMYFUNCTION("""COMPUTED_VALUE"""),126.7)</f>
        <v>126.7</v>
      </c>
      <c r="P62" s="62"/>
      <c r="Q62" s="43" t="b">
        <f ca="1">IFERROR(__xludf.DUMMYFUNCTION("""COMPUTED_VALUE"""),FALSE)</f>
        <v>0</v>
      </c>
      <c r="R62" s="43" t="b">
        <f ca="1">IFERROR(__xludf.DUMMYFUNCTION("""COMPUTED_VALUE"""),FALSE)</f>
        <v>0</v>
      </c>
      <c r="S62" s="43" t="b">
        <f ca="1">IFERROR(__xludf.DUMMYFUNCTION("""COMPUTED_VALUE"""),FALSE)</f>
        <v>0</v>
      </c>
      <c r="T62" s="63" t="b">
        <f ca="1">IFERROR(__xludf.DUMMYFUNCTION("""COMPUTED_VALUE"""),FALSE)</f>
        <v>0</v>
      </c>
      <c r="U62" s="68">
        <f ca="1">IFERROR(__xludf.DUMMYFUNCTION("""COMPUTED_VALUE"""),28)</f>
        <v>28</v>
      </c>
      <c r="V62" s="60"/>
      <c r="W62" s="59"/>
      <c r="X62" s="60"/>
      <c r="Y62" s="60" t="str">
        <f ca="1">IFERROR(__xludf.DUMMYFUNCTION("""COMPUTED_VALUE"""),"Fieldwork")</f>
        <v>Fieldwork</v>
      </c>
      <c r="Z62" s="66" t="s">
        <v>1814</v>
      </c>
    </row>
    <row r="63" spans="1:26" ht="15.75" customHeight="1">
      <c r="A63" s="56" t="str">
        <f ca="1">IFERROR(__xludf.DUMMYFUNCTION("""COMPUTED_VALUE"""),"E5NE")</f>
        <v>E5NE</v>
      </c>
      <c r="B63" s="60">
        <f ca="1">IFERROR(__xludf.DUMMYFUNCTION("""COMPUTED_VALUE"""),5)</f>
        <v>5</v>
      </c>
      <c r="C63" s="60" t="str">
        <f ca="1">IFERROR(__xludf.DUMMYFUNCTION("""COMPUTED_VALUE"""),"NE")</f>
        <v>NE</v>
      </c>
      <c r="D63" s="334">
        <f ca="1">IFERROR(__xludf.DUMMYFUNCTION("""COMPUTED_VALUE"""),1200)</f>
        <v>1200</v>
      </c>
      <c r="E63" s="60" t="str">
        <f ca="1">IFERROR(__xludf.DUMMYFUNCTION("""COMPUTED_VALUE"""),"3488615525T20050430")</f>
        <v>3488615525T20050430</v>
      </c>
      <c r="F63" s="60">
        <f ca="1">IFERROR(__xludf.DUMMYFUNCTION("""COMPUTED_VALUE"""),1103127939)</f>
        <v>1103127939</v>
      </c>
      <c r="G63" s="58" t="str">
        <f ca="1">IFERROR(__xludf.DUMMYFUNCTION("""COMPUTED_VALUE"""),"The High Court")</f>
        <v>The High Court</v>
      </c>
      <c r="H63" s="60" t="str">
        <f ca="1">IFERROR(__xludf.DUMMYFUNCTION("""COMPUTED_VALUE"""),"高等法院")</f>
        <v>高等法院</v>
      </c>
      <c r="I63" s="60">
        <f ca="1">IFERROR(__xludf.DUMMYFUNCTION("""COMPUTED_VALUE"""),114.1633293)</f>
        <v>114.1633293</v>
      </c>
      <c r="J63" s="60">
        <f ca="1">IFERROR(__xludf.DUMMYFUNCTION("""COMPUTED_VALUE"""),22.27837692)</f>
        <v>22.278376919999999</v>
      </c>
      <c r="K63" s="61">
        <f ca="1">IFERROR(__xludf.DUMMYFUNCTION("""COMPUTED_VALUE"""),14)</f>
        <v>14</v>
      </c>
      <c r="L63" s="60" t="str">
        <f ca="1">IFERROR(__xludf.DUMMYFUNCTION("""COMPUTED_VALUE"""),"p")</f>
        <v>p</v>
      </c>
      <c r="M63" s="61">
        <f ca="1">IFERROR(__xludf.DUMMYFUNCTION("""COMPUTED_VALUE"""),106.4)</f>
        <v>106.4</v>
      </c>
      <c r="N63" s="60" t="str">
        <f ca="1">IFERROR(__xludf.DUMMYFUNCTION("""COMPUTED_VALUE"""),"p")</f>
        <v>p</v>
      </c>
      <c r="O63" s="61">
        <f ca="1">IFERROR(__xludf.DUMMYFUNCTION("""COMPUTED_VALUE"""),92.4)</f>
        <v>92.4</v>
      </c>
      <c r="P63" s="62" t="str">
        <f ca="1">IFERROR(__xludf.DUMMYFUNCTION("""COMPUTED_VALUE"""),"government building")</f>
        <v>government building</v>
      </c>
      <c r="Q63" s="43" t="b">
        <f ca="1">IFERROR(__xludf.DUMMYFUNCTION("""COMPUTED_VALUE"""),FALSE)</f>
        <v>0</v>
      </c>
      <c r="R63" s="43" t="b">
        <f ca="1">IFERROR(__xludf.DUMMYFUNCTION("""COMPUTED_VALUE"""),TRUE)</f>
        <v>1</v>
      </c>
      <c r="S63" s="43" t="b">
        <f ca="1">IFERROR(__xludf.DUMMYFUNCTION("""COMPUTED_VALUE"""),FALSE)</f>
        <v>0</v>
      </c>
      <c r="T63" s="63" t="b">
        <f ca="1">IFERROR(__xludf.DUMMYFUNCTION("""COMPUTED_VALUE"""),TRUE)</f>
        <v>1</v>
      </c>
      <c r="U63" s="68">
        <f ca="1">IFERROR(__xludf.DUMMYFUNCTION("""COMPUTED_VALUE"""),20)</f>
        <v>20</v>
      </c>
      <c r="V63" s="65"/>
      <c r="W63" s="66"/>
      <c r="X63" s="65">
        <f ca="1">IFERROR(__xludf.DUMMYFUNCTION("""COMPUTED_VALUE"""),1985)</f>
        <v>1985</v>
      </c>
      <c r="Y63" s="60" t="str">
        <f ca="1">IFERROR(__xludf.DUMMYFUNCTION("""COMPUTED_VALUE"""),"Wikipedia")</f>
        <v>Wikipedia</v>
      </c>
      <c r="Z63" s="66" t="s">
        <v>1816</v>
      </c>
    </row>
    <row r="64" spans="1:26" ht="15.75" customHeight="1">
      <c r="A64" s="56" t="str">
        <f ca="1">IFERROR(__xludf.DUMMYFUNCTION("""COMPUTED_VALUE"""),"E5SE")</f>
        <v>E5SE</v>
      </c>
      <c r="B64" s="60">
        <f ca="1">IFERROR(__xludf.DUMMYFUNCTION("""COMPUTED_VALUE"""),5)</f>
        <v>5</v>
      </c>
      <c r="C64" s="60" t="str">
        <f ca="1">IFERROR(__xludf.DUMMYFUNCTION("""COMPUTED_VALUE"""),"SE")</f>
        <v>SE</v>
      </c>
      <c r="D64" s="334">
        <f ca="1">IFERROR(__xludf.DUMMYFUNCTION("""COMPUTED_VALUE"""),1200)</f>
        <v>1200</v>
      </c>
      <c r="E64" s="60"/>
      <c r="F64" s="60"/>
      <c r="G64" s="58" t="str">
        <f ca="1">IFERROR(__xludf.DUMMYFUNCTION("""COMPUTED_VALUE"""),"Hong Kong Park")</f>
        <v>Hong Kong Park</v>
      </c>
      <c r="H64" s="60"/>
      <c r="I64" s="60"/>
      <c r="J64" s="60"/>
      <c r="K64" s="61"/>
      <c r="L64" s="60"/>
      <c r="M64" s="61"/>
      <c r="N64" s="60"/>
      <c r="O64" s="61"/>
      <c r="P64" s="62" t="str">
        <f ca="1">IFERROR(__xludf.DUMMYFUNCTION("""COMPUTED_VALUE"""),"no building ")</f>
        <v xml:space="preserve">no building </v>
      </c>
      <c r="Q64" s="43" t="b">
        <f ca="1">IFERROR(__xludf.DUMMYFUNCTION("""COMPUTED_VALUE"""),TRUE)</f>
        <v>1</v>
      </c>
      <c r="R64" s="43" t="b">
        <f ca="1">IFERROR(__xludf.DUMMYFUNCTION("""COMPUTED_VALUE"""),TRUE)</f>
        <v>1</v>
      </c>
      <c r="S64" s="43" t="b">
        <f ca="1">IFERROR(__xludf.DUMMYFUNCTION("""COMPUTED_VALUE"""),FALSE)</f>
        <v>0</v>
      </c>
      <c r="T64" s="63" t="b">
        <f ca="1">IFERROR(__xludf.DUMMYFUNCTION("""COMPUTED_VALUE"""),TRUE)</f>
        <v>1</v>
      </c>
      <c r="U64" s="68">
        <f ca="1">IFERROR(__xludf.DUMMYFUNCTION("""COMPUTED_VALUE"""),0)</f>
        <v>0</v>
      </c>
      <c r="V64" s="60"/>
      <c r="W64" s="59"/>
      <c r="X64" s="60"/>
      <c r="Y64" s="60"/>
      <c r="Z64" s="66" t="s">
        <v>556</v>
      </c>
    </row>
    <row r="65" spans="1:26" ht="15.75" customHeight="1">
      <c r="A65" s="56" t="str">
        <f ca="1">IFERROR(__xludf.DUMMYFUNCTION("""COMPUTED_VALUE"""),"E5SW")</f>
        <v>E5SW</v>
      </c>
      <c r="B65" s="60">
        <f ca="1">IFERROR(__xludf.DUMMYFUNCTION("""COMPUTED_VALUE"""),5)</f>
        <v>5</v>
      </c>
      <c r="C65" s="60" t="str">
        <f ca="1">IFERROR(__xludf.DUMMYFUNCTION("""COMPUTED_VALUE"""),"SW")</f>
        <v>SW</v>
      </c>
      <c r="D65" s="334">
        <f ca="1">IFERROR(__xludf.DUMMYFUNCTION("""COMPUTED_VALUE"""),1200)</f>
        <v>1200</v>
      </c>
      <c r="E65" s="60" t="str">
        <f ca="1">IFERROR(__xludf.DUMMYFUNCTION("""COMPUTED_VALUE"""),"3486415616T20050430")</f>
        <v>3486415616T20050430</v>
      </c>
      <c r="F65" s="60">
        <f ca="1">IFERROR(__xludf.DUMMYFUNCTION("""COMPUTED_VALUE"""),1103127279)</f>
        <v>1103127279</v>
      </c>
      <c r="G65" s="58" t="str">
        <f ca="1">IFERROR(__xludf.DUMMYFUNCTION("""COMPUTED_VALUE"""),"Lippo Centre Tower 2")</f>
        <v>Lippo Centre Tower 2</v>
      </c>
      <c r="H65" s="60" t="str">
        <f ca="1">IFERROR(__xludf.DUMMYFUNCTION("""COMPUTED_VALUE"""),"力寶中心第二座")</f>
        <v>力寶中心第二座</v>
      </c>
      <c r="I65" s="60">
        <f ca="1">IFERROR(__xludf.DUMMYFUNCTION("""COMPUTED_VALUE"""),114.1633165)</f>
        <v>114.16331649999999</v>
      </c>
      <c r="J65" s="60">
        <f ca="1">IFERROR(__xludf.DUMMYFUNCTION("""COMPUTED_VALUE"""),22.27949003)</f>
        <v>22.279490030000002</v>
      </c>
      <c r="K65" s="61">
        <f ca="1">IFERROR(__xludf.DUMMYFUNCTION("""COMPUTED_VALUE"""),16.5)</f>
        <v>16.5</v>
      </c>
      <c r="L65" s="60" t="str">
        <f ca="1">IFERROR(__xludf.DUMMYFUNCTION("""COMPUTED_VALUE"""),"p")</f>
        <v>p</v>
      </c>
      <c r="M65" s="61">
        <f ca="1">IFERROR(__xludf.DUMMYFUNCTION("""COMPUTED_VALUE"""),173.4)</f>
        <v>173.4</v>
      </c>
      <c r="N65" s="60" t="str">
        <f ca="1">IFERROR(__xludf.DUMMYFUNCTION("""COMPUTED_VALUE"""),"3")</f>
        <v>3</v>
      </c>
      <c r="O65" s="61">
        <f ca="1">IFERROR(__xludf.DUMMYFUNCTION("""COMPUTED_VALUE"""),156.9)</f>
        <v>156.9</v>
      </c>
      <c r="P65" s="72"/>
      <c r="Q65" s="43" t="b">
        <f ca="1">IFERROR(__xludf.DUMMYFUNCTION("""COMPUTED_VALUE"""),FALSE)</f>
        <v>0</v>
      </c>
      <c r="R65" s="43" t="b">
        <f ca="1">IFERROR(__xludf.DUMMYFUNCTION("""COMPUTED_VALUE"""),FALSE)</f>
        <v>0</v>
      </c>
      <c r="S65" s="43" t="b">
        <f ca="1">IFERROR(__xludf.DUMMYFUNCTION("""COMPUTED_VALUE"""),FALSE)</f>
        <v>0</v>
      </c>
      <c r="T65" s="63" t="b">
        <f ca="1">IFERROR(__xludf.DUMMYFUNCTION("""COMPUTED_VALUE"""),FALSE)</f>
        <v>0</v>
      </c>
      <c r="U65" s="68">
        <f ca="1">IFERROR(__xludf.DUMMYFUNCTION("""COMPUTED_VALUE"""),42)</f>
        <v>42</v>
      </c>
      <c r="V65" s="60">
        <f ca="1">IFERROR(__xludf.DUMMYFUNCTION("""COMPUTED_VALUE"""),0)</f>
        <v>0</v>
      </c>
      <c r="W65" s="59">
        <f ca="1">IFERROR(__xludf.DUMMYFUNCTION("""COMPUTED_VALUE"""),218)</f>
        <v>218</v>
      </c>
      <c r="X65" s="60">
        <f ca="1">IFERROR(__xludf.DUMMYFUNCTION("""COMPUTED_VALUE"""),1987)</f>
        <v>1987</v>
      </c>
      <c r="Y65" s="60" t="str">
        <f ca="1">IFERROR(__xludf.DUMMYFUNCTION("""COMPUTED_VALUE"""),"BMIS_auto")</f>
        <v>BMIS_auto</v>
      </c>
      <c r="Z65" s="66" t="s">
        <v>1819</v>
      </c>
    </row>
    <row r="66" spans="1:26" ht="15.75" customHeight="1">
      <c r="A66" s="56" t="str">
        <f ca="1">IFERROR(__xludf.DUMMYFUNCTION("""COMPUTED_VALUE"""),"E5NW")</f>
        <v>E5NW</v>
      </c>
      <c r="B66" s="60">
        <f ca="1">IFERROR(__xludf.DUMMYFUNCTION("""COMPUTED_VALUE"""),5)</f>
        <v>5</v>
      </c>
      <c r="C66" s="60" t="str">
        <f ca="1">IFERROR(__xludf.DUMMYFUNCTION("""COMPUTED_VALUE"""),"NW")</f>
        <v>NW</v>
      </c>
      <c r="D66" s="334">
        <f ca="1">IFERROR(__xludf.DUMMYFUNCTION("""COMPUTED_VALUE"""),1200)</f>
        <v>1200</v>
      </c>
      <c r="E66" s="60" t="str">
        <f ca="1">IFERROR(__xludf.DUMMYFUNCTION("""COMPUTED_VALUE"""),"3491115582T20050430")</f>
        <v>3491115582T20050430</v>
      </c>
      <c r="F66" s="60">
        <f ca="1">IFERROR(__xludf.DUMMYFUNCTION("""COMPUTED_VALUE"""),1103127459)</f>
        <v>1103127459</v>
      </c>
      <c r="G66" s="58" t="str">
        <f ca="1">IFERROR(__xludf.DUMMYFUNCTION("""COMPUTED_VALUE"""),"Lippo Centre Tower 1")</f>
        <v>Lippo Centre Tower 1</v>
      </c>
      <c r="H66" s="60" t="str">
        <f ca="1">IFERROR(__xludf.DUMMYFUNCTION("""COMPUTED_VALUE"""),"力寶中心第一座")</f>
        <v>力寶中心第一座</v>
      </c>
      <c r="I66" s="60">
        <f ca="1">IFERROR(__xludf.DUMMYFUNCTION("""COMPUTED_VALUE"""),114.1636883)</f>
        <v>114.1636883</v>
      </c>
      <c r="J66" s="60">
        <f ca="1">IFERROR(__xludf.DUMMYFUNCTION("""COMPUTED_VALUE"""),22.27920391)</f>
        <v>22.27920391</v>
      </c>
      <c r="K66" s="61">
        <f ca="1">IFERROR(__xludf.DUMMYFUNCTION("""COMPUTED_VALUE"""),16.5)</f>
        <v>16.5</v>
      </c>
      <c r="L66" s="60" t="str">
        <f ca="1">IFERROR(__xludf.DUMMYFUNCTION("""COMPUTED_VALUE"""),"p")</f>
        <v>p</v>
      </c>
      <c r="M66" s="61">
        <f ca="1">IFERROR(__xludf.DUMMYFUNCTION("""COMPUTED_VALUE"""),187.3)</f>
        <v>187.3</v>
      </c>
      <c r="N66" s="60" t="str">
        <f ca="1">IFERROR(__xludf.DUMMYFUNCTION("""COMPUTED_VALUE"""),"3")</f>
        <v>3</v>
      </c>
      <c r="O66" s="61">
        <f ca="1">IFERROR(__xludf.DUMMYFUNCTION("""COMPUTED_VALUE"""),170.8)</f>
        <v>170.8</v>
      </c>
      <c r="P66" s="62"/>
      <c r="Q66" s="43" t="b">
        <f ca="1">IFERROR(__xludf.DUMMYFUNCTION("""COMPUTED_VALUE"""),FALSE)</f>
        <v>0</v>
      </c>
      <c r="R66" s="43" t="b">
        <f ca="1">IFERROR(__xludf.DUMMYFUNCTION("""COMPUTED_VALUE"""),FALSE)</f>
        <v>0</v>
      </c>
      <c r="S66" s="43" t="b">
        <f ca="1">IFERROR(__xludf.DUMMYFUNCTION("""COMPUTED_VALUE"""),FALSE)</f>
        <v>0</v>
      </c>
      <c r="T66" s="63" t="b">
        <f ca="1">IFERROR(__xludf.DUMMYFUNCTION("""COMPUTED_VALUE"""),FALSE)</f>
        <v>0</v>
      </c>
      <c r="U66" s="68">
        <f ca="1">IFERROR(__xludf.DUMMYFUNCTION("""COMPUTED_VALUE"""),46)</f>
        <v>46</v>
      </c>
      <c r="V66" s="60">
        <f ca="1">IFERROR(__xludf.DUMMYFUNCTION("""COMPUTED_VALUE"""),0)</f>
        <v>0</v>
      </c>
      <c r="W66" s="59">
        <f ca="1">IFERROR(__xludf.DUMMYFUNCTION("""COMPUTED_VALUE"""),240)</f>
        <v>240</v>
      </c>
      <c r="X66" s="60">
        <f ca="1">IFERROR(__xludf.DUMMYFUNCTION("""COMPUTED_VALUE"""),1987)</f>
        <v>1987</v>
      </c>
      <c r="Y66" s="60" t="str">
        <f ca="1">IFERROR(__xludf.DUMMYFUNCTION("""COMPUTED_VALUE"""),"BMIS_auto")</f>
        <v>BMIS_auto</v>
      </c>
      <c r="Z66" s="66" t="s">
        <v>1819</v>
      </c>
    </row>
    <row r="67" spans="1:26" ht="15.75" customHeight="1">
      <c r="A67" s="56" t="str">
        <f ca="1">IFERROR(__xludf.DUMMYFUNCTION("""COMPUTED_VALUE"""),"S5NE")</f>
        <v>S5NE</v>
      </c>
      <c r="B67" s="60">
        <f ca="1">IFERROR(__xludf.DUMMYFUNCTION("""COMPUTED_VALUE"""),5)</f>
        <v>5</v>
      </c>
      <c r="C67" s="60" t="str">
        <f ca="1">IFERROR(__xludf.DUMMYFUNCTION("""COMPUTED_VALUE"""),"NE")</f>
        <v>NE</v>
      </c>
      <c r="D67" s="334">
        <f ca="1">IFERROR(__xludf.DUMMYFUNCTION("""COMPUTED_VALUE"""),1200)</f>
        <v>1200</v>
      </c>
      <c r="E67" s="60" t="str">
        <f ca="1">IFERROR(__xludf.DUMMYFUNCTION("""COMPUTED_VALUE"""),"3439115454T20050430")</f>
        <v>3439115454T20050430</v>
      </c>
      <c r="F67" s="60">
        <f ca="1">IFERROR(__xludf.DUMMYFUNCTION("""COMPUTED_VALUE"""),1103128212)</f>
        <v>1103128212</v>
      </c>
      <c r="G67" s="58" t="str">
        <f ca="1">IFERROR(__xludf.DUMMYFUNCTION("""COMPUTED_VALUE"""),"Consulate General of the United States of America")</f>
        <v>Consulate General of the United States of America</v>
      </c>
      <c r="H67" s="60" t="str">
        <f ca="1">IFERROR(__xludf.DUMMYFUNCTION("""COMPUTED_VALUE"""),"美國領事館")</f>
        <v>美國領事館</v>
      </c>
      <c r="I67" s="60">
        <f ca="1">IFERROR(__xludf.DUMMYFUNCTION("""COMPUTED_VALUE"""),114.1586315)</f>
        <v>114.1586315</v>
      </c>
      <c r="J67" s="60">
        <f ca="1">IFERROR(__xludf.DUMMYFUNCTION("""COMPUTED_VALUE"""),22.27808604)</f>
        <v>22.278086040000002</v>
      </c>
      <c r="K67" s="61">
        <f ca="1">IFERROR(__xludf.DUMMYFUNCTION("""COMPUTED_VALUE"""),39.4)</f>
        <v>39.4</v>
      </c>
      <c r="L67" s="60" t="str">
        <f ca="1">IFERROR(__xludf.DUMMYFUNCTION("""COMPUTED_VALUE"""),"es")</f>
        <v>es</v>
      </c>
      <c r="M67" s="61">
        <f ca="1">IFERROR(__xludf.DUMMYFUNCTION("""COMPUTED_VALUE"""),56.8)</f>
        <v>56.8</v>
      </c>
      <c r="N67" s="60" t="str">
        <f ca="1">IFERROR(__xludf.DUMMYFUNCTION("""COMPUTED_VALUE"""),"p")</f>
        <v>p</v>
      </c>
      <c r="O67" s="61">
        <f ca="1">IFERROR(__xludf.DUMMYFUNCTION("""COMPUTED_VALUE"""),17.4)</f>
        <v>17.399999999999999</v>
      </c>
      <c r="P67" s="62" t="str">
        <f ca="1">IFERROR(__xludf.DUMMYFUNCTION("""COMPUTED_VALUE"""),"Government Building")</f>
        <v>Government Building</v>
      </c>
      <c r="Q67" s="43" t="b">
        <f ca="1">IFERROR(__xludf.DUMMYFUNCTION("""COMPUTED_VALUE"""),FALSE)</f>
        <v>0</v>
      </c>
      <c r="R67" s="43" t="b">
        <f ca="1">IFERROR(__xludf.DUMMYFUNCTION("""COMPUTED_VALUE"""),TRUE)</f>
        <v>1</v>
      </c>
      <c r="S67" s="43" t="b">
        <f ca="1">IFERROR(__xludf.DUMMYFUNCTION("""COMPUTED_VALUE"""),FALSE)</f>
        <v>0</v>
      </c>
      <c r="T67" s="63" t="b">
        <f ca="1">IFERROR(__xludf.DUMMYFUNCTION("""COMPUTED_VALUE"""),TRUE)</f>
        <v>1</v>
      </c>
      <c r="U67" s="68">
        <f ca="1">IFERROR(__xludf.DUMMYFUNCTION("""COMPUTED_VALUE"""),5)</f>
        <v>5</v>
      </c>
      <c r="V67" s="60"/>
      <c r="W67" s="59"/>
      <c r="X67" s="60"/>
      <c r="Y67" s="60" t="str">
        <f ca="1">IFERROR(__xludf.DUMMYFUNCTION("""COMPUTED_VALUE"""),"Street View")</f>
        <v>Street View</v>
      </c>
      <c r="Z67" s="66" t="s">
        <v>1821</v>
      </c>
    </row>
    <row r="68" spans="1:26" ht="15.75" customHeight="1">
      <c r="A68" s="56" t="str">
        <f ca="1">IFERROR(__xludf.DUMMYFUNCTION("""COMPUTED_VALUE"""),"S5SE")</f>
        <v>S5SE</v>
      </c>
      <c r="B68" s="60">
        <f ca="1">IFERROR(__xludf.DUMMYFUNCTION("""COMPUTED_VALUE"""),5)</f>
        <v>5</v>
      </c>
      <c r="C68" s="60" t="str">
        <f ca="1">IFERROR(__xludf.DUMMYFUNCTION("""COMPUTED_VALUE"""),"SE")</f>
        <v>SE</v>
      </c>
      <c r="D68" s="334">
        <f ca="1">IFERROR(__xludf.DUMMYFUNCTION("""COMPUTED_VALUE"""),1200)</f>
        <v>1200</v>
      </c>
      <c r="E68" s="60"/>
      <c r="F68" s="60"/>
      <c r="G68" s="58"/>
      <c r="H68" s="60"/>
      <c r="I68" s="60"/>
      <c r="J68" s="60"/>
      <c r="K68" s="61"/>
      <c r="L68" s="60"/>
      <c r="M68" s="61"/>
      <c r="N68" s="60"/>
      <c r="O68" s="61"/>
      <c r="P68" s="62" t="str">
        <f ca="1">IFERROR(__xludf.DUMMYFUNCTION("""COMPUTED_VALUE"""),"Shares same building with S5NE")</f>
        <v>Shares same building with S5NE</v>
      </c>
      <c r="Q68" s="43" t="b">
        <f ca="1">IFERROR(__xludf.DUMMYFUNCTION("""COMPUTED_VALUE"""),TRUE)</f>
        <v>1</v>
      </c>
      <c r="R68" s="43" t="b">
        <f ca="1">IFERROR(__xludf.DUMMYFUNCTION("""COMPUTED_VALUE"""),TRUE)</f>
        <v>1</v>
      </c>
      <c r="S68" s="43" t="b">
        <f ca="1">IFERROR(__xludf.DUMMYFUNCTION("""COMPUTED_VALUE"""),FALSE)</f>
        <v>0</v>
      </c>
      <c r="T68" s="63" t="b">
        <f ca="1">IFERROR(__xludf.DUMMYFUNCTION("""COMPUTED_VALUE"""),TRUE)</f>
        <v>1</v>
      </c>
      <c r="U68" s="68">
        <f ca="1">IFERROR(__xludf.DUMMYFUNCTION("""COMPUTED_VALUE"""),5)</f>
        <v>5</v>
      </c>
      <c r="V68" s="60"/>
      <c r="W68" s="59"/>
      <c r="X68" s="60"/>
      <c r="Y68" s="60" t="str">
        <f ca="1">IFERROR(__xludf.DUMMYFUNCTION("""COMPUTED_VALUE"""),"Street View")</f>
        <v>Street View</v>
      </c>
      <c r="Z68" s="66" t="s">
        <v>556</v>
      </c>
    </row>
    <row r="69" spans="1:26" ht="15.75" customHeight="1">
      <c r="A69" s="56" t="str">
        <f ca="1">IFERROR(__xludf.DUMMYFUNCTION("""COMPUTED_VALUE"""),"S5SW")</f>
        <v>S5SW</v>
      </c>
      <c r="B69" s="60">
        <f ca="1">IFERROR(__xludf.DUMMYFUNCTION("""COMPUTED_VALUE"""),5)</f>
        <v>5</v>
      </c>
      <c r="C69" s="60" t="str">
        <f ca="1">IFERROR(__xludf.DUMMYFUNCTION("""COMPUTED_VALUE"""),"SW")</f>
        <v>SW</v>
      </c>
      <c r="D69" s="334">
        <f ca="1">IFERROR(__xludf.DUMMYFUNCTION("""COMPUTED_VALUE"""),1200)</f>
        <v>1200</v>
      </c>
      <c r="E69" s="60" t="str">
        <f ca="1">IFERROR(__xludf.DUMMYFUNCTION("""COMPUTED_VALUE"""),"3444815421T20050430")</f>
        <v>3444815421T20050430</v>
      </c>
      <c r="F69" s="60">
        <f ca="1">IFERROR(__xludf.DUMMYFUNCTION("""COMPUTED_VALUE"""),1103128636)</f>
        <v>1103128636</v>
      </c>
      <c r="G69" s="58" t="str">
        <f ca="1">IFERROR(__xludf.DUMMYFUNCTION("""COMPUTED_VALUE"""),"St. John's Building")</f>
        <v>St. John's Building</v>
      </c>
      <c r="H69" s="60" t="str">
        <f ca="1">IFERROR(__xludf.DUMMYFUNCTION("""COMPUTED_VALUE"""),"聖約翰大廈")</f>
        <v>聖約翰大廈</v>
      </c>
      <c r="I69" s="60">
        <f ca="1">IFERROR(__xludf.DUMMYFUNCTION("""COMPUTED_VALUE"""),114.1591731)</f>
        <v>114.1591731</v>
      </c>
      <c r="J69" s="60">
        <f ca="1">IFERROR(__xludf.DUMMYFUNCTION("""COMPUTED_VALUE"""),22.27769412)</f>
        <v>22.27769412</v>
      </c>
      <c r="K69" s="61">
        <f ca="1">IFERROR(__xludf.DUMMYFUNCTION("""COMPUTED_VALUE"""),26)</f>
        <v>26</v>
      </c>
      <c r="L69" s="60" t="str">
        <f ca="1">IFERROR(__xludf.DUMMYFUNCTION("""COMPUTED_VALUE"""),"es")</f>
        <v>es</v>
      </c>
      <c r="M69" s="61">
        <f ca="1">IFERROR(__xludf.DUMMYFUNCTION("""COMPUTED_VALUE"""),117.4)</f>
        <v>117.4</v>
      </c>
      <c r="N69" s="60" t="str">
        <f ca="1">IFERROR(__xludf.DUMMYFUNCTION("""COMPUTED_VALUE"""),"p")</f>
        <v>p</v>
      </c>
      <c r="O69" s="61">
        <f ca="1">IFERROR(__xludf.DUMMYFUNCTION("""COMPUTED_VALUE"""),91.4)</f>
        <v>91.4</v>
      </c>
      <c r="P69" s="62" t="str">
        <f ca="1">IFERROR(__xludf.DUMMYFUNCTION("""COMPUTED_VALUE"""),"i.e. Peak Tram")</f>
        <v>i.e. Peak Tram</v>
      </c>
      <c r="Q69" s="43" t="b">
        <f ca="1">IFERROR(__xludf.DUMMYFUNCTION("""COMPUTED_VALUE"""),FALSE)</f>
        <v>0</v>
      </c>
      <c r="R69" s="43" t="b">
        <f ca="1">IFERROR(__xludf.DUMMYFUNCTION("""COMPUTED_VALUE"""),FALSE)</f>
        <v>0</v>
      </c>
      <c r="S69" s="43" t="b">
        <f ca="1">IFERROR(__xludf.DUMMYFUNCTION("""COMPUTED_VALUE"""),FALSE)</f>
        <v>0</v>
      </c>
      <c r="T69" s="63" t="b">
        <f ca="1">IFERROR(__xludf.DUMMYFUNCTION("""COMPUTED_VALUE"""),FALSE)</f>
        <v>0</v>
      </c>
      <c r="U69" s="68">
        <f ca="1">IFERROR(__xludf.DUMMYFUNCTION("""COMPUTED_VALUE"""),22)</f>
        <v>22</v>
      </c>
      <c r="V69" s="60"/>
      <c r="W69" s="59"/>
      <c r="X69" s="60"/>
      <c r="Y69" s="60" t="str">
        <f ca="1">IFERROR(__xludf.DUMMYFUNCTION("""COMPUTED_VALUE"""),"Wikipedia")</f>
        <v>Wikipedia</v>
      </c>
      <c r="Z69" s="66" t="s">
        <v>1823</v>
      </c>
    </row>
    <row r="70" spans="1:26" ht="15.75" customHeight="1">
      <c r="A70" s="56" t="str">
        <f ca="1">IFERROR(__xludf.DUMMYFUNCTION("""COMPUTED_VALUE"""),"S5NW")</f>
        <v>S5NW</v>
      </c>
      <c r="B70" s="60">
        <f ca="1">IFERROR(__xludf.DUMMYFUNCTION("""COMPUTED_VALUE"""),5)</f>
        <v>5</v>
      </c>
      <c r="C70" s="60" t="str">
        <f ca="1">IFERROR(__xludf.DUMMYFUNCTION("""COMPUTED_VALUE"""),"NW")</f>
        <v>NW</v>
      </c>
      <c r="D70" s="334">
        <f ca="1">IFERROR(__xludf.DUMMYFUNCTION("""COMPUTED_VALUE"""),1200)</f>
        <v>1200</v>
      </c>
      <c r="E70" s="60" t="str">
        <f ca="1">IFERROR(__xludf.DUMMYFUNCTION("""COMPUTED_VALUE"""),"3437015410T20050430")</f>
        <v>3437015410T20050430</v>
      </c>
      <c r="F70" s="60">
        <f ca="1">IFERROR(__xludf.DUMMYFUNCTION("""COMPUTED_VALUE"""),1103128772)</f>
        <v>1103128772</v>
      </c>
      <c r="G70" s="58" t="str">
        <f ca="1">IFERROR(__xludf.DUMMYFUNCTION("""COMPUTED_VALUE"""),"The Helena May")</f>
        <v>The Helena May</v>
      </c>
      <c r="H70" s="60" t="str">
        <f ca="1">IFERROR(__xludf.DUMMYFUNCTION("""COMPUTED_VALUE"""),"梅夫人婦女會")</f>
        <v>梅夫人婦女會</v>
      </c>
      <c r="I70" s="60">
        <f ca="1">IFERROR(__xludf.DUMMYFUNCTION("""COMPUTED_VALUE"""),114.1584774)</f>
        <v>114.1584774</v>
      </c>
      <c r="J70" s="60">
        <f ca="1">IFERROR(__xludf.DUMMYFUNCTION("""COMPUTED_VALUE"""),22.2774772)</f>
        <v>22.2774772</v>
      </c>
      <c r="K70" s="61">
        <f ca="1">IFERROR(__xludf.DUMMYFUNCTION("""COMPUTED_VALUE"""),42.4)</f>
        <v>42.4</v>
      </c>
      <c r="L70" s="60" t="str">
        <f ca="1">IFERROR(__xludf.DUMMYFUNCTION("""COMPUTED_VALUE"""),"es")</f>
        <v>es</v>
      </c>
      <c r="M70" s="61">
        <f ca="1">IFERROR(__xludf.DUMMYFUNCTION("""COMPUTED_VALUE"""),56.8)</f>
        <v>56.8</v>
      </c>
      <c r="N70" s="60" t="str">
        <f ca="1">IFERROR(__xludf.DUMMYFUNCTION("""COMPUTED_VALUE"""),"3")</f>
        <v>3</v>
      </c>
      <c r="O70" s="61">
        <f ca="1">IFERROR(__xludf.DUMMYFUNCTION("""COMPUTED_VALUE"""),14.4)</f>
        <v>14.4</v>
      </c>
      <c r="P70" s="62" t="str">
        <f ca="1">IFERROR(__xludf.DUMMYFUNCTION("""COMPUTED_VALUE"""),"Declared Monument")</f>
        <v>Declared Monument</v>
      </c>
      <c r="Q70" s="43" t="b">
        <f ca="1">IFERROR(__xludf.DUMMYFUNCTION("""COMPUTED_VALUE"""),FALSE)</f>
        <v>0</v>
      </c>
      <c r="R70" s="43" t="b">
        <f ca="1">IFERROR(__xludf.DUMMYFUNCTION("""COMPUTED_VALUE"""),TRUE)</f>
        <v>1</v>
      </c>
      <c r="S70" s="43" t="b">
        <f ca="1">IFERROR(__xludf.DUMMYFUNCTION("""COMPUTED_VALUE"""),FALSE)</f>
        <v>0</v>
      </c>
      <c r="T70" s="63" t="b">
        <f ca="1">IFERROR(__xludf.DUMMYFUNCTION("""COMPUTED_VALUE"""),TRUE)</f>
        <v>1</v>
      </c>
      <c r="U70" s="68">
        <f ca="1">IFERROR(__xludf.DUMMYFUNCTION("""COMPUTED_VALUE"""),3)</f>
        <v>3</v>
      </c>
      <c r="V70" s="60"/>
      <c r="W70" s="59"/>
      <c r="X70" s="60">
        <f ca="1">IFERROR(__xludf.DUMMYFUNCTION("""COMPUTED_VALUE"""),1916)</f>
        <v>1916</v>
      </c>
      <c r="Y70" s="335" t="str">
        <f ca="1">IFERROR(__xludf.DUMMYFUNCTION("""COMPUTED_VALUE"""),"https://www.amo.gov.hk/en/monuments_49.php")</f>
        <v>https://www.amo.gov.hk/en/monuments_49.php</v>
      </c>
      <c r="Z70" s="66" t="s">
        <v>1824</v>
      </c>
    </row>
    <row r="71" spans="1:26" ht="15.75" customHeight="1">
      <c r="A71" s="39" t="str">
        <f ca="1">IFERROR(__xludf.DUMMYFUNCTION("""COMPUTED_VALUE"""),"W5NE")</f>
        <v>W5NE</v>
      </c>
      <c r="B71" s="73">
        <f ca="1">IFERROR(__xludf.DUMMYFUNCTION("""COMPUTED_VALUE"""),5)</f>
        <v>5</v>
      </c>
      <c r="C71" s="73" t="str">
        <f ca="1">IFERROR(__xludf.DUMMYFUNCTION("""COMPUTED_VALUE"""),"NE")</f>
        <v>NE</v>
      </c>
      <c r="D71" s="334">
        <f ca="1">IFERROR(__xludf.DUMMYFUNCTION("""COMPUTED_VALUE"""),1200)</f>
        <v>1200</v>
      </c>
      <c r="E71" s="73" t="str">
        <f ca="1">IFERROR(__xludf.DUMMYFUNCTION("""COMPUTED_VALUE"""),"3373716417T20050430")</f>
        <v>3373716417T20050430</v>
      </c>
      <c r="F71" s="73">
        <f ca="1">IFERROR(__xludf.DUMMYFUNCTION("""COMPUTED_VALUE"""),1103121854)</f>
        <v>1103121854</v>
      </c>
      <c r="G71" s="39" t="str">
        <f ca="1">IFERROR(__xludf.DUMMYFUNCTION("""COMPUTED_VALUE"""),"Blissful Building")</f>
        <v>Blissful Building</v>
      </c>
      <c r="H71" s="60" t="str">
        <f ca="1">IFERROR(__xludf.DUMMYFUNCTION("""COMPUTED_VALUE"""),"德祐大廈")</f>
        <v>德祐大廈</v>
      </c>
      <c r="I71" s="60">
        <f ca="1">IFERROR(__xludf.DUMMYFUNCTION("""COMPUTED_VALUE"""),114.1523403)</f>
        <v>114.15234030000001</v>
      </c>
      <c r="J71" s="60">
        <f ca="1">IFERROR(__xludf.DUMMYFUNCTION("""COMPUTED_VALUE"""),22.28668622)</f>
        <v>22.28668622</v>
      </c>
      <c r="K71" s="61">
        <f ca="1">IFERROR(__xludf.DUMMYFUNCTION("""COMPUTED_VALUE"""),3.7)</f>
        <v>3.7</v>
      </c>
      <c r="L71" s="60" t="str">
        <f ca="1">IFERROR(__xludf.DUMMYFUNCTION("""COMPUTED_VALUE"""),"es")</f>
        <v>es</v>
      </c>
      <c r="M71" s="61">
        <f ca="1">IFERROR(__xludf.DUMMYFUNCTION("""COMPUTED_VALUE"""),58.9)</f>
        <v>58.9</v>
      </c>
      <c r="N71" s="60" t="str">
        <f ca="1">IFERROR(__xludf.DUMMYFUNCTION("""COMPUTED_VALUE"""),"p")</f>
        <v>p</v>
      </c>
      <c r="O71" s="61">
        <f ca="1">IFERROR(__xludf.DUMMYFUNCTION("""COMPUTED_VALUE"""),55.2)</f>
        <v>55.2</v>
      </c>
      <c r="P71" s="74"/>
      <c r="Q71" s="75" t="b">
        <f ca="1">IFERROR(__xludf.DUMMYFUNCTION("""COMPUTED_VALUE"""),FALSE)</f>
        <v>0</v>
      </c>
      <c r="R71" s="75" t="b">
        <f ca="1">IFERROR(__xludf.DUMMYFUNCTION("""COMPUTED_VALUE"""),FALSE)</f>
        <v>0</v>
      </c>
      <c r="S71" s="75" t="b">
        <f ca="1">IFERROR(__xludf.DUMMYFUNCTION("""COMPUTED_VALUE"""),FALSE)</f>
        <v>0</v>
      </c>
      <c r="T71" s="75" t="b">
        <f ca="1">IFERROR(__xludf.DUMMYFUNCTION("""COMPUTED_VALUE"""),FALSE)</f>
        <v>0</v>
      </c>
      <c r="U71" s="76">
        <f ca="1">IFERROR(__xludf.DUMMYFUNCTION("""COMPUTED_VALUE"""),15)</f>
        <v>15</v>
      </c>
      <c r="V71" s="73"/>
      <c r="W71" s="77"/>
      <c r="X71" s="73"/>
      <c r="Y71" s="73" t="str">
        <f ca="1">IFERROR(__xludf.DUMMYFUNCTION("""COMPUTED_VALUE"""),"Fieldwork")</f>
        <v>Fieldwork</v>
      </c>
      <c r="Z71" s="66" t="s">
        <v>1825</v>
      </c>
    </row>
    <row r="72" spans="1:26" ht="15.75" customHeight="1">
      <c r="A72" s="39" t="str">
        <f ca="1">IFERROR(__xludf.DUMMYFUNCTION("""COMPUTED_VALUE"""),"W5SE")</f>
        <v>W5SE</v>
      </c>
      <c r="B72" s="73">
        <f ca="1">IFERROR(__xludf.DUMMYFUNCTION("""COMPUTED_VALUE"""),5)</f>
        <v>5</v>
      </c>
      <c r="C72" s="73" t="str">
        <f ca="1">IFERROR(__xludf.DUMMYFUNCTION("""COMPUTED_VALUE"""),"SE")</f>
        <v>SE</v>
      </c>
      <c r="D72" s="334">
        <f ca="1">IFERROR(__xludf.DUMMYFUNCTION("""COMPUTED_VALUE"""),1200)</f>
        <v>1200</v>
      </c>
      <c r="E72" s="73" t="str">
        <f ca="1">IFERROR(__xludf.DUMMYFUNCTION("""COMPUTED_VALUE"""),"3374316380T20160603")</f>
        <v>3374316380T20160603</v>
      </c>
      <c r="F72" s="73">
        <f ca="1">IFERROR(__xludf.DUMMYFUNCTION("""COMPUTED_VALUE"""),1810151856)</f>
        <v>1810151856</v>
      </c>
      <c r="G72" s="39" t="str">
        <f ca="1">IFERROR(__xludf.DUMMYFUNCTION("""COMPUTED_VALUE"""),"Continental Place")</f>
        <v>Continental Place</v>
      </c>
      <c r="H72" s="60"/>
      <c r="I72" s="60">
        <f ca="1">IFERROR(__xludf.DUMMYFUNCTION("""COMPUTED_VALUE"""),114.1523585)</f>
        <v>114.15235850000001</v>
      </c>
      <c r="J72" s="60">
        <f ca="1">IFERROR(__xludf.DUMMYFUNCTION("""COMPUTED_VALUE"""),22.28628682)</f>
        <v>22.286286820000001</v>
      </c>
      <c r="K72" s="61">
        <f ca="1">IFERROR(__xludf.DUMMYFUNCTION("""COMPUTED_VALUE"""),19)</f>
        <v>19</v>
      </c>
      <c r="L72" s="60" t="str">
        <f ca="1">IFERROR(__xludf.DUMMYFUNCTION("""COMPUTED_VALUE"""),"b")</f>
        <v>b</v>
      </c>
      <c r="M72" s="61">
        <f ca="1">IFERROR(__xludf.DUMMYFUNCTION("""COMPUTED_VALUE"""),104.800003)</f>
        <v>104.800003</v>
      </c>
      <c r="N72" s="60" t="str">
        <f ca="1">IFERROR(__xludf.DUMMYFUNCTION("""COMPUTED_VALUE"""),"b")</f>
        <v>b</v>
      </c>
      <c r="O72" s="61">
        <f ca="1">IFERROR(__xludf.DUMMYFUNCTION("""COMPUTED_VALUE"""),85.800003)</f>
        <v>85.800003000000004</v>
      </c>
      <c r="P72" s="74" t="str">
        <f ca="1">IFERROR(__xludf.DUMMYFUNCTION("""COMPUTED_VALUE"""),"To be changed, waiting confirmation")</f>
        <v>To be changed, waiting confirmation</v>
      </c>
      <c r="Q72" s="75" t="b">
        <f ca="1">IFERROR(__xludf.DUMMYFUNCTION("""COMPUTED_VALUE"""),FALSE)</f>
        <v>0</v>
      </c>
      <c r="R72" s="75" t="b">
        <f ca="1">IFERROR(__xludf.DUMMYFUNCTION("""COMPUTED_VALUE"""),FALSE)</f>
        <v>0</v>
      </c>
      <c r="S72" s="75" t="b">
        <f ca="1">IFERROR(__xludf.DUMMYFUNCTION("""COMPUTED_VALUE"""),FALSE)</f>
        <v>0</v>
      </c>
      <c r="T72" s="75" t="b">
        <f ca="1">IFERROR(__xludf.DUMMYFUNCTION("""COMPUTED_VALUE"""),FALSE)</f>
        <v>0</v>
      </c>
      <c r="U72" s="76">
        <f ca="1">IFERROR(__xludf.DUMMYFUNCTION("""COMPUTED_VALUE"""),21)</f>
        <v>21</v>
      </c>
      <c r="V72" s="73"/>
      <c r="W72" s="77"/>
      <c r="X72" s="73"/>
      <c r="Y72" s="73" t="str">
        <f ca="1">IFERROR(__xludf.DUMMYFUNCTION("""COMPUTED_VALUE"""),"Fieldwork")</f>
        <v>Fieldwork</v>
      </c>
      <c r="Z72" s="66" t="s">
        <v>1826</v>
      </c>
    </row>
    <row r="73" spans="1:26" ht="15.75" customHeight="1">
      <c r="A73" s="39" t="str">
        <f ca="1">IFERROR(__xludf.DUMMYFUNCTION("""COMPUTED_VALUE"""),"W5SW")</f>
        <v>W5SW</v>
      </c>
      <c r="B73" s="73">
        <f ca="1">IFERROR(__xludf.DUMMYFUNCTION("""COMPUTED_VALUE"""),5)</f>
        <v>5</v>
      </c>
      <c r="C73" s="73" t="str">
        <f ca="1">IFERROR(__xludf.DUMMYFUNCTION("""COMPUTED_VALUE"""),"SW")</f>
        <v>SW</v>
      </c>
      <c r="D73" s="334">
        <f ca="1">IFERROR(__xludf.DUMMYFUNCTION("""COMPUTED_VALUE"""),1200)</f>
        <v>1200</v>
      </c>
      <c r="E73" s="73" t="str">
        <f ca="1">IFERROR(__xludf.DUMMYFUNCTION("""COMPUTED_VALUE"""),"3371816385T20050430")</f>
        <v>3371816385T20050430</v>
      </c>
      <c r="F73" s="73">
        <f ca="1">IFERROR(__xludf.DUMMYFUNCTION("""COMPUTED_VALUE"""),1103122129)</f>
        <v>1103122129</v>
      </c>
      <c r="G73" s="39" t="str">
        <f ca="1">IFERROR(__xludf.DUMMYFUNCTION("""COMPUTED_VALUE"""),"Tung Hip Commercial Building")</f>
        <v>Tung Hip Commercial Building</v>
      </c>
      <c r="H73" s="60" t="str">
        <f ca="1">IFERROR(__xludf.DUMMYFUNCTION("""COMPUTED_VALUE"""),"東協商業大廈")</f>
        <v>東協商業大廈</v>
      </c>
      <c r="I73" s="60">
        <f ca="1">IFERROR(__xludf.DUMMYFUNCTION("""COMPUTED_VALUE"""),114.1521787)</f>
        <v>114.15217869999999</v>
      </c>
      <c r="J73" s="60">
        <f ca="1">IFERROR(__xludf.DUMMYFUNCTION("""COMPUTED_VALUE"""),22.28629862)</f>
        <v>22.28629862</v>
      </c>
      <c r="K73" s="61">
        <f ca="1">IFERROR(__xludf.DUMMYFUNCTION("""COMPUTED_VALUE"""),3.7)</f>
        <v>3.7</v>
      </c>
      <c r="L73" s="60" t="str">
        <f ca="1">IFERROR(__xludf.DUMMYFUNCTION("""COMPUTED_VALUE"""),"es")</f>
        <v>es</v>
      </c>
      <c r="M73" s="61">
        <f ca="1">IFERROR(__xludf.DUMMYFUNCTION("""COMPUTED_VALUE"""),64.8)</f>
        <v>64.8</v>
      </c>
      <c r="N73" s="60" t="str">
        <f ca="1">IFERROR(__xludf.DUMMYFUNCTION("""COMPUTED_VALUE"""),"3")</f>
        <v>3</v>
      </c>
      <c r="O73" s="61">
        <f ca="1">IFERROR(__xludf.DUMMYFUNCTION("""COMPUTED_VALUE"""),61.1)</f>
        <v>61.1</v>
      </c>
      <c r="P73" s="74"/>
      <c r="Q73" s="75" t="b">
        <f ca="1">IFERROR(__xludf.DUMMYFUNCTION("""COMPUTED_VALUE"""),FALSE)</f>
        <v>0</v>
      </c>
      <c r="R73" s="75" t="b">
        <f ca="1">IFERROR(__xludf.DUMMYFUNCTION("""COMPUTED_VALUE"""),FALSE)</f>
        <v>0</v>
      </c>
      <c r="S73" s="75" t="b">
        <f ca="1">IFERROR(__xludf.DUMMYFUNCTION("""COMPUTED_VALUE"""),FALSE)</f>
        <v>0</v>
      </c>
      <c r="T73" s="75" t="b">
        <f ca="1">IFERROR(__xludf.DUMMYFUNCTION("""COMPUTED_VALUE"""),FALSE)</f>
        <v>0</v>
      </c>
      <c r="U73" s="76">
        <f ca="1">IFERROR(__xludf.DUMMYFUNCTION("""COMPUTED_VALUE"""),26)</f>
        <v>26</v>
      </c>
      <c r="V73" s="73"/>
      <c r="W73" s="77"/>
      <c r="X73" s="73"/>
      <c r="Y73" s="73" t="str">
        <f ca="1">IFERROR(__xludf.DUMMYFUNCTION("""COMPUTED_VALUE"""),"Fieldwork")</f>
        <v>Fieldwork</v>
      </c>
      <c r="Z73" s="66" t="s">
        <v>1827</v>
      </c>
    </row>
    <row r="74" spans="1:26" ht="15" customHeight="1">
      <c r="A74" s="39" t="str">
        <f ca="1">IFERROR(__xludf.DUMMYFUNCTION("""COMPUTED_VALUE"""),"W5NW")</f>
        <v>W5NW</v>
      </c>
      <c r="B74" s="73">
        <f ca="1">IFERROR(__xludf.DUMMYFUNCTION("""COMPUTED_VALUE"""),5)</f>
        <v>5</v>
      </c>
      <c r="C74" s="79" t="str">
        <f ca="1">IFERROR(__xludf.DUMMYFUNCTION("""COMPUTED_VALUE"""),"NW")</f>
        <v>NW</v>
      </c>
      <c r="D74" s="334">
        <f ca="1">IFERROR(__xludf.DUMMYFUNCTION("""COMPUTED_VALUE"""),1200)</f>
        <v>1200</v>
      </c>
      <c r="E74" s="79" t="str">
        <f ca="1">IFERROR(__xludf.DUMMYFUNCTION("""COMPUTED_VALUE"""),"3372616430T20050430")</f>
        <v>3372616430T20050430</v>
      </c>
      <c r="F74" s="79">
        <f ca="1">IFERROR(__xludf.DUMMYFUNCTION("""COMPUTED_VALUE"""),1103121716)</f>
        <v>1103121716</v>
      </c>
      <c r="G74" s="41" t="str">
        <f ca="1">IFERROR(__xludf.DUMMYFUNCTION("""COMPUTED_VALUE"""),"Tung Ning Building")</f>
        <v>Tung Ning Building</v>
      </c>
      <c r="H74" s="60" t="str">
        <f ca="1">IFERROR(__xludf.DUMMYFUNCTION("""COMPUTED_VALUE"""),"東寧大廈")</f>
        <v>東寧大廈</v>
      </c>
      <c r="I74" s="60">
        <f ca="1">IFERROR(__xludf.DUMMYFUNCTION("""COMPUTED_VALUE"""),114.1522554)</f>
        <v>114.1522554</v>
      </c>
      <c r="J74" s="60">
        <f ca="1">IFERROR(__xludf.DUMMYFUNCTION("""COMPUTED_VALUE"""),22.286838)</f>
        <v>22.286837999999999</v>
      </c>
      <c r="K74" s="61">
        <f ca="1">IFERROR(__xludf.DUMMYFUNCTION("""COMPUTED_VALUE"""),3.6)</f>
        <v>3.6</v>
      </c>
      <c r="L74" s="60" t="str">
        <f ca="1">IFERROR(__xludf.DUMMYFUNCTION("""COMPUTED_VALUE"""),"es")</f>
        <v>es</v>
      </c>
      <c r="M74" s="61">
        <f ca="1">IFERROR(__xludf.DUMMYFUNCTION("""COMPUTED_VALUE"""),71)</f>
        <v>71</v>
      </c>
      <c r="N74" s="60" t="str">
        <f ca="1">IFERROR(__xludf.DUMMYFUNCTION("""COMPUTED_VALUE"""),"p")</f>
        <v>p</v>
      </c>
      <c r="O74" s="61">
        <f ca="1">IFERROR(__xludf.DUMMYFUNCTION("""COMPUTED_VALUE"""),67.4)</f>
        <v>67.400000000000006</v>
      </c>
      <c r="P74" s="42"/>
      <c r="Q74" s="75" t="b">
        <f ca="1">IFERROR(__xludf.DUMMYFUNCTION("""COMPUTED_VALUE"""),FALSE)</f>
        <v>0</v>
      </c>
      <c r="R74" s="75" t="b">
        <f ca="1">IFERROR(__xludf.DUMMYFUNCTION("""COMPUTED_VALUE"""),FALSE)</f>
        <v>0</v>
      </c>
      <c r="S74" s="75" t="b">
        <f ca="1">IFERROR(__xludf.DUMMYFUNCTION("""COMPUTED_VALUE"""),FALSE)</f>
        <v>0</v>
      </c>
      <c r="T74" s="75" t="b">
        <f ca="1">IFERROR(__xludf.DUMMYFUNCTION("""COMPUTED_VALUE"""),FALSE)</f>
        <v>0</v>
      </c>
      <c r="U74" s="80">
        <f ca="1">IFERROR(__xludf.DUMMYFUNCTION("""COMPUTED_VALUE"""),20)</f>
        <v>20</v>
      </c>
      <c r="V74" s="40"/>
      <c r="W74" s="81"/>
      <c r="X74" s="40"/>
      <c r="Y74" s="40" t="str">
        <f ca="1">IFERROR(__xludf.DUMMYFUNCTION("""COMPUTED_VALUE"""),"Fieldwork")</f>
        <v>Fieldwork</v>
      </c>
      <c r="Z74" s="66" t="s">
        <v>1828</v>
      </c>
    </row>
    <row r="75" spans="1:26" ht="15.75" customHeight="1">
      <c r="A75" s="39" t="str">
        <f ca="1">IFERROR(__xludf.DUMMYFUNCTION("""COMPUTED_VALUE"""),"E6NE")</f>
        <v>E6NE</v>
      </c>
      <c r="B75" s="73">
        <f ca="1">IFERROR(__xludf.DUMMYFUNCTION("""COMPUTED_VALUE"""),6)</f>
        <v>6</v>
      </c>
      <c r="C75" s="79" t="str">
        <f ca="1">IFERROR(__xludf.DUMMYFUNCTION("""COMPUTED_VALUE"""),"NE")</f>
        <v>NE</v>
      </c>
      <c r="D75" s="334">
        <f ca="1">IFERROR(__xludf.DUMMYFUNCTION("""COMPUTED_VALUE"""),1400)</f>
        <v>1400</v>
      </c>
      <c r="E75" s="79" t="str">
        <f ca="1">IFERROR(__xludf.DUMMYFUNCTION("""COMPUTED_VALUE"""),"3508215440T20050430")</f>
        <v>3508215440T20050430</v>
      </c>
      <c r="F75" s="79">
        <f ca="1">IFERROR(__xludf.DUMMYFUNCTION("""COMPUTED_VALUE"""),1103128541)</f>
        <v>1103128541</v>
      </c>
      <c r="G75" s="41" t="str">
        <f ca="1">IFERROR(__xludf.DUMMYFUNCTION("""COMPUTED_VALUE"""),"One Pacific Place")</f>
        <v>One Pacific Place</v>
      </c>
      <c r="H75" s="60" t="str">
        <f ca="1">IFERROR(__xludf.DUMMYFUNCTION("""COMPUTED_VALUE"""),"太古廣場一座")</f>
        <v>太古廣場一座</v>
      </c>
      <c r="I75" s="60">
        <f ca="1">IFERROR(__xludf.DUMMYFUNCTION("""COMPUTED_VALUE"""),114.1654027)</f>
        <v>114.1654027</v>
      </c>
      <c r="J75" s="60">
        <f ca="1">IFERROR(__xludf.DUMMYFUNCTION("""COMPUTED_VALUE"""),22.27774452)</f>
        <v>22.277744519999999</v>
      </c>
      <c r="K75" s="61">
        <f ca="1">IFERROR(__xludf.DUMMYFUNCTION("""COMPUTED_VALUE"""),22)</f>
        <v>22</v>
      </c>
      <c r="L75" s="60" t="str">
        <f ca="1">IFERROR(__xludf.DUMMYFUNCTION("""COMPUTED_VALUE"""),"p")</f>
        <v>p</v>
      </c>
      <c r="M75" s="61">
        <f ca="1">IFERROR(__xludf.DUMMYFUNCTION("""COMPUTED_VALUE"""),164.3)</f>
        <v>164.3</v>
      </c>
      <c r="N75" s="60" t="str">
        <f ca="1">IFERROR(__xludf.DUMMYFUNCTION("""COMPUTED_VALUE"""),"p")</f>
        <v>p</v>
      </c>
      <c r="O75" s="61">
        <f ca="1">IFERROR(__xludf.DUMMYFUNCTION("""COMPUTED_VALUE"""),142.3)</f>
        <v>142.30000000000001</v>
      </c>
      <c r="P75" s="42"/>
      <c r="Q75" s="75" t="b">
        <f ca="1">IFERROR(__xludf.DUMMYFUNCTION("""COMPUTED_VALUE"""),FALSE)</f>
        <v>0</v>
      </c>
      <c r="R75" s="75" t="b">
        <f ca="1">IFERROR(__xludf.DUMMYFUNCTION("""COMPUTED_VALUE"""),FALSE)</f>
        <v>0</v>
      </c>
      <c r="S75" s="75" t="b">
        <f ca="1">IFERROR(__xludf.DUMMYFUNCTION("""COMPUTED_VALUE"""),FALSE)</f>
        <v>0</v>
      </c>
      <c r="T75" s="75" t="b">
        <f ca="1">IFERROR(__xludf.DUMMYFUNCTION("""COMPUTED_VALUE"""),FALSE)</f>
        <v>0</v>
      </c>
      <c r="U75" s="80">
        <f ca="1">IFERROR(__xludf.DUMMYFUNCTION("""COMPUTED_VALUE"""),46)</f>
        <v>46</v>
      </c>
      <c r="V75" s="40">
        <f ca="1">IFERROR(__xludf.DUMMYFUNCTION("""COMPUTED_VALUE"""),0)</f>
        <v>0</v>
      </c>
      <c r="W75" s="81">
        <f ca="1">IFERROR(__xludf.DUMMYFUNCTION("""COMPUTED_VALUE"""),73)</f>
        <v>73</v>
      </c>
      <c r="X75" s="40">
        <f ca="1">IFERROR(__xludf.DUMMYFUNCTION("""COMPUTED_VALUE"""),1990)</f>
        <v>1990</v>
      </c>
      <c r="Y75" s="40" t="str">
        <f ca="1">IFERROR(__xludf.DUMMYFUNCTION("""COMPUTED_VALUE"""),"BMIS_auto")</f>
        <v>BMIS_auto</v>
      </c>
      <c r="Z75" s="66" t="s">
        <v>1830</v>
      </c>
    </row>
    <row r="76" spans="1:26" ht="15.75" customHeight="1">
      <c r="A76" s="39" t="str">
        <f ca="1">IFERROR(__xludf.DUMMYFUNCTION("""COMPUTED_VALUE"""),"E6SE")</f>
        <v>E6SE</v>
      </c>
      <c r="B76" s="73">
        <f ca="1">IFERROR(__xludf.DUMMYFUNCTION("""COMPUTED_VALUE"""),6)</f>
        <v>6</v>
      </c>
      <c r="C76" s="79" t="str">
        <f ca="1">IFERROR(__xludf.DUMMYFUNCTION("""COMPUTED_VALUE"""),"SE")</f>
        <v>SE</v>
      </c>
      <c r="D76" s="334">
        <f ca="1">IFERROR(__xludf.DUMMYFUNCTION("""COMPUTED_VALUE"""),1400)</f>
        <v>1400</v>
      </c>
      <c r="E76" s="79"/>
      <c r="F76" s="79"/>
      <c r="G76" s="41" t="str">
        <f ca="1">IFERROR(__xludf.DUMMYFUNCTION("""COMPUTED_VALUE"""),"Open Area")</f>
        <v>Open Area</v>
      </c>
      <c r="H76" s="60"/>
      <c r="I76" s="60"/>
      <c r="J76" s="60"/>
      <c r="K76" s="61"/>
      <c r="L76" s="60"/>
      <c r="M76" s="61"/>
      <c r="N76" s="60"/>
      <c r="O76" s="61"/>
      <c r="P76" s="42" t="str">
        <f ca="1">IFERROR(__xludf.DUMMYFUNCTION("""COMPUTED_VALUE"""),"no building ")</f>
        <v xml:space="preserve">no building </v>
      </c>
      <c r="Q76" s="75" t="b">
        <f ca="1">IFERROR(__xludf.DUMMYFUNCTION("""COMPUTED_VALUE"""),TRUE)</f>
        <v>1</v>
      </c>
      <c r="R76" s="75" t="b">
        <f ca="1">IFERROR(__xludf.DUMMYFUNCTION("""COMPUTED_VALUE"""),TRUE)</f>
        <v>1</v>
      </c>
      <c r="S76" s="75" t="b">
        <f ca="1">IFERROR(__xludf.DUMMYFUNCTION("""COMPUTED_VALUE"""),FALSE)</f>
        <v>0</v>
      </c>
      <c r="T76" s="75" t="b">
        <f ca="1">IFERROR(__xludf.DUMMYFUNCTION("""COMPUTED_VALUE"""),TRUE)</f>
        <v>1</v>
      </c>
      <c r="U76" s="80">
        <f ca="1">IFERROR(__xludf.DUMMYFUNCTION("""COMPUTED_VALUE"""),0)</f>
        <v>0</v>
      </c>
      <c r="V76" s="40"/>
      <c r="W76" s="81"/>
      <c r="X76" s="40"/>
      <c r="Y76" s="40"/>
      <c r="Z76" s="66" t="s">
        <v>556</v>
      </c>
    </row>
    <row r="77" spans="1:26" ht="15.75" customHeight="1">
      <c r="A77" s="39" t="str">
        <f ca="1">IFERROR(__xludf.DUMMYFUNCTION("""COMPUTED_VALUE"""),"E6SW")</f>
        <v>E6SW</v>
      </c>
      <c r="B77" s="73">
        <f ca="1">IFERROR(__xludf.DUMMYFUNCTION("""COMPUTED_VALUE"""),6)</f>
        <v>6</v>
      </c>
      <c r="C77" s="79" t="str">
        <f ca="1">IFERROR(__xludf.DUMMYFUNCTION("""COMPUTED_VALUE"""),"SW")</f>
        <v>SW</v>
      </c>
      <c r="D77" s="334">
        <f ca="1">IFERROR(__xludf.DUMMYFUNCTION("""COMPUTED_VALUE"""),1400)</f>
        <v>1400</v>
      </c>
      <c r="E77" s="79" t="str">
        <f ca="1">IFERROR(__xludf.DUMMYFUNCTION("""COMPUTED_VALUE"""),"3507115501T20050430")</f>
        <v>3507115501T20050430</v>
      </c>
      <c r="F77" s="79">
        <f ca="1">IFERROR(__xludf.DUMMYFUNCTION("""COMPUTED_VALUE"""),1103127899)</f>
        <v>1103127899</v>
      </c>
      <c r="G77" s="41" t="str">
        <f ca="1">IFERROR(__xludf.DUMMYFUNCTION("""COMPUTED_VALUE"""),"United Centre")</f>
        <v>United Centre</v>
      </c>
      <c r="H77" s="60" t="str">
        <f ca="1">IFERROR(__xludf.DUMMYFUNCTION("""COMPUTED_VALUE"""),"統一中心")</f>
        <v>統一中心</v>
      </c>
      <c r="I77" s="60">
        <f ca="1">IFERROR(__xludf.DUMMYFUNCTION("""COMPUTED_VALUE"""),114.1652376)</f>
        <v>114.1652376</v>
      </c>
      <c r="J77" s="60">
        <f ca="1">IFERROR(__xludf.DUMMYFUNCTION("""COMPUTED_VALUE"""),22.27856443)</f>
        <v>22.278564429999999</v>
      </c>
      <c r="K77" s="61">
        <f ca="1">IFERROR(__xludf.DUMMYFUNCTION("""COMPUTED_VALUE"""),22.9)</f>
        <v>22.9</v>
      </c>
      <c r="L77" s="60" t="str">
        <f ca="1">IFERROR(__xludf.DUMMYFUNCTION("""COMPUTED_VALUE"""),"p")</f>
        <v>p</v>
      </c>
      <c r="M77" s="61">
        <f ca="1">IFERROR(__xludf.DUMMYFUNCTION("""COMPUTED_VALUE"""),140.4)</f>
        <v>140.4</v>
      </c>
      <c r="N77" s="60" t="str">
        <f ca="1">IFERROR(__xludf.DUMMYFUNCTION("""COMPUTED_VALUE"""),"3")</f>
        <v>3</v>
      </c>
      <c r="O77" s="61">
        <f ca="1">IFERROR(__xludf.DUMMYFUNCTION("""COMPUTED_VALUE"""),117.5)</f>
        <v>117.5</v>
      </c>
      <c r="P77" s="42"/>
      <c r="Q77" s="75" t="b">
        <f ca="1">IFERROR(__xludf.DUMMYFUNCTION("""COMPUTED_VALUE"""),FALSE)</f>
        <v>0</v>
      </c>
      <c r="R77" s="75" t="b">
        <f ca="1">IFERROR(__xludf.DUMMYFUNCTION("""COMPUTED_VALUE"""),FALSE)</f>
        <v>0</v>
      </c>
      <c r="S77" s="75" t="b">
        <f ca="1">IFERROR(__xludf.DUMMYFUNCTION("""COMPUTED_VALUE"""),FALSE)</f>
        <v>0</v>
      </c>
      <c r="T77" s="75" t="b">
        <f ca="1">IFERROR(__xludf.DUMMYFUNCTION("""COMPUTED_VALUE"""),FALSE)</f>
        <v>0</v>
      </c>
      <c r="U77" s="80">
        <f ca="1">IFERROR(__xludf.DUMMYFUNCTION("""COMPUTED_VALUE"""),35)</f>
        <v>35</v>
      </c>
      <c r="V77" s="40">
        <f ca="1">IFERROR(__xludf.DUMMYFUNCTION("""COMPUTED_VALUE"""),0)</f>
        <v>0</v>
      </c>
      <c r="W77" s="81">
        <f ca="1">IFERROR(__xludf.DUMMYFUNCTION("""COMPUTED_VALUE"""),130)</f>
        <v>130</v>
      </c>
      <c r="X77" s="40">
        <f ca="1">IFERROR(__xludf.DUMMYFUNCTION("""COMPUTED_VALUE"""),1981)</f>
        <v>1981</v>
      </c>
      <c r="Y77" s="40" t="str">
        <f ca="1">IFERROR(__xludf.DUMMYFUNCTION("""COMPUTED_VALUE"""),"BMIS_auto")</f>
        <v>BMIS_auto</v>
      </c>
      <c r="Z77" s="66" t="s">
        <v>1833</v>
      </c>
    </row>
    <row r="78" spans="1:26" ht="15.75" customHeight="1">
      <c r="A78" s="39" t="str">
        <f ca="1">IFERROR(__xludf.DUMMYFUNCTION("""COMPUTED_VALUE"""),"E6NW")</f>
        <v>E6NW</v>
      </c>
      <c r="B78" s="73">
        <f ca="1">IFERROR(__xludf.DUMMYFUNCTION("""COMPUTED_VALUE"""),6)</f>
        <v>6</v>
      </c>
      <c r="C78" s="73" t="str">
        <f ca="1">IFERROR(__xludf.DUMMYFUNCTION("""COMPUTED_VALUE"""),"NW")</f>
        <v>NW</v>
      </c>
      <c r="D78" s="334">
        <f ca="1">IFERROR(__xludf.DUMMYFUNCTION("""COMPUTED_VALUE"""),1400)</f>
        <v>1400</v>
      </c>
      <c r="E78" s="73"/>
      <c r="F78" s="73"/>
      <c r="G78" s="39" t="str">
        <f ca="1">IFERROR(__xludf.DUMMYFUNCTION("""COMPUTED_VALUE"""),"Harcourt Garden")</f>
        <v>Harcourt Garden</v>
      </c>
      <c r="H78" s="60"/>
      <c r="I78" s="60"/>
      <c r="J78" s="60"/>
      <c r="K78" s="61"/>
      <c r="L78" s="60"/>
      <c r="M78" s="61"/>
      <c r="N78" s="60"/>
      <c r="O78" s="61"/>
      <c r="P78" s="74" t="str">
        <f ca="1">IFERROR(__xludf.DUMMYFUNCTION("""COMPUTED_VALUE"""),"no building ")</f>
        <v xml:space="preserve">no building </v>
      </c>
      <c r="Q78" s="75" t="b">
        <f ca="1">IFERROR(__xludf.DUMMYFUNCTION("""COMPUTED_VALUE"""),TRUE)</f>
        <v>1</v>
      </c>
      <c r="R78" s="75" t="b">
        <f ca="1">IFERROR(__xludf.DUMMYFUNCTION("""COMPUTED_VALUE"""),TRUE)</f>
        <v>1</v>
      </c>
      <c r="S78" s="75" t="b">
        <f ca="1">IFERROR(__xludf.DUMMYFUNCTION("""COMPUTED_VALUE"""),FALSE)</f>
        <v>0</v>
      </c>
      <c r="T78" s="75" t="b">
        <f ca="1">IFERROR(__xludf.DUMMYFUNCTION("""COMPUTED_VALUE"""),TRUE)</f>
        <v>1</v>
      </c>
      <c r="U78" s="76">
        <f ca="1">IFERROR(__xludf.DUMMYFUNCTION("""COMPUTED_VALUE"""),0)</f>
        <v>0</v>
      </c>
      <c r="V78" s="73"/>
      <c r="W78" s="77"/>
      <c r="X78" s="73"/>
      <c r="Y78" s="73"/>
      <c r="Z78" s="66" t="s">
        <v>556</v>
      </c>
    </row>
    <row r="79" spans="1:26" ht="15.75" customHeight="1">
      <c r="A79" s="39" t="str">
        <f ca="1">IFERROR(__xludf.DUMMYFUNCTION("""COMPUTED_VALUE"""),"W6NE")</f>
        <v>W6NE</v>
      </c>
      <c r="B79" s="73">
        <f ca="1">IFERROR(__xludf.DUMMYFUNCTION("""COMPUTED_VALUE"""),6)</f>
        <v>6</v>
      </c>
      <c r="C79" s="73" t="str">
        <f ca="1">IFERROR(__xludf.DUMMYFUNCTION("""COMPUTED_VALUE"""),"NE")</f>
        <v>NE</v>
      </c>
      <c r="D79" s="334">
        <f ca="1">IFERROR(__xludf.DUMMYFUNCTION("""COMPUTED_VALUE"""),1400)</f>
        <v>1400</v>
      </c>
      <c r="E79" s="73" t="str">
        <f ca="1">IFERROR(__xludf.DUMMYFUNCTION("""COMPUTED_VALUE"""),"3356916504T20050430")</f>
        <v>3356916504T20050430</v>
      </c>
      <c r="F79" s="73">
        <f ca="1">IFERROR(__xludf.DUMMYFUNCTION("""COMPUTED_VALUE"""),1103121420)</f>
        <v>1103121420</v>
      </c>
      <c r="G79" s="39" t="str">
        <f ca="1">IFERROR(__xludf.DUMMYFUNCTION("""COMPUTED_VALUE"""),"Kai Tak Commercial Building")</f>
        <v>Kai Tak Commercial Building</v>
      </c>
      <c r="H79" s="60" t="str">
        <f ca="1">IFERROR(__xludf.DUMMYFUNCTION("""COMPUTED_VALUE"""),"啓德商業大廈")</f>
        <v>啓德商業大廈</v>
      </c>
      <c r="I79" s="60">
        <f ca="1">IFERROR(__xludf.DUMMYFUNCTION("""COMPUTED_VALUE"""),114.1506678)</f>
        <v>114.15066779999999</v>
      </c>
      <c r="J79" s="60">
        <f ca="1">IFERROR(__xludf.DUMMYFUNCTION("""COMPUTED_VALUE"""),22.28723668)</f>
        <v>22.287236679999999</v>
      </c>
      <c r="K79" s="61">
        <f ca="1">IFERROR(__xludf.DUMMYFUNCTION("""COMPUTED_VALUE"""),3.7)</f>
        <v>3.7</v>
      </c>
      <c r="L79" s="60" t="str">
        <f ca="1">IFERROR(__xludf.DUMMYFUNCTION("""COMPUTED_VALUE"""),"es")</f>
        <v>es</v>
      </c>
      <c r="M79" s="61">
        <f ca="1">IFERROR(__xludf.DUMMYFUNCTION("""COMPUTED_VALUE"""),74.1)</f>
        <v>74.099999999999994</v>
      </c>
      <c r="N79" s="60" t="str">
        <f ca="1">IFERROR(__xludf.DUMMYFUNCTION("""COMPUTED_VALUE"""),"p")</f>
        <v>p</v>
      </c>
      <c r="O79" s="61">
        <f ca="1">IFERROR(__xludf.DUMMYFUNCTION("""COMPUTED_VALUE"""),70.4)</f>
        <v>70.400000000000006</v>
      </c>
      <c r="P79" s="74"/>
      <c r="Q79" s="75" t="b">
        <f ca="1">IFERROR(__xludf.DUMMYFUNCTION("""COMPUTED_VALUE"""),FALSE)</f>
        <v>0</v>
      </c>
      <c r="R79" s="75" t="b">
        <f ca="1">IFERROR(__xludf.DUMMYFUNCTION("""COMPUTED_VALUE"""),FALSE)</f>
        <v>0</v>
      </c>
      <c r="S79" s="75" t="b">
        <f ca="1">IFERROR(__xludf.DUMMYFUNCTION("""COMPUTED_VALUE"""),FALSE)</f>
        <v>0</v>
      </c>
      <c r="T79" s="75" t="b">
        <f ca="1">IFERROR(__xludf.DUMMYFUNCTION("""COMPUTED_VALUE"""),FALSE)</f>
        <v>0</v>
      </c>
      <c r="U79" s="76">
        <f ca="1">IFERROR(__xludf.DUMMYFUNCTION("""COMPUTED_VALUE"""),21)</f>
        <v>21</v>
      </c>
      <c r="V79" s="73"/>
      <c r="W79" s="77"/>
      <c r="X79" s="73"/>
      <c r="Y79" s="73" t="str">
        <f ca="1">IFERROR(__xludf.DUMMYFUNCTION("""COMPUTED_VALUE"""),"Fieldwork")</f>
        <v>Fieldwork</v>
      </c>
      <c r="Z79" s="66" t="s">
        <v>1835</v>
      </c>
    </row>
    <row r="80" spans="1:26" ht="15.75" customHeight="1">
      <c r="A80" s="39" t="str">
        <f ca="1">IFERROR(__xludf.DUMMYFUNCTION("""COMPUTED_VALUE"""),"W6SE")</f>
        <v>W6SE</v>
      </c>
      <c r="B80" s="73">
        <f ca="1">IFERROR(__xludf.DUMMYFUNCTION("""COMPUTED_VALUE"""),6)</f>
        <v>6</v>
      </c>
      <c r="C80" s="73" t="str">
        <f ca="1">IFERROR(__xludf.DUMMYFUNCTION("""COMPUTED_VALUE"""),"SE")</f>
        <v>SE</v>
      </c>
      <c r="D80" s="334">
        <f ca="1">IFERROR(__xludf.DUMMYFUNCTION("""COMPUTED_VALUE"""),1400)</f>
        <v>1400</v>
      </c>
      <c r="E80" s="73" t="str">
        <f ca="1">IFERROR(__xludf.DUMMYFUNCTION("""COMPUTED_VALUE"""),"3356816428T20050430")</f>
        <v>3356816428T20050430</v>
      </c>
      <c r="F80" s="73">
        <f ca="1">IFERROR(__xludf.DUMMYFUNCTION("""COMPUTED_VALUE"""),1103121840)</f>
        <v>1103121840</v>
      </c>
      <c r="G80" s="39" t="str">
        <f ca="1">IFERROR(__xludf.DUMMYFUNCTION("""COMPUTED_VALUE"""),"FWD Financial Centre")</f>
        <v>FWD Financial Centre</v>
      </c>
      <c r="H80" s="60" t="str">
        <f ca="1">IFERROR(__xludf.DUMMYFUNCTION("""COMPUTED_VALUE"""),"富衛金融中心")</f>
        <v>富衛金融中心</v>
      </c>
      <c r="I80" s="60">
        <f ca="1">IFERROR(__xludf.DUMMYFUNCTION("""COMPUTED_VALUE"""),114.1506441)</f>
        <v>114.15064409999999</v>
      </c>
      <c r="J80" s="60">
        <f ca="1">IFERROR(__xludf.DUMMYFUNCTION("""COMPUTED_VALUE"""),22.28665285)</f>
        <v>22.286652849999999</v>
      </c>
      <c r="K80" s="61">
        <f ca="1">IFERROR(__xludf.DUMMYFUNCTION("""COMPUTED_VALUE"""),19.1)</f>
        <v>19.100000000000001</v>
      </c>
      <c r="L80" s="60" t="str">
        <f ca="1">IFERROR(__xludf.DUMMYFUNCTION("""COMPUTED_VALUE"""),"es")</f>
        <v>es</v>
      </c>
      <c r="M80" s="61">
        <f ca="1">IFERROR(__xludf.DUMMYFUNCTION("""COMPUTED_VALUE"""),111)</f>
        <v>111</v>
      </c>
      <c r="N80" s="60" t="str">
        <f ca="1">IFERROR(__xludf.DUMMYFUNCTION("""COMPUTED_VALUE"""),"p")</f>
        <v>p</v>
      </c>
      <c r="O80" s="61">
        <f ca="1">IFERROR(__xludf.DUMMYFUNCTION("""COMPUTED_VALUE"""),91.9)</f>
        <v>91.9</v>
      </c>
      <c r="P80" s="74"/>
      <c r="Q80" s="75" t="b">
        <f ca="1">IFERROR(__xludf.DUMMYFUNCTION("""COMPUTED_VALUE"""),FALSE)</f>
        <v>0</v>
      </c>
      <c r="R80" s="75" t="b">
        <f ca="1">IFERROR(__xludf.DUMMYFUNCTION("""COMPUTED_VALUE"""),FALSE)</f>
        <v>0</v>
      </c>
      <c r="S80" s="75" t="b">
        <f ca="1">IFERROR(__xludf.DUMMYFUNCTION("""COMPUTED_VALUE"""),FALSE)</f>
        <v>0</v>
      </c>
      <c r="T80" s="75" t="b">
        <f ca="1">IFERROR(__xludf.DUMMYFUNCTION("""COMPUTED_VALUE"""),FALSE)</f>
        <v>0</v>
      </c>
      <c r="U80" s="76">
        <f ca="1">IFERROR(__xludf.DUMMYFUNCTION("""COMPUTED_VALUE"""),29)</f>
        <v>29</v>
      </c>
      <c r="V80" s="73">
        <f ca="1">IFERROR(__xludf.DUMMYFUNCTION("""COMPUTED_VALUE"""),0)</f>
        <v>0</v>
      </c>
      <c r="W80" s="77">
        <f ca="1">IFERROR(__xludf.DUMMYFUNCTION("""COMPUTED_VALUE"""),203)</f>
        <v>203</v>
      </c>
      <c r="X80" s="73">
        <f ca="1">IFERROR(__xludf.DUMMYFUNCTION("""COMPUTED_VALUE"""),1994)</f>
        <v>1994</v>
      </c>
      <c r="Y80" s="73" t="str">
        <f ca="1">IFERROR(__xludf.DUMMYFUNCTION("""COMPUTED_VALUE"""),"BMIS")</f>
        <v>BMIS</v>
      </c>
      <c r="Z80" s="66" t="s">
        <v>1836</v>
      </c>
    </row>
    <row r="81" spans="1:26" ht="15.75" customHeight="1">
      <c r="A81" s="39" t="str">
        <f ca="1">IFERROR(__xludf.DUMMYFUNCTION("""COMPUTED_VALUE"""),"W6SW")</f>
        <v>W6SW</v>
      </c>
      <c r="B81" s="73">
        <f ca="1">IFERROR(__xludf.DUMMYFUNCTION("""COMPUTED_VALUE"""),6)</f>
        <v>6</v>
      </c>
      <c r="C81" s="73" t="str">
        <f ca="1">IFERROR(__xludf.DUMMYFUNCTION("""COMPUTED_VALUE"""),"SW")</f>
        <v>SW</v>
      </c>
      <c r="D81" s="334">
        <f ca="1">IFERROR(__xludf.DUMMYFUNCTION("""COMPUTED_VALUE"""),1400)</f>
        <v>1400</v>
      </c>
      <c r="E81" s="73" t="str">
        <f ca="1">IFERROR(__xludf.DUMMYFUNCTION("""COMPUTED_VALUE"""),"3352416430T20050430")</f>
        <v>3352416430T20050430</v>
      </c>
      <c r="F81" s="73">
        <f ca="1">IFERROR(__xludf.DUMMYFUNCTION("""COMPUTED_VALUE"""),1103121802)</f>
        <v>1103121802</v>
      </c>
      <c r="G81" s="39" t="str">
        <f ca="1">IFERROR(__xludf.DUMMYFUNCTION("""COMPUTED_VALUE"""),"West Exchange Tower")</f>
        <v>West Exchange Tower</v>
      </c>
      <c r="H81" s="60"/>
      <c r="I81" s="60">
        <f ca="1">IFERROR(__xludf.DUMMYFUNCTION("""COMPUTED_VALUE"""),114.1501961)</f>
        <v>114.1501961</v>
      </c>
      <c r="J81" s="60">
        <f ca="1">IFERROR(__xludf.DUMMYFUNCTION("""COMPUTED_VALUE"""),22.28671852)</f>
        <v>22.286718520000001</v>
      </c>
      <c r="K81" s="61">
        <f ca="1">IFERROR(__xludf.DUMMYFUNCTION("""COMPUTED_VALUE"""),3.7)</f>
        <v>3.7</v>
      </c>
      <c r="L81" s="60" t="str">
        <f ca="1">IFERROR(__xludf.DUMMYFUNCTION("""COMPUTED_VALUE"""),"es")</f>
        <v>es</v>
      </c>
      <c r="M81" s="61">
        <f ca="1">IFERROR(__xludf.DUMMYFUNCTION("""COMPUTED_VALUE"""),109)</f>
        <v>109</v>
      </c>
      <c r="N81" s="60" t="str">
        <f ca="1">IFERROR(__xludf.DUMMYFUNCTION("""COMPUTED_VALUE"""),"3")</f>
        <v>3</v>
      </c>
      <c r="O81" s="61">
        <f ca="1">IFERROR(__xludf.DUMMYFUNCTION("""COMPUTED_VALUE"""),105.3)</f>
        <v>105.3</v>
      </c>
      <c r="P81" s="74"/>
      <c r="Q81" s="75" t="b">
        <f ca="1">IFERROR(__xludf.DUMMYFUNCTION("""COMPUTED_VALUE"""),FALSE)</f>
        <v>0</v>
      </c>
      <c r="R81" s="75" t="b">
        <f ca="1">IFERROR(__xludf.DUMMYFUNCTION("""COMPUTED_VALUE"""),TRUE)</f>
        <v>1</v>
      </c>
      <c r="S81" s="75" t="b">
        <f ca="1">IFERROR(__xludf.DUMMYFUNCTION("""COMPUTED_VALUE"""),FALSE)</f>
        <v>0</v>
      </c>
      <c r="T81" s="75" t="b">
        <f ca="1">IFERROR(__xludf.DUMMYFUNCTION("""COMPUTED_VALUE"""),FALSE)</f>
        <v>0</v>
      </c>
      <c r="U81" s="76">
        <f ca="1">IFERROR(__xludf.DUMMYFUNCTION("""COMPUTED_VALUE"""),28)</f>
        <v>28</v>
      </c>
      <c r="V81" s="73"/>
      <c r="W81" s="77"/>
      <c r="X81" s="73"/>
      <c r="Y81" s="336" t="str">
        <f ca="1">IFERROR(__xludf.DUMMYFUNCTION("""COMPUTED_VALUE"""),"http://www.primeoffice.com.hk/hong-kong-office/6620/west-exchange-tower")</f>
        <v>http://www.primeoffice.com.hk/hong-kong-office/6620/west-exchange-tower</v>
      </c>
      <c r="Z81" s="66" t="s">
        <v>1837</v>
      </c>
    </row>
    <row r="82" spans="1:26" ht="15.75" customHeight="1">
      <c r="A82" s="39" t="str">
        <f ca="1">IFERROR(__xludf.DUMMYFUNCTION("""COMPUTED_VALUE"""),"W6NW")</f>
        <v>W6NW</v>
      </c>
      <c r="B82" s="73">
        <f ca="1">IFERROR(__xludf.DUMMYFUNCTION("""COMPUTED_VALUE"""),6)</f>
        <v>6</v>
      </c>
      <c r="C82" s="79" t="str">
        <f ca="1">IFERROR(__xludf.DUMMYFUNCTION("""COMPUTED_VALUE"""),"NW")</f>
        <v>NW</v>
      </c>
      <c r="D82" s="334">
        <f ca="1">IFERROR(__xludf.DUMMYFUNCTION("""COMPUTED_VALUE"""),1400)</f>
        <v>1400</v>
      </c>
      <c r="E82" s="79" t="str">
        <f ca="1">IFERROR(__xludf.DUMMYFUNCTION("""COMPUTED_VALUE"""),"3353216474T20050430")</f>
        <v>3353216474T20050430</v>
      </c>
      <c r="F82" s="79">
        <f ca="1">IFERROR(__xludf.DUMMYFUNCTION("""COMPUTED_VALUE"""),1103121354)</f>
        <v>1103121354</v>
      </c>
      <c r="G82" s="41" t="str">
        <f ca="1">IFERROR(__xludf.DUMMYFUNCTION("""COMPUTED_VALUE"""),"Western Market")</f>
        <v>Western Market</v>
      </c>
      <c r="H82" s="60" t="str">
        <f ca="1">IFERROR(__xludf.DUMMYFUNCTION("""COMPUTED_VALUE"""),"西港城")</f>
        <v>西港城</v>
      </c>
      <c r="I82" s="60">
        <f ca="1">IFERROR(__xludf.DUMMYFUNCTION("""COMPUTED_VALUE"""),114.150366)</f>
        <v>114.15036600000001</v>
      </c>
      <c r="J82" s="60">
        <f ca="1">IFERROR(__xludf.DUMMYFUNCTION("""COMPUTED_VALUE"""),22.28730986)</f>
        <v>22.287309860000001</v>
      </c>
      <c r="K82" s="61">
        <f ca="1">IFERROR(__xludf.DUMMYFUNCTION("""COMPUTED_VALUE"""),3.4)</f>
        <v>3.4</v>
      </c>
      <c r="L82" s="60" t="str">
        <f ca="1">IFERROR(__xludf.DUMMYFUNCTION("""COMPUTED_VALUE"""),"es")</f>
        <v>es</v>
      </c>
      <c r="M82" s="61">
        <f ca="1">IFERROR(__xludf.DUMMYFUNCTION("""COMPUTED_VALUE"""),20.8)</f>
        <v>20.8</v>
      </c>
      <c r="N82" s="60" t="str">
        <f ca="1">IFERROR(__xludf.DUMMYFUNCTION("""COMPUTED_VALUE"""),"p")</f>
        <v>p</v>
      </c>
      <c r="O82" s="61">
        <f ca="1">IFERROR(__xludf.DUMMYFUNCTION("""COMPUTED_VALUE"""),17.4)</f>
        <v>17.399999999999999</v>
      </c>
      <c r="P82" s="42" t="str">
        <f ca="1">IFERROR(__xludf.DUMMYFUNCTION("""COMPUTED_VALUE"""),"Declared Monument")</f>
        <v>Declared Monument</v>
      </c>
      <c r="Q82" s="75" t="b">
        <f ca="1">IFERROR(__xludf.DUMMYFUNCTION("""COMPUTED_VALUE"""),FALSE)</f>
        <v>0</v>
      </c>
      <c r="R82" s="75" t="b">
        <f ca="1">IFERROR(__xludf.DUMMYFUNCTION("""COMPUTED_VALUE"""),TRUE)</f>
        <v>1</v>
      </c>
      <c r="S82" s="75" t="b">
        <f ca="1">IFERROR(__xludf.DUMMYFUNCTION("""COMPUTED_VALUE"""),FALSE)</f>
        <v>0</v>
      </c>
      <c r="T82" s="75" t="b">
        <f ca="1">IFERROR(__xludf.DUMMYFUNCTION("""COMPUTED_VALUE"""),TRUE)</f>
        <v>1</v>
      </c>
      <c r="U82" s="80">
        <f ca="1">IFERROR(__xludf.DUMMYFUNCTION("""COMPUTED_VALUE"""),4)</f>
        <v>4</v>
      </c>
      <c r="V82" s="40"/>
      <c r="W82" s="81"/>
      <c r="X82" s="40"/>
      <c r="Y82" s="40" t="str">
        <f ca="1">IFERROR(__xludf.DUMMYFUNCTION("""COMPUTED_VALUE"""),"Fieldwork+Street View")</f>
        <v>Fieldwork+Street View</v>
      </c>
      <c r="Z82" s="66" t="s">
        <v>1838</v>
      </c>
    </row>
    <row r="83" spans="1:26" ht="15.75" customHeight="1">
      <c r="A83" s="39" t="str">
        <f ca="1">IFERROR(__xludf.DUMMYFUNCTION("""COMPUTED_VALUE"""),"E7NE")</f>
        <v>E7NE</v>
      </c>
      <c r="B83" s="73">
        <f ca="1">IFERROR(__xludf.DUMMYFUNCTION("""COMPUTED_VALUE"""),7)</f>
        <v>7</v>
      </c>
      <c r="C83" s="79" t="str">
        <f ca="1">IFERROR(__xludf.DUMMYFUNCTION("""COMPUTED_VALUE"""),"NE")</f>
        <v>NE</v>
      </c>
      <c r="D83" s="334">
        <f ca="1">IFERROR(__xludf.DUMMYFUNCTION("""COMPUTED_VALUE"""),1600)</f>
        <v>1600</v>
      </c>
      <c r="E83" s="79"/>
      <c r="F83" s="79"/>
      <c r="G83" s="41" t="str">
        <f ca="1">IFERROR(__xludf.DUMMYFUNCTION("""COMPUTED_VALUE"""),"Flyover")</f>
        <v>Flyover</v>
      </c>
      <c r="H83" s="60"/>
      <c r="I83" s="60"/>
      <c r="J83" s="60"/>
      <c r="K83" s="61"/>
      <c r="L83" s="60"/>
      <c r="M83" s="61"/>
      <c r="N83" s="60"/>
      <c r="O83" s="61"/>
      <c r="P83" s="42" t="str">
        <f ca="1">IFERROR(__xludf.DUMMYFUNCTION("""COMPUTED_VALUE"""),"no building ")</f>
        <v xml:space="preserve">no building </v>
      </c>
      <c r="Q83" s="75" t="b">
        <f ca="1">IFERROR(__xludf.DUMMYFUNCTION("""COMPUTED_VALUE"""),TRUE)</f>
        <v>1</v>
      </c>
      <c r="R83" s="75" t="b">
        <f ca="1">IFERROR(__xludf.DUMMYFUNCTION("""COMPUTED_VALUE"""),TRUE)</f>
        <v>1</v>
      </c>
      <c r="S83" s="75" t="b">
        <f ca="1">IFERROR(__xludf.DUMMYFUNCTION("""COMPUTED_VALUE"""),FALSE)</f>
        <v>0</v>
      </c>
      <c r="T83" s="75" t="b">
        <f ca="1">IFERROR(__xludf.DUMMYFUNCTION("""COMPUTED_VALUE"""),TRUE)</f>
        <v>1</v>
      </c>
      <c r="U83" s="80">
        <f ca="1">IFERROR(__xludf.DUMMYFUNCTION("""COMPUTED_VALUE"""),0)</f>
        <v>0</v>
      </c>
      <c r="V83" s="40"/>
      <c r="W83" s="81"/>
      <c r="X83" s="40"/>
      <c r="Y83" s="40"/>
      <c r="Z83" s="66" t="s">
        <v>556</v>
      </c>
    </row>
    <row r="84" spans="1:26" ht="15.75" customHeight="1">
      <c r="A84" s="39" t="str">
        <f ca="1">IFERROR(__xludf.DUMMYFUNCTION("""COMPUTED_VALUE"""),"E7SE")</f>
        <v>E7SE</v>
      </c>
      <c r="B84" s="73">
        <f ca="1">IFERROR(__xludf.DUMMYFUNCTION("""COMPUTED_VALUE"""),7)</f>
        <v>7</v>
      </c>
      <c r="C84" s="79" t="str">
        <f ca="1">IFERROR(__xludf.DUMMYFUNCTION("""COMPUTED_VALUE"""),"SE")</f>
        <v>SE</v>
      </c>
      <c r="D84" s="334">
        <f ca="1">IFERROR(__xludf.DUMMYFUNCTION("""COMPUTED_VALUE"""),1600)</f>
        <v>1600</v>
      </c>
      <c r="E84" s="79" t="str">
        <f ca="1">IFERROR(__xludf.DUMMYFUNCTION("""COMPUTED_VALUE"""),"3517915413T20050430")</f>
        <v>3517915413T20050430</v>
      </c>
      <c r="F84" s="79">
        <f ca="1">IFERROR(__xludf.DUMMYFUNCTION("""COMPUTED_VALUE"""),1103128710)</f>
        <v>1103128710</v>
      </c>
      <c r="G84" s="41" t="str">
        <f ca="1">IFERROR(__xludf.DUMMYFUNCTION("""COMPUTED_VALUE"""),"JW Marriott Hotel")</f>
        <v>JW Marriott Hotel</v>
      </c>
      <c r="H84" s="60" t="str">
        <f ca="1">IFERROR(__xludf.DUMMYFUNCTION("""COMPUTED_VALUE"""),"萬豪酒店")</f>
        <v>萬豪酒店</v>
      </c>
      <c r="I84" s="60">
        <f ca="1">IFERROR(__xludf.DUMMYFUNCTION("""COMPUTED_VALUE"""),114.1663348)</f>
        <v>114.1663348</v>
      </c>
      <c r="J84" s="60">
        <f ca="1">IFERROR(__xludf.DUMMYFUNCTION("""COMPUTED_VALUE"""),22.27750049)</f>
        <v>22.277500490000001</v>
      </c>
      <c r="K84" s="61">
        <f ca="1">IFERROR(__xludf.DUMMYFUNCTION("""COMPUTED_VALUE"""),34.1)</f>
        <v>34.1</v>
      </c>
      <c r="L84" s="60" t="str">
        <f ca="1">IFERROR(__xludf.DUMMYFUNCTION("""COMPUTED_VALUE"""),"p")</f>
        <v>p</v>
      </c>
      <c r="M84" s="61">
        <f ca="1">IFERROR(__xludf.DUMMYFUNCTION("""COMPUTED_VALUE"""),160.7)</f>
        <v>160.69999999999999</v>
      </c>
      <c r="N84" s="60" t="str">
        <f ca="1">IFERROR(__xludf.DUMMYFUNCTION("""COMPUTED_VALUE"""),"p")</f>
        <v>p</v>
      </c>
      <c r="O84" s="61">
        <f ca="1">IFERROR(__xludf.DUMMYFUNCTION("""COMPUTED_VALUE"""),126.6)</f>
        <v>126.6</v>
      </c>
      <c r="P84" s="42"/>
      <c r="Q84" s="75" t="b">
        <f ca="1">IFERROR(__xludf.DUMMYFUNCTION("""COMPUTED_VALUE"""),FALSE)</f>
        <v>0</v>
      </c>
      <c r="R84" s="75" t="b">
        <f ca="1">IFERROR(__xludf.DUMMYFUNCTION("""COMPUTED_VALUE"""),FALSE)</f>
        <v>0</v>
      </c>
      <c r="S84" s="75" t="b">
        <f ca="1">IFERROR(__xludf.DUMMYFUNCTION("""COMPUTED_VALUE"""),FALSE)</f>
        <v>0</v>
      </c>
      <c r="T84" s="75" t="b">
        <f ca="1">IFERROR(__xludf.DUMMYFUNCTION("""COMPUTED_VALUE"""),FALSE)</f>
        <v>0</v>
      </c>
      <c r="U84" s="80">
        <f ca="1">IFERROR(__xludf.DUMMYFUNCTION("""COMPUTED_VALUE"""),35)</f>
        <v>35</v>
      </c>
      <c r="V84" s="40">
        <f ca="1">IFERROR(__xludf.DUMMYFUNCTION("""COMPUTED_VALUE"""),0)</f>
        <v>0</v>
      </c>
      <c r="W84" s="81">
        <f ca="1">IFERROR(__xludf.DUMMYFUNCTION("""COMPUTED_VALUE"""),602)</f>
        <v>602</v>
      </c>
      <c r="X84" s="40">
        <f ca="1">IFERROR(__xludf.DUMMYFUNCTION("""COMPUTED_VALUE"""),1989)</f>
        <v>1989</v>
      </c>
      <c r="Y84" s="337" t="str">
        <f ca="1">IFERROR(__xludf.DUMMYFUNCTION("""COMPUTED_VALUE"""),"https://www.meetings-conventions.com/Meeting-Event-Venues/Hong-Kong-Hong-Kong/Convention-Hotel/JW-Marriott-Hotel-Hong-Kong-p2128715")</f>
        <v>https://www.meetings-conventions.com/Meeting-Event-Venues/Hong-Kong-Hong-Kong/Convention-Hotel/JW-Marriott-Hotel-Hong-Kong-p2128715</v>
      </c>
      <c r="Z84" s="66" t="s">
        <v>1830</v>
      </c>
    </row>
    <row r="85" spans="1:26" ht="15.75" customHeight="1">
      <c r="A85" s="39" t="str">
        <f ca="1">IFERROR(__xludf.DUMMYFUNCTION("""COMPUTED_VALUE"""),"E7SW")</f>
        <v>E7SW</v>
      </c>
      <c r="B85" s="73">
        <f ca="1">IFERROR(__xludf.DUMMYFUNCTION("""COMPUTED_VALUE"""),7)</f>
        <v>7</v>
      </c>
      <c r="C85" s="79" t="str">
        <f ca="1">IFERROR(__xludf.DUMMYFUNCTION("""COMPUTED_VALUE"""),"SW")</f>
        <v>SW</v>
      </c>
      <c r="D85" s="334">
        <f ca="1">IFERROR(__xludf.DUMMYFUNCTION("""COMPUTED_VALUE"""),1600)</f>
        <v>1600</v>
      </c>
      <c r="E85" s="79"/>
      <c r="F85" s="79"/>
      <c r="G85" s="41" t="str">
        <f ca="1">IFERROR(__xludf.DUMMYFUNCTION("""COMPUTED_VALUE"""),"Flyover")</f>
        <v>Flyover</v>
      </c>
      <c r="H85" s="60"/>
      <c r="I85" s="60"/>
      <c r="J85" s="60"/>
      <c r="K85" s="61"/>
      <c r="L85" s="60"/>
      <c r="M85" s="61"/>
      <c r="N85" s="60"/>
      <c r="O85" s="61"/>
      <c r="P85" s="42" t="str">
        <f ca="1">IFERROR(__xludf.DUMMYFUNCTION("""COMPUTED_VALUE"""),"no building ")</f>
        <v xml:space="preserve">no building </v>
      </c>
      <c r="Q85" s="75" t="b">
        <f ca="1">IFERROR(__xludf.DUMMYFUNCTION("""COMPUTED_VALUE"""),TRUE)</f>
        <v>1</v>
      </c>
      <c r="R85" s="75" t="b">
        <f ca="1">IFERROR(__xludf.DUMMYFUNCTION("""COMPUTED_VALUE"""),TRUE)</f>
        <v>1</v>
      </c>
      <c r="S85" s="75" t="b">
        <f ca="1">IFERROR(__xludf.DUMMYFUNCTION("""COMPUTED_VALUE"""),FALSE)</f>
        <v>0</v>
      </c>
      <c r="T85" s="75" t="b">
        <f ca="1">IFERROR(__xludf.DUMMYFUNCTION("""COMPUTED_VALUE"""),TRUE)</f>
        <v>1</v>
      </c>
      <c r="U85" s="80">
        <f ca="1">IFERROR(__xludf.DUMMYFUNCTION("""COMPUTED_VALUE"""),0)</f>
        <v>0</v>
      </c>
      <c r="V85" s="40"/>
      <c r="W85" s="81"/>
      <c r="X85" s="40"/>
      <c r="Y85" s="40"/>
      <c r="Z85" s="66" t="s">
        <v>556</v>
      </c>
    </row>
    <row r="86" spans="1:26" ht="15.75" customHeight="1">
      <c r="A86" s="39" t="str">
        <f ca="1">IFERROR(__xludf.DUMMYFUNCTION("""COMPUTED_VALUE"""),"E7NW")</f>
        <v>E7NW</v>
      </c>
      <c r="B86" s="73">
        <f ca="1">IFERROR(__xludf.DUMMYFUNCTION("""COMPUTED_VALUE"""),7)</f>
        <v>7</v>
      </c>
      <c r="C86" s="79" t="str">
        <f ca="1">IFERROR(__xludf.DUMMYFUNCTION("""COMPUTED_VALUE"""),"NW")</f>
        <v>NW</v>
      </c>
      <c r="D86" s="334">
        <f ca="1">IFERROR(__xludf.DUMMYFUNCTION("""COMPUTED_VALUE"""),1600)</f>
        <v>1600</v>
      </c>
      <c r="E86" s="79" t="str">
        <f ca="1">IFERROR(__xludf.DUMMYFUNCTION("""COMPUTED_VALUE"""),"3529215500T20050430")</f>
        <v>3529215500T20050430</v>
      </c>
      <c r="F86" s="79">
        <f ca="1">IFERROR(__xludf.DUMMYFUNCTION("""COMPUTED_VALUE"""),1103128050)</f>
        <v>1103128050</v>
      </c>
      <c r="G86" s="41" t="str">
        <f ca="1">IFERROR(__xludf.DUMMYFUNCTION("""COMPUTED_VALUE"""),"Arsenal House (West Wing)")</f>
        <v>Arsenal House (West Wing)</v>
      </c>
      <c r="H86" s="60" t="str">
        <f ca="1">IFERROR(__xludf.DUMMYFUNCTION("""COMPUTED_VALUE"""),"警政大樓西翼")</f>
        <v>警政大樓西翼</v>
      </c>
      <c r="I86" s="60">
        <f ca="1">IFERROR(__xludf.DUMMYFUNCTION("""COMPUTED_VALUE"""),114.167421)</f>
        <v>114.167421</v>
      </c>
      <c r="J86" s="60">
        <f ca="1">IFERROR(__xludf.DUMMYFUNCTION("""COMPUTED_VALUE"""),22.2783826)</f>
        <v>22.2783826</v>
      </c>
      <c r="K86" s="61">
        <f ca="1">IFERROR(__xludf.DUMMYFUNCTION("""COMPUTED_VALUE"""),4)</f>
        <v>4</v>
      </c>
      <c r="L86" s="60" t="str">
        <f ca="1">IFERROR(__xludf.DUMMYFUNCTION("""COMPUTED_VALUE"""),"l")</f>
        <v>l</v>
      </c>
      <c r="M86" s="61">
        <f ca="1">IFERROR(__xludf.DUMMYFUNCTION("""COMPUTED_VALUE"""),129.9)</f>
        <v>129.9</v>
      </c>
      <c r="N86" s="60" t="str">
        <f ca="1">IFERROR(__xludf.DUMMYFUNCTION("""COMPUTED_VALUE"""),"t")</f>
        <v>t</v>
      </c>
      <c r="O86" s="61">
        <f ca="1">IFERROR(__xludf.DUMMYFUNCTION("""COMPUTED_VALUE"""),125.9)</f>
        <v>125.9</v>
      </c>
      <c r="P86" s="42" t="str">
        <f ca="1">IFERROR(__xludf.DUMMYFUNCTION("""COMPUTED_VALUE"""),"government building (Police HQ)")</f>
        <v>government building (Police HQ)</v>
      </c>
      <c r="Q86" s="75" t="b">
        <f ca="1">IFERROR(__xludf.DUMMYFUNCTION("""COMPUTED_VALUE"""),FALSE)</f>
        <v>0</v>
      </c>
      <c r="R86" s="75" t="b">
        <f ca="1">IFERROR(__xludf.DUMMYFUNCTION("""COMPUTED_VALUE"""),TRUE)</f>
        <v>1</v>
      </c>
      <c r="S86" s="75" t="b">
        <f ca="1">IFERROR(__xludf.DUMMYFUNCTION("""COMPUTED_VALUE"""),FALSE)</f>
        <v>0</v>
      </c>
      <c r="T86" s="75" t="b">
        <f ca="1">IFERROR(__xludf.DUMMYFUNCTION("""COMPUTED_VALUE"""),FALSE)</f>
        <v>0</v>
      </c>
      <c r="U86" s="80">
        <f ca="1">IFERROR(__xludf.DUMMYFUNCTION("""COMPUTED_VALUE"""),35)</f>
        <v>35</v>
      </c>
      <c r="V86" s="40"/>
      <c r="W86" s="81"/>
      <c r="X86" s="40">
        <f ca="1">IFERROR(__xludf.DUMMYFUNCTION("""COMPUTED_VALUE"""),1996)</f>
        <v>1996</v>
      </c>
      <c r="Y86" s="337" t="str">
        <f ca="1">IFERROR(__xludf.DUMMYFUNCTION("""COMPUTED_VALUE"""),"https://www.skyscrapercenter.com/building/arsenal-house-west-wing/21314")</f>
        <v>https://www.skyscrapercenter.com/building/arsenal-house-west-wing/21314</v>
      </c>
      <c r="Z86" s="66" t="s">
        <v>1843</v>
      </c>
    </row>
    <row r="87" spans="1:26" ht="15.75" customHeight="1">
      <c r="A87" s="39" t="str">
        <f ca="1">IFERROR(__xludf.DUMMYFUNCTION("""COMPUTED_VALUE"""),"W7NE")</f>
        <v>W7NE</v>
      </c>
      <c r="B87" s="73">
        <f ca="1">IFERROR(__xludf.DUMMYFUNCTION("""COMPUTED_VALUE"""),7)</f>
        <v>7</v>
      </c>
      <c r="C87" s="79" t="str">
        <f ca="1">IFERROR(__xludf.DUMMYFUNCTION("""COMPUTED_VALUE"""),"NE")</f>
        <v>NE</v>
      </c>
      <c r="D87" s="334">
        <f ca="1">IFERROR(__xludf.DUMMYFUNCTION("""COMPUTED_VALUE"""),1600)</f>
        <v>1600</v>
      </c>
      <c r="E87" s="79"/>
      <c r="F87" s="79"/>
      <c r="G87" s="41"/>
      <c r="H87" s="60"/>
      <c r="I87" s="60"/>
      <c r="J87" s="60"/>
      <c r="K87" s="61"/>
      <c r="L87" s="60"/>
      <c r="M87" s="61"/>
      <c r="N87" s="60"/>
      <c r="O87" s="61"/>
      <c r="P87" s="42"/>
      <c r="Q87" s="75" t="b">
        <f ca="1">IFERROR(__xludf.DUMMYFUNCTION("""COMPUTED_VALUE"""),TRUE)</f>
        <v>1</v>
      </c>
      <c r="R87" s="75" t="b">
        <f ca="1">IFERROR(__xludf.DUMMYFUNCTION("""COMPUTED_VALUE"""),FALSE)</f>
        <v>0</v>
      </c>
      <c r="S87" s="75" t="b">
        <f ca="1">IFERROR(__xludf.DUMMYFUNCTION("""COMPUTED_VALUE"""),FALSE)</f>
        <v>0</v>
      </c>
      <c r="T87" s="75" t="b">
        <f ca="1">IFERROR(__xludf.DUMMYFUNCTION("""COMPUTED_VALUE"""),TRUE)</f>
        <v>1</v>
      </c>
      <c r="U87" s="80">
        <f ca="1">IFERROR(__xludf.DUMMYFUNCTION("""COMPUTED_VALUE"""),0)</f>
        <v>0</v>
      </c>
      <c r="V87" s="40"/>
      <c r="W87" s="81"/>
      <c r="X87" s="40"/>
      <c r="Y87" s="40"/>
      <c r="Z87" s="66" t="s">
        <v>556</v>
      </c>
    </row>
    <row r="88" spans="1:26" ht="15.75" customHeight="1">
      <c r="A88" s="39" t="str">
        <f ca="1">IFERROR(__xludf.DUMMYFUNCTION("""COMPUTED_VALUE"""),"W7SE")</f>
        <v>W7SE</v>
      </c>
      <c r="B88" s="73">
        <f ca="1">IFERROR(__xludf.DUMMYFUNCTION("""COMPUTED_VALUE"""),7)</f>
        <v>7</v>
      </c>
      <c r="C88" s="79" t="str">
        <f ca="1">IFERROR(__xludf.DUMMYFUNCTION("""COMPUTED_VALUE"""),"SE")</f>
        <v>SE</v>
      </c>
      <c r="D88" s="334">
        <f ca="1">IFERROR(__xludf.DUMMYFUNCTION("""COMPUTED_VALUE"""),1600)</f>
        <v>1600</v>
      </c>
      <c r="E88" s="79" t="str">
        <f ca="1">IFERROR(__xludf.DUMMYFUNCTION("""COMPUTED_VALUE"""),"3341016523T20050430")</f>
        <v>3341016523T20050430</v>
      </c>
      <c r="F88" s="79">
        <f ca="1">IFERROR(__xludf.DUMMYFUNCTION("""COMPUTED_VALUE"""),1103121141)</f>
        <v>1103121141</v>
      </c>
      <c r="G88" s="41" t="str">
        <f ca="1">IFERROR(__xludf.DUMMYFUNCTION("""COMPUTED_VALUE"""),"Seaview Commercial Building")</f>
        <v>Seaview Commercial Building</v>
      </c>
      <c r="H88" s="60" t="str">
        <f ca="1">IFERROR(__xludf.DUMMYFUNCTION("""COMPUTED_VALUE"""),"海景商業大廈")</f>
        <v>海景商業大廈</v>
      </c>
      <c r="I88" s="60">
        <f ca="1">IFERROR(__xludf.DUMMYFUNCTION("""COMPUTED_VALUE"""),114.1491929)</f>
        <v>114.1491929</v>
      </c>
      <c r="J88" s="60">
        <f ca="1">IFERROR(__xludf.DUMMYFUNCTION("""COMPUTED_VALUE"""),22.28769993)</f>
        <v>22.287699929999999</v>
      </c>
      <c r="K88" s="61">
        <f ca="1">IFERROR(__xludf.DUMMYFUNCTION("""COMPUTED_VALUE"""),3.5)</f>
        <v>3.5</v>
      </c>
      <c r="L88" s="60" t="str">
        <f ca="1">IFERROR(__xludf.DUMMYFUNCTION("""COMPUTED_VALUE"""),"es")</f>
        <v>es</v>
      </c>
      <c r="M88" s="61">
        <f ca="1">IFERROR(__xludf.DUMMYFUNCTION("""COMPUTED_VALUE"""),78.1)</f>
        <v>78.099999999999994</v>
      </c>
      <c r="N88" s="60" t="str">
        <f ca="1">IFERROR(__xludf.DUMMYFUNCTION("""COMPUTED_VALUE"""),"p")</f>
        <v>p</v>
      </c>
      <c r="O88" s="61">
        <f ca="1">IFERROR(__xludf.DUMMYFUNCTION("""COMPUTED_VALUE"""),74.6)</f>
        <v>74.599999999999994</v>
      </c>
      <c r="P88" s="42"/>
      <c r="Q88" s="75" t="b">
        <f ca="1">IFERROR(__xludf.DUMMYFUNCTION("""COMPUTED_VALUE"""),FALSE)</f>
        <v>0</v>
      </c>
      <c r="R88" s="75" t="b">
        <f ca="1">IFERROR(__xludf.DUMMYFUNCTION("""COMPUTED_VALUE"""),FALSE)</f>
        <v>0</v>
      </c>
      <c r="S88" s="75" t="b">
        <f ca="1">IFERROR(__xludf.DUMMYFUNCTION("""COMPUTED_VALUE"""),FALSE)</f>
        <v>0</v>
      </c>
      <c r="T88" s="75" t="b">
        <f ca="1">IFERROR(__xludf.DUMMYFUNCTION("""COMPUTED_VALUE"""),FALSE)</f>
        <v>0</v>
      </c>
      <c r="U88" s="80">
        <f ca="1">IFERROR(__xludf.DUMMYFUNCTION("""COMPUTED_VALUE"""),23)</f>
        <v>23</v>
      </c>
      <c r="V88" s="40"/>
      <c r="W88" s="81"/>
      <c r="X88" s="40"/>
      <c r="Y88" s="40" t="str">
        <f ca="1">IFERROR(__xludf.DUMMYFUNCTION("""COMPUTED_VALUE"""),"Fieldwork")</f>
        <v>Fieldwork</v>
      </c>
      <c r="Z88" s="66" t="s">
        <v>1845</v>
      </c>
    </row>
    <row r="89" spans="1:26" ht="15.75" customHeight="1">
      <c r="A89" s="39" t="str">
        <f ca="1">IFERROR(__xludf.DUMMYFUNCTION("""COMPUTED_VALUE"""),"W7SW")</f>
        <v>W7SW</v>
      </c>
      <c r="B89" s="73">
        <f ca="1">IFERROR(__xludf.DUMMYFUNCTION("""COMPUTED_VALUE"""),7)</f>
        <v>7</v>
      </c>
      <c r="C89" s="79" t="str">
        <f ca="1">IFERROR(__xludf.DUMMYFUNCTION("""COMPUTED_VALUE"""),"SW")</f>
        <v>SW</v>
      </c>
      <c r="D89" s="334">
        <f ca="1">IFERROR(__xludf.DUMMYFUNCTION("""COMPUTED_VALUE"""),1600)</f>
        <v>1600</v>
      </c>
      <c r="E89" s="79" t="str">
        <f ca="1">IFERROR(__xludf.DUMMYFUNCTION("""COMPUTED_VALUE"""),"3336316548T20050430")</f>
        <v>3336316548T20050430</v>
      </c>
      <c r="F89" s="79">
        <f ca="1">IFERROR(__xludf.DUMMYFUNCTION("""COMPUTED_VALUE"""),1103121112)</f>
        <v>1103121112</v>
      </c>
      <c r="G89" s="41" t="str">
        <f ca="1">IFERROR(__xludf.DUMMYFUNCTION("""COMPUTED_VALUE"""),"Connaught Harbourfront House")</f>
        <v>Connaught Harbourfront House</v>
      </c>
      <c r="H89" s="60" t="str">
        <f ca="1">IFERROR(__xludf.DUMMYFUNCTION("""COMPUTED_VALUE"""),"香港康諾維港大廈")</f>
        <v>香港康諾維港大廈</v>
      </c>
      <c r="I89" s="60">
        <f ca="1">IFERROR(__xludf.DUMMYFUNCTION("""COMPUTED_VALUE"""),114.1486856)</f>
        <v>114.14868559999999</v>
      </c>
      <c r="J89" s="60">
        <f ca="1">IFERROR(__xludf.DUMMYFUNCTION("""COMPUTED_VALUE"""),22.28781455)</f>
        <v>22.28781455</v>
      </c>
      <c r="K89" s="61">
        <f ca="1">IFERROR(__xludf.DUMMYFUNCTION("""COMPUTED_VALUE"""),3.4)</f>
        <v>3.4</v>
      </c>
      <c r="L89" s="60" t="str">
        <f ca="1">IFERROR(__xludf.DUMMYFUNCTION("""COMPUTED_VALUE"""),"es")</f>
        <v>es</v>
      </c>
      <c r="M89" s="61">
        <f ca="1">IFERROR(__xludf.DUMMYFUNCTION("""COMPUTED_VALUE"""),78.4)</f>
        <v>78.400000000000006</v>
      </c>
      <c r="N89" s="60" t="str">
        <f ca="1">IFERROR(__xludf.DUMMYFUNCTION("""COMPUTED_VALUE"""),"3")</f>
        <v>3</v>
      </c>
      <c r="O89" s="61">
        <f ca="1">IFERROR(__xludf.DUMMYFUNCTION("""COMPUTED_VALUE"""),75)</f>
        <v>75</v>
      </c>
      <c r="P89" s="42"/>
      <c r="Q89" s="75" t="b">
        <f ca="1">IFERROR(__xludf.DUMMYFUNCTION("""COMPUTED_VALUE"""),FALSE)</f>
        <v>0</v>
      </c>
      <c r="R89" s="75" t="b">
        <f ca="1">IFERROR(__xludf.DUMMYFUNCTION("""COMPUTED_VALUE"""),FALSE)</f>
        <v>0</v>
      </c>
      <c r="S89" s="75" t="b">
        <f ca="1">IFERROR(__xludf.DUMMYFUNCTION("""COMPUTED_VALUE"""),FALSE)</f>
        <v>0</v>
      </c>
      <c r="T89" s="75" t="b">
        <f ca="1">IFERROR(__xludf.DUMMYFUNCTION("""COMPUTED_VALUE"""),FALSE)</f>
        <v>0</v>
      </c>
      <c r="U89" s="80">
        <f ca="1">IFERROR(__xludf.DUMMYFUNCTION("""COMPUTED_VALUE"""),22)</f>
        <v>22</v>
      </c>
      <c r="V89" s="40"/>
      <c r="W89" s="81"/>
      <c r="X89" s="40"/>
      <c r="Y89" s="40" t="str">
        <f ca="1">IFERROR(__xludf.DUMMYFUNCTION("""COMPUTED_VALUE"""),"Fieldwork")</f>
        <v>Fieldwork</v>
      </c>
      <c r="Z89" s="66" t="s">
        <v>1846</v>
      </c>
    </row>
    <row r="90" spans="1:26" ht="15.75" customHeight="1">
      <c r="A90" s="39" t="str">
        <f ca="1">IFERROR(__xludf.DUMMYFUNCTION("""COMPUTED_VALUE"""),"W7NW")</f>
        <v>W7NW</v>
      </c>
      <c r="B90" s="73">
        <f ca="1">IFERROR(__xludf.DUMMYFUNCTION("""COMPUTED_VALUE"""),7)</f>
        <v>7</v>
      </c>
      <c r="C90" s="79" t="str">
        <f ca="1">IFERROR(__xludf.DUMMYFUNCTION("""COMPUTED_VALUE"""),"NW")</f>
        <v>NW</v>
      </c>
      <c r="D90" s="334">
        <f ca="1">IFERROR(__xludf.DUMMYFUNCTION("""COMPUTED_VALUE"""),1600)</f>
        <v>1600</v>
      </c>
      <c r="E90" s="79"/>
      <c r="F90" s="79"/>
      <c r="G90" s="41"/>
      <c r="H90" s="60"/>
      <c r="I90" s="60"/>
      <c r="J90" s="60"/>
      <c r="K90" s="61"/>
      <c r="L90" s="60"/>
      <c r="M90" s="61"/>
      <c r="N90" s="60"/>
      <c r="O90" s="61"/>
      <c r="P90" s="42"/>
      <c r="Q90" s="75" t="b">
        <f ca="1">IFERROR(__xludf.DUMMYFUNCTION("""COMPUTED_VALUE"""),TRUE)</f>
        <v>1</v>
      </c>
      <c r="R90" s="75" t="b">
        <f ca="1">IFERROR(__xludf.DUMMYFUNCTION("""COMPUTED_VALUE"""),FALSE)</f>
        <v>0</v>
      </c>
      <c r="S90" s="75" t="b">
        <f ca="1">IFERROR(__xludf.DUMMYFUNCTION("""COMPUTED_VALUE"""),FALSE)</f>
        <v>0</v>
      </c>
      <c r="T90" s="75" t="b">
        <f ca="1">IFERROR(__xludf.DUMMYFUNCTION("""COMPUTED_VALUE"""),TRUE)</f>
        <v>1</v>
      </c>
      <c r="U90" s="80">
        <f ca="1">IFERROR(__xludf.DUMMYFUNCTION("""COMPUTED_VALUE"""),0)</f>
        <v>0</v>
      </c>
      <c r="V90" s="40"/>
      <c r="W90" s="81"/>
      <c r="X90" s="40"/>
      <c r="Y90" s="40"/>
      <c r="Z90" s="66" t="s">
        <v>556</v>
      </c>
    </row>
    <row r="91" spans="1:26" ht="15.75" customHeight="1">
      <c r="A91" s="39" t="str">
        <f ca="1">IFERROR(__xludf.DUMMYFUNCTION("""COMPUTED_VALUE"""),"N0NE")</f>
        <v>N0NE</v>
      </c>
      <c r="B91" s="73">
        <f ca="1">IFERROR(__xludf.DUMMYFUNCTION("""COMPUTED_VALUE"""),0)</f>
        <v>0</v>
      </c>
      <c r="C91" s="79" t="str">
        <f ca="1">IFERROR(__xludf.DUMMYFUNCTION("""COMPUTED_VALUE"""),"NE")</f>
        <v>NE</v>
      </c>
      <c r="D91" s="334">
        <f ca="1">IFERROR(__xludf.DUMMYFUNCTION("""COMPUTED_VALUE"""),1800)</f>
        <v>1800</v>
      </c>
      <c r="E91" s="79" t="str">
        <f ca="1">IFERROR(__xludf.DUMMYFUNCTION("""COMPUTED_VALUE"""),"3582017442T20050430")</f>
        <v>3582017442T20050430</v>
      </c>
      <c r="F91" s="79">
        <f ca="1">IFERROR(__xludf.DUMMYFUNCTION("""COMPUTED_VALUE"""),1108244238)</f>
        <v>1108244238</v>
      </c>
      <c r="G91" s="41" t="str">
        <f ca="1">IFERROR(__xludf.DUMMYFUNCTION("""COMPUTED_VALUE"""),"26 Nathan Road")</f>
        <v>26 Nathan Road</v>
      </c>
      <c r="H91" s="60" t="str">
        <f ca="1">IFERROR(__xludf.DUMMYFUNCTION("""COMPUTED_VALUE"""),"彌敦道２６號")</f>
        <v>彌敦道２６號</v>
      </c>
      <c r="I91" s="60">
        <f ca="1">IFERROR(__xludf.DUMMYFUNCTION("""COMPUTED_VALUE"""),114.1725788)</f>
        <v>114.1725788</v>
      </c>
      <c r="J91" s="60">
        <f ca="1">IFERROR(__xludf.DUMMYFUNCTION("""COMPUTED_VALUE"""),22.29587316)</f>
        <v>22.295873159999999</v>
      </c>
      <c r="K91" s="61">
        <f ca="1">IFERROR(__xludf.DUMMYFUNCTION("""COMPUTED_VALUE"""),3.7)</f>
        <v>3.7</v>
      </c>
      <c r="L91" s="60" t="str">
        <f ca="1">IFERROR(__xludf.DUMMYFUNCTION("""COMPUTED_VALUE"""),"e")</f>
        <v>e</v>
      </c>
      <c r="M91" s="61">
        <f ca="1">IFERROR(__xludf.DUMMYFUNCTION("""COMPUTED_VALUE"""),113.400002)</f>
        <v>113.400002</v>
      </c>
      <c r="N91" s="60" t="str">
        <f ca="1">IFERROR(__xludf.DUMMYFUNCTION("""COMPUTED_VALUE"""),"p")</f>
        <v>p</v>
      </c>
      <c r="O91" s="61">
        <f ca="1">IFERROR(__xludf.DUMMYFUNCTION("""COMPUTED_VALUE"""),109.700002)</f>
        <v>109.700002</v>
      </c>
      <c r="P91" s="42"/>
      <c r="Q91" s="75" t="b">
        <f ca="1">IFERROR(__xludf.DUMMYFUNCTION("""COMPUTED_VALUE"""),FALSE)</f>
        <v>0</v>
      </c>
      <c r="R91" s="75" t="b">
        <f ca="1">IFERROR(__xludf.DUMMYFUNCTION("""COMPUTED_VALUE"""),FALSE)</f>
        <v>0</v>
      </c>
      <c r="S91" s="75" t="b">
        <f ca="1">IFERROR(__xludf.DUMMYFUNCTION("""COMPUTED_VALUE"""),FALSE)</f>
        <v>0</v>
      </c>
      <c r="T91" s="75"/>
      <c r="U91" s="80">
        <f ca="1">IFERROR(__xludf.DUMMYFUNCTION("""COMPUTED_VALUE"""),28)</f>
        <v>28</v>
      </c>
      <c r="V91" s="40">
        <f ca="1">IFERROR(__xludf.DUMMYFUNCTION("""COMPUTED_VALUE"""),0)</f>
        <v>0</v>
      </c>
      <c r="W91" s="81">
        <f ca="1">IFERROR(__xludf.DUMMYFUNCTION("""COMPUTED_VALUE"""),26)</f>
        <v>26</v>
      </c>
      <c r="X91" s="40">
        <f ca="1">IFERROR(__xludf.DUMMYFUNCTION("""COMPUTED_VALUE"""),1998)</f>
        <v>1998</v>
      </c>
      <c r="Y91" s="40" t="str">
        <f ca="1">IFERROR(__xludf.DUMMYFUNCTION("""COMPUTED_VALUE"""),"BMIS_auto")</f>
        <v>BMIS_auto</v>
      </c>
      <c r="Z91" s="66" t="s">
        <v>112</v>
      </c>
    </row>
    <row r="92" spans="1:26" ht="15.75" customHeight="1">
      <c r="A92" s="39" t="str">
        <f ca="1">IFERROR(__xludf.DUMMYFUNCTION("""COMPUTED_VALUE"""),"N0SE")</f>
        <v>N0SE</v>
      </c>
      <c r="B92" s="73">
        <f ca="1">IFERROR(__xludf.DUMMYFUNCTION("""COMPUTED_VALUE"""),0)</f>
        <v>0</v>
      </c>
      <c r="C92" s="79" t="str">
        <f ca="1">IFERROR(__xludf.DUMMYFUNCTION("""COMPUTED_VALUE"""),"SE")</f>
        <v>SE</v>
      </c>
      <c r="D92" s="334">
        <f ca="1">IFERROR(__xludf.DUMMYFUNCTION("""COMPUTED_VALUE"""),1800)</f>
        <v>1800</v>
      </c>
      <c r="E92" s="79" t="str">
        <f ca="1">IFERROR(__xludf.DUMMYFUNCTION("""COMPUTED_VALUE"""),"3584117371T20050430")</f>
        <v>3584117371T20050430</v>
      </c>
      <c r="F92" s="79">
        <f ca="1">IFERROR(__xludf.DUMMYFUNCTION("""COMPUTED_VALUE"""),1108244285)</f>
        <v>1108244285</v>
      </c>
      <c r="G92" s="41" t="str">
        <f ca="1">IFERROR(__xludf.DUMMYFUNCTION("""COMPUTED_VALUE"""),"Sheraton Hong Kong Hotel &amp; Towers")</f>
        <v>Sheraton Hong Kong Hotel &amp; Towers</v>
      </c>
      <c r="H92" s="60" t="str">
        <f ca="1">IFERROR(__xludf.DUMMYFUNCTION("""COMPUTED_VALUE"""),"香港喜來登酒店")</f>
        <v>香港喜來登酒店</v>
      </c>
      <c r="I92" s="60">
        <f ca="1">IFERROR(__xludf.DUMMYFUNCTION("""COMPUTED_VALUE"""),114.172826)</f>
        <v>114.172826</v>
      </c>
      <c r="J92" s="60">
        <f ca="1">IFERROR(__xludf.DUMMYFUNCTION("""COMPUTED_VALUE"""),22.29519842)</f>
        <v>22.295198419999998</v>
      </c>
      <c r="K92" s="61">
        <f ca="1">IFERROR(__xludf.DUMMYFUNCTION("""COMPUTED_VALUE"""),19.6)</f>
        <v>19.600000000000001</v>
      </c>
      <c r="L92" s="60" t="str">
        <f ca="1">IFERROR(__xludf.DUMMYFUNCTION("""COMPUTED_VALUE"""),"e")</f>
        <v>e</v>
      </c>
      <c r="M92" s="61">
        <f ca="1">IFERROR(__xludf.DUMMYFUNCTION("""COMPUTED_VALUE"""),60.599998)</f>
        <v>60.599997999999999</v>
      </c>
      <c r="N92" s="60" t="str">
        <f ca="1">IFERROR(__xludf.DUMMYFUNCTION("""COMPUTED_VALUE"""),"p")</f>
        <v>p</v>
      </c>
      <c r="O92" s="61">
        <f ca="1">IFERROR(__xludf.DUMMYFUNCTION("""COMPUTED_VALUE"""),40.999998)</f>
        <v>40.999997999999998</v>
      </c>
      <c r="P92" s="42"/>
      <c r="Q92" s="75" t="b">
        <f ca="1">IFERROR(__xludf.DUMMYFUNCTION("""COMPUTED_VALUE"""),FALSE)</f>
        <v>0</v>
      </c>
      <c r="R92" s="75" t="b">
        <f ca="1">IFERROR(__xludf.DUMMYFUNCTION("""COMPUTED_VALUE"""),FALSE)</f>
        <v>0</v>
      </c>
      <c r="S92" s="75" t="b">
        <f ca="1">IFERROR(__xludf.DUMMYFUNCTION("""COMPUTED_VALUE"""),FALSE)</f>
        <v>0</v>
      </c>
      <c r="T92" s="75"/>
      <c r="U92" s="80">
        <f ca="1">IFERROR(__xludf.DUMMYFUNCTION("""COMPUTED_VALUE"""),18)</f>
        <v>18</v>
      </c>
      <c r="V92" s="40"/>
      <c r="W92" s="81"/>
      <c r="X92" s="40"/>
      <c r="Y92" s="40" t="str">
        <f ca="1">IFERROR(__xludf.DUMMYFUNCTION("""COMPUTED_VALUE"""),"Google Earth+Web")</f>
        <v>Google Earth+Web</v>
      </c>
      <c r="Z92" s="66" t="s">
        <v>1850</v>
      </c>
    </row>
    <row r="93" spans="1:26" ht="15.75" customHeight="1">
      <c r="A93" s="39" t="str">
        <f ca="1">IFERROR(__xludf.DUMMYFUNCTION("""COMPUTED_VALUE"""),"N0SW")</f>
        <v>N0SW</v>
      </c>
      <c r="B93" s="73">
        <f ca="1">IFERROR(__xludf.DUMMYFUNCTION("""COMPUTED_VALUE"""),0)</f>
        <v>0</v>
      </c>
      <c r="C93" s="79" t="str">
        <f ca="1">IFERROR(__xludf.DUMMYFUNCTION("""COMPUTED_VALUE"""),"SW")</f>
        <v>SW</v>
      </c>
      <c r="D93" s="334">
        <f ca="1">IFERROR(__xludf.DUMMYFUNCTION("""COMPUTED_VALUE"""),1800)</f>
        <v>1800</v>
      </c>
      <c r="E93" s="79" t="str">
        <f ca="1">IFERROR(__xludf.DUMMYFUNCTION("""COMPUTED_VALUE"""),"3574217371T20050430")</f>
        <v>3574217371T20050430</v>
      </c>
      <c r="F93" s="79"/>
      <c r="G93" s="41" t="str">
        <f ca="1">IFERROR(__xludf.DUMMYFUNCTION("""COMPUTED_VALUE"""),"The Peninsula Hotel Office Tower")</f>
        <v>The Peninsula Hotel Office Tower</v>
      </c>
      <c r="H93" s="60" t="str">
        <f ca="1">IFERROR(__xludf.DUMMYFUNCTION("""COMPUTED_VALUE"""),"半島酒店")</f>
        <v>半島酒店</v>
      </c>
      <c r="I93" s="60">
        <f ca="1">IFERROR(__xludf.DUMMYFUNCTION("""COMPUTED_VALUE"""),114.1717747)</f>
        <v>114.1717747</v>
      </c>
      <c r="J93" s="60">
        <f ca="1">IFERROR(__xludf.DUMMYFUNCTION("""COMPUTED_VALUE"""),22.29522526)</f>
        <v>22.295225259999999</v>
      </c>
      <c r="K93" s="61">
        <f ca="1">IFERROR(__xludf.DUMMYFUNCTION("""COMPUTED_VALUE"""),3.2)</f>
        <v>3.2</v>
      </c>
      <c r="L93" s="60" t="str">
        <f ca="1">IFERROR(__xludf.DUMMYFUNCTION("""COMPUTED_VALUE"""),"l")</f>
        <v>l</v>
      </c>
      <c r="M93" s="61">
        <f ca="1">IFERROR(__xludf.DUMMYFUNCTION("""COMPUTED_VALUE"""),120)</f>
        <v>120</v>
      </c>
      <c r="N93" s="60" t="str">
        <f ca="1">IFERROR(__xludf.DUMMYFUNCTION("""COMPUTED_VALUE"""),"e")</f>
        <v>e</v>
      </c>
      <c r="O93" s="61">
        <f ca="1">IFERROR(__xludf.DUMMYFUNCTION("""COMPUTED_VALUE"""),116.8)</f>
        <v>116.8</v>
      </c>
      <c r="P93" s="42"/>
      <c r="Q93" s="75" t="b">
        <f ca="1">IFERROR(__xludf.DUMMYFUNCTION("""COMPUTED_VALUE"""),FALSE)</f>
        <v>0</v>
      </c>
      <c r="R93" s="75" t="b">
        <f ca="1">IFERROR(__xludf.DUMMYFUNCTION("""COMPUTED_VALUE"""),FALSE)</f>
        <v>0</v>
      </c>
      <c r="S93" s="75" t="b">
        <f ca="1">IFERROR(__xludf.DUMMYFUNCTION("""COMPUTED_VALUE"""),FALSE)</f>
        <v>0</v>
      </c>
      <c r="T93" s="75"/>
      <c r="U93" s="80">
        <f ca="1">IFERROR(__xludf.DUMMYFUNCTION("""COMPUTED_VALUE"""),30)</f>
        <v>30</v>
      </c>
      <c r="V93" s="40"/>
      <c r="W93" s="81"/>
      <c r="X93" s="40"/>
      <c r="Y93" s="40" t="str">
        <f ca="1">IFERROR(__xludf.DUMMYFUNCTION("""COMPUTED_VALUE"""),"Google Earth+Web")</f>
        <v>Google Earth+Web</v>
      </c>
      <c r="Z93" s="66" t="s">
        <v>1852</v>
      </c>
    </row>
    <row r="94" spans="1:26" ht="15.75" customHeight="1">
      <c r="A94" s="83" t="str">
        <f ca="1">IFERROR(__xludf.DUMMYFUNCTION("""COMPUTED_VALUE"""),"N0NW")</f>
        <v>N0NW</v>
      </c>
      <c r="B94" s="84">
        <f ca="1">IFERROR(__xludf.DUMMYFUNCTION("""COMPUTED_VALUE"""),0)</f>
        <v>0</v>
      </c>
      <c r="C94" s="84" t="str">
        <f ca="1">IFERROR(__xludf.DUMMYFUNCTION("""COMPUTED_VALUE"""),"NW")</f>
        <v>NW</v>
      </c>
      <c r="D94" s="334">
        <f ca="1">IFERROR(__xludf.DUMMYFUNCTION("""COMPUTED_VALUE"""),1800)</f>
        <v>1800</v>
      </c>
      <c r="E94" s="84" t="str">
        <f ca="1">IFERROR(__xludf.DUMMYFUNCTION("""COMPUTED_VALUE"""),"3571817422T20050430")</f>
        <v>3571817422T20050430</v>
      </c>
      <c r="F94" s="84">
        <f ca="1">IFERROR(__xludf.DUMMYFUNCTION("""COMPUTED_VALUE"""),1108244258)</f>
        <v>1108244258</v>
      </c>
      <c r="G94" s="83" t="str">
        <f ca="1">IFERROR(__xludf.DUMMYFUNCTION("""COMPUTED_VALUE"""),"The Kowloon Hotel")</f>
        <v>The Kowloon Hotel</v>
      </c>
      <c r="H94" s="60" t="str">
        <f ca="1">IFERROR(__xludf.DUMMYFUNCTION("""COMPUTED_VALUE"""),"九龍酒店")</f>
        <v>九龍酒店</v>
      </c>
      <c r="I94" s="60">
        <f ca="1">IFERROR(__xludf.DUMMYFUNCTION("""COMPUTED_VALUE"""),114.1717514)</f>
        <v>114.17175140000001</v>
      </c>
      <c r="J94" s="60">
        <f ca="1">IFERROR(__xludf.DUMMYFUNCTION("""COMPUTED_VALUE"""),22.29578211)</f>
        <v>22.295782110000001</v>
      </c>
      <c r="K94" s="61">
        <f ca="1">IFERROR(__xludf.DUMMYFUNCTION("""COMPUTED_VALUE"""),3.8)</f>
        <v>3.8</v>
      </c>
      <c r="L94" s="60" t="str">
        <f ca="1">IFERROR(__xludf.DUMMYFUNCTION("""COMPUTED_VALUE"""),"e")</f>
        <v>e</v>
      </c>
      <c r="M94" s="61">
        <f ca="1">IFERROR(__xludf.DUMMYFUNCTION("""COMPUTED_VALUE"""),60.5)</f>
        <v>60.5</v>
      </c>
      <c r="N94" s="60" t="str">
        <f ca="1">IFERROR(__xludf.DUMMYFUNCTION("""COMPUTED_VALUE"""),"3")</f>
        <v>3</v>
      </c>
      <c r="O94" s="61">
        <f ca="1">IFERROR(__xludf.DUMMYFUNCTION("""COMPUTED_VALUE"""),56.7)</f>
        <v>56.7</v>
      </c>
      <c r="P94" s="85"/>
      <c r="Q94" s="75" t="b">
        <f ca="1">IFERROR(__xludf.DUMMYFUNCTION("""COMPUTED_VALUE"""),FALSE)</f>
        <v>0</v>
      </c>
      <c r="R94" s="75" t="b">
        <f ca="1">IFERROR(__xludf.DUMMYFUNCTION("""COMPUTED_VALUE"""),FALSE)</f>
        <v>0</v>
      </c>
      <c r="S94" s="75" t="b">
        <f ca="1">IFERROR(__xludf.DUMMYFUNCTION("""COMPUTED_VALUE"""),FALSE)</f>
        <v>0</v>
      </c>
      <c r="T94" s="75"/>
      <c r="U94" s="86">
        <f ca="1">IFERROR(__xludf.DUMMYFUNCTION("""COMPUTED_VALUE"""),18)</f>
        <v>18</v>
      </c>
      <c r="V94" s="84"/>
      <c r="W94" s="87"/>
      <c r="X94" s="84"/>
      <c r="Y94" s="84" t="str">
        <f ca="1">IFERROR(__xludf.DUMMYFUNCTION("""COMPUTED_VALUE"""),"11-SW-4B-19+Web")</f>
        <v>11-SW-4B-19+Web</v>
      </c>
      <c r="Z94" s="66" t="s">
        <v>1854</v>
      </c>
    </row>
    <row r="95" spans="1:26" ht="15.75" customHeight="1">
      <c r="A95" s="83" t="str">
        <f ca="1">IFERROR(__xludf.DUMMYFUNCTION("""COMPUTED_VALUE"""),"E8NE")</f>
        <v>E8NE</v>
      </c>
      <c r="B95" s="84">
        <f ca="1">IFERROR(__xludf.DUMMYFUNCTION("""COMPUTED_VALUE"""),8)</f>
        <v>8</v>
      </c>
      <c r="C95" s="84" t="str">
        <f ca="1">IFERROR(__xludf.DUMMYFUNCTION("""COMPUTED_VALUE"""),"NE")</f>
        <v>NE</v>
      </c>
      <c r="D95" s="334">
        <f ca="1">IFERROR(__xludf.DUMMYFUNCTION("""COMPUTED_VALUE"""),1800)</f>
        <v>1800</v>
      </c>
      <c r="E95" s="84" t="str">
        <f ca="1">IFERROR(__xludf.DUMMYFUNCTION("""COMPUTED_VALUE"""),"3545215413T20050430")</f>
        <v>3545215413T20050430</v>
      </c>
      <c r="F95" s="84">
        <f ca="1">IFERROR(__xludf.DUMMYFUNCTION("""COMPUTED_VALUE"""),1103128761)</f>
        <v>1103128761</v>
      </c>
      <c r="G95" s="83" t="str">
        <f ca="1">IFERROR(__xludf.DUMMYFUNCTION("""COMPUTED_VALUE"""),"OZO Wesley")</f>
        <v>OZO Wesley</v>
      </c>
      <c r="H95" s="60" t="str">
        <f ca="1">IFERROR(__xludf.DUMMYFUNCTION("""COMPUTED_VALUE"""),"遨舍衛蘭軒")</f>
        <v>遨舍衛蘭軒</v>
      </c>
      <c r="I95" s="60">
        <f ca="1">IFERROR(__xludf.DUMMYFUNCTION("""COMPUTED_VALUE"""),114.1689259)</f>
        <v>114.1689259</v>
      </c>
      <c r="J95" s="60">
        <f ca="1">IFERROR(__xludf.DUMMYFUNCTION("""COMPUTED_VALUE"""),22.27747922)</f>
        <v>22.27747922</v>
      </c>
      <c r="K95" s="61">
        <f ca="1">IFERROR(__xludf.DUMMYFUNCTION("""COMPUTED_VALUE"""),19.5)</f>
        <v>19.5</v>
      </c>
      <c r="L95" s="60" t="str">
        <f ca="1">IFERROR(__xludf.DUMMYFUNCTION("""COMPUTED_VALUE"""),"p")</f>
        <v>p</v>
      </c>
      <c r="M95" s="61">
        <f ca="1">IFERROR(__xludf.DUMMYFUNCTION("""COMPUTED_VALUE"""),75.7)</f>
        <v>75.7</v>
      </c>
      <c r="N95" s="60" t="str">
        <f ca="1">IFERROR(__xludf.DUMMYFUNCTION("""COMPUTED_VALUE"""),"p")</f>
        <v>p</v>
      </c>
      <c r="O95" s="61">
        <f ca="1">IFERROR(__xludf.DUMMYFUNCTION("""COMPUTED_VALUE"""),56.2)</f>
        <v>56.2</v>
      </c>
      <c r="P95" s="85"/>
      <c r="Q95" s="75" t="b">
        <f ca="1">IFERROR(__xludf.DUMMYFUNCTION("""COMPUTED_VALUE"""),FALSE)</f>
        <v>0</v>
      </c>
      <c r="R95" s="75" t="b">
        <f ca="1">IFERROR(__xludf.DUMMYFUNCTION("""COMPUTED_VALUE"""),FALSE)</f>
        <v>0</v>
      </c>
      <c r="S95" s="75" t="b">
        <f ca="1">IFERROR(__xludf.DUMMYFUNCTION("""COMPUTED_VALUE"""),FALSE)</f>
        <v>0</v>
      </c>
      <c r="T95" s="75" t="b">
        <f ca="1">IFERROR(__xludf.DUMMYFUNCTION("""COMPUTED_VALUE"""),FALSE)</f>
        <v>0</v>
      </c>
      <c r="U95" s="86">
        <f ca="1">IFERROR(__xludf.DUMMYFUNCTION("""COMPUTED_VALUE"""),21)</f>
        <v>21</v>
      </c>
      <c r="V95" s="84"/>
      <c r="W95" s="87">
        <f ca="1">IFERROR(__xludf.DUMMYFUNCTION("""COMPUTED_VALUE"""),251)</f>
        <v>251</v>
      </c>
      <c r="X95" s="84">
        <f ca="1">IFERROR(__xludf.DUMMYFUNCTION("""COMPUTED_VALUE"""),2013)</f>
        <v>2013</v>
      </c>
      <c r="Y95" s="338" t="str">
        <f ca="1">IFERROR(__xludf.DUMMYFUNCTION("""COMPUTED_VALUE"""),"https://www.meetings-conventions.com/Meeting-Event-Venues/Hong-Kong-Hong-Kong/Convention-Hotel/OZO-Wesley-Hong-Kong-p6701817")</f>
        <v>https://www.meetings-conventions.com/Meeting-Event-Venues/Hong-Kong-Hong-Kong/Convention-Hotel/OZO-Wesley-Hong-Kong-p6701817</v>
      </c>
      <c r="Z95" s="66" t="s">
        <v>1856</v>
      </c>
    </row>
    <row r="96" spans="1:26" ht="15.75" customHeight="1">
      <c r="A96" s="83" t="str">
        <f ca="1">IFERROR(__xludf.DUMMYFUNCTION("""COMPUTED_VALUE"""),"E8SE")</f>
        <v>E8SE</v>
      </c>
      <c r="B96" s="84">
        <f ca="1">IFERROR(__xludf.DUMMYFUNCTION("""COMPUTED_VALUE"""),8)</f>
        <v>8</v>
      </c>
      <c r="C96" s="84" t="str">
        <f ca="1">IFERROR(__xludf.DUMMYFUNCTION("""COMPUTED_VALUE"""),"SE")</f>
        <v>SE</v>
      </c>
      <c r="D96" s="339">
        <f ca="1">IFERROR(__xludf.DUMMYFUNCTION("""COMPUTED_VALUE"""),1800)</f>
        <v>1800</v>
      </c>
      <c r="E96" s="84" t="str">
        <f ca="1">IFERROR(__xludf.DUMMYFUNCTION("""COMPUTED_VALUE"""),"3542315414T20050430")</f>
        <v>3542315414T20050430</v>
      </c>
      <c r="F96" s="84">
        <f ca="1">IFERROR(__xludf.DUMMYFUNCTION("""COMPUTED_VALUE"""),1103128744)</f>
        <v>1103128744</v>
      </c>
      <c r="G96" s="83" t="str">
        <f ca="1">IFERROR(__xludf.DUMMYFUNCTION("""COMPUTED_VALUE"""),"Effectual Building")</f>
        <v>Effectual Building</v>
      </c>
      <c r="H96" s="84" t="str">
        <f ca="1">IFERROR(__xludf.DUMMYFUNCTION("""COMPUTED_VALUE"""),"宜發大廈")</f>
        <v>宜發大廈</v>
      </c>
      <c r="I96" s="84">
        <f ca="1">IFERROR(__xludf.DUMMYFUNCTION("""COMPUTED_VALUE"""),114.1686577)</f>
        <v>114.1686577</v>
      </c>
      <c r="J96" s="84">
        <f ca="1">IFERROR(__xludf.DUMMYFUNCTION("""COMPUTED_VALUE"""),22.27757928)</f>
        <v>22.277579280000001</v>
      </c>
      <c r="K96" s="88">
        <f ca="1">IFERROR(__xludf.DUMMYFUNCTION("""COMPUTED_VALUE"""),8.8)</f>
        <v>8.8000000000000007</v>
      </c>
      <c r="L96" s="84" t="str">
        <f ca="1">IFERROR(__xludf.DUMMYFUNCTION("""COMPUTED_VALUE"""),"p")</f>
        <v>p</v>
      </c>
      <c r="M96" s="88">
        <f ca="1">IFERROR(__xludf.DUMMYFUNCTION("""COMPUTED_VALUE"""),114.2)</f>
        <v>114.2</v>
      </c>
      <c r="N96" s="84" t="str">
        <f ca="1">IFERROR(__xludf.DUMMYFUNCTION("""COMPUTED_VALUE"""),"p")</f>
        <v>p</v>
      </c>
      <c r="O96" s="88">
        <f ca="1">IFERROR(__xludf.DUMMYFUNCTION("""COMPUTED_VALUE"""),105.4)</f>
        <v>105.4</v>
      </c>
      <c r="P96" s="85"/>
      <c r="Q96" s="75" t="b">
        <f ca="1">IFERROR(__xludf.DUMMYFUNCTION("""COMPUTED_VALUE"""),FALSE)</f>
        <v>0</v>
      </c>
      <c r="R96" s="75" t="b">
        <f ca="1">IFERROR(__xludf.DUMMYFUNCTION("""COMPUTED_VALUE"""),FALSE)</f>
        <v>0</v>
      </c>
      <c r="S96" s="75" t="b">
        <f ca="1">IFERROR(__xludf.DUMMYFUNCTION("""COMPUTED_VALUE"""),FALSE)</f>
        <v>0</v>
      </c>
      <c r="T96" s="75" t="b">
        <f ca="1">IFERROR(__xludf.DUMMYFUNCTION("""COMPUTED_VALUE"""),FALSE)</f>
        <v>0</v>
      </c>
      <c r="U96" s="86">
        <f ca="1">IFERROR(__xludf.DUMMYFUNCTION("""COMPUTED_VALUE"""),25)</f>
        <v>25</v>
      </c>
      <c r="V96" s="84">
        <f ca="1">IFERROR(__xludf.DUMMYFUNCTION("""COMPUTED_VALUE"""),0)</f>
        <v>0</v>
      </c>
      <c r="W96" s="87">
        <f ca="1">IFERROR(__xludf.DUMMYFUNCTION("""COMPUTED_VALUE"""),254)</f>
        <v>254</v>
      </c>
      <c r="X96" s="84">
        <f ca="1">IFERROR(__xludf.DUMMYFUNCTION("""COMPUTED_VALUE"""),1996)</f>
        <v>1996</v>
      </c>
      <c r="Y96" s="84" t="str">
        <f ca="1">IFERROR(__xludf.DUMMYFUNCTION("""COMPUTED_VALUE"""),"BMIS_auto")</f>
        <v>BMIS_auto</v>
      </c>
      <c r="Z96" s="66" t="s">
        <v>1858</v>
      </c>
    </row>
    <row r="97" spans="1:26" ht="15.75" customHeight="1">
      <c r="A97" s="83" t="str">
        <f ca="1">IFERROR(__xludf.DUMMYFUNCTION("""COMPUTED_VALUE"""),"E8SW")</f>
        <v>E8SW</v>
      </c>
      <c r="B97" s="84">
        <f ca="1">IFERROR(__xludf.DUMMYFUNCTION("""COMPUTED_VALUE"""),8)</f>
        <v>8</v>
      </c>
      <c r="C97" s="84" t="str">
        <f ca="1">IFERROR(__xludf.DUMMYFUNCTION("""COMPUTED_VALUE"""),"SW")</f>
        <v>SW</v>
      </c>
      <c r="D97" s="339">
        <f ca="1">IFERROR(__xludf.DUMMYFUNCTION("""COMPUTED_VALUE"""),1800)</f>
        <v>1800</v>
      </c>
      <c r="E97" s="84" t="str">
        <f ca="1">IFERROR(__xludf.DUMMYFUNCTION("""COMPUTED_VALUE"""),"3544515469T20190110")</f>
        <v>3544515469T20190110</v>
      </c>
      <c r="F97" s="84">
        <f ca="1">IFERROR(__xludf.DUMMYFUNCTION("""COMPUTED_VALUE"""),1810183790)</f>
        <v>1810183790</v>
      </c>
      <c r="G97" s="83" t="str">
        <f ca="1">IFERROR(__xludf.DUMMYFUNCTION("""COMPUTED_VALUE"""),"One Hennessy")</f>
        <v>One Hennessy</v>
      </c>
      <c r="H97" s="84"/>
      <c r="I97" s="84">
        <f ca="1">IFERROR(__xludf.DUMMYFUNCTION("""COMPUTED_VALUE"""),114.1688911)</f>
        <v>114.1688911</v>
      </c>
      <c r="J97" s="84">
        <f ca="1">IFERROR(__xludf.DUMMYFUNCTION("""COMPUTED_VALUE"""),22.27808157)</f>
        <v>22.278081570000001</v>
      </c>
      <c r="K97" s="88">
        <f ca="1">IFERROR(__xludf.DUMMYFUNCTION("""COMPUTED_VALUE"""),18.9)</f>
        <v>18.899999999999999</v>
      </c>
      <c r="L97" s="84" t="str">
        <f ca="1">IFERROR(__xludf.DUMMYFUNCTION("""COMPUTED_VALUE"""),"b")</f>
        <v>b</v>
      </c>
      <c r="M97" s="88">
        <f ca="1">IFERROR(__xludf.DUMMYFUNCTION("""COMPUTED_VALUE"""),152.8)</f>
        <v>152.80000000000001</v>
      </c>
      <c r="N97" s="84" t="str">
        <f ca="1">IFERROR(__xludf.DUMMYFUNCTION("""COMPUTED_VALUE"""),"b")</f>
        <v>b</v>
      </c>
      <c r="O97" s="88">
        <f ca="1">IFERROR(__xludf.DUMMYFUNCTION("""COMPUTED_VALUE"""),133.9)</f>
        <v>133.9</v>
      </c>
      <c r="P97" s="85"/>
      <c r="Q97" s="75" t="b">
        <f ca="1">IFERROR(__xludf.DUMMYFUNCTION("""COMPUTED_VALUE"""),FALSE)</f>
        <v>0</v>
      </c>
      <c r="R97" s="75" t="b">
        <f ca="1">IFERROR(__xludf.DUMMYFUNCTION("""COMPUTED_VALUE"""),FALSE)</f>
        <v>0</v>
      </c>
      <c r="S97" s="75" t="b">
        <f ca="1">IFERROR(__xludf.DUMMYFUNCTION("""COMPUTED_VALUE"""),FALSE)</f>
        <v>0</v>
      </c>
      <c r="T97" s="75" t="b">
        <f ca="1">IFERROR(__xludf.DUMMYFUNCTION("""COMPUTED_VALUE"""),FALSE)</f>
        <v>0</v>
      </c>
      <c r="U97" s="86">
        <f ca="1">IFERROR(__xludf.DUMMYFUNCTION("""COMPUTED_VALUE"""),22)</f>
        <v>22</v>
      </c>
      <c r="V97" s="84">
        <f ca="1">IFERROR(__xludf.DUMMYFUNCTION("""COMPUTED_VALUE"""),1)</f>
        <v>1</v>
      </c>
      <c r="W97" s="87"/>
      <c r="X97" s="84">
        <f ca="1">IFERROR(__xludf.DUMMYFUNCTION("""COMPUTED_VALUE"""),1972)</f>
        <v>1972</v>
      </c>
      <c r="Y97" s="84" t="str">
        <f ca="1">IFERROR(__xludf.DUMMYFUNCTION("""COMPUTED_VALUE"""),"BMIS_auto")</f>
        <v>BMIS_auto</v>
      </c>
      <c r="Z97" s="66" t="s">
        <v>1860</v>
      </c>
    </row>
    <row r="98" spans="1:26" ht="15.75" customHeight="1">
      <c r="A98" s="83" t="str">
        <f ca="1">IFERROR(__xludf.DUMMYFUNCTION("""COMPUTED_VALUE"""),"E8NW")</f>
        <v>E8NW</v>
      </c>
      <c r="B98" s="84">
        <f ca="1">IFERROR(__xludf.DUMMYFUNCTION("""COMPUTED_VALUE"""),8)</f>
        <v>8</v>
      </c>
      <c r="C98" s="84" t="str">
        <f ca="1">IFERROR(__xludf.DUMMYFUNCTION("""COMPUTED_VALUE"""),"NW")</f>
        <v>NW</v>
      </c>
      <c r="D98" s="339">
        <f ca="1">IFERROR(__xludf.DUMMYFUNCTION("""COMPUTED_VALUE"""),1800)</f>
        <v>1800</v>
      </c>
      <c r="E98" s="84" t="str">
        <f ca="1">IFERROR(__xludf.DUMMYFUNCTION("""COMPUTED_VALUE"""),"3549215457T20050430")</f>
        <v>3549215457T20050430</v>
      </c>
      <c r="F98" s="84">
        <f ca="1">IFERROR(__xludf.DUMMYFUNCTION("""COMPUTED_VALUE"""),1103128356)</f>
        <v>1103128356</v>
      </c>
      <c r="G98" s="83" t="str">
        <f ca="1">IFERROR(__xludf.DUMMYFUNCTION("""COMPUTED_VALUE"""),"Lockhart Exchange Building")</f>
        <v>Lockhart Exchange Building</v>
      </c>
      <c r="H98" s="84"/>
      <c r="I98" s="84">
        <f ca="1">IFERROR(__xludf.DUMMYFUNCTION("""COMPUTED_VALUE"""),114.169337)</f>
        <v>114.169337</v>
      </c>
      <c r="J98" s="84">
        <f ca="1">IFERROR(__xludf.DUMMYFUNCTION("""COMPUTED_VALUE"""),22.27803261)</f>
        <v>22.27803261</v>
      </c>
      <c r="K98" s="88">
        <f ca="1">IFERROR(__xludf.DUMMYFUNCTION("""COMPUTED_VALUE"""),19.1)</f>
        <v>19.100000000000001</v>
      </c>
      <c r="L98" s="84" t="str">
        <f ca="1">IFERROR(__xludf.DUMMYFUNCTION("""COMPUTED_VALUE"""),"p")</f>
        <v>p</v>
      </c>
      <c r="M98" s="88">
        <f ca="1">IFERROR(__xludf.DUMMYFUNCTION("""COMPUTED_VALUE"""),81.9)</f>
        <v>81.900000000000006</v>
      </c>
      <c r="N98" s="84" t="str">
        <f ca="1">IFERROR(__xludf.DUMMYFUNCTION("""COMPUTED_VALUE"""),"p")</f>
        <v>p</v>
      </c>
      <c r="O98" s="88">
        <f ca="1">IFERROR(__xludf.DUMMYFUNCTION("""COMPUTED_VALUE"""),62.8)</f>
        <v>62.8</v>
      </c>
      <c r="P98" s="85"/>
      <c r="Q98" s="75" t="b">
        <f ca="1">IFERROR(__xludf.DUMMYFUNCTION("""COMPUTED_VALUE"""),FALSE)</f>
        <v>0</v>
      </c>
      <c r="R98" s="75" t="b">
        <f ca="1">IFERROR(__xludf.DUMMYFUNCTION("""COMPUTED_VALUE"""),FALSE)</f>
        <v>0</v>
      </c>
      <c r="S98" s="75" t="b">
        <f ca="1">IFERROR(__xludf.DUMMYFUNCTION("""COMPUTED_VALUE"""),FALSE)</f>
        <v>0</v>
      </c>
      <c r="T98" s="75" t="b">
        <f ca="1">IFERROR(__xludf.DUMMYFUNCTION("""COMPUTED_VALUE"""),FALSE)</f>
        <v>0</v>
      </c>
      <c r="U98" s="86">
        <f ca="1">IFERROR(__xludf.DUMMYFUNCTION("""COMPUTED_VALUE"""),19)</f>
        <v>19</v>
      </c>
      <c r="V98" s="84"/>
      <c r="W98" s="87"/>
      <c r="X98" s="84"/>
      <c r="Y98" s="84" t="str">
        <f ca="1">IFERROR(__xludf.DUMMYFUNCTION("""COMPUTED_VALUE"""),"Google Earth")</f>
        <v>Google Earth</v>
      </c>
      <c r="Z98" s="66" t="s">
        <v>1862</v>
      </c>
    </row>
    <row r="99" spans="1:26" ht="15.75" customHeight="1">
      <c r="A99" s="83" t="str">
        <f ca="1">IFERROR(__xludf.DUMMYFUNCTION("""COMPUTED_VALUE"""),"W8NE")</f>
        <v>W8NE</v>
      </c>
      <c r="B99" s="84">
        <f ca="1">IFERROR(__xludf.DUMMYFUNCTION("""COMPUTED_VALUE"""),8)</f>
        <v>8</v>
      </c>
      <c r="C99" s="84" t="str">
        <f ca="1">IFERROR(__xludf.DUMMYFUNCTION("""COMPUTED_VALUE"""),"NE")</f>
        <v>NE</v>
      </c>
      <c r="D99" s="339">
        <f ca="1">IFERROR(__xludf.DUMMYFUNCTION("""COMPUTED_VALUE"""),1800)</f>
        <v>1800</v>
      </c>
      <c r="E99" s="84" t="str">
        <f ca="1">IFERROR(__xludf.DUMMYFUNCTION("""COMPUTED_VALUE"""),"3323316583T20050430")</f>
        <v>3323316583T20050430</v>
      </c>
      <c r="F99" s="84">
        <f ca="1">IFERROR(__xludf.DUMMYFUNCTION("""COMPUTED_VALUE"""),1103120950)</f>
        <v>1103120950</v>
      </c>
      <c r="G99" s="83" t="str">
        <f ca="1">IFERROR(__xludf.DUMMYFUNCTION("""COMPUTED_VALUE"""),"No.9 Des Voeux Road West")</f>
        <v>No.9 Des Voeux Road West</v>
      </c>
      <c r="H99" s="84" t="str">
        <f ca="1">IFERROR(__xludf.DUMMYFUNCTION("""COMPUTED_VALUE"""),"德輔道西九號")</f>
        <v>德輔道西九號</v>
      </c>
      <c r="I99" s="84">
        <f ca="1">IFERROR(__xludf.DUMMYFUNCTION("""COMPUTED_VALUE"""),114.1474182)</f>
        <v>114.1474182</v>
      </c>
      <c r="J99" s="84">
        <f ca="1">IFERROR(__xludf.DUMMYFUNCTION("""COMPUTED_VALUE"""),22.28806476)</f>
        <v>22.288064760000001</v>
      </c>
      <c r="K99" s="88">
        <f ca="1">IFERROR(__xludf.DUMMYFUNCTION("""COMPUTED_VALUE"""),22.6)</f>
        <v>22.6</v>
      </c>
      <c r="L99" s="84" t="str">
        <f ca="1">IFERROR(__xludf.DUMMYFUNCTION("""COMPUTED_VALUE"""),"es")</f>
        <v>es</v>
      </c>
      <c r="M99" s="88">
        <f ca="1">IFERROR(__xludf.DUMMYFUNCTION("""COMPUTED_VALUE"""),123.400002)</f>
        <v>123.400002</v>
      </c>
      <c r="N99" s="84" t="str">
        <f ca="1">IFERROR(__xludf.DUMMYFUNCTION("""COMPUTED_VALUE"""),"p")</f>
        <v>p</v>
      </c>
      <c r="O99" s="88">
        <f ca="1">IFERROR(__xludf.DUMMYFUNCTION("""COMPUTED_VALUE"""),100.800002)</f>
        <v>100.80000200000001</v>
      </c>
      <c r="P99" s="85" t="str">
        <f ca="1">IFERROR(__xludf.DUMMYFUNCTION("""COMPUTED_VALUE"""),"To be changed, waiting confirmation")</f>
        <v>To be changed, waiting confirmation</v>
      </c>
      <c r="Q99" s="75" t="b">
        <f ca="1">IFERROR(__xludf.DUMMYFUNCTION("""COMPUTED_VALUE"""),FALSE)</f>
        <v>0</v>
      </c>
      <c r="R99" s="75" t="b">
        <f ca="1">IFERROR(__xludf.DUMMYFUNCTION("""COMPUTED_VALUE"""),FALSE)</f>
        <v>0</v>
      </c>
      <c r="S99" s="75" t="b">
        <f ca="1">IFERROR(__xludf.DUMMYFUNCTION("""COMPUTED_VALUE"""),FALSE)</f>
        <v>0</v>
      </c>
      <c r="T99" s="75" t="b">
        <f ca="1">IFERROR(__xludf.DUMMYFUNCTION("""COMPUTED_VALUE"""),FALSE)</f>
        <v>0</v>
      </c>
      <c r="U99" s="86">
        <f ca="1">IFERROR(__xludf.DUMMYFUNCTION("""COMPUTED_VALUE"""),25)</f>
        <v>25</v>
      </c>
      <c r="V99" s="84"/>
      <c r="W99" s="87"/>
      <c r="X99" s="84"/>
      <c r="Y99" s="84" t="str">
        <f ca="1">IFERROR(__xludf.DUMMYFUNCTION("""COMPUTED_VALUE"""),"Fieldwork")</f>
        <v>Fieldwork</v>
      </c>
      <c r="Z99" s="66" t="s">
        <v>1863</v>
      </c>
    </row>
    <row r="100" spans="1:26" ht="15.75" customHeight="1">
      <c r="A100" s="83" t="str">
        <f ca="1">IFERROR(__xludf.DUMMYFUNCTION("""COMPUTED_VALUE"""),"W8SE")</f>
        <v>W8SE</v>
      </c>
      <c r="B100" s="84">
        <f ca="1">IFERROR(__xludf.DUMMYFUNCTION("""COMPUTED_VALUE"""),8)</f>
        <v>8</v>
      </c>
      <c r="C100" s="84" t="str">
        <f ca="1">IFERROR(__xludf.DUMMYFUNCTION("""COMPUTED_VALUE"""),"SE")</f>
        <v>SE</v>
      </c>
      <c r="D100" s="339">
        <f ca="1">IFERROR(__xludf.DUMMYFUNCTION("""COMPUTED_VALUE"""),1800)</f>
        <v>1800</v>
      </c>
      <c r="E100" s="84" t="str">
        <f ca="1">IFERROR(__xludf.DUMMYFUNCTION("""COMPUTED_VALUE"""),"3321216511T20050430")</f>
        <v>3321216511T20050430</v>
      </c>
      <c r="F100" s="84">
        <f ca="1">IFERROR(__xludf.DUMMYFUNCTION("""COMPUTED_VALUE"""),1103121358)</f>
        <v>1103121358</v>
      </c>
      <c r="G100" s="83" t="str">
        <f ca="1">IFERROR(__xludf.DUMMYFUNCTION("""COMPUTED_VALUE"""),"Kingdom Power Commercial Building")</f>
        <v>Kingdom Power Commercial Building</v>
      </c>
      <c r="H100" s="84" t="str">
        <f ca="1">IFERROR(__xludf.DUMMYFUNCTION("""COMPUTED_VALUE"""),"帝權商業大樓")</f>
        <v>帝權商業大樓</v>
      </c>
      <c r="I100" s="84">
        <f ca="1">IFERROR(__xludf.DUMMYFUNCTION("""COMPUTED_VALUE"""),114.1472944)</f>
        <v>114.14729440000001</v>
      </c>
      <c r="J100" s="84">
        <f ca="1">IFERROR(__xludf.DUMMYFUNCTION("""COMPUTED_VALUE"""),22.28746133)</f>
        <v>22.287461329999999</v>
      </c>
      <c r="K100" s="88">
        <f ca="1">IFERROR(__xludf.DUMMYFUNCTION("""COMPUTED_VALUE"""),3.9)</f>
        <v>3.9</v>
      </c>
      <c r="L100" s="84" t="str">
        <f ca="1">IFERROR(__xludf.DUMMYFUNCTION("""COMPUTED_VALUE"""),"es")</f>
        <v>es</v>
      </c>
      <c r="M100" s="88">
        <f ca="1">IFERROR(__xludf.DUMMYFUNCTION("""COMPUTED_VALUE"""),54.5)</f>
        <v>54.5</v>
      </c>
      <c r="N100" s="84" t="str">
        <f ca="1">IFERROR(__xludf.DUMMYFUNCTION("""COMPUTED_VALUE"""),"p")</f>
        <v>p</v>
      </c>
      <c r="O100" s="88">
        <f ca="1">IFERROR(__xludf.DUMMYFUNCTION("""COMPUTED_VALUE"""),50.6)</f>
        <v>50.6</v>
      </c>
      <c r="P100" s="85"/>
      <c r="Q100" s="75" t="b">
        <f ca="1">IFERROR(__xludf.DUMMYFUNCTION("""COMPUTED_VALUE"""),FALSE)</f>
        <v>0</v>
      </c>
      <c r="R100" s="75" t="b">
        <f ca="1">IFERROR(__xludf.DUMMYFUNCTION("""COMPUTED_VALUE"""),FALSE)</f>
        <v>0</v>
      </c>
      <c r="S100" s="75" t="b">
        <f ca="1">IFERROR(__xludf.DUMMYFUNCTION("""COMPUTED_VALUE"""),FALSE)</f>
        <v>0</v>
      </c>
      <c r="T100" s="75" t="b">
        <f ca="1">IFERROR(__xludf.DUMMYFUNCTION("""COMPUTED_VALUE"""),FALSE)</f>
        <v>0</v>
      </c>
      <c r="U100" s="86">
        <f ca="1">IFERROR(__xludf.DUMMYFUNCTION("""COMPUTED_VALUE"""),15)</f>
        <v>15</v>
      </c>
      <c r="V100" s="84"/>
      <c r="W100" s="87"/>
      <c r="X100" s="84"/>
      <c r="Y100" s="84" t="str">
        <f ca="1">IFERROR(__xludf.DUMMYFUNCTION("""COMPUTED_VALUE"""),"Fieldwork")</f>
        <v>Fieldwork</v>
      </c>
      <c r="Z100" s="66" t="s">
        <v>1864</v>
      </c>
    </row>
    <row r="101" spans="1:26" ht="15.75" customHeight="1">
      <c r="A101" s="83" t="str">
        <f ca="1">IFERROR(__xludf.DUMMYFUNCTION("""COMPUTED_VALUE"""),"W8SW")</f>
        <v>W8SW</v>
      </c>
      <c r="B101" s="84">
        <f ca="1">IFERROR(__xludf.DUMMYFUNCTION("""COMPUTED_VALUE"""),8)</f>
        <v>8</v>
      </c>
      <c r="C101" s="84" t="str">
        <f ca="1">IFERROR(__xludf.DUMMYFUNCTION("""COMPUTED_VALUE"""),"SW")</f>
        <v>SW</v>
      </c>
      <c r="D101" s="339">
        <f ca="1">IFERROR(__xludf.DUMMYFUNCTION("""COMPUTED_VALUE"""),1800)</f>
        <v>1800</v>
      </c>
      <c r="E101" s="84" t="str">
        <f ca="1">IFERROR(__xludf.DUMMYFUNCTION("""COMPUTED_VALUE"""),"3318216518T20050430")</f>
        <v>3318216518T20050430</v>
      </c>
      <c r="F101" s="84">
        <f ca="1">IFERROR(__xludf.DUMMYFUNCTION("""COMPUTED_VALUE"""),1103121330)</f>
        <v>1103121330</v>
      </c>
      <c r="G101" s="83" t="str">
        <f ca="1">IFERROR(__xludf.DUMMYFUNCTION("""COMPUTED_VALUE"""),"Western Centre")</f>
        <v>Western Centre</v>
      </c>
      <c r="H101" s="84" t="str">
        <f ca="1">IFERROR(__xludf.DUMMYFUNCTION("""COMPUTED_VALUE"""),"西區中心")</f>
        <v>西區中心</v>
      </c>
      <c r="I101" s="84">
        <f ca="1">IFERROR(__xludf.DUMMYFUNCTION("""COMPUTED_VALUE"""),114.1469373)</f>
        <v>114.1469373</v>
      </c>
      <c r="J101" s="84">
        <f ca="1">IFERROR(__xludf.DUMMYFUNCTION("""COMPUTED_VALUE"""),22.28747169)</f>
        <v>22.28747169</v>
      </c>
      <c r="K101" s="88">
        <f ca="1">IFERROR(__xludf.DUMMYFUNCTION("""COMPUTED_VALUE"""),3.7)</f>
        <v>3.7</v>
      </c>
      <c r="L101" s="84" t="str">
        <f ca="1">IFERROR(__xludf.DUMMYFUNCTION("""COMPUTED_VALUE"""),"es")</f>
        <v>es</v>
      </c>
      <c r="M101" s="88">
        <f ca="1">IFERROR(__xludf.DUMMYFUNCTION("""COMPUTED_VALUE"""),67.5)</f>
        <v>67.5</v>
      </c>
      <c r="N101" s="84" t="str">
        <f ca="1">IFERROR(__xludf.DUMMYFUNCTION("""COMPUTED_VALUE"""),"3")</f>
        <v>3</v>
      </c>
      <c r="O101" s="88">
        <f ca="1">IFERROR(__xludf.DUMMYFUNCTION("""COMPUTED_VALUE"""),63.8)</f>
        <v>63.8</v>
      </c>
      <c r="P101" s="85"/>
      <c r="Q101" s="75" t="b">
        <f ca="1">IFERROR(__xludf.DUMMYFUNCTION("""COMPUTED_VALUE"""),FALSE)</f>
        <v>0</v>
      </c>
      <c r="R101" s="75" t="b">
        <f ca="1">IFERROR(__xludf.DUMMYFUNCTION("""COMPUTED_VALUE"""),FALSE)</f>
        <v>0</v>
      </c>
      <c r="S101" s="75" t="b">
        <f ca="1">IFERROR(__xludf.DUMMYFUNCTION("""COMPUTED_VALUE"""),FALSE)</f>
        <v>0</v>
      </c>
      <c r="T101" s="75" t="b">
        <f ca="1">IFERROR(__xludf.DUMMYFUNCTION("""COMPUTED_VALUE"""),FALSE)</f>
        <v>0</v>
      </c>
      <c r="U101" s="86">
        <f ca="1">IFERROR(__xludf.DUMMYFUNCTION("""COMPUTED_VALUE"""),21)</f>
        <v>21</v>
      </c>
      <c r="V101" s="84"/>
      <c r="W101" s="87"/>
      <c r="X101" s="84"/>
      <c r="Y101" s="84" t="str">
        <f ca="1">IFERROR(__xludf.DUMMYFUNCTION("""COMPUTED_VALUE"""),"Fieldwork")</f>
        <v>Fieldwork</v>
      </c>
      <c r="Z101" s="66" t="s">
        <v>1865</v>
      </c>
    </row>
    <row r="102" spans="1:26" ht="15.75" customHeight="1">
      <c r="A102" s="83" t="str">
        <f ca="1">IFERROR(__xludf.DUMMYFUNCTION("""COMPUTED_VALUE"""),"W8NW")</f>
        <v>W8NW</v>
      </c>
      <c r="B102" s="84">
        <f ca="1">IFERROR(__xludf.DUMMYFUNCTION("""COMPUTED_VALUE"""),8)</f>
        <v>8</v>
      </c>
      <c r="C102" s="84" t="str">
        <f ca="1">IFERROR(__xludf.DUMMYFUNCTION("""COMPUTED_VALUE"""),"NW")</f>
        <v>NW</v>
      </c>
      <c r="D102" s="339">
        <f ca="1">IFERROR(__xludf.DUMMYFUNCTION("""COMPUTED_VALUE"""),1800)</f>
        <v>1800</v>
      </c>
      <c r="E102" s="84" t="str">
        <f ca="1">IFERROR(__xludf.DUMMYFUNCTION("""COMPUTED_VALUE"""),"3318516544T20050430")</f>
        <v>3318516544T20050430</v>
      </c>
      <c r="F102" s="84">
        <f ca="1">IFERROR(__xludf.DUMMYFUNCTION("""COMPUTED_VALUE"""),1103121080)</f>
        <v>1103121080</v>
      </c>
      <c r="G102" s="83" t="str">
        <f ca="1">IFERROR(__xludf.DUMMYFUNCTION("""COMPUTED_VALUE"""),"Sing Kui Commercial Building")</f>
        <v>Sing Kui Commercial Building</v>
      </c>
      <c r="H102" s="84" t="str">
        <f ca="1">IFERROR(__xludf.DUMMYFUNCTION("""COMPUTED_VALUE"""),"星衢商業大廈")</f>
        <v>星衢商業大廈</v>
      </c>
      <c r="I102" s="84">
        <f ca="1">IFERROR(__xludf.DUMMYFUNCTION("""COMPUTED_VALUE"""),114.1469751)</f>
        <v>114.14697510000001</v>
      </c>
      <c r="J102" s="84">
        <f ca="1">IFERROR(__xludf.DUMMYFUNCTION("""COMPUTED_VALUE"""),22.28787677)</f>
        <v>22.28787677</v>
      </c>
      <c r="K102" s="88">
        <f ca="1">IFERROR(__xludf.DUMMYFUNCTION("""COMPUTED_VALUE"""),3.7)</f>
        <v>3.7</v>
      </c>
      <c r="L102" s="84" t="str">
        <f ca="1">IFERROR(__xludf.DUMMYFUNCTION("""COMPUTED_VALUE"""),"es")</f>
        <v>es</v>
      </c>
      <c r="M102" s="88">
        <f ca="1">IFERROR(__xludf.DUMMYFUNCTION("""COMPUTED_VALUE"""),50.4)</f>
        <v>50.4</v>
      </c>
      <c r="N102" s="84" t="str">
        <f ca="1">IFERROR(__xludf.DUMMYFUNCTION("""COMPUTED_VALUE"""),"p")</f>
        <v>p</v>
      </c>
      <c r="O102" s="88">
        <f ca="1">IFERROR(__xludf.DUMMYFUNCTION("""COMPUTED_VALUE"""),46.7)</f>
        <v>46.7</v>
      </c>
      <c r="P102" s="85"/>
      <c r="Q102" s="75" t="b">
        <f ca="1">IFERROR(__xludf.DUMMYFUNCTION("""COMPUTED_VALUE"""),FALSE)</f>
        <v>0</v>
      </c>
      <c r="R102" s="75" t="b">
        <f ca="1">IFERROR(__xludf.DUMMYFUNCTION("""COMPUTED_VALUE"""),FALSE)</f>
        <v>0</v>
      </c>
      <c r="S102" s="75" t="b">
        <f ca="1">IFERROR(__xludf.DUMMYFUNCTION("""COMPUTED_VALUE"""),FALSE)</f>
        <v>0</v>
      </c>
      <c r="T102" s="75" t="b">
        <f ca="1">IFERROR(__xludf.DUMMYFUNCTION("""COMPUTED_VALUE"""),FALSE)</f>
        <v>0</v>
      </c>
      <c r="U102" s="86">
        <f ca="1">IFERROR(__xludf.DUMMYFUNCTION("""COMPUTED_VALUE"""),16)</f>
        <v>16</v>
      </c>
      <c r="V102" s="84"/>
      <c r="W102" s="87"/>
      <c r="X102" s="84"/>
      <c r="Y102" s="84" t="str">
        <f ca="1">IFERROR(__xludf.DUMMYFUNCTION("""COMPUTED_VALUE"""),"Fieldwork")</f>
        <v>Fieldwork</v>
      </c>
      <c r="Z102" s="66" t="s">
        <v>1866</v>
      </c>
    </row>
    <row r="103" spans="1:26" ht="15.75" customHeight="1">
      <c r="A103" s="83" t="str">
        <f ca="1">IFERROR(__xludf.DUMMYFUNCTION("""COMPUTED_VALUE"""),"N1NE")</f>
        <v>N1NE</v>
      </c>
      <c r="B103" s="84">
        <f ca="1">IFERROR(__xludf.DUMMYFUNCTION("""COMPUTED_VALUE"""),1)</f>
        <v>1</v>
      </c>
      <c r="C103" s="84" t="str">
        <f ca="1">IFERROR(__xludf.DUMMYFUNCTION("""COMPUTED_VALUE"""),"NE")</f>
        <v>NE</v>
      </c>
      <c r="D103" s="339">
        <f ca="1">IFERROR(__xludf.DUMMYFUNCTION("""COMPUTED_VALUE"""),2000)</f>
        <v>2000</v>
      </c>
      <c r="E103" s="84" t="str">
        <f ca="1">IFERROR(__xludf.DUMMYFUNCTION("""COMPUTED_VALUE"""),"3581017541T20050430")</f>
        <v>3581017541T20050430</v>
      </c>
      <c r="F103" s="84">
        <f ca="1">IFERROR(__xludf.DUMMYFUNCTION("""COMPUTED_VALUE"""),1108244148)</f>
        <v>1108244148</v>
      </c>
      <c r="G103" s="83" t="str">
        <f ca="1">IFERROR(__xludf.DUMMYFUNCTION("""COMPUTED_VALUE"""),"Holiday Inn Golden Mile Hong Kong")</f>
        <v>Holiday Inn Golden Mile Hong Kong</v>
      </c>
      <c r="H103" s="84" t="str">
        <f ca="1">IFERROR(__xludf.DUMMYFUNCTION("""COMPUTED_VALUE"""),"香港金域假日酒店")</f>
        <v>香港金域假日酒店</v>
      </c>
      <c r="I103" s="84">
        <f ca="1">IFERROR(__xludf.DUMMYFUNCTION("""COMPUTED_VALUE"""),114.1727522)</f>
        <v>114.17275220000001</v>
      </c>
      <c r="J103" s="84">
        <f ca="1">IFERROR(__xludf.DUMMYFUNCTION("""COMPUTED_VALUE"""),22.29681551)</f>
        <v>22.296815509999998</v>
      </c>
      <c r="K103" s="88">
        <f ca="1">IFERROR(__xludf.DUMMYFUNCTION("""COMPUTED_VALUE"""),16.200001)</f>
        <v>16.200001</v>
      </c>
      <c r="L103" s="84" t="str">
        <f ca="1">IFERROR(__xludf.DUMMYFUNCTION("""COMPUTED_VALUE"""),"e")</f>
        <v>e</v>
      </c>
      <c r="M103" s="88">
        <f ca="1">IFERROR(__xludf.DUMMYFUNCTION("""COMPUTED_VALUE"""),57.200001)</f>
        <v>57.200001</v>
      </c>
      <c r="N103" s="84" t="str">
        <f ca="1">IFERROR(__xludf.DUMMYFUNCTION("""COMPUTED_VALUE"""),"e")</f>
        <v>e</v>
      </c>
      <c r="O103" s="88">
        <f ca="1">IFERROR(__xludf.DUMMYFUNCTION("""COMPUTED_VALUE"""),41)</f>
        <v>41</v>
      </c>
      <c r="P103" s="85"/>
      <c r="Q103" s="75" t="b">
        <f ca="1">IFERROR(__xludf.DUMMYFUNCTION("""COMPUTED_VALUE"""),FALSE)</f>
        <v>0</v>
      </c>
      <c r="R103" s="75" t="b">
        <f ca="1">IFERROR(__xludf.DUMMYFUNCTION("""COMPUTED_VALUE"""),FALSE)</f>
        <v>0</v>
      </c>
      <c r="S103" s="75" t="b">
        <f ca="1">IFERROR(__xludf.DUMMYFUNCTION("""COMPUTED_VALUE"""),FALSE)</f>
        <v>0</v>
      </c>
      <c r="T103" s="75"/>
      <c r="U103" s="86">
        <f ca="1">IFERROR(__xludf.DUMMYFUNCTION("""COMPUTED_VALUE"""),20)</f>
        <v>20</v>
      </c>
      <c r="V103" s="84"/>
      <c r="W103" s="87"/>
      <c r="X103" s="84"/>
      <c r="Y103" s="84" t="str">
        <f ca="1">IFERROR(__xludf.DUMMYFUNCTION("""COMPUTED_VALUE"""),"11-SW-4B-19")</f>
        <v>11-SW-4B-19</v>
      </c>
      <c r="Z103" s="66" t="s">
        <v>1868</v>
      </c>
    </row>
    <row r="104" spans="1:26" ht="15.75" customHeight="1">
      <c r="A104" s="83" t="str">
        <f ca="1">IFERROR(__xludf.DUMMYFUNCTION("""COMPUTED_VALUE"""),"N1SE")</f>
        <v>N1SE</v>
      </c>
      <c r="B104" s="84">
        <f ca="1">IFERROR(__xludf.DUMMYFUNCTION("""COMPUTED_VALUE"""),1)</f>
        <v>1</v>
      </c>
      <c r="C104" s="84" t="str">
        <f ca="1">IFERROR(__xludf.DUMMYFUNCTION("""COMPUTED_VALUE"""),"SE")</f>
        <v>SE</v>
      </c>
      <c r="D104" s="339">
        <f ca="1">IFERROR(__xludf.DUMMYFUNCTION("""COMPUTED_VALUE"""),2000)</f>
        <v>2000</v>
      </c>
      <c r="E104" s="84" t="str">
        <f ca="1">IFERROR(__xludf.DUMMYFUNCTION("""COMPUTED_VALUE"""),"3582617623T20050430")</f>
        <v>3582617623T20050430</v>
      </c>
      <c r="F104" s="84">
        <f ca="1">IFERROR(__xludf.DUMMYFUNCTION("""COMPUTED_VALUE"""),1108244060)</f>
        <v>1108244060</v>
      </c>
      <c r="G104" s="83" t="str">
        <f ca="1">IFERROR(__xludf.DUMMYFUNCTION("""COMPUTED_VALUE"""),"Mirador Mansion")</f>
        <v>Mirador Mansion</v>
      </c>
      <c r="H104" s="84" t="str">
        <f ca="1">IFERROR(__xludf.DUMMYFUNCTION("""COMPUTED_VALUE"""),"美麗都大廈")</f>
        <v>美麗都大廈</v>
      </c>
      <c r="I104" s="84">
        <f ca="1">IFERROR(__xludf.DUMMYFUNCTION("""COMPUTED_VALUE"""),114.1726141)</f>
        <v>114.1726141</v>
      </c>
      <c r="J104" s="84">
        <f ca="1">IFERROR(__xludf.DUMMYFUNCTION("""COMPUTED_VALUE"""),22.29734715)</f>
        <v>22.29734715</v>
      </c>
      <c r="K104" s="88">
        <f ca="1">IFERROR(__xludf.DUMMYFUNCTION("""COMPUTED_VALUE"""),4.5)</f>
        <v>4.5</v>
      </c>
      <c r="L104" s="84" t="str">
        <f ca="1">IFERROR(__xludf.DUMMYFUNCTION("""COMPUTED_VALUE"""),"l")</f>
        <v>l</v>
      </c>
      <c r="M104" s="88">
        <f ca="1">IFERROR(__xludf.DUMMYFUNCTION("""COMPUTED_VALUE"""),55.5)</f>
        <v>55.5</v>
      </c>
      <c r="N104" s="84" t="str">
        <f ca="1">IFERROR(__xludf.DUMMYFUNCTION("""COMPUTED_VALUE"""),"p")</f>
        <v>p</v>
      </c>
      <c r="O104" s="88">
        <f ca="1">IFERROR(__xludf.DUMMYFUNCTION("""COMPUTED_VALUE"""),51)</f>
        <v>51</v>
      </c>
      <c r="P104" s="85"/>
      <c r="Q104" s="75" t="b">
        <f ca="1">IFERROR(__xludf.DUMMYFUNCTION("""COMPUTED_VALUE"""),FALSE)</f>
        <v>0</v>
      </c>
      <c r="R104" s="75" t="b">
        <f ca="1">IFERROR(__xludf.DUMMYFUNCTION("""COMPUTED_VALUE"""),FALSE)</f>
        <v>0</v>
      </c>
      <c r="S104" s="75" t="b">
        <f ca="1">IFERROR(__xludf.DUMMYFUNCTION("""COMPUTED_VALUE"""),FALSE)</f>
        <v>0</v>
      </c>
      <c r="T104" s="75"/>
      <c r="U104" s="86">
        <f ca="1">IFERROR(__xludf.DUMMYFUNCTION("""COMPUTED_VALUE"""),17)</f>
        <v>17</v>
      </c>
      <c r="V104" s="84">
        <f ca="1">IFERROR(__xludf.DUMMYFUNCTION("""COMPUTED_VALUE"""),0)</f>
        <v>0</v>
      </c>
      <c r="W104" s="87">
        <f ca="1">IFERROR(__xludf.DUMMYFUNCTION("""COMPUTED_VALUE"""),674)</f>
        <v>674</v>
      </c>
      <c r="X104" s="84">
        <f ca="1">IFERROR(__xludf.DUMMYFUNCTION("""COMPUTED_VALUE"""),1959)</f>
        <v>1959</v>
      </c>
      <c r="Y104" s="84" t="str">
        <f ca="1">IFERROR(__xludf.DUMMYFUNCTION("""COMPUTED_VALUE"""),"BMIS_auto")</f>
        <v>BMIS_auto</v>
      </c>
      <c r="Z104" s="66" t="s">
        <v>1870</v>
      </c>
    </row>
    <row r="105" spans="1:26" ht="15.75" customHeight="1">
      <c r="A105" s="83" t="str">
        <f ca="1">IFERROR(__xludf.DUMMYFUNCTION("""COMPUTED_VALUE"""),"N1SW")</f>
        <v>N1SW</v>
      </c>
      <c r="B105" s="84">
        <f ca="1">IFERROR(__xludf.DUMMYFUNCTION("""COMPUTED_VALUE"""),1)</f>
        <v>1</v>
      </c>
      <c r="C105" s="84" t="str">
        <f ca="1">IFERROR(__xludf.DUMMYFUNCTION("""COMPUTED_VALUE"""),"SW")</f>
        <v>SW</v>
      </c>
      <c r="D105" s="339">
        <f ca="1">IFERROR(__xludf.DUMMYFUNCTION("""COMPUTED_VALUE"""),2000)</f>
        <v>2000</v>
      </c>
      <c r="E105" s="84" t="str">
        <f ca="1">IFERROR(__xludf.DUMMYFUNCTION("""COMPUTED_VALUE"""),"3575217537T20091005")</f>
        <v>3575217537T20091005</v>
      </c>
      <c r="F105" s="84">
        <f ca="1">IFERROR(__xludf.DUMMYFUNCTION("""COMPUTED_VALUE"""),1108244151)</f>
        <v>1108244151</v>
      </c>
      <c r="G105" s="83" t="str">
        <f ca="1">IFERROR(__xludf.DUMMYFUNCTION("""COMPUTED_VALUE"""),"I Square")</f>
        <v>I Square</v>
      </c>
      <c r="H105" s="84" t="str">
        <f ca="1">IFERROR(__xludf.DUMMYFUNCTION("""COMPUTED_VALUE"""),"國際廣場")</f>
        <v>國際廣場</v>
      </c>
      <c r="I105" s="84">
        <f ca="1">IFERROR(__xludf.DUMMYFUNCTION("""COMPUTED_VALUE"""),114.1718556)</f>
        <v>114.1718556</v>
      </c>
      <c r="J105" s="84">
        <f ca="1">IFERROR(__xludf.DUMMYFUNCTION("""COMPUTED_VALUE"""),22.29699847)</f>
        <v>22.296998469999998</v>
      </c>
      <c r="K105" s="88">
        <f ca="1">IFERROR(__xludf.DUMMYFUNCTION("""COMPUTED_VALUE"""),59.099998)</f>
        <v>59.099997999999999</v>
      </c>
      <c r="L105" s="84" t="str">
        <f ca="1">IFERROR(__xludf.DUMMYFUNCTION("""COMPUTED_VALUE"""),"e")</f>
        <v>e</v>
      </c>
      <c r="M105" s="88">
        <f ca="1">IFERROR(__xludf.DUMMYFUNCTION("""COMPUTED_VALUE"""),78.699997)</f>
        <v>78.699996999999996</v>
      </c>
      <c r="N105" s="84" t="str">
        <f ca="1">IFERROR(__xludf.DUMMYFUNCTION("""COMPUTED_VALUE"""),"e")</f>
        <v>e</v>
      </c>
      <c r="O105" s="88">
        <f ca="1">IFERROR(__xludf.DUMMYFUNCTION("""COMPUTED_VALUE"""),78.7)</f>
        <v>78.7</v>
      </c>
      <c r="P105" s="85" t="str">
        <f ca="1">IFERROR(__xludf.DUMMYFUNCTION("""COMPUTED_VALUE"""),"Shares same building with NW, manually edited")</f>
        <v>Shares same building with NW, manually edited</v>
      </c>
      <c r="Q105" s="75" t="b">
        <f ca="1">IFERROR(__xludf.DUMMYFUNCTION("""COMPUTED_VALUE"""),FALSE)</f>
        <v>0</v>
      </c>
      <c r="R105" s="75" t="b">
        <f ca="1">IFERROR(__xludf.DUMMYFUNCTION("""COMPUTED_VALUE"""),FALSE)</f>
        <v>0</v>
      </c>
      <c r="S105" s="75" t="b">
        <f ca="1">IFERROR(__xludf.DUMMYFUNCTION("""COMPUTED_VALUE"""),FALSE)</f>
        <v>0</v>
      </c>
      <c r="T105" s="75"/>
      <c r="U105" s="86">
        <f ca="1">IFERROR(__xludf.DUMMYFUNCTION("""COMPUTED_VALUE"""),21)</f>
        <v>21</v>
      </c>
      <c r="V105" s="84"/>
      <c r="W105" s="87"/>
      <c r="X105" s="84">
        <f ca="1">IFERROR(__xludf.DUMMYFUNCTION("""COMPUTED_VALUE"""),2009)</f>
        <v>2009</v>
      </c>
      <c r="Y105" s="84" t="str">
        <f ca="1">IFERROR(__xludf.DUMMYFUNCTION("""COMPUTED_VALUE"""),"BMIS_auto")</f>
        <v>BMIS_auto</v>
      </c>
      <c r="Z105" s="66" t="s">
        <v>1872</v>
      </c>
    </row>
    <row r="106" spans="1:26" ht="15.75" customHeight="1">
      <c r="A106" s="83" t="str">
        <f ca="1">IFERROR(__xludf.DUMMYFUNCTION("""COMPUTED_VALUE"""),"N1NW")</f>
        <v>N1NW</v>
      </c>
      <c r="B106" s="84">
        <f ca="1">IFERROR(__xludf.DUMMYFUNCTION("""COMPUTED_VALUE"""),1)</f>
        <v>1</v>
      </c>
      <c r="C106" s="84" t="str">
        <f ca="1">IFERROR(__xludf.DUMMYFUNCTION("""COMPUTED_VALUE"""),"NW")</f>
        <v>NW</v>
      </c>
      <c r="D106" s="339">
        <f ca="1">IFERROR(__xludf.DUMMYFUNCTION("""COMPUTED_VALUE"""),2000)</f>
        <v>2000</v>
      </c>
      <c r="E106" s="84" t="str">
        <f ca="1">IFERROR(__xludf.DUMMYFUNCTION("""COMPUTED_VALUE"""),"3574817596T20091005")</f>
        <v>3574817596T20091005</v>
      </c>
      <c r="F106" s="84">
        <f ca="1">IFERROR(__xludf.DUMMYFUNCTION("""COMPUTED_VALUE"""),1108244082)</f>
        <v>1108244082</v>
      </c>
      <c r="G106" s="83" t="str">
        <f ca="1">IFERROR(__xludf.DUMMYFUNCTION("""COMPUTED_VALUE"""),"I Square")</f>
        <v>I Square</v>
      </c>
      <c r="H106" s="84" t="str">
        <f ca="1">IFERROR(__xludf.DUMMYFUNCTION("""COMPUTED_VALUE"""),"國際廣場")</f>
        <v>國際廣場</v>
      </c>
      <c r="I106" s="84">
        <f ca="1">IFERROR(__xludf.DUMMYFUNCTION("""COMPUTED_VALUE"""),114.1718556)</f>
        <v>114.1718556</v>
      </c>
      <c r="J106" s="84">
        <f ca="1">IFERROR(__xludf.DUMMYFUNCTION("""COMPUTED_VALUE"""),22.29699847)</f>
        <v>22.296998469999998</v>
      </c>
      <c r="K106" s="88">
        <f ca="1">IFERROR(__xludf.DUMMYFUNCTION("""COMPUTED_VALUE"""),59.099998)</f>
        <v>59.099997999999999</v>
      </c>
      <c r="L106" s="84" t="str">
        <f ca="1">IFERROR(__xludf.DUMMYFUNCTION("""COMPUTED_VALUE"""),"e")</f>
        <v>e</v>
      </c>
      <c r="M106" s="88">
        <f ca="1">IFERROR(__xludf.DUMMYFUNCTION("""COMPUTED_VALUE"""),134.399994)</f>
        <v>134.39999399999999</v>
      </c>
      <c r="N106" s="84" t="str">
        <f ca="1">IFERROR(__xludf.DUMMYFUNCTION("""COMPUTED_VALUE"""),"e")</f>
        <v>e</v>
      </c>
      <c r="O106" s="88">
        <f ca="1">IFERROR(__xludf.DUMMYFUNCTION("""COMPUTED_VALUE"""),134.4)</f>
        <v>134.4</v>
      </c>
      <c r="P106" s="85" t="str">
        <f ca="1">IFERROR(__xludf.DUMMYFUNCTION("""COMPUTED_VALUE"""),"Shares same building with SW, manually edited")</f>
        <v>Shares same building with SW, manually edited</v>
      </c>
      <c r="Q106" s="75" t="b">
        <f ca="1">IFERROR(__xludf.DUMMYFUNCTION("""COMPUTED_VALUE"""),FALSE)</f>
        <v>0</v>
      </c>
      <c r="R106" s="75" t="b">
        <f ca="1">IFERROR(__xludf.DUMMYFUNCTION("""COMPUTED_VALUE"""),FALSE)</f>
        <v>0</v>
      </c>
      <c r="S106" s="75" t="b">
        <f ca="1">IFERROR(__xludf.DUMMYFUNCTION("""COMPUTED_VALUE"""),FALSE)</f>
        <v>0</v>
      </c>
      <c r="T106" s="75"/>
      <c r="U106" s="86">
        <f ca="1">IFERROR(__xludf.DUMMYFUNCTION("""COMPUTED_VALUE"""),31)</f>
        <v>31</v>
      </c>
      <c r="V106" s="84">
        <f ca="1">IFERROR(__xludf.DUMMYFUNCTION("""COMPUTED_VALUE"""),0)</f>
        <v>0</v>
      </c>
      <c r="W106" s="87">
        <f ca="1">IFERROR(__xludf.DUMMYFUNCTION("""COMPUTED_VALUE"""),0)</f>
        <v>0</v>
      </c>
      <c r="X106" s="84">
        <f ca="1">IFERROR(__xludf.DUMMYFUNCTION("""COMPUTED_VALUE"""),2009)</f>
        <v>2009</v>
      </c>
      <c r="Y106" s="84" t="str">
        <f ca="1">IFERROR(__xludf.DUMMYFUNCTION("""COMPUTED_VALUE"""),"BMIS_auto")</f>
        <v>BMIS_auto</v>
      </c>
      <c r="Z106" s="66" t="s">
        <v>1872</v>
      </c>
    </row>
    <row r="107" spans="1:26" ht="15.75" customHeight="1">
      <c r="A107" s="83" t="str">
        <f ca="1">IFERROR(__xludf.DUMMYFUNCTION("""COMPUTED_VALUE"""),"E9NE")</f>
        <v>E9NE</v>
      </c>
      <c r="B107" s="84">
        <f ca="1">IFERROR(__xludf.DUMMYFUNCTION("""COMPUTED_VALUE"""),9)</f>
        <v>9</v>
      </c>
      <c r="C107" s="84" t="str">
        <f ca="1">IFERROR(__xludf.DUMMYFUNCTION("""COMPUTED_VALUE"""),"NE")</f>
        <v>NE</v>
      </c>
      <c r="D107" s="339">
        <f ca="1">IFERROR(__xludf.DUMMYFUNCTION("""COMPUTED_VALUE"""),2000)</f>
        <v>2000</v>
      </c>
      <c r="E107" s="84" t="str">
        <f ca="1">IFERROR(__xludf.DUMMYFUNCTION("""COMPUTED_VALUE"""),"3568815384T20050430")</f>
        <v>3568815384T20050430</v>
      </c>
      <c r="F107" s="84">
        <f ca="1">IFERROR(__xludf.DUMMYFUNCTION("""COMPUTED_VALUE"""),1103128895)</f>
        <v>1103128895</v>
      </c>
      <c r="G107" s="83" t="str">
        <f ca="1">IFERROR(__xludf.DUMMYFUNCTION("""COMPUTED_VALUE"""),"Sun Hey Mansion")</f>
        <v>Sun Hey Mansion</v>
      </c>
      <c r="H107" s="84" t="str">
        <f ca="1">IFERROR(__xludf.DUMMYFUNCTION("""COMPUTED_VALUE"""),"新禧大樓")</f>
        <v>新禧大樓</v>
      </c>
      <c r="I107" s="84">
        <f ca="1">IFERROR(__xludf.DUMMYFUNCTION("""COMPUTED_VALUE"""),114.1711951)</f>
        <v>114.17119510000001</v>
      </c>
      <c r="J107" s="84">
        <f ca="1">IFERROR(__xludf.DUMMYFUNCTION("""COMPUTED_VALUE"""),22.27735975)</f>
        <v>22.277359749999999</v>
      </c>
      <c r="K107" s="88">
        <f ca="1">IFERROR(__xludf.DUMMYFUNCTION("""COMPUTED_VALUE"""),3.5)</f>
        <v>3.5</v>
      </c>
      <c r="L107" s="84" t="str">
        <f ca="1">IFERROR(__xludf.DUMMYFUNCTION("""COMPUTED_VALUE"""),"l")</f>
        <v>l</v>
      </c>
      <c r="M107" s="88">
        <f ca="1">IFERROR(__xludf.DUMMYFUNCTION("""COMPUTED_VALUE"""),54.4)</f>
        <v>54.4</v>
      </c>
      <c r="N107" s="84" t="str">
        <f ca="1">IFERROR(__xludf.DUMMYFUNCTION("""COMPUTED_VALUE"""),"p")</f>
        <v>p</v>
      </c>
      <c r="O107" s="88">
        <f ca="1">IFERROR(__xludf.DUMMYFUNCTION("""COMPUTED_VALUE"""),50.9)</f>
        <v>50.9</v>
      </c>
      <c r="P107" s="85"/>
      <c r="Q107" s="75" t="b">
        <f ca="1">IFERROR(__xludf.DUMMYFUNCTION("""COMPUTED_VALUE"""),FALSE)</f>
        <v>0</v>
      </c>
      <c r="R107" s="75" t="b">
        <f ca="1">IFERROR(__xludf.DUMMYFUNCTION("""COMPUTED_VALUE"""),FALSE)</f>
        <v>0</v>
      </c>
      <c r="S107" s="75" t="b">
        <f ca="1">IFERROR(__xludf.DUMMYFUNCTION("""COMPUTED_VALUE"""),FALSE)</f>
        <v>0</v>
      </c>
      <c r="T107" s="75" t="b">
        <f ca="1">IFERROR(__xludf.DUMMYFUNCTION("""COMPUTED_VALUE"""),FALSE)</f>
        <v>0</v>
      </c>
      <c r="U107" s="86">
        <f ca="1">IFERROR(__xludf.DUMMYFUNCTION("""COMPUTED_VALUE"""),17)</f>
        <v>17</v>
      </c>
      <c r="V107" s="84">
        <f ca="1">IFERROR(__xludf.DUMMYFUNCTION("""COMPUTED_VALUE"""),0)</f>
        <v>0</v>
      </c>
      <c r="W107" s="87">
        <f ca="1">IFERROR(__xludf.DUMMYFUNCTION("""COMPUTED_VALUE"""),102)</f>
        <v>102</v>
      </c>
      <c r="X107" s="84">
        <f ca="1">IFERROR(__xludf.DUMMYFUNCTION("""COMPUTED_VALUE"""),1965)</f>
        <v>1965</v>
      </c>
      <c r="Y107" s="84" t="str">
        <f ca="1">IFERROR(__xludf.DUMMYFUNCTION("""COMPUTED_VALUE"""),"BMIS_auto")</f>
        <v>BMIS_auto</v>
      </c>
      <c r="Z107" s="66" t="s">
        <v>1875</v>
      </c>
    </row>
    <row r="108" spans="1:26" ht="15.75" customHeight="1">
      <c r="A108" s="83" t="str">
        <f ca="1">IFERROR(__xludf.DUMMYFUNCTION("""COMPUTED_VALUE"""),"E9SE")</f>
        <v>E9SE</v>
      </c>
      <c r="B108" s="84">
        <f ca="1">IFERROR(__xludf.DUMMYFUNCTION("""COMPUTED_VALUE"""),9)</f>
        <v>9</v>
      </c>
      <c r="C108" s="84" t="str">
        <f ca="1">IFERROR(__xludf.DUMMYFUNCTION("""COMPUTED_VALUE"""),"SE")</f>
        <v>SE</v>
      </c>
      <c r="D108" s="339">
        <f ca="1">IFERROR(__xludf.DUMMYFUNCTION("""COMPUTED_VALUE"""),2000)</f>
        <v>2000</v>
      </c>
      <c r="E108" s="84" t="str">
        <f ca="1">IFERROR(__xludf.DUMMYFUNCTION("""COMPUTED_VALUE"""),"3564415394T20050430")</f>
        <v>3564415394T20050430</v>
      </c>
      <c r="F108" s="84">
        <f ca="1">IFERROR(__xludf.DUMMYFUNCTION("""COMPUTED_VALUE"""),1103128896)</f>
        <v>1103128896</v>
      </c>
      <c r="G108" s="83" t="str">
        <f ca="1">IFERROR(__xludf.DUMMYFUNCTION("""COMPUTED_VALUE"""),"Shanghai Industrial Investment Building")</f>
        <v>Shanghai Industrial Investment Building</v>
      </c>
      <c r="H108" s="84" t="str">
        <f ca="1">IFERROR(__xludf.DUMMYFUNCTION("""COMPUTED_VALUE"""),"上海實業大廈")</f>
        <v>上海實業大廈</v>
      </c>
      <c r="I108" s="84">
        <f ca="1">IFERROR(__xludf.DUMMYFUNCTION("""COMPUTED_VALUE"""),114.1708586)</f>
        <v>114.1708586</v>
      </c>
      <c r="J108" s="84">
        <f ca="1">IFERROR(__xludf.DUMMYFUNCTION("""COMPUTED_VALUE"""),22.2773646)</f>
        <v>22.277364599999999</v>
      </c>
      <c r="K108" s="88">
        <f ca="1">IFERROR(__xludf.DUMMYFUNCTION("""COMPUTED_VALUE"""),18.7)</f>
        <v>18.7</v>
      </c>
      <c r="L108" s="84" t="str">
        <f ca="1">IFERROR(__xludf.DUMMYFUNCTION("""COMPUTED_VALUE"""),"p")</f>
        <v>p</v>
      </c>
      <c r="M108" s="88">
        <f ca="1">IFERROR(__xludf.DUMMYFUNCTION("""COMPUTED_VALUE"""),88.1)</f>
        <v>88.1</v>
      </c>
      <c r="N108" s="84" t="str">
        <f ca="1">IFERROR(__xludf.DUMMYFUNCTION("""COMPUTED_VALUE"""),"p")</f>
        <v>p</v>
      </c>
      <c r="O108" s="88">
        <f ca="1">IFERROR(__xludf.DUMMYFUNCTION("""COMPUTED_VALUE"""),69.4)</f>
        <v>69.400000000000006</v>
      </c>
      <c r="P108" s="85"/>
      <c r="Q108" s="75" t="b">
        <f ca="1">IFERROR(__xludf.DUMMYFUNCTION("""COMPUTED_VALUE"""),FALSE)</f>
        <v>0</v>
      </c>
      <c r="R108" s="75" t="b">
        <f ca="1">IFERROR(__xludf.DUMMYFUNCTION("""COMPUTED_VALUE"""),FALSE)</f>
        <v>0</v>
      </c>
      <c r="S108" s="75" t="b">
        <f ca="1">IFERROR(__xludf.DUMMYFUNCTION("""COMPUTED_VALUE"""),FALSE)</f>
        <v>0</v>
      </c>
      <c r="T108" s="75" t="b">
        <f ca="1">IFERROR(__xludf.DUMMYFUNCTION("""COMPUTED_VALUE"""),FALSE)</f>
        <v>0</v>
      </c>
      <c r="U108" s="86">
        <f ca="1">IFERROR(__xludf.DUMMYFUNCTION("""COMPUTED_VALUE"""),28)</f>
        <v>28</v>
      </c>
      <c r="V108" s="84">
        <f ca="1">IFERROR(__xludf.DUMMYFUNCTION("""COMPUTED_VALUE"""),0)</f>
        <v>0</v>
      </c>
      <c r="W108" s="87">
        <f ca="1">IFERROR(__xludf.DUMMYFUNCTION("""COMPUTED_VALUE"""),56)</f>
        <v>56</v>
      </c>
      <c r="X108" s="84">
        <f ca="1">IFERROR(__xludf.DUMMYFUNCTION("""COMPUTED_VALUE"""),1977)</f>
        <v>1977</v>
      </c>
      <c r="Y108" s="84" t="str">
        <f ca="1">IFERROR(__xludf.DUMMYFUNCTION("""COMPUTED_VALUE"""),"BMIS_auto")</f>
        <v>BMIS_auto</v>
      </c>
      <c r="Z108" s="66" t="s">
        <v>1877</v>
      </c>
    </row>
    <row r="109" spans="1:26" ht="15.75" customHeight="1">
      <c r="A109" s="83" t="str">
        <f ca="1">IFERROR(__xludf.DUMMYFUNCTION("""COMPUTED_VALUE"""),"E9SW")</f>
        <v>E9SW</v>
      </c>
      <c r="B109" s="84">
        <f ca="1">IFERROR(__xludf.DUMMYFUNCTION("""COMPUTED_VALUE"""),9)</f>
        <v>9</v>
      </c>
      <c r="C109" s="84" t="str">
        <f ca="1">IFERROR(__xludf.DUMMYFUNCTION("""COMPUTED_VALUE"""),"SW")</f>
        <v>SW</v>
      </c>
      <c r="D109" s="339">
        <f ca="1">IFERROR(__xludf.DUMMYFUNCTION("""COMPUTED_VALUE"""),2000)</f>
        <v>2000</v>
      </c>
      <c r="E109" s="84" t="str">
        <f ca="1">IFERROR(__xludf.DUMMYFUNCTION("""COMPUTED_VALUE"""),"3565715434T20050430")</f>
        <v>3565715434T20050430</v>
      </c>
      <c r="F109" s="84">
        <f ca="1">IFERROR(__xludf.DUMMYFUNCTION("""COMPUTED_VALUE"""),1103128580)</f>
        <v>1103128580</v>
      </c>
      <c r="G109" s="83" t="str">
        <f ca="1">IFERROR(__xludf.DUMMYFUNCTION("""COMPUTED_VALUE"""),"Sze Bo Building")</f>
        <v>Sze Bo Building</v>
      </c>
      <c r="H109" s="84" t="str">
        <f ca="1">IFERROR(__xludf.DUMMYFUNCTION("""COMPUTED_VALUE"""),"四寶大廈")</f>
        <v>四寶大廈</v>
      </c>
      <c r="I109" s="84">
        <f ca="1">IFERROR(__xludf.DUMMYFUNCTION("""COMPUTED_VALUE"""),114.1709477)</f>
        <v>114.1709477</v>
      </c>
      <c r="J109" s="84">
        <f ca="1">IFERROR(__xludf.DUMMYFUNCTION("""COMPUTED_VALUE"""),22.27780483)</f>
        <v>22.277804830000001</v>
      </c>
      <c r="K109" s="88">
        <f ca="1">IFERROR(__xludf.DUMMYFUNCTION("""COMPUTED_VALUE"""),3.3)</f>
        <v>3.3</v>
      </c>
      <c r="L109" s="84" t="str">
        <f ca="1">IFERROR(__xludf.DUMMYFUNCTION("""COMPUTED_VALUE"""),"l")</f>
        <v>l</v>
      </c>
      <c r="M109" s="88">
        <f ca="1">IFERROR(__xludf.DUMMYFUNCTION("""COMPUTED_VALUE"""),52.3)</f>
        <v>52.3</v>
      </c>
      <c r="N109" s="84" t="str">
        <f ca="1">IFERROR(__xludf.DUMMYFUNCTION("""COMPUTED_VALUE"""),"p")</f>
        <v>p</v>
      </c>
      <c r="O109" s="88">
        <f ca="1">IFERROR(__xludf.DUMMYFUNCTION("""COMPUTED_VALUE"""),49)</f>
        <v>49</v>
      </c>
      <c r="P109" s="85"/>
      <c r="Q109" s="75" t="b">
        <f ca="1">IFERROR(__xludf.DUMMYFUNCTION("""COMPUTED_VALUE"""),FALSE)</f>
        <v>0</v>
      </c>
      <c r="R109" s="75" t="b">
        <f ca="1">IFERROR(__xludf.DUMMYFUNCTION("""COMPUTED_VALUE"""),FALSE)</f>
        <v>0</v>
      </c>
      <c r="S109" s="75" t="b">
        <f ca="1">IFERROR(__xludf.DUMMYFUNCTION("""COMPUTED_VALUE"""),FALSE)</f>
        <v>0</v>
      </c>
      <c r="T109" s="75" t="b">
        <f ca="1">IFERROR(__xludf.DUMMYFUNCTION("""COMPUTED_VALUE"""),FALSE)</f>
        <v>0</v>
      </c>
      <c r="U109" s="86">
        <f ca="1">IFERROR(__xludf.DUMMYFUNCTION("""COMPUTED_VALUE"""),16)</f>
        <v>16</v>
      </c>
      <c r="V109" s="84">
        <f ca="1">IFERROR(__xludf.DUMMYFUNCTION("""COMPUTED_VALUE"""),0)</f>
        <v>0</v>
      </c>
      <c r="W109" s="87">
        <f ca="1">IFERROR(__xludf.DUMMYFUNCTION("""COMPUTED_VALUE"""),64)</f>
        <v>64</v>
      </c>
      <c r="X109" s="84">
        <f ca="1">IFERROR(__xludf.DUMMYFUNCTION("""COMPUTED_VALUE"""),1966)</f>
        <v>1966</v>
      </c>
      <c r="Y109" s="84" t="str">
        <f ca="1">IFERROR(__xludf.DUMMYFUNCTION("""COMPUTED_VALUE"""),"BMIS")</f>
        <v>BMIS</v>
      </c>
      <c r="Z109" s="66" t="s">
        <v>1879</v>
      </c>
    </row>
    <row r="110" spans="1:26" ht="15.75" customHeight="1">
      <c r="A110" s="83" t="str">
        <f ca="1">IFERROR(__xludf.DUMMYFUNCTION("""COMPUTED_VALUE"""),"E9NW")</f>
        <v>E9NW</v>
      </c>
      <c r="B110" s="84">
        <f ca="1">IFERROR(__xludf.DUMMYFUNCTION("""COMPUTED_VALUE"""),9)</f>
        <v>9</v>
      </c>
      <c r="C110" s="84" t="str">
        <f ca="1">IFERROR(__xludf.DUMMYFUNCTION("""COMPUTED_VALUE"""),"NW")</f>
        <v>NW</v>
      </c>
      <c r="D110" s="339">
        <f ca="1">IFERROR(__xludf.DUMMYFUNCTION("""COMPUTED_VALUE"""),2000)</f>
        <v>2000</v>
      </c>
      <c r="E110" s="84" t="str">
        <f ca="1">IFERROR(__xludf.DUMMYFUNCTION("""COMPUTED_VALUE"""),"3568715435T20050430")</f>
        <v>3568715435T20050430</v>
      </c>
      <c r="F110" s="84">
        <f ca="1">IFERROR(__xludf.DUMMYFUNCTION("""COMPUTED_VALUE"""),1103128583)</f>
        <v>1103128583</v>
      </c>
      <c r="G110" s="83" t="str">
        <f ca="1">IFERROR(__xludf.DUMMYFUNCTION("""COMPUTED_VALUE"""),"Hay Wah Building Block A")</f>
        <v>Hay Wah Building Block A</v>
      </c>
      <c r="H110" s="84" t="str">
        <f ca="1">IFERROR(__xludf.DUMMYFUNCTION("""COMPUTED_VALUE"""),"熙華大廈Ａ座")</f>
        <v>熙華大廈Ａ座</v>
      </c>
      <c r="I110" s="84">
        <f ca="1">IFERROR(__xludf.DUMMYFUNCTION("""COMPUTED_VALUE"""),114.1712295)</f>
        <v>114.1712295</v>
      </c>
      <c r="J110" s="84">
        <f ca="1">IFERROR(__xludf.DUMMYFUNCTION("""COMPUTED_VALUE"""),22.27778877)</f>
        <v>22.277788770000001</v>
      </c>
      <c r="K110" s="88">
        <f ca="1">IFERROR(__xludf.DUMMYFUNCTION("""COMPUTED_VALUE"""),16.8)</f>
        <v>16.8</v>
      </c>
      <c r="L110" s="84" t="str">
        <f ca="1">IFERROR(__xludf.DUMMYFUNCTION("""COMPUTED_VALUE"""),"p")</f>
        <v>p</v>
      </c>
      <c r="M110" s="88">
        <f ca="1">IFERROR(__xludf.DUMMYFUNCTION("""COMPUTED_VALUE"""),76.9)</f>
        <v>76.900000000000006</v>
      </c>
      <c r="N110" s="84" t="str">
        <f ca="1">IFERROR(__xludf.DUMMYFUNCTION("""COMPUTED_VALUE"""),"3")</f>
        <v>3</v>
      </c>
      <c r="O110" s="88">
        <f ca="1">IFERROR(__xludf.DUMMYFUNCTION("""COMPUTED_VALUE"""),60.1)</f>
        <v>60.1</v>
      </c>
      <c r="P110" s="85"/>
      <c r="Q110" s="75" t="b">
        <f ca="1">IFERROR(__xludf.DUMMYFUNCTION("""COMPUTED_VALUE"""),FALSE)</f>
        <v>0</v>
      </c>
      <c r="R110" s="75" t="b">
        <f ca="1">IFERROR(__xludf.DUMMYFUNCTION("""COMPUTED_VALUE"""),FALSE)</f>
        <v>0</v>
      </c>
      <c r="S110" s="75" t="b">
        <f ca="1">IFERROR(__xludf.DUMMYFUNCTION("""COMPUTED_VALUE"""),FALSE)</f>
        <v>0</v>
      </c>
      <c r="T110" s="75" t="b">
        <f ca="1">IFERROR(__xludf.DUMMYFUNCTION("""COMPUTED_VALUE"""),FALSE)</f>
        <v>0</v>
      </c>
      <c r="U110" s="86">
        <f ca="1">IFERROR(__xludf.DUMMYFUNCTION("""COMPUTED_VALUE"""),22)</f>
        <v>22</v>
      </c>
      <c r="V110" s="84">
        <f ca="1">IFERROR(__xludf.DUMMYFUNCTION("""COMPUTED_VALUE"""),0)</f>
        <v>0</v>
      </c>
      <c r="W110" s="87">
        <f ca="1">IFERROR(__xludf.DUMMYFUNCTION("""COMPUTED_VALUE"""),280)</f>
        <v>280</v>
      </c>
      <c r="X110" s="84">
        <f ca="1">IFERROR(__xludf.DUMMYFUNCTION("""COMPUTED_VALUE"""),1979)</f>
        <v>1979</v>
      </c>
      <c r="Y110" s="84" t="str">
        <f ca="1">IFERROR(__xludf.DUMMYFUNCTION("""COMPUTED_VALUE"""),"BMIS_auto")</f>
        <v>BMIS_auto</v>
      </c>
      <c r="Z110" s="66" t="s">
        <v>1881</v>
      </c>
    </row>
    <row r="111" spans="1:26" ht="15.75" customHeight="1">
      <c r="A111" s="83" t="str">
        <f ca="1">IFERROR(__xludf.DUMMYFUNCTION("""COMPUTED_VALUE"""),"W9NE")</f>
        <v>W9NE</v>
      </c>
      <c r="B111" s="84">
        <f ca="1">IFERROR(__xludf.DUMMYFUNCTION("""COMPUTED_VALUE"""),9)</f>
        <v>9</v>
      </c>
      <c r="C111" s="84" t="str">
        <f ca="1">IFERROR(__xludf.DUMMYFUNCTION("""COMPUTED_VALUE"""),"NE")</f>
        <v>NE</v>
      </c>
      <c r="D111" s="339">
        <f ca="1">IFERROR(__xludf.DUMMYFUNCTION("""COMPUTED_VALUE"""),2000)</f>
        <v>2000</v>
      </c>
      <c r="E111" s="84" t="str">
        <f ca="1">IFERROR(__xludf.DUMMYFUNCTION("""COMPUTED_VALUE"""),"3303616558T20050430")</f>
        <v>3303616558T20050430</v>
      </c>
      <c r="F111" s="84">
        <f ca="1">IFERROR(__xludf.DUMMYFUNCTION("""COMPUTED_VALUE"""),1103121016)</f>
        <v>1103121016</v>
      </c>
      <c r="G111" s="83" t="str">
        <f ca="1">IFERROR(__xludf.DUMMYFUNCTION("""COMPUTED_VALUE"""),"Chiu Chow Association Building")</f>
        <v>Chiu Chow Association Building</v>
      </c>
      <c r="H111" s="84" t="str">
        <f ca="1">IFERROR(__xludf.DUMMYFUNCTION("""COMPUTED_VALUE"""),"潮州會館")</f>
        <v>潮州會館</v>
      </c>
      <c r="I111" s="84">
        <f ca="1">IFERROR(__xludf.DUMMYFUNCTION("""COMPUTED_VALUE"""),114.1455422)</f>
        <v>114.14554219999999</v>
      </c>
      <c r="J111" s="84">
        <f ca="1">IFERROR(__xludf.DUMMYFUNCTION("""COMPUTED_VALUE"""),22.28799401)</f>
        <v>22.287994009999998</v>
      </c>
      <c r="K111" s="88">
        <f ca="1">IFERROR(__xludf.DUMMYFUNCTION("""COMPUTED_VALUE"""),3.7)</f>
        <v>3.7</v>
      </c>
      <c r="L111" s="84" t="str">
        <f ca="1">IFERROR(__xludf.DUMMYFUNCTION("""COMPUTED_VALUE"""),"es")</f>
        <v>es</v>
      </c>
      <c r="M111" s="88">
        <f ca="1">IFERROR(__xludf.DUMMYFUNCTION("""COMPUTED_VALUE"""),40.3)</f>
        <v>40.299999999999997</v>
      </c>
      <c r="N111" s="84" t="str">
        <f ca="1">IFERROR(__xludf.DUMMYFUNCTION("""COMPUTED_VALUE"""),"p")</f>
        <v>p</v>
      </c>
      <c r="O111" s="88">
        <f ca="1">IFERROR(__xludf.DUMMYFUNCTION("""COMPUTED_VALUE"""),36.6)</f>
        <v>36.6</v>
      </c>
      <c r="P111" s="85"/>
      <c r="Q111" s="75" t="b">
        <f ca="1">IFERROR(__xludf.DUMMYFUNCTION("""COMPUTED_VALUE"""),FALSE)</f>
        <v>0</v>
      </c>
      <c r="R111" s="75" t="b">
        <f ca="1">IFERROR(__xludf.DUMMYFUNCTION("""COMPUTED_VALUE"""),FALSE)</f>
        <v>0</v>
      </c>
      <c r="S111" s="75" t="b">
        <f ca="1">IFERROR(__xludf.DUMMYFUNCTION("""COMPUTED_VALUE"""),FALSE)</f>
        <v>0</v>
      </c>
      <c r="T111" s="75" t="b">
        <f ca="1">IFERROR(__xludf.DUMMYFUNCTION("""COMPUTED_VALUE"""),FALSE)</f>
        <v>0</v>
      </c>
      <c r="U111" s="86">
        <f ca="1">IFERROR(__xludf.DUMMYFUNCTION("""COMPUTED_VALUE"""),10)</f>
        <v>10</v>
      </c>
      <c r="V111" s="84"/>
      <c r="W111" s="87"/>
      <c r="X111" s="84"/>
      <c r="Y111" s="84" t="str">
        <f ca="1">IFERROR(__xludf.DUMMYFUNCTION("""COMPUTED_VALUE"""),"Fieldwork")</f>
        <v>Fieldwork</v>
      </c>
      <c r="Z111" s="66" t="s">
        <v>1882</v>
      </c>
    </row>
    <row r="112" spans="1:26" ht="15.75" customHeight="1">
      <c r="A112" s="83" t="str">
        <f ca="1">IFERROR(__xludf.DUMMYFUNCTION("""COMPUTED_VALUE"""),"W9SE")</f>
        <v>W9SE</v>
      </c>
      <c r="B112" s="84">
        <f ca="1">IFERROR(__xludf.DUMMYFUNCTION("""COMPUTED_VALUE"""),9)</f>
        <v>9</v>
      </c>
      <c r="C112" s="84" t="str">
        <f ca="1">IFERROR(__xludf.DUMMYFUNCTION("""COMPUTED_VALUE"""),"SE")</f>
        <v>SE</v>
      </c>
      <c r="D112" s="339">
        <f ca="1">IFERROR(__xludf.DUMMYFUNCTION("""COMPUTED_VALUE"""),2000)</f>
        <v>2000</v>
      </c>
      <c r="E112" s="84" t="str">
        <f ca="1">IFERROR(__xludf.DUMMYFUNCTION("""COMPUTED_VALUE"""),"3302716533T20050430")</f>
        <v>3302716533T20050430</v>
      </c>
      <c r="F112" s="84">
        <f ca="1">IFERROR(__xludf.DUMMYFUNCTION("""COMPUTED_VALUE"""),1103121249)</f>
        <v>1103121249</v>
      </c>
      <c r="G112" s="83" t="str">
        <f ca="1">IFERROR(__xludf.DUMMYFUNCTION("""COMPUTED_VALUE"""),"Yu Chu Lam Building")</f>
        <v>Yu Chu Lam Building</v>
      </c>
      <c r="H112" s="84" t="str">
        <f ca="1">IFERROR(__xludf.DUMMYFUNCTION("""COMPUTED_VALUE"""),"庾柱林大廈")</f>
        <v>庾柱林大廈</v>
      </c>
      <c r="I112" s="84">
        <f ca="1">IFERROR(__xludf.DUMMYFUNCTION("""COMPUTED_VALUE"""),114.1454359)</f>
        <v>114.1454359</v>
      </c>
      <c r="J112" s="84">
        <f ca="1">IFERROR(__xludf.DUMMYFUNCTION("""COMPUTED_VALUE"""),22.28766339)</f>
        <v>22.287663389999999</v>
      </c>
      <c r="K112" s="88">
        <f ca="1">IFERROR(__xludf.DUMMYFUNCTION("""COMPUTED_VALUE"""),3.7)</f>
        <v>3.7</v>
      </c>
      <c r="L112" s="84" t="str">
        <f ca="1">IFERROR(__xludf.DUMMYFUNCTION("""COMPUTED_VALUE"""),"es")</f>
        <v>es</v>
      </c>
      <c r="M112" s="88">
        <f ca="1">IFERROR(__xludf.DUMMYFUNCTION("""COMPUTED_VALUE"""),40)</f>
        <v>40</v>
      </c>
      <c r="N112" s="84" t="str">
        <f ca="1">IFERROR(__xludf.DUMMYFUNCTION("""COMPUTED_VALUE"""),"p")</f>
        <v>p</v>
      </c>
      <c r="O112" s="88">
        <f ca="1">IFERROR(__xludf.DUMMYFUNCTION("""COMPUTED_VALUE"""),36.3)</f>
        <v>36.299999999999997</v>
      </c>
      <c r="P112" s="85" t="str">
        <f ca="1">IFERROR(__xludf.DUMMYFUNCTION("""COMPUTED_VALUE"""),"To be changed, waiting confirmation")</f>
        <v>To be changed, waiting confirmation</v>
      </c>
      <c r="Q112" s="75" t="b">
        <f ca="1">IFERROR(__xludf.DUMMYFUNCTION("""COMPUTED_VALUE"""),FALSE)</f>
        <v>0</v>
      </c>
      <c r="R112" s="75" t="b">
        <f ca="1">IFERROR(__xludf.DUMMYFUNCTION("""COMPUTED_VALUE"""),FALSE)</f>
        <v>0</v>
      </c>
      <c r="S112" s="75" t="b">
        <f ca="1">IFERROR(__xludf.DUMMYFUNCTION("""COMPUTED_VALUE"""),FALSE)</f>
        <v>0</v>
      </c>
      <c r="T112" s="75" t="b">
        <f ca="1">IFERROR(__xludf.DUMMYFUNCTION("""COMPUTED_VALUE"""),FALSE)</f>
        <v>0</v>
      </c>
      <c r="U112" s="86">
        <f ca="1">IFERROR(__xludf.DUMMYFUNCTION("""COMPUTED_VALUE"""),9)</f>
        <v>9</v>
      </c>
      <c r="V112" s="84"/>
      <c r="W112" s="87"/>
      <c r="X112" s="84"/>
      <c r="Y112" s="84" t="str">
        <f ca="1">IFERROR(__xludf.DUMMYFUNCTION("""COMPUTED_VALUE"""),"Fieldwork")</f>
        <v>Fieldwork</v>
      </c>
      <c r="Z112" s="66" t="s">
        <v>1883</v>
      </c>
    </row>
    <row r="113" spans="1:26" ht="15.75" customHeight="1">
      <c r="A113" s="83" t="str">
        <f ca="1">IFERROR(__xludf.DUMMYFUNCTION("""COMPUTED_VALUE"""),"W9SW")</f>
        <v>W9SW</v>
      </c>
      <c r="B113" s="84">
        <f ca="1">IFERROR(__xludf.DUMMYFUNCTION("""COMPUTED_VALUE"""),9)</f>
        <v>9</v>
      </c>
      <c r="C113" s="84" t="str">
        <f ca="1">IFERROR(__xludf.DUMMYFUNCTION("""COMPUTED_VALUE"""),"SW")</f>
        <v>SW</v>
      </c>
      <c r="D113" s="339">
        <f ca="1">IFERROR(__xludf.DUMMYFUNCTION("""COMPUTED_VALUE"""),2000)</f>
        <v>2000</v>
      </c>
      <c r="E113" s="84" t="str">
        <f ca="1">IFERROR(__xludf.DUMMYFUNCTION("""COMPUTED_VALUE"""),"3298216530T20161117")</f>
        <v>3298216530T20161117</v>
      </c>
      <c r="F113" s="84">
        <f ca="1">IFERROR(__xludf.DUMMYFUNCTION("""COMPUTED_VALUE"""),1810156458)</f>
        <v>1810156458</v>
      </c>
      <c r="G113" s="83" t="str">
        <f ca="1">IFERROR(__xludf.DUMMYFUNCTION("""COMPUTED_VALUE"""),"AVA128")</f>
        <v>AVA128</v>
      </c>
      <c r="H113" s="84"/>
      <c r="I113" s="84">
        <f ca="1">IFERROR(__xludf.DUMMYFUNCTION("""COMPUTED_VALUE"""),114.1449924)</f>
        <v>114.14499240000001</v>
      </c>
      <c r="J113" s="84">
        <f ca="1">IFERROR(__xludf.DUMMYFUNCTION("""COMPUTED_VALUE"""),22.28767006)</f>
        <v>22.28767006</v>
      </c>
      <c r="K113" s="88">
        <f ca="1">IFERROR(__xludf.DUMMYFUNCTION("""COMPUTED_VALUE"""),3.7)</f>
        <v>3.7</v>
      </c>
      <c r="L113" s="84" t="str">
        <f ca="1">IFERROR(__xludf.DUMMYFUNCTION("""COMPUTED_VALUE"""),"b")</f>
        <v>b</v>
      </c>
      <c r="M113" s="88">
        <f ca="1">IFERROR(__xludf.DUMMYFUNCTION("""COMPUTED_VALUE"""),98.8)</f>
        <v>98.8</v>
      </c>
      <c r="N113" s="84" t="str">
        <f ca="1">IFERROR(__xludf.DUMMYFUNCTION("""COMPUTED_VALUE"""),"g")</f>
        <v>g</v>
      </c>
      <c r="O113" s="88">
        <f ca="1">IFERROR(__xludf.DUMMYFUNCTION("""COMPUTED_VALUE"""),95.1)</f>
        <v>95.1</v>
      </c>
      <c r="P113" s="85"/>
      <c r="Q113" s="75" t="b">
        <f ca="1">IFERROR(__xludf.DUMMYFUNCTION("""COMPUTED_VALUE"""),FALSE)</f>
        <v>0</v>
      </c>
      <c r="R113" s="75" t="b">
        <f ca="1">IFERROR(__xludf.DUMMYFUNCTION("""COMPUTED_VALUE"""),FALSE)</f>
        <v>0</v>
      </c>
      <c r="S113" s="75" t="b">
        <f ca="1">IFERROR(__xludf.DUMMYFUNCTION("""COMPUTED_VALUE"""),FALSE)</f>
        <v>0</v>
      </c>
      <c r="T113" s="75" t="b">
        <f ca="1">IFERROR(__xludf.DUMMYFUNCTION("""COMPUTED_VALUE"""),FALSE)</f>
        <v>0</v>
      </c>
      <c r="U113" s="86">
        <f ca="1">IFERROR(__xludf.DUMMYFUNCTION("""COMPUTED_VALUE"""),29)</f>
        <v>29</v>
      </c>
      <c r="V113" s="84"/>
      <c r="W113" s="87"/>
      <c r="X113" s="84"/>
      <c r="Y113" s="84" t="str">
        <f ca="1">IFERROR(__xludf.DUMMYFUNCTION("""COMPUTED_VALUE"""),"Fieldwork")</f>
        <v>Fieldwork</v>
      </c>
      <c r="Z113" s="66" t="s">
        <v>1884</v>
      </c>
    </row>
    <row r="114" spans="1:26" ht="15.75" customHeight="1">
      <c r="A114" s="83" t="str">
        <f ca="1">IFERROR(__xludf.DUMMYFUNCTION("""COMPUTED_VALUE"""),"W9NW")</f>
        <v>W9NW</v>
      </c>
      <c r="B114" s="84">
        <f ca="1">IFERROR(__xludf.DUMMYFUNCTION("""COMPUTED_VALUE"""),9)</f>
        <v>9</v>
      </c>
      <c r="C114" s="84" t="str">
        <f ca="1">IFERROR(__xludf.DUMMYFUNCTION("""COMPUTED_VALUE"""),"NW")</f>
        <v>NW</v>
      </c>
      <c r="D114" s="339">
        <f ca="1">IFERROR(__xludf.DUMMYFUNCTION("""COMPUTED_VALUE"""),2000)</f>
        <v>2000</v>
      </c>
      <c r="E114" s="84" t="str">
        <f ca="1">IFERROR(__xludf.DUMMYFUNCTION("""COMPUTED_VALUE"""),"3298416570T20050430")</f>
        <v>3298416570T20050430</v>
      </c>
      <c r="F114" s="84">
        <f ca="1">IFERROR(__xludf.DUMMYFUNCTION("""COMPUTED_VALUE"""),1103121008)</f>
        <v>1103121008</v>
      </c>
      <c r="G114" s="83" t="str">
        <f ca="1">IFERROR(__xludf.DUMMYFUNCTION("""COMPUTED_VALUE"""),"Lucky Commercial Centre")</f>
        <v>Lucky Commercial Centre</v>
      </c>
      <c r="H114" s="84" t="str">
        <f ca="1">IFERROR(__xludf.DUMMYFUNCTION("""COMPUTED_VALUE"""),"樂基商業中心")</f>
        <v>樂基商業中心</v>
      </c>
      <c r="I114" s="84">
        <f ca="1">IFERROR(__xludf.DUMMYFUNCTION("""COMPUTED_VALUE"""),114.1449989)</f>
        <v>114.1449989</v>
      </c>
      <c r="J114" s="84">
        <f ca="1">IFERROR(__xludf.DUMMYFUNCTION("""COMPUTED_VALUE"""),22.28802343)</f>
        <v>22.288023429999999</v>
      </c>
      <c r="K114" s="88">
        <f ca="1">IFERROR(__xludf.DUMMYFUNCTION("""COMPUTED_VALUE"""),3.5)</f>
        <v>3.5</v>
      </c>
      <c r="L114" s="84" t="str">
        <f ca="1">IFERROR(__xludf.DUMMYFUNCTION("""COMPUTED_VALUE"""),"l")</f>
        <v>l</v>
      </c>
      <c r="M114" s="88">
        <f ca="1">IFERROR(__xludf.DUMMYFUNCTION("""COMPUTED_VALUE"""),79)</f>
        <v>79</v>
      </c>
      <c r="N114" s="84" t="str">
        <f ca="1">IFERROR(__xludf.DUMMYFUNCTION("""COMPUTED_VALUE"""),"p")</f>
        <v>p</v>
      </c>
      <c r="O114" s="88">
        <f ca="1">IFERROR(__xludf.DUMMYFUNCTION("""COMPUTED_VALUE"""),75.5)</f>
        <v>75.5</v>
      </c>
      <c r="P114" s="85"/>
      <c r="Q114" s="75" t="b">
        <f ca="1">IFERROR(__xludf.DUMMYFUNCTION("""COMPUTED_VALUE"""),FALSE)</f>
        <v>0</v>
      </c>
      <c r="R114" s="75" t="b">
        <f ca="1">IFERROR(__xludf.DUMMYFUNCTION("""COMPUTED_VALUE"""),FALSE)</f>
        <v>0</v>
      </c>
      <c r="S114" s="75" t="b">
        <f ca="1">IFERROR(__xludf.DUMMYFUNCTION("""COMPUTED_VALUE"""),FALSE)</f>
        <v>0</v>
      </c>
      <c r="T114" s="75" t="b">
        <f ca="1">IFERROR(__xludf.DUMMYFUNCTION("""COMPUTED_VALUE"""),FALSE)</f>
        <v>0</v>
      </c>
      <c r="U114" s="86">
        <f ca="1">IFERROR(__xludf.DUMMYFUNCTION("""COMPUTED_VALUE"""),24)</f>
        <v>24</v>
      </c>
      <c r="V114" s="84">
        <f ca="1">IFERROR(__xludf.DUMMYFUNCTION("""COMPUTED_VALUE"""),0)</f>
        <v>0</v>
      </c>
      <c r="W114" s="87">
        <f ca="1">IFERROR(__xludf.DUMMYFUNCTION("""COMPUTED_VALUE"""),94)</f>
        <v>94</v>
      </c>
      <c r="X114" s="84">
        <f ca="1">IFERROR(__xludf.DUMMYFUNCTION("""COMPUTED_VALUE"""),1991)</f>
        <v>1991</v>
      </c>
      <c r="Y114" s="84" t="str">
        <f ca="1">IFERROR(__xludf.DUMMYFUNCTION("""COMPUTED_VALUE"""),"Fieldwork+BMIS")</f>
        <v>Fieldwork+BMIS</v>
      </c>
      <c r="Z114" s="66" t="s">
        <v>1885</v>
      </c>
    </row>
    <row r="115" spans="1:26" ht="15.75" customHeight="1">
      <c r="A115" s="83" t="str">
        <f ca="1">IFERROR(__xludf.DUMMYFUNCTION("""COMPUTED_VALUE"""),"N2NE")</f>
        <v>N2NE</v>
      </c>
      <c r="B115" s="84">
        <f ca="1">IFERROR(__xludf.DUMMYFUNCTION("""COMPUTED_VALUE"""),2)</f>
        <v>2</v>
      </c>
      <c r="C115" s="84" t="str">
        <f ca="1">IFERROR(__xludf.DUMMYFUNCTION("""COMPUTED_VALUE"""),"NE")</f>
        <v>NE</v>
      </c>
      <c r="D115" s="339">
        <f ca="1">IFERROR(__xludf.DUMMYFUNCTION("""COMPUTED_VALUE"""),2200)</f>
        <v>2200</v>
      </c>
      <c r="E115" s="84" t="str">
        <f ca="1">IFERROR(__xludf.DUMMYFUNCTION("""COMPUTED_VALUE"""),"3580017785T20050430")</f>
        <v>3580017785T20050430</v>
      </c>
      <c r="F115" s="84">
        <f ca="1">IFERROR(__xludf.DUMMYFUNCTION("""COMPUTED_VALUE"""),1108243793)</f>
        <v>1108243793</v>
      </c>
      <c r="G115" s="83" t="str">
        <f ca="1">IFERROR(__xludf.DUMMYFUNCTION("""COMPUTED_VALUE"""),"Comfort Building")</f>
        <v>Comfort Building</v>
      </c>
      <c r="H115" s="84" t="str">
        <f ca="1">IFERROR(__xludf.DUMMYFUNCTION("""COMPUTED_VALUE"""),"安樂大廈")</f>
        <v>安樂大廈</v>
      </c>
      <c r="I115" s="84">
        <f ca="1">IFERROR(__xludf.DUMMYFUNCTION("""COMPUTED_VALUE"""),114.1723496)</f>
        <v>114.1723496</v>
      </c>
      <c r="J115" s="84">
        <f ca="1">IFERROR(__xludf.DUMMYFUNCTION("""COMPUTED_VALUE"""),22.29900237)</f>
        <v>22.29900237</v>
      </c>
      <c r="K115" s="88">
        <f ca="1">IFERROR(__xludf.DUMMYFUNCTION("""COMPUTED_VALUE"""),7.6)</f>
        <v>7.6</v>
      </c>
      <c r="L115" s="84" t="str">
        <f ca="1">IFERROR(__xludf.DUMMYFUNCTION("""COMPUTED_VALUE"""),"l")</f>
        <v>l</v>
      </c>
      <c r="M115" s="88">
        <f ca="1">IFERROR(__xludf.DUMMYFUNCTION("""COMPUTED_VALUE"""),50.799999)</f>
        <v>50.799999</v>
      </c>
      <c r="N115" s="84" t="str">
        <f ca="1">IFERROR(__xludf.DUMMYFUNCTION("""COMPUTED_VALUE"""),"p")</f>
        <v>p</v>
      </c>
      <c r="O115" s="88">
        <f ca="1">IFERROR(__xludf.DUMMYFUNCTION("""COMPUTED_VALUE"""),43.199999)</f>
        <v>43.199998999999998</v>
      </c>
      <c r="P115" s="85"/>
      <c r="Q115" s="75" t="b">
        <f ca="1">IFERROR(__xludf.DUMMYFUNCTION("""COMPUTED_VALUE"""),FALSE)</f>
        <v>0</v>
      </c>
      <c r="R115" s="75" t="b">
        <f ca="1">IFERROR(__xludf.DUMMYFUNCTION("""COMPUTED_VALUE"""),FALSE)</f>
        <v>0</v>
      </c>
      <c r="S115" s="75" t="b">
        <f ca="1">IFERROR(__xludf.DUMMYFUNCTION("""COMPUTED_VALUE"""),FALSE)</f>
        <v>0</v>
      </c>
      <c r="T115" s="75"/>
      <c r="U115" s="86">
        <f ca="1">IFERROR(__xludf.DUMMYFUNCTION("""COMPUTED_VALUE"""),13)</f>
        <v>13</v>
      </c>
      <c r="V115" s="84">
        <f ca="1">IFERROR(__xludf.DUMMYFUNCTION("""COMPUTED_VALUE"""),0)</f>
        <v>0</v>
      </c>
      <c r="W115" s="87">
        <f ca="1">IFERROR(__xludf.DUMMYFUNCTION("""COMPUTED_VALUE"""),78)</f>
        <v>78</v>
      </c>
      <c r="X115" s="84">
        <f ca="1">IFERROR(__xludf.DUMMYFUNCTION("""COMPUTED_VALUE"""),1958)</f>
        <v>1958</v>
      </c>
      <c r="Y115" s="84" t="str">
        <f ca="1">IFERROR(__xludf.DUMMYFUNCTION("""COMPUTED_VALUE"""),"BMIS_auto")</f>
        <v>BMIS_auto</v>
      </c>
      <c r="Z115" s="66" t="s">
        <v>1887</v>
      </c>
    </row>
    <row r="116" spans="1:26" ht="15.75" customHeight="1">
      <c r="A116" s="83" t="str">
        <f ca="1">IFERROR(__xludf.DUMMYFUNCTION("""COMPUTED_VALUE"""),"N2SE")</f>
        <v>N2SE</v>
      </c>
      <c r="B116" s="84">
        <f ca="1">IFERROR(__xludf.DUMMYFUNCTION("""COMPUTED_VALUE"""),2)</f>
        <v>2</v>
      </c>
      <c r="C116" s="84" t="str">
        <f ca="1">IFERROR(__xludf.DUMMYFUNCTION("""COMPUTED_VALUE"""),"SE")</f>
        <v>SE</v>
      </c>
      <c r="D116" s="339">
        <f ca="1">IFERROR(__xludf.DUMMYFUNCTION("""COMPUTED_VALUE"""),2200)</f>
        <v>2200</v>
      </c>
      <c r="E116" s="84" t="str">
        <f ca="1">IFERROR(__xludf.DUMMYFUNCTION("""COMPUTED_VALUE"""),"3581117767T20050430")</f>
        <v>3581117767T20050430</v>
      </c>
      <c r="F116" s="84">
        <f ca="1">IFERROR(__xludf.DUMMYFUNCTION("""COMPUTED_VALUE"""),1108243826)</f>
        <v>1108243826</v>
      </c>
      <c r="G116" s="83" t="str">
        <f ca="1">IFERROR(__xludf.DUMMYFUNCTION("""COMPUTED_VALUE"""),"HSBC Building Tsim Sha Tsui")</f>
        <v>HSBC Building Tsim Sha Tsui</v>
      </c>
      <c r="H116" s="84" t="str">
        <f ca="1">IFERROR(__xludf.DUMMYFUNCTION("""COMPUTED_VALUE"""),"尖沙咀滙豐大廈")</f>
        <v>尖沙咀滙豐大廈</v>
      </c>
      <c r="I116" s="84">
        <f ca="1">IFERROR(__xludf.DUMMYFUNCTION("""COMPUTED_VALUE"""),114.1724534)</f>
        <v>114.17245339999999</v>
      </c>
      <c r="J116" s="84">
        <f ca="1">IFERROR(__xludf.DUMMYFUNCTION("""COMPUTED_VALUE"""),22.29885126)</f>
        <v>22.298851259999999</v>
      </c>
      <c r="K116" s="88">
        <f ca="1">IFERROR(__xludf.DUMMYFUNCTION("""COMPUTED_VALUE"""),5.9)</f>
        <v>5.9</v>
      </c>
      <c r="L116" s="84" t="str">
        <f ca="1">IFERROR(__xludf.DUMMYFUNCTION("""COMPUTED_VALUE"""),"l")</f>
        <v>l</v>
      </c>
      <c r="M116" s="88">
        <f ca="1">IFERROR(__xludf.DUMMYFUNCTION("""COMPUTED_VALUE"""),60.1)</f>
        <v>60.1</v>
      </c>
      <c r="N116" s="84" t="str">
        <f ca="1">IFERROR(__xludf.DUMMYFUNCTION("""COMPUTED_VALUE"""),"e")</f>
        <v>e</v>
      </c>
      <c r="O116" s="88">
        <f ca="1">IFERROR(__xludf.DUMMYFUNCTION("""COMPUTED_VALUE"""),54.2)</f>
        <v>54.2</v>
      </c>
      <c r="P116" s="85" t="str">
        <f ca="1">IFERROR(__xludf.DUMMYFUNCTION("""COMPUTED_VALUE"""),"Manually edited due to API failing to attribute tower to podium as a child attribute.")</f>
        <v>Manually edited due to API failing to attribute tower to podium as a child attribute.</v>
      </c>
      <c r="Q116" s="75" t="b">
        <f ca="1">IFERROR(__xludf.DUMMYFUNCTION("""COMPUTED_VALUE"""),FALSE)</f>
        <v>0</v>
      </c>
      <c r="R116" s="75" t="b">
        <f ca="1">IFERROR(__xludf.DUMMYFUNCTION("""COMPUTED_VALUE"""),FALSE)</f>
        <v>0</v>
      </c>
      <c r="S116" s="75" t="b">
        <f ca="1">IFERROR(__xludf.DUMMYFUNCTION("""COMPUTED_VALUE"""),FALSE)</f>
        <v>0</v>
      </c>
      <c r="T116" s="75"/>
      <c r="U116" s="86">
        <f ca="1">IFERROR(__xludf.DUMMYFUNCTION("""COMPUTED_VALUE"""),14)</f>
        <v>14</v>
      </c>
      <c r="V116" s="84"/>
      <c r="W116" s="87"/>
      <c r="X116" s="84"/>
      <c r="Y116" s="84" t="str">
        <f ca="1">IFERROR(__xludf.DUMMYFUNCTION("""COMPUTED_VALUE"""),"Google Earth")</f>
        <v>Google Earth</v>
      </c>
      <c r="Z116" s="66" t="s">
        <v>1889</v>
      </c>
    </row>
    <row r="117" spans="1:26" ht="15.75" customHeight="1">
      <c r="A117" s="83" t="str">
        <f ca="1">IFERROR(__xludf.DUMMYFUNCTION("""COMPUTED_VALUE"""),"N2SW")</f>
        <v>N2SW</v>
      </c>
      <c r="B117" s="84">
        <f ca="1">IFERROR(__xludf.DUMMYFUNCTION("""COMPUTED_VALUE"""),2)</f>
        <v>2</v>
      </c>
      <c r="C117" s="84" t="str">
        <f ca="1">IFERROR(__xludf.DUMMYFUNCTION("""COMPUTED_VALUE"""),"SW")</f>
        <v>SW</v>
      </c>
      <c r="D117" s="339">
        <f ca="1">IFERROR(__xludf.DUMMYFUNCTION("""COMPUTED_VALUE"""),2200)</f>
        <v>2200</v>
      </c>
      <c r="E117" s="84" t="str">
        <f ca="1">IFERROR(__xludf.DUMMYFUNCTION("""COMPUTED_VALUE"""),"3573317753T20050430")</f>
        <v>3573317753T20050430</v>
      </c>
      <c r="F117" s="84">
        <f ca="1">IFERROR(__xludf.DUMMYFUNCTION("""COMPUTED_VALUE"""),1108243833)</f>
        <v>1108243833</v>
      </c>
      <c r="G117" s="83" t="str">
        <f ca="1">IFERROR(__xludf.DUMMYFUNCTION("""COMPUTED_VALUE"""),"Kowloon Mosque and Islamic Centre")</f>
        <v>Kowloon Mosque and Islamic Centre</v>
      </c>
      <c r="H117" s="84" t="str">
        <f ca="1">IFERROR(__xludf.DUMMYFUNCTION("""COMPUTED_VALUE"""),"九龍清真寺暨伊斯蘭中心")</f>
        <v>九龍清真寺暨伊斯蘭中心</v>
      </c>
      <c r="I117" s="84">
        <f ca="1">IFERROR(__xludf.DUMMYFUNCTION("""COMPUTED_VALUE"""),114.1716925)</f>
        <v>114.17169250000001</v>
      </c>
      <c r="J117" s="84">
        <f ca="1">IFERROR(__xludf.DUMMYFUNCTION("""COMPUTED_VALUE"""),22.29872915)</f>
        <v>22.29872915</v>
      </c>
      <c r="K117" s="88">
        <f ca="1">IFERROR(__xludf.DUMMYFUNCTION("""COMPUTED_VALUE"""),10.3)</f>
        <v>10.3</v>
      </c>
      <c r="L117" s="84" t="str">
        <f ca="1">IFERROR(__xludf.DUMMYFUNCTION("""COMPUTED_VALUE"""),"l")</f>
        <v>l</v>
      </c>
      <c r="M117" s="88">
        <f ca="1">IFERROR(__xludf.DUMMYFUNCTION("""COMPUTED_VALUE"""),26.4)</f>
        <v>26.4</v>
      </c>
      <c r="N117" s="84" t="str">
        <f ca="1">IFERROR(__xludf.DUMMYFUNCTION("""COMPUTED_VALUE"""),"p")</f>
        <v>p</v>
      </c>
      <c r="O117" s="88">
        <f ca="1">IFERROR(__xludf.DUMMYFUNCTION("""COMPUTED_VALUE"""),16.1)</f>
        <v>16.100000000000001</v>
      </c>
      <c r="P117" s="85" t="str">
        <f ca="1">IFERROR(__xludf.DUMMYFUNCTION("""COMPUTED_VALUE"""),"Used for religious purposes")</f>
        <v>Used for religious purposes</v>
      </c>
      <c r="Q117" s="75" t="b">
        <f ca="1">IFERROR(__xludf.DUMMYFUNCTION("""COMPUTED_VALUE"""),FALSE)</f>
        <v>0</v>
      </c>
      <c r="R117" s="75" t="b">
        <f ca="1">IFERROR(__xludf.DUMMYFUNCTION("""COMPUTED_VALUE"""),TRUE)</f>
        <v>1</v>
      </c>
      <c r="S117" s="75" t="b">
        <f ca="1">IFERROR(__xludf.DUMMYFUNCTION("""COMPUTED_VALUE"""),FALSE)</f>
        <v>0</v>
      </c>
      <c r="T117" s="75"/>
      <c r="U117" s="86">
        <f ca="1">IFERROR(__xludf.DUMMYFUNCTION("""COMPUTED_VALUE"""),2)</f>
        <v>2</v>
      </c>
      <c r="V117" s="84"/>
      <c r="W117" s="87"/>
      <c r="X117" s="84"/>
      <c r="Y117" s="84" t="str">
        <f ca="1">IFERROR(__xludf.DUMMYFUNCTION("""COMPUTED_VALUE"""),"Google Earth")</f>
        <v>Google Earth</v>
      </c>
      <c r="Z117" s="66" t="s">
        <v>1891</v>
      </c>
    </row>
    <row r="118" spans="1:26" ht="15.75" customHeight="1">
      <c r="A118" s="83" t="str">
        <f ca="1">IFERROR(__xludf.DUMMYFUNCTION("""COMPUTED_VALUE"""),"N2NW")</f>
        <v>N2NW</v>
      </c>
      <c r="B118" s="84">
        <f ca="1">IFERROR(__xludf.DUMMYFUNCTION("""COMPUTED_VALUE"""),2)</f>
        <v>2</v>
      </c>
      <c r="C118" s="84" t="str">
        <f ca="1">IFERROR(__xludf.DUMMYFUNCTION("""COMPUTED_VALUE"""),"NW")</f>
        <v>NW</v>
      </c>
      <c r="D118" s="339">
        <f ca="1">IFERROR(__xludf.DUMMYFUNCTION("""COMPUTED_VALUE"""),2200)</f>
        <v>2200</v>
      </c>
      <c r="E118" s="84" t="str">
        <f ca="1">IFERROR(__xludf.DUMMYFUNCTION("""COMPUTED_VALUE"""),"3573817856T20050430")</f>
        <v>3573817856T20050430</v>
      </c>
      <c r="F118" s="84">
        <f ca="1">IFERROR(__xludf.DUMMYFUNCTION("""COMPUTED_VALUE"""),1108243542)</f>
        <v>1108243542</v>
      </c>
      <c r="G118" s="83" t="str">
        <f ca="1">IFERROR(__xludf.DUMMYFUNCTION("""COMPUTED_VALUE"""),"Park Lane Shopper's Boulevard")</f>
        <v>Park Lane Shopper's Boulevard</v>
      </c>
      <c r="H118" s="84" t="str">
        <f ca="1">IFERROR(__xludf.DUMMYFUNCTION("""COMPUTED_VALUE"""),"栢麗購物大道　（天台花園）")</f>
        <v>栢麗購物大道　（天台花園）</v>
      </c>
      <c r="I118" s="84">
        <f ca="1">IFERROR(__xludf.DUMMYFUNCTION("""COMPUTED_VALUE"""),114.1717285)</f>
        <v>114.1717285</v>
      </c>
      <c r="J118" s="84">
        <f ca="1">IFERROR(__xludf.DUMMYFUNCTION("""COMPUTED_VALUE"""),22.29961511)</f>
        <v>22.299615110000001</v>
      </c>
      <c r="K118" s="88">
        <f ca="1">IFERROR(__xludf.DUMMYFUNCTION("""COMPUTED_VALUE"""),10.4)</f>
        <v>10.4</v>
      </c>
      <c r="L118" s="84" t="str">
        <f ca="1">IFERROR(__xludf.DUMMYFUNCTION("""COMPUTED_VALUE"""),"l")</f>
        <v>l</v>
      </c>
      <c r="M118" s="88">
        <f ca="1">IFERROR(__xludf.DUMMYFUNCTION("""COMPUTED_VALUE"""),17.4)</f>
        <v>17.399999999999999</v>
      </c>
      <c r="N118" s="84" t="str">
        <f ca="1">IFERROR(__xludf.DUMMYFUNCTION("""COMPUTED_VALUE"""),"p")</f>
        <v>p</v>
      </c>
      <c r="O118" s="88">
        <f ca="1">IFERROR(__xludf.DUMMYFUNCTION("""COMPUTED_VALUE"""),7)</f>
        <v>7</v>
      </c>
      <c r="P118" s="85" t="str">
        <f ca="1">IFERROR(__xludf.DUMMYFUNCTION("""COMPUTED_VALUE"""),"park facility")</f>
        <v>park facility</v>
      </c>
      <c r="Q118" s="75" t="b">
        <f ca="1">IFERROR(__xludf.DUMMYFUNCTION("""COMPUTED_VALUE"""),FALSE)</f>
        <v>0</v>
      </c>
      <c r="R118" s="75" t="b">
        <f ca="1">IFERROR(__xludf.DUMMYFUNCTION("""COMPUTED_VALUE"""),TRUE)</f>
        <v>1</v>
      </c>
      <c r="S118" s="75" t="b">
        <f ca="1">IFERROR(__xludf.DUMMYFUNCTION("""COMPUTED_VALUE"""),FALSE)</f>
        <v>0</v>
      </c>
      <c r="T118" s="75"/>
      <c r="U118" s="86">
        <f ca="1">IFERROR(__xludf.DUMMYFUNCTION("""COMPUTED_VALUE"""),2)</f>
        <v>2</v>
      </c>
      <c r="V118" s="84"/>
      <c r="W118" s="87">
        <f ca="1">IFERROR(__xludf.DUMMYFUNCTION("""COMPUTED_VALUE"""),68)</f>
        <v>68</v>
      </c>
      <c r="X118" s="84">
        <f ca="1">IFERROR(__xludf.DUMMYFUNCTION("""COMPUTED_VALUE"""),1985)</f>
        <v>1985</v>
      </c>
      <c r="Y118" s="84" t="str">
        <f ca="1">IFERROR(__xludf.DUMMYFUNCTION("""COMPUTED_VALUE"""),"BMIS_auto")</f>
        <v>BMIS_auto</v>
      </c>
      <c r="Z118" s="66" t="s">
        <v>1893</v>
      </c>
    </row>
    <row r="119" spans="1:26" ht="15.75" customHeight="1">
      <c r="A119" s="83" t="str">
        <f ca="1">IFERROR(__xludf.DUMMYFUNCTION("""COMPUTED_VALUE"""),"E10NE")</f>
        <v>E10NE</v>
      </c>
      <c r="B119" s="84">
        <f ca="1">IFERROR(__xludf.DUMMYFUNCTION("""COMPUTED_VALUE"""),10)</f>
        <v>10</v>
      </c>
      <c r="C119" s="84" t="str">
        <f ca="1">IFERROR(__xludf.DUMMYFUNCTION("""COMPUTED_VALUE"""),"NE")</f>
        <v>NE</v>
      </c>
      <c r="D119" s="339">
        <f ca="1">IFERROR(__xludf.DUMMYFUNCTION("""COMPUTED_VALUE"""),2200)</f>
        <v>2200</v>
      </c>
      <c r="E119" s="84" t="str">
        <f ca="1">IFERROR(__xludf.DUMMYFUNCTION("""COMPUTED_VALUE"""),"3588715374T20050430")</f>
        <v>3588715374T20050430</v>
      </c>
      <c r="F119" s="84">
        <f ca="1">IFERROR(__xludf.DUMMYFUNCTION("""COMPUTED_VALUE"""),1103128909)</f>
        <v>1103128909</v>
      </c>
      <c r="G119" s="83" t="str">
        <f ca="1">IFERROR(__xludf.DUMMYFUNCTION("""COMPUTED_VALUE"""),"Southorn Garden")</f>
        <v>Southorn Garden</v>
      </c>
      <c r="H119" s="84" t="str">
        <f ca="1">IFERROR(__xludf.DUMMYFUNCTION("""COMPUTED_VALUE"""),"修頓花園")</f>
        <v>修頓花園</v>
      </c>
      <c r="I119" s="84">
        <f ca="1">IFERROR(__xludf.DUMMYFUNCTION("""COMPUTED_VALUE"""),114.1731)</f>
        <v>114.17310000000001</v>
      </c>
      <c r="J119" s="84">
        <f ca="1">IFERROR(__xludf.DUMMYFUNCTION("""COMPUTED_VALUE"""),22.27723659)</f>
        <v>22.277236590000001</v>
      </c>
      <c r="K119" s="88">
        <f ca="1">IFERROR(__xludf.DUMMYFUNCTION("""COMPUTED_VALUE"""),17.1)</f>
        <v>17.100000000000001</v>
      </c>
      <c r="L119" s="84" t="str">
        <f ca="1">IFERROR(__xludf.DUMMYFUNCTION("""COMPUTED_VALUE"""),"p")</f>
        <v>p</v>
      </c>
      <c r="M119" s="88">
        <f ca="1">IFERROR(__xludf.DUMMYFUNCTION("""COMPUTED_VALUE"""),128.2)</f>
        <v>128.19999999999999</v>
      </c>
      <c r="N119" s="84" t="str">
        <f ca="1">IFERROR(__xludf.DUMMYFUNCTION("""COMPUTED_VALUE"""),"p")</f>
        <v>p</v>
      </c>
      <c r="O119" s="88">
        <f ca="1">IFERROR(__xludf.DUMMYFUNCTION("""COMPUTED_VALUE"""),111.1)</f>
        <v>111.1</v>
      </c>
      <c r="P119" s="85"/>
      <c r="Q119" s="75" t="b">
        <f ca="1">IFERROR(__xludf.DUMMYFUNCTION("""COMPUTED_VALUE"""),FALSE)</f>
        <v>0</v>
      </c>
      <c r="R119" s="75" t="b">
        <f ca="1">IFERROR(__xludf.DUMMYFUNCTION("""COMPUTED_VALUE"""),FALSE)</f>
        <v>0</v>
      </c>
      <c r="S119" s="75" t="b">
        <f ca="1">IFERROR(__xludf.DUMMYFUNCTION("""COMPUTED_VALUE"""),FALSE)</f>
        <v>0</v>
      </c>
      <c r="T119" s="75" t="b">
        <f ca="1">IFERROR(__xludf.DUMMYFUNCTION("""COMPUTED_VALUE"""),FALSE)</f>
        <v>0</v>
      </c>
      <c r="U119" s="86">
        <f ca="1">IFERROR(__xludf.DUMMYFUNCTION("""COMPUTED_VALUE"""),40)</f>
        <v>40</v>
      </c>
      <c r="V119" s="84"/>
      <c r="W119" s="87">
        <f ca="1">IFERROR(__xludf.DUMMYFUNCTION("""COMPUTED_VALUE"""),480)</f>
        <v>480</v>
      </c>
      <c r="X119" s="84">
        <f ca="1">IFERROR(__xludf.DUMMYFUNCTION("""COMPUTED_VALUE"""),1988)</f>
        <v>1988</v>
      </c>
      <c r="Y119" s="84" t="str">
        <f ca="1">IFERROR(__xludf.DUMMYFUNCTION("""COMPUTED_VALUE"""),"BMIS_auto")</f>
        <v>BMIS_auto</v>
      </c>
      <c r="Z119" s="66" t="s">
        <v>1895</v>
      </c>
    </row>
    <row r="120" spans="1:26" ht="15.75" customHeight="1">
      <c r="A120" s="83" t="str">
        <f ca="1">IFERROR(__xludf.DUMMYFUNCTION("""COMPUTED_VALUE"""),"E10SE")</f>
        <v>E10SE</v>
      </c>
      <c r="B120" s="84">
        <f ca="1">IFERROR(__xludf.DUMMYFUNCTION("""COMPUTED_VALUE"""),10)</f>
        <v>10</v>
      </c>
      <c r="C120" s="84" t="str">
        <f ca="1">IFERROR(__xludf.DUMMYFUNCTION("""COMPUTED_VALUE"""),"SE")</f>
        <v>SE</v>
      </c>
      <c r="D120" s="339">
        <f ca="1">IFERROR(__xludf.DUMMYFUNCTION("""COMPUTED_VALUE"""),2200)</f>
        <v>2200</v>
      </c>
      <c r="E120" s="84" t="str">
        <f ca="1">IFERROR(__xludf.DUMMYFUNCTION("""COMPUTED_VALUE"""),"3583415391T20050430")</f>
        <v>3583415391T20050430</v>
      </c>
      <c r="F120" s="84">
        <f ca="1">IFERROR(__xludf.DUMMYFUNCTION("""COMPUTED_VALUE"""),1103128900)</f>
        <v>1103128900</v>
      </c>
      <c r="G120" s="83" t="str">
        <f ca="1">IFERROR(__xludf.DUMMYFUNCTION("""COMPUTED_VALUE"""),"Southorn Centre")</f>
        <v>Southorn Centre</v>
      </c>
      <c r="H120" s="84" t="str">
        <f ca="1">IFERROR(__xludf.DUMMYFUNCTION("""COMPUTED_VALUE"""),"修頓中心")</f>
        <v>修頓中心</v>
      </c>
      <c r="I120" s="84">
        <f ca="1">IFERROR(__xludf.DUMMYFUNCTION("""COMPUTED_VALUE"""),114.1728015)</f>
        <v>114.17280150000001</v>
      </c>
      <c r="J120" s="84">
        <f ca="1">IFERROR(__xludf.DUMMYFUNCTION("""COMPUTED_VALUE"""),22.27716394)</f>
        <v>22.277163940000001</v>
      </c>
      <c r="K120" s="88">
        <f ca="1">IFERROR(__xludf.DUMMYFUNCTION("""COMPUTED_VALUE"""),3.8)</f>
        <v>3.8</v>
      </c>
      <c r="L120" s="84" t="str">
        <f ca="1">IFERROR(__xludf.DUMMYFUNCTION("""COMPUTED_VALUE"""),"l")</f>
        <v>l</v>
      </c>
      <c r="M120" s="88">
        <f ca="1">IFERROR(__xludf.DUMMYFUNCTION("""COMPUTED_VALUE"""),118.9)</f>
        <v>118.9</v>
      </c>
      <c r="N120" s="84" t="str">
        <f ca="1">IFERROR(__xludf.DUMMYFUNCTION("""COMPUTED_VALUE"""),"p")</f>
        <v>p</v>
      </c>
      <c r="O120" s="88">
        <f ca="1">IFERROR(__xludf.DUMMYFUNCTION("""COMPUTED_VALUE"""),115.1)</f>
        <v>115.1</v>
      </c>
      <c r="P120" s="85"/>
      <c r="Q120" s="75" t="b">
        <f ca="1">IFERROR(__xludf.DUMMYFUNCTION("""COMPUTED_VALUE"""),FALSE)</f>
        <v>0</v>
      </c>
      <c r="R120" s="75" t="b">
        <f ca="1">IFERROR(__xludf.DUMMYFUNCTION("""COMPUTED_VALUE"""),FALSE)</f>
        <v>0</v>
      </c>
      <c r="S120" s="75" t="b">
        <f ca="1">IFERROR(__xludf.DUMMYFUNCTION("""COMPUTED_VALUE"""),FALSE)</f>
        <v>0</v>
      </c>
      <c r="T120" s="75" t="b">
        <f ca="1">IFERROR(__xludf.DUMMYFUNCTION("""COMPUTED_VALUE"""),FALSE)</f>
        <v>0</v>
      </c>
      <c r="U120" s="86">
        <f ca="1">IFERROR(__xludf.DUMMYFUNCTION("""COMPUTED_VALUE"""),32)</f>
        <v>32</v>
      </c>
      <c r="V120" s="84">
        <f ca="1">IFERROR(__xludf.DUMMYFUNCTION("""COMPUTED_VALUE"""),2)</f>
        <v>2</v>
      </c>
      <c r="W120" s="87">
        <f ca="1">IFERROR(__xludf.DUMMYFUNCTION("""COMPUTED_VALUE"""),32)</f>
        <v>32</v>
      </c>
      <c r="X120" s="84">
        <f ca="1">IFERROR(__xludf.DUMMYFUNCTION("""COMPUTED_VALUE"""),1988)</f>
        <v>1988</v>
      </c>
      <c r="Y120" s="84" t="str">
        <f ca="1">IFERROR(__xludf.DUMMYFUNCTION("""COMPUTED_VALUE"""),"BMIS_auto")</f>
        <v>BMIS_auto</v>
      </c>
      <c r="Z120" s="66" t="s">
        <v>1897</v>
      </c>
    </row>
    <row r="121" spans="1:26" ht="15.75" customHeight="1">
      <c r="A121" s="83" t="str">
        <f ca="1">IFERROR(__xludf.DUMMYFUNCTION("""COMPUTED_VALUE"""),"E10SW")</f>
        <v>E10SW</v>
      </c>
      <c r="B121" s="84">
        <f ca="1">IFERROR(__xludf.DUMMYFUNCTION("""COMPUTED_VALUE"""),10)</f>
        <v>10</v>
      </c>
      <c r="C121" s="84" t="str">
        <f ca="1">IFERROR(__xludf.DUMMYFUNCTION("""COMPUTED_VALUE"""),"SW")</f>
        <v>SW</v>
      </c>
      <c r="D121" s="339">
        <f ca="1">IFERROR(__xludf.DUMMYFUNCTION("""COMPUTED_VALUE"""),2200)</f>
        <v>2200</v>
      </c>
      <c r="E121" s="84" t="str">
        <f ca="1">IFERROR(__xludf.DUMMYFUNCTION("""COMPUTED_VALUE"""),"3584215428T20050430")</f>
        <v>3584215428T20050430</v>
      </c>
      <c r="F121" s="84">
        <f ca="1">IFERROR(__xludf.DUMMYFUNCTION("""COMPUTED_VALUE"""),1103128579)</f>
        <v>1103128579</v>
      </c>
      <c r="G121" s="83" t="str">
        <f ca="1">IFERROR(__xludf.DUMMYFUNCTION("""COMPUTED_VALUE"""),"China Overseas Building")</f>
        <v>China Overseas Building</v>
      </c>
      <c r="H121" s="84" t="str">
        <f ca="1">IFERROR(__xludf.DUMMYFUNCTION("""COMPUTED_VALUE"""),"中國海外大廈")</f>
        <v>中國海外大廈</v>
      </c>
      <c r="I121" s="84">
        <f ca="1">IFERROR(__xludf.DUMMYFUNCTION("""COMPUTED_VALUE"""),114.1727793)</f>
        <v>114.1727793</v>
      </c>
      <c r="J121" s="84">
        <f ca="1">IFERROR(__xludf.DUMMYFUNCTION("""COMPUTED_VALUE"""),22.27779288)</f>
        <v>22.27779288</v>
      </c>
      <c r="K121" s="88">
        <f ca="1">IFERROR(__xludf.DUMMYFUNCTION("""COMPUTED_VALUE"""),18.2)</f>
        <v>18.2</v>
      </c>
      <c r="L121" s="84" t="str">
        <f ca="1">IFERROR(__xludf.DUMMYFUNCTION("""COMPUTED_VALUE"""),"p")</f>
        <v>p</v>
      </c>
      <c r="M121" s="88">
        <f ca="1">IFERROR(__xludf.DUMMYFUNCTION("""COMPUTED_VALUE"""),112.5)</f>
        <v>112.5</v>
      </c>
      <c r="N121" s="84" t="str">
        <f ca="1">IFERROR(__xludf.DUMMYFUNCTION("""COMPUTED_VALUE"""),"3")</f>
        <v>3</v>
      </c>
      <c r="O121" s="88">
        <f ca="1">IFERROR(__xludf.DUMMYFUNCTION("""COMPUTED_VALUE"""),94.3)</f>
        <v>94.3</v>
      </c>
      <c r="P121" s="85"/>
      <c r="Q121" s="75" t="b">
        <f ca="1">IFERROR(__xludf.DUMMYFUNCTION("""COMPUTED_VALUE"""),FALSE)</f>
        <v>0</v>
      </c>
      <c r="R121" s="75" t="b">
        <f ca="1">IFERROR(__xludf.DUMMYFUNCTION("""COMPUTED_VALUE"""),FALSE)</f>
        <v>0</v>
      </c>
      <c r="S121" s="75" t="b">
        <f ca="1">IFERROR(__xludf.DUMMYFUNCTION("""COMPUTED_VALUE"""),FALSE)</f>
        <v>0</v>
      </c>
      <c r="T121" s="75" t="b">
        <f ca="1">IFERROR(__xludf.DUMMYFUNCTION("""COMPUTED_VALUE"""),FALSE)</f>
        <v>0</v>
      </c>
      <c r="U121" s="86">
        <f ca="1">IFERROR(__xludf.DUMMYFUNCTION("""COMPUTED_VALUE"""),30)</f>
        <v>30</v>
      </c>
      <c r="V121" s="84">
        <f ca="1">IFERROR(__xludf.DUMMYFUNCTION("""COMPUTED_VALUE"""),0)</f>
        <v>0</v>
      </c>
      <c r="W121" s="87">
        <f ca="1">IFERROR(__xludf.DUMMYFUNCTION("""COMPUTED_VALUE"""),60)</f>
        <v>60</v>
      </c>
      <c r="X121" s="84">
        <f ca="1">IFERROR(__xludf.DUMMYFUNCTION("""COMPUTED_VALUE"""),1991)</f>
        <v>1991</v>
      </c>
      <c r="Y121" s="84" t="str">
        <f ca="1">IFERROR(__xludf.DUMMYFUNCTION("""COMPUTED_VALUE"""),"BMIS_auto")</f>
        <v>BMIS_auto</v>
      </c>
      <c r="Z121" s="66" t="s">
        <v>1899</v>
      </c>
    </row>
    <row r="122" spans="1:26" ht="15.75" customHeight="1">
      <c r="A122" s="83" t="str">
        <f ca="1">IFERROR(__xludf.DUMMYFUNCTION("""COMPUTED_VALUE"""),"E10NW")</f>
        <v>E10NW</v>
      </c>
      <c r="B122" s="84">
        <f ca="1">IFERROR(__xludf.DUMMYFUNCTION("""COMPUTED_VALUE"""),10)</f>
        <v>10</v>
      </c>
      <c r="C122" s="84" t="str">
        <f ca="1">IFERROR(__xludf.DUMMYFUNCTION("""COMPUTED_VALUE"""),"NW")</f>
        <v>NW</v>
      </c>
      <c r="D122" s="339">
        <f ca="1">IFERROR(__xludf.DUMMYFUNCTION("""COMPUTED_VALUE"""),2200)</f>
        <v>2200</v>
      </c>
      <c r="E122" s="84" t="str">
        <f ca="1">IFERROR(__xludf.DUMMYFUNCTION("""COMPUTED_VALUE"""),"3588115444T20050430")</f>
        <v>3588115444T20050430</v>
      </c>
      <c r="F122" s="84">
        <f ca="1">IFERROR(__xludf.DUMMYFUNCTION("""COMPUTED_VALUE"""),1103128578)</f>
        <v>1103128578</v>
      </c>
      <c r="G122" s="83" t="str">
        <f ca="1">IFERROR(__xludf.DUMMYFUNCTION("""COMPUTED_VALUE"""),"On Hong Commercial Building")</f>
        <v>On Hong Commercial Building</v>
      </c>
      <c r="H122" s="84" t="str">
        <f ca="1">IFERROR(__xludf.DUMMYFUNCTION("""COMPUTED_VALUE"""),"安康商業大廈")</f>
        <v>安康商業大廈</v>
      </c>
      <c r="I122" s="84">
        <f ca="1">IFERROR(__xludf.DUMMYFUNCTION("""COMPUTED_VALUE"""),114.1730654)</f>
        <v>114.1730654</v>
      </c>
      <c r="J122" s="84">
        <f ca="1">IFERROR(__xludf.DUMMYFUNCTION("""COMPUTED_VALUE"""),22.2778383)</f>
        <v>22.277838299999999</v>
      </c>
      <c r="K122" s="88">
        <f ca="1">IFERROR(__xludf.DUMMYFUNCTION("""COMPUTED_VALUE"""),18.3)</f>
        <v>18.3</v>
      </c>
      <c r="L122" s="84" t="str">
        <f ca="1">IFERROR(__xludf.DUMMYFUNCTION("""COMPUTED_VALUE"""),"p")</f>
        <v>p</v>
      </c>
      <c r="M122" s="88">
        <f ca="1">IFERROR(__xludf.DUMMYFUNCTION("""COMPUTED_VALUE"""),80.1)</f>
        <v>80.099999999999994</v>
      </c>
      <c r="N122" s="84" t="str">
        <f ca="1">IFERROR(__xludf.DUMMYFUNCTION("""COMPUTED_VALUE"""),"3")</f>
        <v>3</v>
      </c>
      <c r="O122" s="88">
        <f ca="1">IFERROR(__xludf.DUMMYFUNCTION("""COMPUTED_VALUE"""),61.8)</f>
        <v>61.8</v>
      </c>
      <c r="P122" s="85"/>
      <c r="Q122" s="75" t="b">
        <f ca="1">IFERROR(__xludf.DUMMYFUNCTION("""COMPUTED_VALUE"""),FALSE)</f>
        <v>0</v>
      </c>
      <c r="R122" s="75" t="b">
        <f ca="1">IFERROR(__xludf.DUMMYFUNCTION("""COMPUTED_VALUE"""),FALSE)</f>
        <v>0</v>
      </c>
      <c r="S122" s="75" t="b">
        <f ca="1">IFERROR(__xludf.DUMMYFUNCTION("""COMPUTED_VALUE"""),FALSE)</f>
        <v>0</v>
      </c>
      <c r="T122" s="75" t="b">
        <f ca="1">IFERROR(__xludf.DUMMYFUNCTION("""COMPUTED_VALUE"""),FALSE)</f>
        <v>0</v>
      </c>
      <c r="U122" s="86">
        <f ca="1">IFERROR(__xludf.DUMMYFUNCTION("""COMPUTED_VALUE"""),24)</f>
        <v>24</v>
      </c>
      <c r="V122" s="84">
        <f ca="1">IFERROR(__xludf.DUMMYFUNCTION("""COMPUTED_VALUE"""),0)</f>
        <v>0</v>
      </c>
      <c r="W122" s="87">
        <f ca="1">IFERROR(__xludf.DUMMYFUNCTION("""COMPUTED_VALUE"""),56)</f>
        <v>56</v>
      </c>
      <c r="X122" s="84">
        <f ca="1">IFERROR(__xludf.DUMMYFUNCTION("""COMPUTED_VALUE"""),1987)</f>
        <v>1987</v>
      </c>
      <c r="Y122" s="84" t="str">
        <f ca="1">IFERROR(__xludf.DUMMYFUNCTION("""COMPUTED_VALUE"""),"BMIS_auto")</f>
        <v>BMIS_auto</v>
      </c>
      <c r="Z122" s="66" t="s">
        <v>1901</v>
      </c>
    </row>
    <row r="123" spans="1:26" ht="15.75" customHeight="1">
      <c r="A123" s="83" t="str">
        <f ca="1">IFERROR(__xludf.DUMMYFUNCTION("""COMPUTED_VALUE"""),"W10NE")</f>
        <v>W10NE</v>
      </c>
      <c r="B123" s="84">
        <f ca="1">IFERROR(__xludf.DUMMYFUNCTION("""COMPUTED_VALUE"""),10)</f>
        <v>10</v>
      </c>
      <c r="C123" s="84" t="str">
        <f ca="1">IFERROR(__xludf.DUMMYFUNCTION("""COMPUTED_VALUE"""),"NE")</f>
        <v>NE</v>
      </c>
      <c r="D123" s="339">
        <f ca="1">IFERROR(__xludf.DUMMYFUNCTION("""COMPUTED_VALUE"""),2200)</f>
        <v>2200</v>
      </c>
      <c r="E123" s="84" t="str">
        <f ca="1">IFERROR(__xludf.DUMMYFUNCTION("""COMPUTED_VALUE"""),"3284216568T20050430")</f>
        <v>3284216568T20050430</v>
      </c>
      <c r="F123" s="84">
        <f ca="1">IFERROR(__xludf.DUMMYFUNCTION("""COMPUTED_VALUE"""),1103120999)</f>
        <v>1103120999</v>
      </c>
      <c r="G123" s="83" t="str">
        <f ca="1">IFERROR(__xludf.DUMMYFUNCTION("""COMPUTED_VALUE"""),"Tak Tung House")</f>
        <v>Tak Tung House</v>
      </c>
      <c r="H123" s="84" t="str">
        <f ca="1">IFERROR(__xludf.DUMMYFUNCTION("""COMPUTED_VALUE"""),"德東樓")</f>
        <v>德東樓</v>
      </c>
      <c r="I123" s="84">
        <f ca="1">IFERROR(__xludf.DUMMYFUNCTION("""COMPUTED_VALUE"""),114.1436344)</f>
        <v>114.1436344</v>
      </c>
      <c r="J123" s="84">
        <f ca="1">IFERROR(__xludf.DUMMYFUNCTION("""COMPUTED_VALUE"""),22.28804803)</f>
        <v>22.288048029999999</v>
      </c>
      <c r="K123" s="88">
        <f ca="1">IFERROR(__xludf.DUMMYFUNCTION("""COMPUTED_VALUE"""),3.4)</f>
        <v>3.4</v>
      </c>
      <c r="L123" s="84" t="str">
        <f ca="1">IFERROR(__xludf.DUMMYFUNCTION("""COMPUTED_VALUE"""),"l")</f>
        <v>l</v>
      </c>
      <c r="M123" s="88">
        <f ca="1">IFERROR(__xludf.DUMMYFUNCTION("""COMPUTED_VALUE"""),48.3)</f>
        <v>48.3</v>
      </c>
      <c r="N123" s="84" t="str">
        <f ca="1">IFERROR(__xludf.DUMMYFUNCTION("""COMPUTED_VALUE"""),"p")</f>
        <v>p</v>
      </c>
      <c r="O123" s="88">
        <f ca="1">IFERROR(__xludf.DUMMYFUNCTION("""COMPUTED_VALUE"""),44.9)</f>
        <v>44.9</v>
      </c>
      <c r="P123" s="85"/>
      <c r="Q123" s="75" t="b">
        <f ca="1">IFERROR(__xludf.DUMMYFUNCTION("""COMPUTED_VALUE"""),FALSE)</f>
        <v>0</v>
      </c>
      <c r="R123" s="75" t="b">
        <f ca="1">IFERROR(__xludf.DUMMYFUNCTION("""COMPUTED_VALUE"""),FALSE)</f>
        <v>0</v>
      </c>
      <c r="S123" s="75" t="b">
        <f ca="1">IFERROR(__xludf.DUMMYFUNCTION("""COMPUTED_VALUE"""),FALSE)</f>
        <v>0</v>
      </c>
      <c r="T123" s="75" t="b">
        <f ca="1">IFERROR(__xludf.DUMMYFUNCTION("""COMPUTED_VALUE"""),FALSE)</f>
        <v>0</v>
      </c>
      <c r="U123" s="86">
        <f ca="1">IFERROR(__xludf.DUMMYFUNCTION("""COMPUTED_VALUE"""),15)</f>
        <v>15</v>
      </c>
      <c r="V123" s="84"/>
      <c r="W123" s="87"/>
      <c r="X123" s="84"/>
      <c r="Y123" s="84" t="str">
        <f ca="1">IFERROR(__xludf.DUMMYFUNCTION("""COMPUTED_VALUE"""),"Fieldwork")</f>
        <v>Fieldwork</v>
      </c>
      <c r="Z123" s="66" t="s">
        <v>1902</v>
      </c>
    </row>
    <row r="124" spans="1:26" ht="15.75" customHeight="1">
      <c r="A124" s="83" t="str">
        <f ca="1">IFERROR(__xludf.DUMMYFUNCTION("""COMPUTED_VALUE"""),"W10SE")</f>
        <v>W10SE</v>
      </c>
      <c r="B124" s="84">
        <f ca="1">IFERROR(__xludf.DUMMYFUNCTION("""COMPUTED_VALUE"""),10)</f>
        <v>10</v>
      </c>
      <c r="C124" s="84" t="str">
        <f ca="1">IFERROR(__xludf.DUMMYFUNCTION("""COMPUTED_VALUE"""),"SE")</f>
        <v>SE</v>
      </c>
      <c r="D124" s="339">
        <f ca="1">IFERROR(__xludf.DUMMYFUNCTION("""COMPUTED_VALUE"""),2200)</f>
        <v>2200</v>
      </c>
      <c r="E124" s="84" t="str">
        <f ca="1">IFERROR(__xludf.DUMMYFUNCTION("""COMPUTED_VALUE"""),"3282716540T20050430")</f>
        <v>3282716540T20050430</v>
      </c>
      <c r="F124" s="84">
        <f ca="1">IFERROR(__xludf.DUMMYFUNCTION("""COMPUTED_VALUE"""),1103121193)</f>
        <v>1103121193</v>
      </c>
      <c r="G124" s="83" t="str">
        <f ca="1">IFERROR(__xludf.DUMMYFUNCTION("""COMPUTED_VALUE"""),"Luen Tak Building")</f>
        <v>Luen Tak Building</v>
      </c>
      <c r="H124" s="84" t="str">
        <f ca="1">IFERROR(__xludf.DUMMYFUNCTION("""COMPUTED_VALUE"""),"聯德大廈")</f>
        <v>聯德大廈</v>
      </c>
      <c r="I124" s="84">
        <f ca="1">IFERROR(__xludf.DUMMYFUNCTION("""COMPUTED_VALUE"""),114.1434996)</f>
        <v>114.1434996</v>
      </c>
      <c r="J124" s="84">
        <f ca="1">IFERROR(__xludf.DUMMYFUNCTION("""COMPUTED_VALUE"""),22.28770472)</f>
        <v>22.287704720000001</v>
      </c>
      <c r="K124" s="88">
        <f ca="1">IFERROR(__xludf.DUMMYFUNCTION("""COMPUTED_VALUE"""),3.6)</f>
        <v>3.6</v>
      </c>
      <c r="L124" s="84" t="str">
        <f ca="1">IFERROR(__xludf.DUMMYFUNCTION("""COMPUTED_VALUE"""),"l")</f>
        <v>l</v>
      </c>
      <c r="M124" s="88">
        <f ca="1">IFERROR(__xludf.DUMMYFUNCTION("""COMPUTED_VALUE"""),45.6)</f>
        <v>45.6</v>
      </c>
      <c r="N124" s="84" t="str">
        <f ca="1">IFERROR(__xludf.DUMMYFUNCTION("""COMPUTED_VALUE"""),"p")</f>
        <v>p</v>
      </c>
      <c r="O124" s="88">
        <f ca="1">IFERROR(__xludf.DUMMYFUNCTION("""COMPUTED_VALUE"""),42)</f>
        <v>42</v>
      </c>
      <c r="P124" s="85"/>
      <c r="Q124" s="75" t="b">
        <f ca="1">IFERROR(__xludf.DUMMYFUNCTION("""COMPUTED_VALUE"""),FALSE)</f>
        <v>0</v>
      </c>
      <c r="R124" s="75" t="b">
        <f ca="1">IFERROR(__xludf.DUMMYFUNCTION("""COMPUTED_VALUE"""),FALSE)</f>
        <v>0</v>
      </c>
      <c r="S124" s="75" t="b">
        <f ca="1">IFERROR(__xludf.DUMMYFUNCTION("""COMPUTED_VALUE"""),FALSE)</f>
        <v>0</v>
      </c>
      <c r="T124" s="75" t="b">
        <f ca="1">IFERROR(__xludf.DUMMYFUNCTION("""COMPUTED_VALUE"""),FALSE)</f>
        <v>0</v>
      </c>
      <c r="U124" s="86">
        <f ca="1">IFERROR(__xludf.DUMMYFUNCTION("""COMPUTED_VALUE"""),14)</f>
        <v>14</v>
      </c>
      <c r="V124" s="84"/>
      <c r="W124" s="87"/>
      <c r="X124" s="84"/>
      <c r="Y124" s="84" t="str">
        <f ca="1">IFERROR(__xludf.DUMMYFUNCTION("""COMPUTED_VALUE"""),"Fieldwork")</f>
        <v>Fieldwork</v>
      </c>
      <c r="Z124" s="66" t="s">
        <v>1903</v>
      </c>
    </row>
    <row r="125" spans="1:26" ht="15.75" customHeight="1">
      <c r="A125" s="83" t="str">
        <f ca="1">IFERROR(__xludf.DUMMYFUNCTION("""COMPUTED_VALUE"""),"W10SW")</f>
        <v>W10SW</v>
      </c>
      <c r="B125" s="84">
        <f ca="1">IFERROR(__xludf.DUMMYFUNCTION("""COMPUTED_VALUE"""),10)</f>
        <v>10</v>
      </c>
      <c r="C125" s="84" t="str">
        <f ca="1">IFERROR(__xludf.DUMMYFUNCTION("""COMPUTED_VALUE"""),"SW")</f>
        <v>SW</v>
      </c>
      <c r="D125" s="339">
        <f ca="1">IFERROR(__xludf.DUMMYFUNCTION("""COMPUTED_VALUE"""),2200)</f>
        <v>2200</v>
      </c>
      <c r="E125" s="84" t="str">
        <f ca="1">IFERROR(__xludf.DUMMYFUNCTION("""COMPUTED_VALUE"""),"3278416542T20050430")</f>
        <v>3278416542T20050430</v>
      </c>
      <c r="F125" s="84">
        <f ca="1">IFERROR(__xludf.DUMMYFUNCTION("""COMPUTED_VALUE"""),1103121183)</f>
        <v>1103121183</v>
      </c>
      <c r="G125" s="83" t="str">
        <f ca="1">IFERROR(__xludf.DUMMYFUNCTION("""COMPUTED_VALUE"""),"Wai Tak Building")</f>
        <v>Wai Tak Building</v>
      </c>
      <c r="H125" s="84" t="str">
        <f ca="1">IFERROR(__xludf.DUMMYFUNCTION("""COMPUTED_VALUE"""),"惠德大廈")</f>
        <v>惠德大廈</v>
      </c>
      <c r="I125" s="84">
        <f ca="1">IFERROR(__xludf.DUMMYFUNCTION("""COMPUTED_VALUE"""),114.143099)</f>
        <v>114.14309900000001</v>
      </c>
      <c r="J125" s="84">
        <f ca="1">IFERROR(__xludf.DUMMYFUNCTION("""COMPUTED_VALUE"""),22.28771939)</f>
        <v>22.287719389999999</v>
      </c>
      <c r="K125" s="88">
        <f ca="1">IFERROR(__xludf.DUMMYFUNCTION("""COMPUTED_VALUE"""),3.7)</f>
        <v>3.7</v>
      </c>
      <c r="L125" s="84" t="str">
        <f ca="1">IFERROR(__xludf.DUMMYFUNCTION("""COMPUTED_VALUE"""),"l")</f>
        <v>l</v>
      </c>
      <c r="M125" s="88">
        <f ca="1">IFERROR(__xludf.DUMMYFUNCTION("""COMPUTED_VALUE"""),55.4)</f>
        <v>55.4</v>
      </c>
      <c r="N125" s="84" t="str">
        <f ca="1">IFERROR(__xludf.DUMMYFUNCTION("""COMPUTED_VALUE"""),"p")</f>
        <v>p</v>
      </c>
      <c r="O125" s="88">
        <f ca="1">IFERROR(__xludf.DUMMYFUNCTION("""COMPUTED_VALUE"""),51.7)</f>
        <v>51.7</v>
      </c>
      <c r="P125" s="85"/>
      <c r="Q125" s="75" t="b">
        <f ca="1">IFERROR(__xludf.DUMMYFUNCTION("""COMPUTED_VALUE"""),FALSE)</f>
        <v>0</v>
      </c>
      <c r="R125" s="75" t="b">
        <f ca="1">IFERROR(__xludf.DUMMYFUNCTION("""COMPUTED_VALUE"""),FALSE)</f>
        <v>0</v>
      </c>
      <c r="S125" s="75" t="b">
        <f ca="1">IFERROR(__xludf.DUMMYFUNCTION("""COMPUTED_VALUE"""),FALSE)</f>
        <v>0</v>
      </c>
      <c r="T125" s="75" t="b">
        <f ca="1">IFERROR(__xludf.DUMMYFUNCTION("""COMPUTED_VALUE"""),FALSE)</f>
        <v>0</v>
      </c>
      <c r="U125" s="86">
        <f ca="1">IFERROR(__xludf.DUMMYFUNCTION("""COMPUTED_VALUE"""),14)</f>
        <v>14</v>
      </c>
      <c r="V125" s="84"/>
      <c r="W125" s="87"/>
      <c r="X125" s="84"/>
      <c r="Y125" s="84" t="str">
        <f ca="1">IFERROR(__xludf.DUMMYFUNCTION("""COMPUTED_VALUE"""),"Fieldwork")</f>
        <v>Fieldwork</v>
      </c>
      <c r="Z125" s="66" t="s">
        <v>1904</v>
      </c>
    </row>
    <row r="126" spans="1:26" ht="15.75" customHeight="1">
      <c r="A126" s="83" t="str">
        <f ca="1">IFERROR(__xludf.DUMMYFUNCTION("""COMPUTED_VALUE"""),"W10NW")</f>
        <v>W10NW</v>
      </c>
      <c r="B126" s="84">
        <f ca="1">IFERROR(__xludf.DUMMYFUNCTION("""COMPUTED_VALUE"""),10)</f>
        <v>10</v>
      </c>
      <c r="C126" s="84" t="str">
        <f ca="1">IFERROR(__xludf.DUMMYFUNCTION("""COMPUTED_VALUE"""),"NW")</f>
        <v>NW</v>
      </c>
      <c r="D126" s="339">
        <f ca="1">IFERROR(__xludf.DUMMYFUNCTION("""COMPUTED_VALUE"""),2200)</f>
        <v>2200</v>
      </c>
      <c r="E126" s="84" t="str">
        <f ca="1">IFERROR(__xludf.DUMMYFUNCTION("""COMPUTED_VALUE"""),"3279116569T20050430")</f>
        <v>3279116569T20050430</v>
      </c>
      <c r="F126" s="84">
        <f ca="1">IFERROR(__xludf.DUMMYFUNCTION("""COMPUTED_VALUE"""),1103120982)</f>
        <v>1103120982</v>
      </c>
      <c r="G126" s="83" t="str">
        <f ca="1">IFERROR(__xludf.DUMMYFUNCTION("""COMPUTED_VALUE"""),"Wing Fat Mansion")</f>
        <v>Wing Fat Mansion</v>
      </c>
      <c r="H126" s="84" t="str">
        <f ca="1">IFERROR(__xludf.DUMMYFUNCTION("""COMPUTED_VALUE"""),"永發樓")</f>
        <v>永發樓</v>
      </c>
      <c r="I126" s="84">
        <f ca="1">IFERROR(__xludf.DUMMYFUNCTION("""COMPUTED_VALUE"""),114.1431466)</f>
        <v>114.14314659999999</v>
      </c>
      <c r="J126" s="84">
        <f ca="1">IFERROR(__xludf.DUMMYFUNCTION("""COMPUTED_VALUE"""),22.28806827)</f>
        <v>22.28806827</v>
      </c>
      <c r="K126" s="88">
        <f ca="1">IFERROR(__xludf.DUMMYFUNCTION("""COMPUTED_VALUE"""),3.3)</f>
        <v>3.3</v>
      </c>
      <c r="L126" s="84" t="str">
        <f ca="1">IFERROR(__xludf.DUMMYFUNCTION("""COMPUTED_VALUE"""),"l")</f>
        <v>l</v>
      </c>
      <c r="M126" s="88">
        <f ca="1">IFERROR(__xludf.DUMMYFUNCTION("""COMPUTED_VALUE"""),32.7)</f>
        <v>32.700000000000003</v>
      </c>
      <c r="N126" s="84" t="str">
        <f ca="1">IFERROR(__xludf.DUMMYFUNCTION("""COMPUTED_VALUE"""),"p")</f>
        <v>p</v>
      </c>
      <c r="O126" s="88">
        <f ca="1">IFERROR(__xludf.DUMMYFUNCTION("""COMPUTED_VALUE"""),29.4)</f>
        <v>29.4</v>
      </c>
      <c r="P126" s="85"/>
      <c r="Q126" s="75" t="b">
        <f ca="1">IFERROR(__xludf.DUMMYFUNCTION("""COMPUTED_VALUE"""),FALSE)</f>
        <v>0</v>
      </c>
      <c r="R126" s="75" t="b">
        <f ca="1">IFERROR(__xludf.DUMMYFUNCTION("""COMPUTED_VALUE"""),FALSE)</f>
        <v>0</v>
      </c>
      <c r="S126" s="75" t="b">
        <f ca="1">IFERROR(__xludf.DUMMYFUNCTION("""COMPUTED_VALUE"""),FALSE)</f>
        <v>0</v>
      </c>
      <c r="T126" s="75" t="b">
        <f ca="1">IFERROR(__xludf.DUMMYFUNCTION("""COMPUTED_VALUE"""),FALSE)</f>
        <v>0</v>
      </c>
      <c r="U126" s="86">
        <f ca="1">IFERROR(__xludf.DUMMYFUNCTION("""COMPUTED_VALUE"""),8)</f>
        <v>8</v>
      </c>
      <c r="V126" s="84"/>
      <c r="W126" s="87"/>
      <c r="X126" s="84"/>
      <c r="Y126" s="84" t="str">
        <f ca="1">IFERROR(__xludf.DUMMYFUNCTION("""COMPUTED_VALUE"""),"Fieldwork")</f>
        <v>Fieldwork</v>
      </c>
      <c r="Z126" s="66" t="s">
        <v>1905</v>
      </c>
    </row>
    <row r="127" spans="1:26" ht="15.75" customHeight="1">
      <c r="A127" s="83" t="str">
        <f ca="1">IFERROR(__xludf.DUMMYFUNCTION("""COMPUTED_VALUE"""),"N3NE")</f>
        <v>N3NE</v>
      </c>
      <c r="B127" s="84">
        <f ca="1">IFERROR(__xludf.DUMMYFUNCTION("""COMPUTED_VALUE"""),3)</f>
        <v>3</v>
      </c>
      <c r="C127" s="84" t="str">
        <f ca="1">IFERROR(__xludf.DUMMYFUNCTION("""COMPUTED_VALUE"""),"NE")</f>
        <v>NE</v>
      </c>
      <c r="D127" s="339">
        <f ca="1">IFERROR(__xludf.DUMMYFUNCTION("""COMPUTED_VALUE"""),2400)</f>
        <v>2400</v>
      </c>
      <c r="E127" s="84" t="str">
        <f ca="1">IFERROR(__xludf.DUMMYFUNCTION("""COMPUTED_VALUE"""),"3578517970T20050430")</f>
        <v>3578517970T20050430</v>
      </c>
      <c r="F127" s="84">
        <f ca="1">IFERROR(__xludf.DUMMYFUNCTION("""COMPUTED_VALUE"""),1108243250)</f>
        <v>1108243250</v>
      </c>
      <c r="G127" s="83" t="str">
        <f ca="1">IFERROR(__xludf.DUMMYFUNCTION("""COMPUTED_VALUE"""),"Miramar Shopping Centre")</f>
        <v>Miramar Shopping Centre</v>
      </c>
      <c r="H127" s="84" t="str">
        <f ca="1">IFERROR(__xludf.DUMMYFUNCTION("""COMPUTED_VALUE"""),"美麗華商場")</f>
        <v>美麗華商場</v>
      </c>
      <c r="I127" s="84">
        <f ca="1">IFERROR(__xludf.DUMMYFUNCTION("""COMPUTED_VALUE"""),114.1725665)</f>
        <v>114.1725665</v>
      </c>
      <c r="J127" s="84">
        <f ca="1">IFERROR(__xludf.DUMMYFUNCTION("""COMPUTED_VALUE"""),22.30091032)</f>
        <v>22.30091032</v>
      </c>
      <c r="K127" s="88">
        <f ca="1">IFERROR(__xludf.DUMMYFUNCTION("""COMPUTED_VALUE"""),25.799999)</f>
        <v>25.799999</v>
      </c>
      <c r="L127" s="84" t="str">
        <f ca="1">IFERROR(__xludf.DUMMYFUNCTION("""COMPUTED_VALUE"""),"p")</f>
        <v>p</v>
      </c>
      <c r="M127" s="88">
        <f ca="1">IFERROR(__xludf.DUMMYFUNCTION("""COMPUTED_VALUE"""),61)</f>
        <v>61</v>
      </c>
      <c r="N127" s="84" t="str">
        <f ca="1">IFERROR(__xludf.DUMMYFUNCTION("""COMPUTED_VALUE"""),"e")</f>
        <v>e</v>
      </c>
      <c r="O127" s="88">
        <f ca="1">IFERROR(__xludf.DUMMYFUNCTION("""COMPUTED_VALUE"""),35.200001)</f>
        <v>35.200001</v>
      </c>
      <c r="P127" s="85"/>
      <c r="Q127" s="75" t="b">
        <f ca="1">IFERROR(__xludf.DUMMYFUNCTION("""COMPUTED_VALUE"""),FALSE)</f>
        <v>0</v>
      </c>
      <c r="R127" s="75" t="b">
        <f ca="1">IFERROR(__xludf.DUMMYFUNCTION("""COMPUTED_VALUE"""),FALSE)</f>
        <v>0</v>
      </c>
      <c r="S127" s="75" t="b">
        <f ca="1">IFERROR(__xludf.DUMMYFUNCTION("""COMPUTED_VALUE"""),FALSE)</f>
        <v>0</v>
      </c>
      <c r="T127" s="75"/>
      <c r="U127" s="86">
        <f ca="1">IFERROR(__xludf.DUMMYFUNCTION("""COMPUTED_VALUE"""),18)</f>
        <v>18</v>
      </c>
      <c r="V127" s="84"/>
      <c r="W127" s="87">
        <f ca="1">IFERROR(__xludf.DUMMYFUNCTION("""COMPUTED_VALUE"""),531)</f>
        <v>531</v>
      </c>
      <c r="X127" s="84">
        <f ca="1">IFERROR(__xludf.DUMMYFUNCTION("""COMPUTED_VALUE"""),1993)</f>
        <v>1993</v>
      </c>
      <c r="Y127" s="84" t="str">
        <f ca="1">IFERROR(__xludf.DUMMYFUNCTION("""COMPUTED_VALUE"""),"BMIS_auto")</f>
        <v>BMIS_auto</v>
      </c>
      <c r="Z127" s="66" t="s">
        <v>1907</v>
      </c>
    </row>
    <row r="128" spans="1:26" ht="15.75" customHeight="1">
      <c r="A128" s="83" t="str">
        <f ca="1">IFERROR(__xludf.DUMMYFUNCTION("""COMPUTED_VALUE"""),"N3SE")</f>
        <v>N3SE</v>
      </c>
      <c r="B128" s="84">
        <f ca="1">IFERROR(__xludf.DUMMYFUNCTION("""COMPUTED_VALUE"""),3)</f>
        <v>3</v>
      </c>
      <c r="C128" s="84" t="str">
        <f ca="1">IFERROR(__xludf.DUMMYFUNCTION("""COMPUTED_VALUE"""),"SE")</f>
        <v>SE</v>
      </c>
      <c r="D128" s="339">
        <f ca="1">IFERROR(__xludf.DUMMYFUNCTION("""COMPUTED_VALUE"""),2400)</f>
        <v>2400</v>
      </c>
      <c r="E128" s="84" t="str">
        <f ca="1">IFERROR(__xludf.DUMMYFUNCTION("""COMPUTED_VALUE"""),"3581017926T20060822")</f>
        <v>3581017926T20060822</v>
      </c>
      <c r="F128" s="84">
        <f ca="1">IFERROR(__xludf.DUMMYFUNCTION("""COMPUTED_VALUE"""),1109609183)</f>
        <v>1109609183</v>
      </c>
      <c r="G128" s="83" t="str">
        <f ca="1">IFERROR(__xludf.DUMMYFUNCTION("""COMPUTED_VALUE"""),"The Mira Hong Kong")</f>
        <v>The Mira Hong Kong</v>
      </c>
      <c r="H128" s="84"/>
      <c r="I128" s="84">
        <f ca="1">IFERROR(__xludf.DUMMYFUNCTION("""COMPUTED_VALUE"""),114.1724327)</f>
        <v>114.1724327</v>
      </c>
      <c r="J128" s="84">
        <f ca="1">IFERROR(__xludf.DUMMYFUNCTION("""COMPUTED_VALUE"""),22.3001621)</f>
        <v>22.300162100000001</v>
      </c>
      <c r="K128" s="88">
        <f ca="1">IFERROR(__xludf.DUMMYFUNCTION("""COMPUTED_VALUE"""),24.6)</f>
        <v>24.6</v>
      </c>
      <c r="L128" s="84" t="str">
        <f ca="1">IFERROR(__xludf.DUMMYFUNCTION("""COMPUTED_VALUE"""),"e")</f>
        <v>e</v>
      </c>
      <c r="M128" s="88">
        <f ca="1">IFERROR(__xludf.DUMMYFUNCTION("""COMPUTED_VALUE"""),60.700001)</f>
        <v>60.700001</v>
      </c>
      <c r="N128" s="84" t="str">
        <f ca="1">IFERROR(__xludf.DUMMYFUNCTION("""COMPUTED_VALUE"""),"3")</f>
        <v>3</v>
      </c>
      <c r="O128" s="88">
        <f ca="1">IFERROR(__xludf.DUMMYFUNCTION("""COMPUTED_VALUE"""),36.100001)</f>
        <v>36.100000999999999</v>
      </c>
      <c r="P128" s="85"/>
      <c r="Q128" s="75" t="b">
        <f ca="1">IFERROR(__xludf.DUMMYFUNCTION("""COMPUTED_VALUE"""),FALSE)</f>
        <v>0</v>
      </c>
      <c r="R128" s="75" t="b">
        <f ca="1">IFERROR(__xludf.DUMMYFUNCTION("""COMPUTED_VALUE"""),FALSE)</f>
        <v>0</v>
      </c>
      <c r="S128" s="75" t="b">
        <f ca="1">IFERROR(__xludf.DUMMYFUNCTION("""COMPUTED_VALUE"""),FALSE)</f>
        <v>0</v>
      </c>
      <c r="T128" s="75"/>
      <c r="U128" s="86">
        <f ca="1">IFERROR(__xludf.DUMMYFUNCTION("""COMPUTED_VALUE"""),18)</f>
        <v>18</v>
      </c>
      <c r="V128" s="84"/>
      <c r="W128" s="87"/>
      <c r="X128" s="84"/>
      <c r="Y128" s="338" t="str">
        <f ca="1">IFERROR(__xludf.DUMMYFUNCTION("""COMPUTED_VALUE"""),"https://img.themirahotel.com/wp-content/uploads/2013/12/140127_The_Mira_Fact_Sheet_En.pdf")</f>
        <v>https://img.themirahotel.com/wp-content/uploads/2013/12/140127_The_Mira_Fact_Sheet_En.pdf</v>
      </c>
      <c r="Z128" s="66" t="s">
        <v>1909</v>
      </c>
    </row>
    <row r="129" spans="1:26" ht="15.75" customHeight="1">
      <c r="A129" s="83" t="str">
        <f ca="1">IFERROR(__xludf.DUMMYFUNCTION("""COMPUTED_VALUE"""),"N3SW")</f>
        <v>N3SW</v>
      </c>
      <c r="B129" s="84">
        <f ca="1">IFERROR(__xludf.DUMMYFUNCTION("""COMPUTED_VALUE"""),3)</f>
        <v>3</v>
      </c>
      <c r="C129" s="84" t="str">
        <f ca="1">IFERROR(__xludf.DUMMYFUNCTION("""COMPUTED_VALUE"""),"SW")</f>
        <v>SW</v>
      </c>
      <c r="D129" s="339">
        <f ca="1">IFERROR(__xludf.DUMMYFUNCTION("""COMPUTED_VALUE"""),2400)</f>
        <v>2400</v>
      </c>
      <c r="E129" s="84"/>
      <c r="F129" s="84"/>
      <c r="G129" s="83"/>
      <c r="H129" s="84"/>
      <c r="I129" s="84"/>
      <c r="J129" s="84"/>
      <c r="K129" s="88"/>
      <c r="L129" s="84"/>
      <c r="M129" s="88"/>
      <c r="N129" s="84"/>
      <c r="O129" s="88"/>
      <c r="P129" s="85" t="str">
        <f ca="1">IFERROR(__xludf.DUMMYFUNCTION("""COMPUTED_VALUE"""),"no structures.")</f>
        <v>no structures.</v>
      </c>
      <c r="Q129" s="75" t="b">
        <f ca="1">IFERROR(__xludf.DUMMYFUNCTION("""COMPUTED_VALUE"""),TRUE)</f>
        <v>1</v>
      </c>
      <c r="R129" s="75" t="b">
        <f ca="1">IFERROR(__xludf.DUMMYFUNCTION("""COMPUTED_VALUE"""),TRUE)</f>
        <v>1</v>
      </c>
      <c r="S129" s="75" t="b">
        <f ca="1">IFERROR(__xludf.DUMMYFUNCTION("""COMPUTED_VALUE"""),FALSE)</f>
        <v>0</v>
      </c>
      <c r="T129" s="75"/>
      <c r="U129" s="86">
        <f ca="1">IFERROR(__xludf.DUMMYFUNCTION("""COMPUTED_VALUE"""),0)</f>
        <v>0</v>
      </c>
      <c r="V129" s="84"/>
      <c r="W129" s="87"/>
      <c r="X129" s="84"/>
      <c r="Y129" s="84"/>
      <c r="Z129" s="66" t="s">
        <v>556</v>
      </c>
    </row>
    <row r="130" spans="1:26" ht="15.75" customHeight="1">
      <c r="A130" s="83" t="str">
        <f ca="1">IFERROR(__xludf.DUMMYFUNCTION("""COMPUTED_VALUE"""),"N3NW")</f>
        <v>N3NW</v>
      </c>
      <c r="B130" s="84">
        <f ca="1">IFERROR(__xludf.DUMMYFUNCTION("""COMPUTED_VALUE"""),3)</f>
        <v>3</v>
      </c>
      <c r="C130" s="84" t="str">
        <f ca="1">IFERROR(__xludf.DUMMYFUNCTION("""COMPUTED_VALUE"""),"NW")</f>
        <v>NW</v>
      </c>
      <c r="D130" s="339">
        <f ca="1">IFERROR(__xludf.DUMMYFUNCTION("""COMPUTED_VALUE"""),2400)</f>
        <v>2400</v>
      </c>
      <c r="E130" s="84" t="str">
        <f ca="1">IFERROR(__xludf.DUMMYFUNCTION("""COMPUTED_VALUE"""),"3572917973T20050430")</f>
        <v>3572917973T20050430</v>
      </c>
      <c r="F130" s="84">
        <f ca="1">IFERROR(__xludf.DUMMYFUNCTION("""COMPUTED_VALUE"""),1108243228)</f>
        <v>1108243228</v>
      </c>
      <c r="G130" s="83" t="str">
        <f ca="1">IFERROR(__xludf.DUMMYFUNCTION("""COMPUTED_VALUE"""),"Park Lane Shopper's Boulevard")</f>
        <v>Park Lane Shopper's Boulevard</v>
      </c>
      <c r="H130" s="84" t="str">
        <f ca="1">IFERROR(__xludf.DUMMYFUNCTION("""COMPUTED_VALUE"""),"栢麗購物大道")</f>
        <v>栢麗購物大道</v>
      </c>
      <c r="I130" s="84">
        <f ca="1">IFERROR(__xludf.DUMMYFUNCTION("""COMPUTED_VALUE"""),114.1716441)</f>
        <v>114.17164409999999</v>
      </c>
      <c r="J130" s="84">
        <f ca="1">IFERROR(__xludf.DUMMYFUNCTION("""COMPUTED_VALUE"""),22.30084347)</f>
        <v>22.30084347</v>
      </c>
      <c r="K130" s="88">
        <f ca="1">IFERROR(__xludf.DUMMYFUNCTION("""COMPUTED_VALUE"""),11.4)</f>
        <v>11.4</v>
      </c>
      <c r="L130" s="84" t="str">
        <f ca="1">IFERROR(__xludf.DUMMYFUNCTION("""COMPUTED_VALUE"""),"l")</f>
        <v>l</v>
      </c>
      <c r="M130" s="88">
        <f ca="1">IFERROR(__xludf.DUMMYFUNCTION("""COMPUTED_VALUE"""),17)</f>
        <v>17</v>
      </c>
      <c r="N130" s="84" t="str">
        <f ca="1">IFERROR(__xludf.DUMMYFUNCTION("""COMPUTED_VALUE"""),"e")</f>
        <v>e</v>
      </c>
      <c r="O130" s="88">
        <f ca="1">IFERROR(__xludf.DUMMYFUNCTION("""COMPUTED_VALUE"""),5.6)</f>
        <v>5.6</v>
      </c>
      <c r="P130" s="85" t="str">
        <f ca="1">IFERROR(__xludf.DUMMYFUNCTION("""COMPUTED_VALUE"""),"park facility")</f>
        <v>park facility</v>
      </c>
      <c r="Q130" s="75" t="b">
        <f ca="1">IFERROR(__xludf.DUMMYFUNCTION("""COMPUTED_VALUE"""),FALSE)</f>
        <v>0</v>
      </c>
      <c r="R130" s="75" t="b">
        <f ca="1">IFERROR(__xludf.DUMMYFUNCTION("""COMPUTED_VALUE"""),TRUE)</f>
        <v>1</v>
      </c>
      <c r="S130" s="75" t="b">
        <f ca="1">IFERROR(__xludf.DUMMYFUNCTION("""COMPUTED_VALUE"""),FALSE)</f>
        <v>0</v>
      </c>
      <c r="T130" s="75"/>
      <c r="U130" s="86">
        <f ca="1">IFERROR(__xludf.DUMMYFUNCTION("""COMPUTED_VALUE"""),2)</f>
        <v>2</v>
      </c>
      <c r="V130" s="84"/>
      <c r="W130" s="87"/>
      <c r="X130" s="84"/>
      <c r="Y130" s="84" t="str">
        <f ca="1">IFERROR(__xludf.DUMMYFUNCTION("""COMPUTED_VALUE"""),"Google Earth")</f>
        <v>Google Earth</v>
      </c>
      <c r="Z130" s="66" t="s">
        <v>1912</v>
      </c>
    </row>
    <row r="131" spans="1:26" ht="15.75" customHeight="1">
      <c r="A131" s="83" t="str">
        <f ca="1">IFERROR(__xludf.DUMMYFUNCTION("""COMPUTED_VALUE"""),"E11NE")</f>
        <v>E11NE</v>
      </c>
      <c r="B131" s="84">
        <f ca="1">IFERROR(__xludf.DUMMYFUNCTION("""COMPUTED_VALUE"""),11)</f>
        <v>11</v>
      </c>
      <c r="C131" s="84" t="str">
        <f ca="1">IFERROR(__xludf.DUMMYFUNCTION("""COMPUTED_VALUE"""),"NE")</f>
        <v>NE</v>
      </c>
      <c r="D131" s="339">
        <f ca="1">IFERROR(__xludf.DUMMYFUNCTION("""COMPUTED_VALUE"""),2400)</f>
        <v>2400</v>
      </c>
      <c r="E131" s="84" t="str">
        <f ca="1">IFERROR(__xludf.DUMMYFUNCTION("""COMPUTED_VALUE"""),"3606915418T20050430")</f>
        <v>3606915418T20050430</v>
      </c>
      <c r="F131" s="84">
        <f ca="1">IFERROR(__xludf.DUMMYFUNCTION("""COMPUTED_VALUE"""),1103128735)</f>
        <v>1103128735</v>
      </c>
      <c r="G131" s="83" t="str">
        <f ca="1">IFERROR(__xludf.DUMMYFUNCTION("""COMPUTED_VALUE"""),"Jade House")</f>
        <v>Jade House</v>
      </c>
      <c r="H131" s="84" t="str">
        <f ca="1">IFERROR(__xludf.DUMMYFUNCTION("""COMPUTED_VALUE"""),"玉滿樓")</f>
        <v>玉滿樓</v>
      </c>
      <c r="I131" s="84">
        <f ca="1">IFERROR(__xludf.DUMMYFUNCTION("""COMPUTED_VALUE"""),114.1749674)</f>
        <v>114.1749674</v>
      </c>
      <c r="J131" s="84">
        <f ca="1">IFERROR(__xludf.DUMMYFUNCTION("""COMPUTED_VALUE"""),22.27757658)</f>
        <v>22.277576580000002</v>
      </c>
      <c r="K131" s="88">
        <f ca="1">IFERROR(__xludf.DUMMYFUNCTION("""COMPUTED_VALUE"""),3.5)</f>
        <v>3.5</v>
      </c>
      <c r="L131" s="84" t="str">
        <f ca="1">IFERROR(__xludf.DUMMYFUNCTION("""COMPUTED_VALUE"""),"l")</f>
        <v>l</v>
      </c>
      <c r="M131" s="88">
        <f ca="1">IFERROR(__xludf.DUMMYFUNCTION("""COMPUTED_VALUE"""),55)</f>
        <v>55</v>
      </c>
      <c r="N131" s="84" t="str">
        <f ca="1">IFERROR(__xludf.DUMMYFUNCTION("""COMPUTED_VALUE"""),"p")</f>
        <v>p</v>
      </c>
      <c r="O131" s="88">
        <f ca="1">IFERROR(__xludf.DUMMYFUNCTION("""COMPUTED_VALUE"""),51.5)</f>
        <v>51.5</v>
      </c>
      <c r="P131" s="85"/>
      <c r="Q131" s="75" t="b">
        <f ca="1">IFERROR(__xludf.DUMMYFUNCTION("""COMPUTED_VALUE"""),FALSE)</f>
        <v>0</v>
      </c>
      <c r="R131" s="75" t="b">
        <f ca="1">IFERROR(__xludf.DUMMYFUNCTION("""COMPUTED_VALUE"""),FALSE)</f>
        <v>0</v>
      </c>
      <c r="S131" s="75" t="b">
        <f ca="1">IFERROR(__xludf.DUMMYFUNCTION("""COMPUTED_VALUE"""),FALSE)</f>
        <v>0</v>
      </c>
      <c r="T131" s="75" t="b">
        <f ca="1">IFERROR(__xludf.DUMMYFUNCTION("""COMPUTED_VALUE"""),FALSE)</f>
        <v>0</v>
      </c>
      <c r="U131" s="86">
        <f ca="1">IFERROR(__xludf.DUMMYFUNCTION("""COMPUTED_VALUE"""),16)</f>
        <v>16</v>
      </c>
      <c r="V131" s="84">
        <f ca="1">IFERROR(__xludf.DUMMYFUNCTION("""COMPUTED_VALUE"""),0)</f>
        <v>0</v>
      </c>
      <c r="W131" s="87">
        <f ca="1">IFERROR(__xludf.DUMMYFUNCTION("""COMPUTED_VALUE"""),80)</f>
        <v>80</v>
      </c>
      <c r="X131" s="84">
        <f ca="1">IFERROR(__xludf.DUMMYFUNCTION("""COMPUTED_VALUE"""),1968)</f>
        <v>1968</v>
      </c>
      <c r="Y131" s="84" t="str">
        <f ca="1">IFERROR(__xludf.DUMMYFUNCTION("""COMPUTED_VALUE"""),"BMIS_auto")</f>
        <v>BMIS_auto</v>
      </c>
      <c r="Z131" s="66" t="s">
        <v>1914</v>
      </c>
    </row>
    <row r="132" spans="1:26" ht="15.75" customHeight="1">
      <c r="A132" s="83" t="str">
        <f ca="1">IFERROR(__xludf.DUMMYFUNCTION("""COMPUTED_VALUE"""),"E11SE")</f>
        <v>E11SE</v>
      </c>
      <c r="B132" s="84">
        <f ca="1">IFERROR(__xludf.DUMMYFUNCTION("""COMPUTED_VALUE"""),11)</f>
        <v>11</v>
      </c>
      <c r="C132" s="84" t="str">
        <f ca="1">IFERROR(__xludf.DUMMYFUNCTION("""COMPUTED_VALUE"""),"SE")</f>
        <v>SE</v>
      </c>
      <c r="D132" s="339">
        <f ca="1">IFERROR(__xludf.DUMMYFUNCTION("""COMPUTED_VALUE"""),2400)</f>
        <v>2400</v>
      </c>
      <c r="E132" s="84" t="str">
        <f ca="1">IFERROR(__xludf.DUMMYFUNCTION("""COMPUTED_VALUE"""),"3603015391T20050430")</f>
        <v>3603015391T20050430</v>
      </c>
      <c r="F132" s="84">
        <f ca="1">IFERROR(__xludf.DUMMYFUNCTION("""COMPUTED_VALUE"""),1103128834)</f>
        <v>1103128834</v>
      </c>
      <c r="G132" s="83" t="str">
        <f ca="1">IFERROR(__xludf.DUMMYFUNCTION("""COMPUTED_VALUE"""),"Hang Seng Wanchai Building")</f>
        <v>Hang Seng Wanchai Building</v>
      </c>
      <c r="H132" s="84" t="str">
        <f ca="1">IFERROR(__xludf.DUMMYFUNCTION("""COMPUTED_VALUE"""),"恒生灣仔大廈")</f>
        <v>恒生灣仔大廈</v>
      </c>
      <c r="I132" s="84">
        <f ca="1">IFERROR(__xludf.DUMMYFUNCTION("""COMPUTED_VALUE"""),114.1745561)</f>
        <v>114.1745561</v>
      </c>
      <c r="J132" s="84">
        <f ca="1">IFERROR(__xludf.DUMMYFUNCTION("""COMPUTED_VALUE"""),22.27738587)</f>
        <v>22.27738587</v>
      </c>
      <c r="K132" s="88">
        <f ca="1">IFERROR(__xludf.DUMMYFUNCTION("""COMPUTED_VALUE"""),18.6)</f>
        <v>18.600000000000001</v>
      </c>
      <c r="L132" s="84" t="str">
        <f ca="1">IFERROR(__xludf.DUMMYFUNCTION("""COMPUTED_VALUE"""),"e")</f>
        <v>e</v>
      </c>
      <c r="M132" s="88">
        <f ca="1">IFERROR(__xludf.DUMMYFUNCTION("""COMPUTED_VALUE"""),123.2)</f>
        <v>123.2</v>
      </c>
      <c r="N132" s="84" t="str">
        <f ca="1">IFERROR(__xludf.DUMMYFUNCTION("""COMPUTED_VALUE"""),"3")</f>
        <v>3</v>
      </c>
      <c r="O132" s="88">
        <f ca="1">IFERROR(__xludf.DUMMYFUNCTION("""COMPUTED_VALUE"""),104.6)</f>
        <v>104.6</v>
      </c>
      <c r="P132" s="85"/>
      <c r="Q132" s="75" t="b">
        <f ca="1">IFERROR(__xludf.DUMMYFUNCTION("""COMPUTED_VALUE"""),FALSE)</f>
        <v>0</v>
      </c>
      <c r="R132" s="75" t="b">
        <f ca="1">IFERROR(__xludf.DUMMYFUNCTION("""COMPUTED_VALUE"""),FALSE)</f>
        <v>0</v>
      </c>
      <c r="S132" s="75" t="b">
        <f ca="1">IFERROR(__xludf.DUMMYFUNCTION("""COMPUTED_VALUE"""),FALSE)</f>
        <v>0</v>
      </c>
      <c r="T132" s="75" t="b">
        <f ca="1">IFERROR(__xludf.DUMMYFUNCTION("""COMPUTED_VALUE"""),FALSE)</f>
        <v>0</v>
      </c>
      <c r="U132" s="86">
        <f ca="1">IFERROR(__xludf.DUMMYFUNCTION("""COMPUTED_VALUE"""),30)</f>
        <v>30</v>
      </c>
      <c r="V132" s="84"/>
      <c r="W132" s="87"/>
      <c r="X132" s="84">
        <f ca="1">IFERROR(__xludf.DUMMYFUNCTION("""COMPUTED_VALUE"""),1972)</f>
        <v>1972</v>
      </c>
      <c r="Y132" s="84" t="str">
        <f ca="1">IFERROR(__xludf.DUMMYFUNCTION("""COMPUTED_VALUE"""),"BMIS_auto")</f>
        <v>BMIS_auto</v>
      </c>
      <c r="Z132" s="66" t="s">
        <v>1916</v>
      </c>
    </row>
    <row r="133" spans="1:26" ht="15.75" customHeight="1">
      <c r="A133" s="83" t="str">
        <f ca="1">IFERROR(__xludf.DUMMYFUNCTION("""COMPUTED_VALUE"""),"E11SW")</f>
        <v>E11SW</v>
      </c>
      <c r="B133" s="84">
        <f ca="1">IFERROR(__xludf.DUMMYFUNCTION("""COMPUTED_VALUE"""),11)</f>
        <v>11</v>
      </c>
      <c r="C133" s="84" t="str">
        <f ca="1">IFERROR(__xludf.DUMMYFUNCTION("""COMPUTED_VALUE"""),"SW")</f>
        <v>SW</v>
      </c>
      <c r="D133" s="339">
        <f ca="1">IFERROR(__xludf.DUMMYFUNCTION("""COMPUTED_VALUE"""),2400)</f>
        <v>2400</v>
      </c>
      <c r="E133" s="84" t="str">
        <f ca="1">IFERROR(__xludf.DUMMYFUNCTION("""COMPUTED_VALUE"""),"3602415449T20050430")</f>
        <v>3602415449T20050430</v>
      </c>
      <c r="F133" s="84">
        <f ca="1">IFERROR(__xludf.DUMMYFUNCTION("""COMPUTED_VALUE"""),1103128465)</f>
        <v>1103128465</v>
      </c>
      <c r="G133" s="83" t="str">
        <f ca="1">IFERROR(__xludf.DUMMYFUNCTION("""COMPUTED_VALUE"""),"Tung Wah Mansion")</f>
        <v>Tung Wah Mansion</v>
      </c>
      <c r="H133" s="84" t="str">
        <f ca="1">IFERROR(__xludf.DUMMYFUNCTION("""COMPUTED_VALUE"""),"東華大廈")</f>
        <v>東華大廈</v>
      </c>
      <c r="I133" s="84">
        <f ca="1">IFERROR(__xludf.DUMMYFUNCTION("""COMPUTED_VALUE"""),114.1745385)</f>
        <v>114.1745385</v>
      </c>
      <c r="J133" s="84">
        <f ca="1">IFERROR(__xludf.DUMMYFUNCTION("""COMPUTED_VALUE"""),22.27797132)</f>
        <v>22.277971319999999</v>
      </c>
      <c r="K133" s="88">
        <f ca="1">IFERROR(__xludf.DUMMYFUNCTION("""COMPUTED_VALUE"""),3.5)</f>
        <v>3.5</v>
      </c>
      <c r="L133" s="84" t="str">
        <f ca="1">IFERROR(__xludf.DUMMYFUNCTION("""COMPUTED_VALUE"""),"l")</f>
        <v>l</v>
      </c>
      <c r="M133" s="88">
        <f ca="1">IFERROR(__xludf.DUMMYFUNCTION("""COMPUTED_VALUE"""),68.2)</f>
        <v>68.2</v>
      </c>
      <c r="N133" s="84" t="str">
        <f ca="1">IFERROR(__xludf.DUMMYFUNCTION("""COMPUTED_VALUE"""),"3")</f>
        <v>3</v>
      </c>
      <c r="O133" s="88">
        <f ca="1">IFERROR(__xludf.DUMMYFUNCTION("""COMPUTED_VALUE"""),64.7)</f>
        <v>64.7</v>
      </c>
      <c r="P133" s="85"/>
      <c r="Q133" s="75" t="b">
        <f ca="1">IFERROR(__xludf.DUMMYFUNCTION("""COMPUTED_VALUE"""),FALSE)</f>
        <v>0</v>
      </c>
      <c r="R133" s="75" t="b">
        <f ca="1">IFERROR(__xludf.DUMMYFUNCTION("""COMPUTED_VALUE"""),FALSE)</f>
        <v>0</v>
      </c>
      <c r="S133" s="75" t="b">
        <f ca="1">IFERROR(__xludf.DUMMYFUNCTION("""COMPUTED_VALUE"""),FALSE)</f>
        <v>0</v>
      </c>
      <c r="T133" s="75" t="b">
        <f ca="1">IFERROR(__xludf.DUMMYFUNCTION("""COMPUTED_VALUE"""),FALSE)</f>
        <v>0</v>
      </c>
      <c r="U133" s="86">
        <f ca="1">IFERROR(__xludf.DUMMYFUNCTION("""COMPUTED_VALUE"""),21)</f>
        <v>21</v>
      </c>
      <c r="V133" s="84">
        <f ca="1">IFERROR(__xludf.DUMMYFUNCTION("""COMPUTED_VALUE"""),0)</f>
        <v>0</v>
      </c>
      <c r="W133" s="87">
        <f ca="1">IFERROR(__xludf.DUMMYFUNCTION("""COMPUTED_VALUE"""),105)</f>
        <v>105</v>
      </c>
      <c r="X133" s="84">
        <f ca="1">IFERROR(__xludf.DUMMYFUNCTION("""COMPUTED_VALUE"""),1967)</f>
        <v>1967</v>
      </c>
      <c r="Y133" s="84" t="str">
        <f ca="1">IFERROR(__xludf.DUMMYFUNCTION("""COMPUTED_VALUE"""),"BMIS_auto")</f>
        <v>BMIS_auto</v>
      </c>
      <c r="Z133" s="66" t="s">
        <v>1918</v>
      </c>
    </row>
    <row r="134" spans="1:26" ht="15.75" customHeight="1">
      <c r="A134" s="83" t="str">
        <f ca="1">IFERROR(__xludf.DUMMYFUNCTION("""COMPUTED_VALUE"""),"E11NW")</f>
        <v>E11NW</v>
      </c>
      <c r="B134" s="84">
        <f ca="1">IFERROR(__xludf.DUMMYFUNCTION("""COMPUTED_VALUE"""),11)</f>
        <v>11</v>
      </c>
      <c r="C134" s="84" t="str">
        <f ca="1">IFERROR(__xludf.DUMMYFUNCTION("""COMPUTED_VALUE"""),"NW")</f>
        <v>NW</v>
      </c>
      <c r="D134" s="339">
        <f ca="1">IFERROR(__xludf.DUMMYFUNCTION("""COMPUTED_VALUE"""),2400)</f>
        <v>2400</v>
      </c>
      <c r="E134" s="84" t="str">
        <f ca="1">IFERROR(__xludf.DUMMYFUNCTION("""COMPUTED_VALUE"""),"3606415453T20050430")</f>
        <v>3606415453T20050430</v>
      </c>
      <c r="F134" s="84">
        <f ca="1">IFERROR(__xludf.DUMMYFUNCTION("""COMPUTED_VALUE"""),1103128444)</f>
        <v>1103128444</v>
      </c>
      <c r="G134" s="83" t="str">
        <f ca="1">IFERROR(__xludf.DUMMYFUNCTION("""COMPUTED_VALUE"""),"Kwong Tak Mansion")</f>
        <v>Kwong Tak Mansion</v>
      </c>
      <c r="H134" s="84" t="str">
        <f ca="1">IFERROR(__xludf.DUMMYFUNCTION("""COMPUTED_VALUE"""),"廣德大廈")</f>
        <v>廣德大廈</v>
      </c>
      <c r="I134" s="84">
        <f ca="1">IFERROR(__xludf.DUMMYFUNCTION("""COMPUTED_VALUE"""),114.1748907)</f>
        <v>114.17489070000001</v>
      </c>
      <c r="J134" s="84">
        <f ca="1">IFERROR(__xludf.DUMMYFUNCTION("""COMPUTED_VALUE"""),22.27800451)</f>
        <v>22.278004509999999</v>
      </c>
      <c r="K134" s="88">
        <f ca="1">IFERROR(__xludf.DUMMYFUNCTION("""COMPUTED_VALUE"""),3.7)</f>
        <v>3.7</v>
      </c>
      <c r="L134" s="84" t="str">
        <f ca="1">IFERROR(__xludf.DUMMYFUNCTION("""COMPUTED_VALUE"""),"l")</f>
        <v>l</v>
      </c>
      <c r="M134" s="88">
        <f ca="1">IFERROR(__xludf.DUMMYFUNCTION("""COMPUTED_VALUE"""),47)</f>
        <v>47</v>
      </c>
      <c r="N134" s="84" t="str">
        <f ca="1">IFERROR(__xludf.DUMMYFUNCTION("""COMPUTED_VALUE"""),"p")</f>
        <v>p</v>
      </c>
      <c r="O134" s="88">
        <f ca="1">IFERROR(__xludf.DUMMYFUNCTION("""COMPUTED_VALUE"""),43.3)</f>
        <v>43.3</v>
      </c>
      <c r="P134" s="85"/>
      <c r="Q134" s="75" t="b">
        <f ca="1">IFERROR(__xludf.DUMMYFUNCTION("""COMPUTED_VALUE"""),FALSE)</f>
        <v>0</v>
      </c>
      <c r="R134" s="75" t="b">
        <f ca="1">IFERROR(__xludf.DUMMYFUNCTION("""COMPUTED_VALUE"""),FALSE)</f>
        <v>0</v>
      </c>
      <c r="S134" s="75" t="b">
        <f ca="1">IFERROR(__xludf.DUMMYFUNCTION("""COMPUTED_VALUE"""),FALSE)</f>
        <v>0</v>
      </c>
      <c r="T134" s="75" t="b">
        <f ca="1">IFERROR(__xludf.DUMMYFUNCTION("""COMPUTED_VALUE"""),FALSE)</f>
        <v>0</v>
      </c>
      <c r="U134" s="86">
        <f ca="1">IFERROR(__xludf.DUMMYFUNCTION("""COMPUTED_VALUE"""),14)</f>
        <v>14</v>
      </c>
      <c r="V134" s="84">
        <f ca="1">IFERROR(__xludf.DUMMYFUNCTION("""COMPUTED_VALUE"""),0)</f>
        <v>0</v>
      </c>
      <c r="W134" s="87">
        <f ca="1">IFERROR(__xludf.DUMMYFUNCTION("""COMPUTED_VALUE"""),37)</f>
        <v>37</v>
      </c>
      <c r="X134" s="84">
        <f ca="1">IFERROR(__xludf.DUMMYFUNCTION("""COMPUTED_VALUE"""),1967)</f>
        <v>1967</v>
      </c>
      <c r="Y134" s="84" t="str">
        <f ca="1">IFERROR(__xludf.DUMMYFUNCTION("""COMPUTED_VALUE"""),"BMIS_auto")</f>
        <v>BMIS_auto</v>
      </c>
      <c r="Z134" s="66" t="s">
        <v>1920</v>
      </c>
    </row>
    <row r="135" spans="1:26" ht="15.75" customHeight="1">
      <c r="A135" s="83" t="str">
        <f ca="1">IFERROR(__xludf.DUMMYFUNCTION("""COMPUTED_VALUE"""),"W11NE")</f>
        <v>W11NE</v>
      </c>
      <c r="B135" s="84">
        <f ca="1">IFERROR(__xludf.DUMMYFUNCTION("""COMPUTED_VALUE"""),11)</f>
        <v>11</v>
      </c>
      <c r="C135" s="84" t="str">
        <f ca="1">IFERROR(__xludf.DUMMYFUNCTION("""COMPUTED_VALUE"""),"NE")</f>
        <v>NE</v>
      </c>
      <c r="D135" s="339">
        <f ca="1">IFERROR(__xludf.DUMMYFUNCTION("""COMPUTED_VALUE"""),2400)</f>
        <v>2400</v>
      </c>
      <c r="E135" s="84" t="str">
        <f ca="1">IFERROR(__xludf.DUMMYFUNCTION("""COMPUTED_VALUE"""),"3262316575T20050430")</f>
        <v>3262316575T20050430</v>
      </c>
      <c r="F135" s="84">
        <f ca="1">IFERROR(__xludf.DUMMYFUNCTION("""COMPUTED_VALUE"""),1103120926)</f>
        <v>1103120926</v>
      </c>
      <c r="G135" s="83" t="str">
        <f ca="1">IFERROR(__xludf.DUMMYFUNCTION("""COMPUTED_VALUE"""),"Tak May House")</f>
        <v>Tak May House</v>
      </c>
      <c r="H135" s="84" t="str">
        <f ca="1">IFERROR(__xludf.DUMMYFUNCTION("""COMPUTED_VALUE"""),"德美樓")</f>
        <v>德美樓</v>
      </c>
      <c r="I135" s="84">
        <f ca="1">IFERROR(__xludf.DUMMYFUNCTION("""COMPUTED_VALUE"""),114.1415445)</f>
        <v>114.14154449999999</v>
      </c>
      <c r="J135" s="84">
        <f ca="1">IFERROR(__xludf.DUMMYFUNCTION("""COMPUTED_VALUE"""),22.28813413)</f>
        <v>22.28813413</v>
      </c>
      <c r="K135" s="88">
        <f ca="1">IFERROR(__xludf.DUMMYFUNCTION("""COMPUTED_VALUE"""),4.2)</f>
        <v>4.2</v>
      </c>
      <c r="L135" s="84" t="str">
        <f ca="1">IFERROR(__xludf.DUMMYFUNCTION("""COMPUTED_VALUE"""),"l")</f>
        <v>l</v>
      </c>
      <c r="M135" s="88">
        <f ca="1">IFERROR(__xludf.DUMMYFUNCTION("""COMPUTED_VALUE"""),26)</f>
        <v>26</v>
      </c>
      <c r="N135" s="84" t="str">
        <f ca="1">IFERROR(__xludf.DUMMYFUNCTION("""COMPUTED_VALUE"""),"3")</f>
        <v>3</v>
      </c>
      <c r="O135" s="88">
        <f ca="1">IFERROR(__xludf.DUMMYFUNCTION("""COMPUTED_VALUE"""),21.8)</f>
        <v>21.8</v>
      </c>
      <c r="P135" s="85"/>
      <c r="Q135" s="75" t="b">
        <f ca="1">IFERROR(__xludf.DUMMYFUNCTION("""COMPUTED_VALUE"""),FALSE)</f>
        <v>0</v>
      </c>
      <c r="R135" s="75" t="b">
        <f ca="1">IFERROR(__xludf.DUMMYFUNCTION("""COMPUTED_VALUE"""),FALSE)</f>
        <v>0</v>
      </c>
      <c r="S135" s="75" t="b">
        <f ca="1">IFERROR(__xludf.DUMMYFUNCTION("""COMPUTED_VALUE"""),FALSE)</f>
        <v>0</v>
      </c>
      <c r="T135" s="75" t="b">
        <f ca="1">IFERROR(__xludf.DUMMYFUNCTION("""COMPUTED_VALUE"""),FALSE)</f>
        <v>0</v>
      </c>
      <c r="U135" s="86">
        <f ca="1">IFERROR(__xludf.DUMMYFUNCTION("""COMPUTED_VALUE"""),5)</f>
        <v>5</v>
      </c>
      <c r="V135" s="84"/>
      <c r="W135" s="87"/>
      <c r="X135" s="84"/>
      <c r="Y135" s="84" t="str">
        <f ca="1">IFERROR(__xludf.DUMMYFUNCTION("""COMPUTED_VALUE"""),"Fieldwork")</f>
        <v>Fieldwork</v>
      </c>
      <c r="Z135" s="66" t="s">
        <v>1921</v>
      </c>
    </row>
    <row r="136" spans="1:26" ht="15.75" customHeight="1">
      <c r="A136" s="83" t="str">
        <f ca="1">IFERROR(__xludf.DUMMYFUNCTION("""COMPUTED_VALUE"""),"W11SE")</f>
        <v>W11SE</v>
      </c>
      <c r="B136" s="84">
        <f ca="1">IFERROR(__xludf.DUMMYFUNCTION("""COMPUTED_VALUE"""),11)</f>
        <v>11</v>
      </c>
      <c r="C136" s="84" t="str">
        <f ca="1">IFERROR(__xludf.DUMMYFUNCTION("""COMPUTED_VALUE"""),"SE")</f>
        <v>SE</v>
      </c>
      <c r="D136" s="339">
        <f ca="1">IFERROR(__xludf.DUMMYFUNCTION("""COMPUTED_VALUE"""),2400)</f>
        <v>2400</v>
      </c>
      <c r="E136" s="84" t="str">
        <f ca="1">IFERROR(__xludf.DUMMYFUNCTION("""COMPUTED_VALUE"""),"3263716542T20050430")</f>
        <v>3263716542T20050430</v>
      </c>
      <c r="F136" s="84">
        <f ca="1">IFERROR(__xludf.DUMMYFUNCTION("""COMPUTED_VALUE"""),1103121148)</f>
        <v>1103121148</v>
      </c>
      <c r="G136" s="83" t="str">
        <f ca="1">IFERROR(__xludf.DUMMYFUNCTION("""COMPUTED_VALUE"""),"Tung Che Commercial Centre")</f>
        <v>Tung Che Commercial Centre</v>
      </c>
      <c r="H136" s="84" t="str">
        <f ca="1">IFERROR(__xludf.DUMMYFUNCTION("""COMPUTED_VALUE"""),"東慈商業中心")</f>
        <v>東慈商業中心</v>
      </c>
      <c r="I136" s="84">
        <f ca="1">IFERROR(__xludf.DUMMYFUNCTION("""COMPUTED_VALUE"""),114.1416548)</f>
        <v>114.1416548</v>
      </c>
      <c r="J136" s="84">
        <f ca="1">IFERROR(__xludf.DUMMYFUNCTION("""COMPUTED_VALUE"""),22.28777143)</f>
        <v>22.287771429999999</v>
      </c>
      <c r="K136" s="88">
        <f ca="1">IFERROR(__xludf.DUMMYFUNCTION("""COMPUTED_VALUE"""),13.7)</f>
        <v>13.7</v>
      </c>
      <c r="L136" s="84" t="str">
        <f ca="1">IFERROR(__xludf.DUMMYFUNCTION("""COMPUTED_VALUE"""),"p")</f>
        <v>p</v>
      </c>
      <c r="M136" s="88">
        <f ca="1">IFERROR(__xludf.DUMMYFUNCTION("""COMPUTED_VALUE"""),92.6)</f>
        <v>92.6</v>
      </c>
      <c r="N136" s="84" t="str">
        <f ca="1">IFERROR(__xludf.DUMMYFUNCTION("""COMPUTED_VALUE"""),"3")</f>
        <v>3</v>
      </c>
      <c r="O136" s="88">
        <f ca="1">IFERROR(__xludf.DUMMYFUNCTION("""COMPUTED_VALUE"""),78.9)</f>
        <v>78.900000000000006</v>
      </c>
      <c r="P136" s="85"/>
      <c r="Q136" s="75" t="b">
        <f ca="1">IFERROR(__xludf.DUMMYFUNCTION("""COMPUTED_VALUE"""),FALSE)</f>
        <v>0</v>
      </c>
      <c r="R136" s="75" t="b">
        <f ca="1">IFERROR(__xludf.DUMMYFUNCTION("""COMPUTED_VALUE"""),FALSE)</f>
        <v>0</v>
      </c>
      <c r="S136" s="75" t="b">
        <f ca="1">IFERROR(__xludf.DUMMYFUNCTION("""COMPUTED_VALUE"""),FALSE)</f>
        <v>0</v>
      </c>
      <c r="T136" s="75" t="b">
        <f ca="1">IFERROR(__xludf.DUMMYFUNCTION("""COMPUTED_VALUE"""),FALSE)</f>
        <v>0</v>
      </c>
      <c r="U136" s="86">
        <f ca="1">IFERROR(__xludf.DUMMYFUNCTION("""COMPUTED_VALUE"""),24)</f>
        <v>24</v>
      </c>
      <c r="V136" s="84"/>
      <c r="W136" s="87"/>
      <c r="X136" s="84"/>
      <c r="Y136" s="84" t="str">
        <f ca="1">IFERROR(__xludf.DUMMYFUNCTION("""COMPUTED_VALUE"""),"Fieldwork")</f>
        <v>Fieldwork</v>
      </c>
      <c r="Z136" s="66" t="s">
        <v>1922</v>
      </c>
    </row>
    <row r="137" spans="1:26" ht="15.75" customHeight="1">
      <c r="A137" s="83" t="str">
        <f ca="1">IFERROR(__xludf.DUMMYFUNCTION("""COMPUTED_VALUE"""),"W11SW")</f>
        <v>W11SW</v>
      </c>
      <c r="B137" s="84">
        <f ca="1">IFERROR(__xludf.DUMMYFUNCTION("""COMPUTED_VALUE"""),11)</f>
        <v>11</v>
      </c>
      <c r="C137" s="84" t="str">
        <f ca="1">IFERROR(__xludf.DUMMYFUNCTION("""COMPUTED_VALUE"""),"SW")</f>
        <v>SW</v>
      </c>
      <c r="D137" s="339">
        <f ca="1">IFERROR(__xludf.DUMMYFUNCTION("""COMPUTED_VALUE"""),2400)</f>
        <v>2400</v>
      </c>
      <c r="E137" s="84" t="str">
        <f ca="1">IFERROR(__xludf.DUMMYFUNCTION("""COMPUTED_VALUE"""),"3260316549T20050430")</f>
        <v>3260316549T20050430</v>
      </c>
      <c r="F137" s="84">
        <f ca="1">IFERROR(__xludf.DUMMYFUNCTION("""COMPUTED_VALUE"""),1103121139)</f>
        <v>1103121139</v>
      </c>
      <c r="G137" s="83" t="str">
        <f ca="1">IFERROR(__xludf.DUMMYFUNCTION("""COMPUTED_VALUE"""),"Ching Tak Building")</f>
        <v>Ching Tak Building</v>
      </c>
      <c r="H137" s="84" t="str">
        <f ca="1">IFERROR(__xludf.DUMMYFUNCTION("""COMPUTED_VALUE"""),"正德大廈")</f>
        <v>正德大廈</v>
      </c>
      <c r="I137" s="84">
        <f ca="1">IFERROR(__xludf.DUMMYFUNCTION("""COMPUTED_VALUE"""),114.1413475)</f>
        <v>114.14134749999999</v>
      </c>
      <c r="J137" s="84">
        <f ca="1">IFERROR(__xludf.DUMMYFUNCTION("""COMPUTED_VALUE"""),22.2877575)</f>
        <v>22.287757500000001</v>
      </c>
      <c r="K137" s="88">
        <f ca="1">IFERROR(__xludf.DUMMYFUNCTION("""COMPUTED_VALUE"""),4.3)</f>
        <v>4.3</v>
      </c>
      <c r="L137" s="84" t="str">
        <f ca="1">IFERROR(__xludf.DUMMYFUNCTION("""COMPUTED_VALUE"""),"o")</f>
        <v>o</v>
      </c>
      <c r="M137" s="88">
        <f ca="1">IFERROR(__xludf.DUMMYFUNCTION("""COMPUTED_VALUE"""),54.3)</f>
        <v>54.3</v>
      </c>
      <c r="N137" s="84" t="str">
        <f ca="1">IFERROR(__xludf.DUMMYFUNCTION("""COMPUTED_VALUE"""),"p")</f>
        <v>p</v>
      </c>
      <c r="O137" s="88">
        <f ca="1">IFERROR(__xludf.DUMMYFUNCTION("""COMPUTED_VALUE"""),50)</f>
        <v>50</v>
      </c>
      <c r="P137" s="85"/>
      <c r="Q137" s="75" t="b">
        <f ca="1">IFERROR(__xludf.DUMMYFUNCTION("""COMPUTED_VALUE"""),FALSE)</f>
        <v>0</v>
      </c>
      <c r="R137" s="75" t="b">
        <f ca="1">IFERROR(__xludf.DUMMYFUNCTION("""COMPUTED_VALUE"""),FALSE)</f>
        <v>0</v>
      </c>
      <c r="S137" s="75" t="b">
        <f ca="1">IFERROR(__xludf.DUMMYFUNCTION("""COMPUTED_VALUE"""),FALSE)</f>
        <v>0</v>
      </c>
      <c r="T137" s="75" t="b">
        <f ca="1">IFERROR(__xludf.DUMMYFUNCTION("""COMPUTED_VALUE"""),FALSE)</f>
        <v>0</v>
      </c>
      <c r="U137" s="86">
        <f ca="1">IFERROR(__xludf.DUMMYFUNCTION("""COMPUTED_VALUE"""),16)</f>
        <v>16</v>
      </c>
      <c r="V137" s="84"/>
      <c r="W137" s="87"/>
      <c r="X137" s="84"/>
      <c r="Y137" s="84" t="str">
        <f ca="1">IFERROR(__xludf.DUMMYFUNCTION("""COMPUTED_VALUE"""),"Fieldwork")</f>
        <v>Fieldwork</v>
      </c>
      <c r="Z137" s="66" t="s">
        <v>1923</v>
      </c>
    </row>
    <row r="138" spans="1:26" ht="15.75" customHeight="1">
      <c r="A138" s="83" t="str">
        <f ca="1">IFERROR(__xludf.DUMMYFUNCTION("""COMPUTED_VALUE"""),"W11NW")</f>
        <v>W11NW</v>
      </c>
      <c r="B138" s="84">
        <f ca="1">IFERROR(__xludf.DUMMYFUNCTION("""COMPUTED_VALUE"""),11)</f>
        <v>11</v>
      </c>
      <c r="C138" s="84" t="str">
        <f ca="1">IFERROR(__xludf.DUMMYFUNCTION("""COMPUTED_VALUE"""),"NW")</f>
        <v>NW</v>
      </c>
      <c r="D138" s="339">
        <f ca="1">IFERROR(__xludf.DUMMYFUNCTION("""COMPUTED_VALUE"""),2400)</f>
        <v>2400</v>
      </c>
      <c r="E138" s="84" t="str">
        <f ca="1">IFERROR(__xludf.DUMMYFUNCTION("""COMPUTED_VALUE"""),"3259716576T20050430")</f>
        <v>3259716576T20050430</v>
      </c>
      <c r="F138" s="84">
        <f ca="1">IFERROR(__xludf.DUMMYFUNCTION("""COMPUTED_VALUE"""),1103120932)</f>
        <v>1103120932</v>
      </c>
      <c r="G138" s="83" t="str">
        <f ca="1">IFERROR(__xludf.DUMMYFUNCTION("""COMPUTED_VALUE"""),"Wah Lap House")</f>
        <v>Wah Lap House</v>
      </c>
      <c r="H138" s="84" t="str">
        <f ca="1">IFERROR(__xludf.DUMMYFUNCTION("""COMPUTED_VALUE"""),"華立大樓")</f>
        <v>華立大樓</v>
      </c>
      <c r="I138" s="84">
        <f ca="1">IFERROR(__xludf.DUMMYFUNCTION("""COMPUTED_VALUE"""),114.1412874)</f>
        <v>114.1412874</v>
      </c>
      <c r="J138" s="84">
        <f ca="1">IFERROR(__xludf.DUMMYFUNCTION("""COMPUTED_VALUE"""),22.28813422)</f>
        <v>22.28813422</v>
      </c>
      <c r="K138" s="88">
        <f ca="1">IFERROR(__xludf.DUMMYFUNCTION("""COMPUTED_VALUE"""),4.3)</f>
        <v>4.3</v>
      </c>
      <c r="L138" s="84" t="str">
        <f ca="1">IFERROR(__xludf.DUMMYFUNCTION("""COMPUTED_VALUE"""),"l")</f>
        <v>l</v>
      </c>
      <c r="M138" s="88">
        <f ca="1">IFERROR(__xludf.DUMMYFUNCTION("""COMPUTED_VALUE"""),24.1)</f>
        <v>24.1</v>
      </c>
      <c r="N138" s="84" t="str">
        <f ca="1">IFERROR(__xludf.DUMMYFUNCTION("""COMPUTED_VALUE"""),"3")</f>
        <v>3</v>
      </c>
      <c r="O138" s="88">
        <f ca="1">IFERROR(__xludf.DUMMYFUNCTION("""COMPUTED_VALUE"""),19.8)</f>
        <v>19.8</v>
      </c>
      <c r="P138" s="85"/>
      <c r="Q138" s="75" t="b">
        <f ca="1">IFERROR(__xludf.DUMMYFUNCTION("""COMPUTED_VALUE"""),FALSE)</f>
        <v>0</v>
      </c>
      <c r="R138" s="75" t="b">
        <f ca="1">IFERROR(__xludf.DUMMYFUNCTION("""COMPUTED_VALUE"""),FALSE)</f>
        <v>0</v>
      </c>
      <c r="S138" s="75" t="b">
        <f ca="1">IFERROR(__xludf.DUMMYFUNCTION("""COMPUTED_VALUE"""),FALSE)</f>
        <v>0</v>
      </c>
      <c r="T138" s="75" t="b">
        <f ca="1">IFERROR(__xludf.DUMMYFUNCTION("""COMPUTED_VALUE"""),FALSE)</f>
        <v>0</v>
      </c>
      <c r="U138" s="86">
        <f ca="1">IFERROR(__xludf.DUMMYFUNCTION("""COMPUTED_VALUE"""),5)</f>
        <v>5</v>
      </c>
      <c r="V138" s="84"/>
      <c r="W138" s="87"/>
      <c r="X138" s="84"/>
      <c r="Y138" s="84" t="str">
        <f ca="1">IFERROR(__xludf.DUMMYFUNCTION("""COMPUTED_VALUE"""),"Fieldwork")</f>
        <v>Fieldwork</v>
      </c>
      <c r="Z138" s="66" t="s">
        <v>1924</v>
      </c>
    </row>
    <row r="139" spans="1:26" ht="15.75" customHeight="1">
      <c r="A139" s="83" t="str">
        <f ca="1">IFERROR(__xludf.DUMMYFUNCTION("""COMPUTED_VALUE"""),"N4NE")</f>
        <v>N4NE</v>
      </c>
      <c r="B139" s="84">
        <f ca="1">IFERROR(__xludf.DUMMYFUNCTION("""COMPUTED_VALUE"""),4)</f>
        <v>4</v>
      </c>
      <c r="C139" s="84" t="str">
        <f ca="1">IFERROR(__xludf.DUMMYFUNCTION("""COMPUTED_VALUE"""),"NE")</f>
        <v>NE</v>
      </c>
      <c r="D139" s="339">
        <f ca="1">IFERROR(__xludf.DUMMYFUNCTION("""COMPUTED_VALUE"""),2600)</f>
        <v>2600</v>
      </c>
      <c r="E139" s="84" t="str">
        <f ca="1">IFERROR(__xludf.DUMMYFUNCTION("""COMPUTED_VALUE"""),"3577318200T20050430")</f>
        <v>3577318200T20050430</v>
      </c>
      <c r="F139" s="84">
        <f ca="1">IFERROR(__xludf.DUMMYFUNCTION("""COMPUTED_VALUE"""),1108242804)</f>
        <v>1108242804</v>
      </c>
      <c r="G139" s="83" t="str">
        <f ca="1">IFERROR(__xludf.DUMMYFUNCTION("""COMPUTED_VALUE"""),"A. Kun Lock Building")</f>
        <v>A. Kun Lock Building</v>
      </c>
      <c r="H139" s="84" t="str">
        <f ca="1">IFERROR(__xludf.DUMMYFUNCTION("""COMPUTED_VALUE"""),"均樂大廈")</f>
        <v>均樂大廈</v>
      </c>
      <c r="I139" s="84">
        <f ca="1">IFERROR(__xludf.DUMMYFUNCTION("""COMPUTED_VALUE"""),114.1720885)</f>
        <v>114.1720885</v>
      </c>
      <c r="J139" s="84">
        <f ca="1">IFERROR(__xludf.DUMMYFUNCTION("""COMPUTED_VALUE"""),22.30276031)</f>
        <v>22.30276031</v>
      </c>
      <c r="K139" s="88">
        <f ca="1">IFERROR(__xludf.DUMMYFUNCTION("""COMPUTED_VALUE"""),13.5)</f>
        <v>13.5</v>
      </c>
      <c r="L139" s="84" t="str">
        <f ca="1">IFERROR(__xludf.DUMMYFUNCTION("""COMPUTED_VALUE"""),"l")</f>
        <v>l</v>
      </c>
      <c r="M139" s="88">
        <f ca="1">IFERROR(__xludf.DUMMYFUNCTION("""COMPUTED_VALUE"""),52.900002)</f>
        <v>52.900002000000001</v>
      </c>
      <c r="N139" s="84" t="str">
        <f ca="1">IFERROR(__xludf.DUMMYFUNCTION("""COMPUTED_VALUE"""),"p")</f>
        <v>p</v>
      </c>
      <c r="O139" s="88">
        <f ca="1">IFERROR(__xludf.DUMMYFUNCTION("""COMPUTED_VALUE"""),39.400002)</f>
        <v>39.400002000000001</v>
      </c>
      <c r="P139" s="85"/>
      <c r="Q139" s="75" t="b">
        <f ca="1">IFERROR(__xludf.DUMMYFUNCTION("""COMPUTED_VALUE"""),FALSE)</f>
        <v>0</v>
      </c>
      <c r="R139" s="75" t="b">
        <f ca="1">IFERROR(__xludf.DUMMYFUNCTION("""COMPUTED_VALUE"""),FALSE)</f>
        <v>0</v>
      </c>
      <c r="S139" s="75" t="b">
        <f ca="1">IFERROR(__xludf.DUMMYFUNCTION("""COMPUTED_VALUE"""),FALSE)</f>
        <v>0</v>
      </c>
      <c r="T139" s="75"/>
      <c r="U139" s="86">
        <f ca="1">IFERROR(__xludf.DUMMYFUNCTION("""COMPUTED_VALUE"""),11)</f>
        <v>11</v>
      </c>
      <c r="V139" s="84">
        <f ca="1">IFERROR(__xludf.DUMMYFUNCTION("""COMPUTED_VALUE"""),0)</f>
        <v>0</v>
      </c>
      <c r="W139" s="87">
        <f ca="1">IFERROR(__xludf.DUMMYFUNCTION("""COMPUTED_VALUE"""),26)</f>
        <v>26</v>
      </c>
      <c r="X139" s="84">
        <f ca="1">IFERROR(__xludf.DUMMYFUNCTION("""COMPUTED_VALUE"""),1966)</f>
        <v>1966</v>
      </c>
      <c r="Y139" s="84" t="str">
        <f ca="1">IFERROR(__xludf.DUMMYFUNCTION("""COMPUTED_VALUE"""),"BMIS")</f>
        <v>BMIS</v>
      </c>
      <c r="Z139" s="66" t="s">
        <v>1926</v>
      </c>
    </row>
    <row r="140" spans="1:26" ht="15.75" customHeight="1">
      <c r="A140" s="83" t="str">
        <f ca="1">IFERROR(__xludf.DUMMYFUNCTION("""COMPUTED_VALUE"""),"N4SE")</f>
        <v>N4SE</v>
      </c>
      <c r="B140" s="84">
        <f ca="1">IFERROR(__xludf.DUMMYFUNCTION("""COMPUTED_VALUE"""),4)</f>
        <v>4</v>
      </c>
      <c r="C140" s="84" t="str">
        <f ca="1">IFERROR(__xludf.DUMMYFUNCTION("""COMPUTED_VALUE"""),"SE")</f>
        <v>SE</v>
      </c>
      <c r="D140" s="339">
        <f ca="1">IFERROR(__xludf.DUMMYFUNCTION("""COMPUTED_VALUE"""),2600)</f>
        <v>2600</v>
      </c>
      <c r="E140" s="84" t="str">
        <f ca="1">IFERROR(__xludf.DUMMYFUNCTION("""COMPUTED_VALUE"""),"3577418180T20050430")</f>
        <v>3577418180T20050430</v>
      </c>
      <c r="F140" s="84">
        <f ca="1">IFERROR(__xludf.DUMMYFUNCTION("""COMPUTED_VALUE"""),1108242855)</f>
        <v>1108242855</v>
      </c>
      <c r="G140" s="83" t="str">
        <f ca="1">IFERROR(__xludf.DUMMYFUNCTION("""COMPUTED_VALUE"""),"Good Results Building")</f>
        <v>Good Results Building</v>
      </c>
      <c r="H140" s="84" t="str">
        <f ca="1">IFERROR(__xludf.DUMMYFUNCTION("""COMPUTED_VALUE"""),"收成樓")</f>
        <v>收成樓</v>
      </c>
      <c r="I140" s="84">
        <f ca="1">IFERROR(__xludf.DUMMYFUNCTION("""COMPUTED_VALUE"""),114.1721036)</f>
        <v>114.1721036</v>
      </c>
      <c r="J140" s="84">
        <f ca="1">IFERROR(__xludf.DUMMYFUNCTION("""COMPUTED_VALUE"""),22.30257896)</f>
        <v>22.302578960000002</v>
      </c>
      <c r="K140" s="88">
        <f ca="1">IFERROR(__xludf.DUMMYFUNCTION("""COMPUTED_VALUE"""),13.6)</f>
        <v>13.6</v>
      </c>
      <c r="L140" s="84" t="str">
        <f ca="1">IFERROR(__xludf.DUMMYFUNCTION("""COMPUTED_VALUE"""),"l")</f>
        <v>l</v>
      </c>
      <c r="M140" s="88">
        <f ca="1">IFERROR(__xludf.DUMMYFUNCTION("""COMPUTED_VALUE"""),56.900002)</f>
        <v>56.900002000000001</v>
      </c>
      <c r="N140" s="84" t="str">
        <f ca="1">IFERROR(__xludf.DUMMYFUNCTION("""COMPUTED_VALUE"""),"3")</f>
        <v>3</v>
      </c>
      <c r="O140" s="88">
        <f ca="1">IFERROR(__xludf.DUMMYFUNCTION("""COMPUTED_VALUE"""),43.300002)</f>
        <v>43.300001999999999</v>
      </c>
      <c r="P140" s="85"/>
      <c r="Q140" s="75" t="b">
        <f ca="1">IFERROR(__xludf.DUMMYFUNCTION("""COMPUTED_VALUE"""),FALSE)</f>
        <v>0</v>
      </c>
      <c r="R140" s="75" t="b">
        <f ca="1">IFERROR(__xludf.DUMMYFUNCTION("""COMPUTED_VALUE"""),FALSE)</f>
        <v>0</v>
      </c>
      <c r="S140" s="75" t="b">
        <f ca="1">IFERROR(__xludf.DUMMYFUNCTION("""COMPUTED_VALUE"""),FALSE)</f>
        <v>0</v>
      </c>
      <c r="T140" s="75"/>
      <c r="U140" s="86">
        <f ca="1">IFERROR(__xludf.DUMMYFUNCTION("""COMPUTED_VALUE"""),12)</f>
        <v>12</v>
      </c>
      <c r="V140" s="84">
        <f ca="1">IFERROR(__xludf.DUMMYFUNCTION("""COMPUTED_VALUE"""),0)</f>
        <v>0</v>
      </c>
      <c r="W140" s="87">
        <f ca="1">IFERROR(__xludf.DUMMYFUNCTION("""COMPUTED_VALUE"""),25)</f>
        <v>25</v>
      </c>
      <c r="X140" s="84">
        <f ca="1">IFERROR(__xludf.DUMMYFUNCTION("""COMPUTED_VALUE"""),1971)</f>
        <v>1971</v>
      </c>
      <c r="Y140" s="84" t="str">
        <f ca="1">IFERROR(__xludf.DUMMYFUNCTION("""COMPUTED_VALUE"""),"Google Earth+BMIS")</f>
        <v>Google Earth+BMIS</v>
      </c>
      <c r="Z140" s="66" t="s">
        <v>1928</v>
      </c>
    </row>
    <row r="141" spans="1:26" ht="15.75" customHeight="1">
      <c r="A141" s="83" t="str">
        <f ca="1">IFERROR(__xludf.DUMMYFUNCTION("""COMPUTED_VALUE"""),"N4SW")</f>
        <v>N4SW</v>
      </c>
      <c r="B141" s="84">
        <f ca="1">IFERROR(__xludf.DUMMYFUNCTION("""COMPUTED_VALUE"""),4)</f>
        <v>4</v>
      </c>
      <c r="C141" s="84" t="str">
        <f ca="1">IFERROR(__xludf.DUMMYFUNCTION("""COMPUTED_VALUE"""),"SW")</f>
        <v>SW</v>
      </c>
      <c r="D141" s="339">
        <f ca="1">IFERROR(__xludf.DUMMYFUNCTION("""COMPUTED_VALUE"""),2600)</f>
        <v>2600</v>
      </c>
      <c r="E141" s="84" t="str">
        <f ca="1">IFERROR(__xludf.DUMMYFUNCTION("""COMPUTED_VALUE"""),"3572418091T20050430")</f>
        <v>3572418091T20050430</v>
      </c>
      <c r="F141" s="84">
        <f ca="1">IFERROR(__xludf.DUMMYFUNCTION("""COMPUTED_VALUE"""),1108242973)</f>
        <v>1108242973</v>
      </c>
      <c r="G141" s="83" t="str">
        <f ca="1">IFERROR(__xludf.DUMMYFUNCTION("""COMPUTED_VALUE"""),"Park Lane Shopper's Boulevard")</f>
        <v>Park Lane Shopper's Boulevard</v>
      </c>
      <c r="H141" s="84" t="str">
        <f ca="1">IFERROR(__xludf.DUMMYFUNCTION("""COMPUTED_VALUE"""),"栢麗購物大道")</f>
        <v>栢麗購物大道</v>
      </c>
      <c r="I141" s="84">
        <f ca="1">IFERROR(__xludf.DUMMYFUNCTION("""COMPUTED_VALUE"""),114.1715796)</f>
        <v>114.1715796</v>
      </c>
      <c r="J141" s="84">
        <f ca="1">IFERROR(__xludf.DUMMYFUNCTION("""COMPUTED_VALUE"""),22.30178578)</f>
        <v>22.301785779999999</v>
      </c>
      <c r="K141" s="88">
        <f ca="1">IFERROR(__xludf.DUMMYFUNCTION("""COMPUTED_VALUE"""),12)</f>
        <v>12</v>
      </c>
      <c r="L141" s="84" t="str">
        <f ca="1">IFERROR(__xludf.DUMMYFUNCTION("""COMPUTED_VALUE"""),"l")</f>
        <v>l</v>
      </c>
      <c r="M141" s="88">
        <f ca="1">IFERROR(__xludf.DUMMYFUNCTION("""COMPUTED_VALUE"""),16.9)</f>
        <v>16.899999999999999</v>
      </c>
      <c r="N141" s="84" t="str">
        <f ca="1">IFERROR(__xludf.DUMMYFUNCTION("""COMPUTED_VALUE"""),"p")</f>
        <v>p</v>
      </c>
      <c r="O141" s="88">
        <f ca="1">IFERROR(__xludf.DUMMYFUNCTION("""COMPUTED_VALUE"""),4.9)</f>
        <v>4.9000000000000004</v>
      </c>
      <c r="P141" s="85" t="str">
        <f ca="1">IFERROR(__xludf.DUMMYFUNCTION("""COMPUTED_VALUE"""),"park facility")</f>
        <v>park facility</v>
      </c>
      <c r="Q141" s="75" t="b">
        <f ca="1">IFERROR(__xludf.DUMMYFUNCTION("""COMPUTED_VALUE"""),FALSE)</f>
        <v>0</v>
      </c>
      <c r="R141" s="75" t="b">
        <f ca="1">IFERROR(__xludf.DUMMYFUNCTION("""COMPUTED_VALUE"""),TRUE)</f>
        <v>1</v>
      </c>
      <c r="S141" s="75" t="b">
        <f ca="1">IFERROR(__xludf.DUMMYFUNCTION("""COMPUTED_VALUE"""),FALSE)</f>
        <v>0</v>
      </c>
      <c r="T141" s="75"/>
      <c r="U141" s="86">
        <f ca="1">IFERROR(__xludf.DUMMYFUNCTION("""COMPUTED_VALUE"""),2)</f>
        <v>2</v>
      </c>
      <c r="V141" s="84"/>
      <c r="W141" s="87"/>
      <c r="X141" s="84"/>
      <c r="Y141" s="84" t="str">
        <f ca="1">IFERROR(__xludf.DUMMYFUNCTION("""COMPUTED_VALUE"""),"Google Earth")</f>
        <v>Google Earth</v>
      </c>
      <c r="Z141" s="66" t="s">
        <v>1930</v>
      </c>
    </row>
    <row r="142" spans="1:26" ht="15.75" customHeight="1">
      <c r="A142" s="83" t="str">
        <f ca="1">IFERROR(__xludf.DUMMYFUNCTION("""COMPUTED_VALUE"""),"N4NW")</f>
        <v>N4NW</v>
      </c>
      <c r="B142" s="84">
        <f ca="1">IFERROR(__xludf.DUMMYFUNCTION("""COMPUTED_VALUE"""),4)</f>
        <v>4</v>
      </c>
      <c r="C142" s="84" t="str">
        <f ca="1">IFERROR(__xludf.DUMMYFUNCTION("""COMPUTED_VALUE"""),"NW")</f>
        <v>NW</v>
      </c>
      <c r="D142" s="339">
        <f ca="1">IFERROR(__xludf.DUMMYFUNCTION("""COMPUTED_VALUE"""),2600)</f>
        <v>2600</v>
      </c>
      <c r="E142" s="84" t="str">
        <f ca="1">IFERROR(__xludf.DUMMYFUNCTION("""COMPUTED_VALUE"""),"3567718189T20050430")</f>
        <v>3567718189T20050430</v>
      </c>
      <c r="F142" s="84">
        <f ca="1">IFERROR(__xludf.DUMMYFUNCTION("""COMPUTED_VALUE"""),1108242808)</f>
        <v>1108242808</v>
      </c>
      <c r="G142" s="83" t="str">
        <f ca="1">IFERROR(__xludf.DUMMYFUNCTION("""COMPUTED_VALUE"""),"Tsim Sha Tsui Police Station")</f>
        <v>Tsim Sha Tsui Police Station</v>
      </c>
      <c r="H142" s="84" t="str">
        <f ca="1">IFERROR(__xludf.DUMMYFUNCTION("""COMPUTED_VALUE"""),"尖沙咀警署")</f>
        <v>尖沙咀警署</v>
      </c>
      <c r="I142" s="84">
        <f ca="1">IFERROR(__xludf.DUMMYFUNCTION("""COMPUTED_VALUE"""),114.1712109)</f>
        <v>114.17121090000001</v>
      </c>
      <c r="J142" s="84">
        <f ca="1">IFERROR(__xludf.DUMMYFUNCTION("""COMPUTED_VALUE"""),22.30260893)</f>
        <v>22.302608930000002</v>
      </c>
      <c r="K142" s="88">
        <f ca="1">IFERROR(__xludf.DUMMYFUNCTION("""COMPUTED_VALUE"""),16)</f>
        <v>16</v>
      </c>
      <c r="L142" s="84" t="str">
        <f ca="1">IFERROR(__xludf.DUMMYFUNCTION("""COMPUTED_VALUE"""),"l")</f>
        <v>l</v>
      </c>
      <c r="M142" s="88">
        <f ca="1">IFERROR(__xludf.DUMMYFUNCTION("""COMPUTED_VALUE"""),48.799999)</f>
        <v>48.799999</v>
      </c>
      <c r="N142" s="84" t="str">
        <f ca="1">IFERROR(__xludf.DUMMYFUNCTION("""COMPUTED_VALUE"""),"3")</f>
        <v>3</v>
      </c>
      <c r="O142" s="88">
        <f ca="1">IFERROR(__xludf.DUMMYFUNCTION("""COMPUTED_VALUE"""),32.799999)</f>
        <v>32.799999</v>
      </c>
      <c r="P142" s="85" t="str">
        <f ca="1">IFERROR(__xludf.DUMMYFUNCTION("""COMPUTED_VALUE"""),"Government Building")</f>
        <v>Government Building</v>
      </c>
      <c r="Q142" s="75" t="b">
        <f ca="1">IFERROR(__xludf.DUMMYFUNCTION("""COMPUTED_VALUE"""),FALSE)</f>
        <v>0</v>
      </c>
      <c r="R142" s="75" t="b">
        <f ca="1">IFERROR(__xludf.DUMMYFUNCTION("""COMPUTED_VALUE"""),TRUE)</f>
        <v>1</v>
      </c>
      <c r="S142" s="75" t="b">
        <f ca="1">IFERROR(__xludf.DUMMYFUNCTION("""COMPUTED_VALUE"""),FALSE)</f>
        <v>0</v>
      </c>
      <c r="T142" s="75"/>
      <c r="U142" s="86">
        <f ca="1">IFERROR(__xludf.DUMMYFUNCTION("""COMPUTED_VALUE"""),11)</f>
        <v>11</v>
      </c>
      <c r="V142" s="84"/>
      <c r="W142" s="87"/>
      <c r="X142" s="84"/>
      <c r="Y142" s="84" t="str">
        <f ca="1">IFERROR(__xludf.DUMMYFUNCTION("""COMPUTED_VALUE"""),"Google Earth")</f>
        <v>Google Earth</v>
      </c>
      <c r="Z142" s="66" t="s">
        <v>1932</v>
      </c>
    </row>
    <row r="143" spans="1:26" ht="15.75" customHeight="1">
      <c r="A143" s="83" t="str">
        <f ca="1">IFERROR(__xludf.DUMMYFUNCTION("""COMPUTED_VALUE"""),"E12NE")</f>
        <v>E12NE</v>
      </c>
      <c r="B143" s="84">
        <f ca="1">IFERROR(__xludf.DUMMYFUNCTION("""COMPUTED_VALUE"""),12)</f>
        <v>12</v>
      </c>
      <c r="C143" s="84" t="str">
        <f ca="1">IFERROR(__xludf.DUMMYFUNCTION("""COMPUTED_VALUE"""),"NE")</f>
        <v>NE</v>
      </c>
      <c r="D143" s="339">
        <f ca="1">IFERROR(__xludf.DUMMYFUNCTION("""COMPUTED_VALUE"""),2600)</f>
        <v>2600</v>
      </c>
      <c r="E143" s="84" t="str">
        <f ca="1">IFERROR(__xludf.DUMMYFUNCTION("""COMPUTED_VALUE"""),"3626515418T20050430")</f>
        <v>3626515418T20050430</v>
      </c>
      <c r="F143" s="84">
        <f ca="1">IFERROR(__xludf.DUMMYFUNCTION("""COMPUTED_VALUE"""),1103128615)</f>
        <v>1103128615</v>
      </c>
      <c r="G143" s="83" t="str">
        <f ca="1">IFERROR(__xludf.DUMMYFUNCTION("""COMPUTED_VALUE"""),"Emperor Group Centre")</f>
        <v>Emperor Group Centre</v>
      </c>
      <c r="H143" s="84" t="str">
        <f ca="1">IFERROR(__xludf.DUMMYFUNCTION("""COMPUTED_VALUE"""),"英皇集團中心")</f>
        <v>英皇集團中心</v>
      </c>
      <c r="I143" s="84">
        <f ca="1">IFERROR(__xludf.DUMMYFUNCTION("""COMPUTED_VALUE"""),114.1768876)</f>
        <v>114.1768876</v>
      </c>
      <c r="J143" s="84">
        <f ca="1">IFERROR(__xludf.DUMMYFUNCTION("""COMPUTED_VALUE"""),22.27763002)</f>
        <v>22.27763002</v>
      </c>
      <c r="K143" s="88">
        <f ca="1">IFERROR(__xludf.DUMMYFUNCTION("""COMPUTED_VALUE"""),17)</f>
        <v>17</v>
      </c>
      <c r="L143" s="84" t="str">
        <f ca="1">IFERROR(__xludf.DUMMYFUNCTION("""COMPUTED_VALUE"""),"p")</f>
        <v>p</v>
      </c>
      <c r="M143" s="88">
        <f ca="1">IFERROR(__xludf.DUMMYFUNCTION("""COMPUTED_VALUE"""),105.7)</f>
        <v>105.7</v>
      </c>
      <c r="N143" s="84" t="str">
        <f ca="1">IFERROR(__xludf.DUMMYFUNCTION("""COMPUTED_VALUE"""),"3")</f>
        <v>3</v>
      </c>
      <c r="O143" s="88">
        <f ca="1">IFERROR(__xludf.DUMMYFUNCTION("""COMPUTED_VALUE"""),88.7)</f>
        <v>88.7</v>
      </c>
      <c r="P143" s="85"/>
      <c r="Q143" s="75" t="b">
        <f ca="1">IFERROR(__xludf.DUMMYFUNCTION("""COMPUTED_VALUE"""),FALSE)</f>
        <v>0</v>
      </c>
      <c r="R143" s="75" t="b">
        <f ca="1">IFERROR(__xludf.DUMMYFUNCTION("""COMPUTED_VALUE"""),FALSE)</f>
        <v>0</v>
      </c>
      <c r="S143" s="75" t="b">
        <f ca="1">IFERROR(__xludf.DUMMYFUNCTION("""COMPUTED_VALUE"""),FALSE)</f>
        <v>0</v>
      </c>
      <c r="T143" s="75" t="b">
        <f ca="1">IFERROR(__xludf.DUMMYFUNCTION("""COMPUTED_VALUE"""),FALSE)</f>
        <v>0</v>
      </c>
      <c r="U143" s="86">
        <f ca="1">IFERROR(__xludf.DUMMYFUNCTION("""COMPUTED_VALUE"""),30)</f>
        <v>30</v>
      </c>
      <c r="V143" s="84">
        <f ca="1">IFERROR(__xludf.DUMMYFUNCTION("""COMPUTED_VALUE"""),0)</f>
        <v>0</v>
      </c>
      <c r="W143" s="87">
        <f ca="1">IFERROR(__xludf.DUMMYFUNCTION("""COMPUTED_VALUE"""),40)</f>
        <v>40</v>
      </c>
      <c r="X143" s="84">
        <f ca="1">IFERROR(__xludf.DUMMYFUNCTION("""COMPUTED_VALUE"""),1994)</f>
        <v>1994</v>
      </c>
      <c r="Y143" s="84" t="str">
        <f ca="1">IFERROR(__xludf.DUMMYFUNCTION("""COMPUTED_VALUE"""),"BMIS_auto")</f>
        <v>BMIS_auto</v>
      </c>
      <c r="Z143" s="66" t="s">
        <v>1934</v>
      </c>
    </row>
    <row r="144" spans="1:26" ht="15.75" customHeight="1">
      <c r="A144" s="83" t="str">
        <f ca="1">IFERROR(__xludf.DUMMYFUNCTION("""COMPUTED_VALUE"""),"E12SE")</f>
        <v>E12SE</v>
      </c>
      <c r="B144" s="84">
        <f ca="1">IFERROR(__xludf.DUMMYFUNCTION("""COMPUTED_VALUE"""),12)</f>
        <v>12</v>
      </c>
      <c r="C144" s="84" t="str">
        <f ca="1">IFERROR(__xludf.DUMMYFUNCTION("""COMPUTED_VALUE"""),"SE")</f>
        <v>SE</v>
      </c>
      <c r="D144" s="339">
        <f ca="1">IFERROR(__xludf.DUMMYFUNCTION("""COMPUTED_VALUE"""),2600)</f>
        <v>2600</v>
      </c>
      <c r="E144" s="84" t="str">
        <f ca="1">IFERROR(__xludf.DUMMYFUNCTION("""COMPUTED_VALUE"""),"3620715435T20050430")</f>
        <v>3620715435T20050430</v>
      </c>
      <c r="F144" s="84">
        <f ca="1">IFERROR(__xludf.DUMMYFUNCTION("""COMPUTED_VALUE"""),1103128646)</f>
        <v>1103128646</v>
      </c>
      <c r="G144" s="83" t="str">
        <f ca="1">IFERROR(__xludf.DUMMYFUNCTION("""COMPUTED_VALUE"""),"Caltex House")</f>
        <v>Caltex House</v>
      </c>
      <c r="H144" s="84" t="str">
        <f ca="1">IFERROR(__xludf.DUMMYFUNCTION("""COMPUTED_VALUE"""),"德士古大廈")</f>
        <v>德士古大廈</v>
      </c>
      <c r="I144" s="84">
        <f ca="1">IFERROR(__xludf.DUMMYFUNCTION("""COMPUTED_VALUE"""),114.1762751)</f>
        <v>114.1762751</v>
      </c>
      <c r="J144" s="84">
        <f ca="1">IFERROR(__xludf.DUMMYFUNCTION("""COMPUTED_VALUE"""),22.2777396)</f>
        <v>22.2777396</v>
      </c>
      <c r="K144" s="88">
        <f ca="1">IFERROR(__xludf.DUMMYFUNCTION("""COMPUTED_VALUE"""),19)</f>
        <v>19</v>
      </c>
      <c r="L144" s="84" t="str">
        <f ca="1">IFERROR(__xludf.DUMMYFUNCTION("""COMPUTED_VALUE"""),"p")</f>
        <v>p</v>
      </c>
      <c r="M144" s="88">
        <f ca="1">IFERROR(__xludf.DUMMYFUNCTION("""COMPUTED_VALUE"""),72.5)</f>
        <v>72.5</v>
      </c>
      <c r="N144" s="84" t="str">
        <f ca="1">IFERROR(__xludf.DUMMYFUNCTION("""COMPUTED_VALUE"""),"3")</f>
        <v>3</v>
      </c>
      <c r="O144" s="88">
        <f ca="1">IFERROR(__xludf.DUMMYFUNCTION("""COMPUTED_VALUE"""),53.5)</f>
        <v>53.5</v>
      </c>
      <c r="P144" s="85"/>
      <c r="Q144" s="75" t="b">
        <f ca="1">IFERROR(__xludf.DUMMYFUNCTION("""COMPUTED_VALUE"""),FALSE)</f>
        <v>0</v>
      </c>
      <c r="R144" s="75" t="b">
        <f ca="1">IFERROR(__xludf.DUMMYFUNCTION("""COMPUTED_VALUE"""),FALSE)</f>
        <v>0</v>
      </c>
      <c r="S144" s="75" t="b">
        <f ca="1">IFERROR(__xludf.DUMMYFUNCTION("""COMPUTED_VALUE"""),FALSE)</f>
        <v>0</v>
      </c>
      <c r="T144" s="75" t="b">
        <f ca="1">IFERROR(__xludf.DUMMYFUNCTION("""COMPUTED_VALUE"""),FALSE)</f>
        <v>0</v>
      </c>
      <c r="U144" s="86">
        <f ca="1">IFERROR(__xludf.DUMMYFUNCTION("""COMPUTED_VALUE"""),21)</f>
        <v>21</v>
      </c>
      <c r="V144" s="84">
        <f ca="1">IFERROR(__xludf.DUMMYFUNCTION("""COMPUTED_VALUE"""),0)</f>
        <v>0</v>
      </c>
      <c r="W144" s="87">
        <f ca="1">IFERROR(__xludf.DUMMYFUNCTION("""COMPUTED_VALUE"""),21)</f>
        <v>21</v>
      </c>
      <c r="X144" s="84">
        <f ca="1">IFERROR(__xludf.DUMMYFUNCTION("""COMPUTED_VALUE"""),1975)</f>
        <v>1975</v>
      </c>
      <c r="Y144" s="84" t="str">
        <f ca="1">IFERROR(__xludf.DUMMYFUNCTION("""COMPUTED_VALUE"""),"BMIS")</f>
        <v>BMIS</v>
      </c>
      <c r="Z144" s="66" t="s">
        <v>1936</v>
      </c>
    </row>
    <row r="145" spans="1:26" ht="15.75" customHeight="1">
      <c r="A145" s="83" t="str">
        <f ca="1">IFERROR(__xludf.DUMMYFUNCTION("""COMPUTED_VALUE"""),"E12SW")</f>
        <v>E12SW</v>
      </c>
      <c r="B145" s="84">
        <f ca="1">IFERROR(__xludf.DUMMYFUNCTION("""COMPUTED_VALUE"""),12)</f>
        <v>12</v>
      </c>
      <c r="C145" s="84" t="str">
        <f ca="1">IFERROR(__xludf.DUMMYFUNCTION("""COMPUTED_VALUE"""),"SW")</f>
        <v>SW</v>
      </c>
      <c r="D145" s="339">
        <f ca="1">IFERROR(__xludf.DUMMYFUNCTION("""COMPUTED_VALUE"""),2600)</f>
        <v>2600</v>
      </c>
      <c r="E145" s="84" t="str">
        <f ca="1">IFERROR(__xludf.DUMMYFUNCTION("""COMPUTED_VALUE"""),"3621815471T20050430")</f>
        <v>3621815471T20050430</v>
      </c>
      <c r="F145" s="84">
        <f ca="1">IFERROR(__xludf.DUMMYFUNCTION("""COMPUTED_VALUE"""),1103128311)</f>
        <v>1103128311</v>
      </c>
      <c r="G145" s="83" t="str">
        <f ca="1">IFERROR(__xludf.DUMMYFUNCTION("""COMPUTED_VALUE"""),"Easey Commercial Building")</f>
        <v>Easey Commercial Building</v>
      </c>
      <c r="H145" s="84" t="str">
        <f ca="1">IFERROR(__xludf.DUMMYFUNCTION("""COMPUTED_VALUE"""),"依時商業大廈")</f>
        <v>依時商業大廈</v>
      </c>
      <c r="I145" s="84">
        <f ca="1">IFERROR(__xludf.DUMMYFUNCTION("""COMPUTED_VALUE"""),114.1764179)</f>
        <v>114.1764179</v>
      </c>
      <c r="J145" s="84">
        <f ca="1">IFERROR(__xludf.DUMMYFUNCTION("""COMPUTED_VALUE"""),22.27816757)</f>
        <v>22.278167570000001</v>
      </c>
      <c r="K145" s="88">
        <f ca="1">IFERROR(__xludf.DUMMYFUNCTION("""COMPUTED_VALUE"""),3.5)</f>
        <v>3.5</v>
      </c>
      <c r="L145" s="84" t="str">
        <f ca="1">IFERROR(__xludf.DUMMYFUNCTION("""COMPUTED_VALUE"""),"l")</f>
        <v>l</v>
      </c>
      <c r="M145" s="88">
        <f ca="1">IFERROR(__xludf.DUMMYFUNCTION("""COMPUTED_VALUE"""),54.3)</f>
        <v>54.3</v>
      </c>
      <c r="N145" s="84" t="str">
        <f ca="1">IFERROR(__xludf.DUMMYFUNCTION("""COMPUTED_VALUE"""),"p")</f>
        <v>p</v>
      </c>
      <c r="O145" s="88">
        <f ca="1">IFERROR(__xludf.DUMMYFUNCTION("""COMPUTED_VALUE"""),50.8)</f>
        <v>50.8</v>
      </c>
      <c r="P145" s="85"/>
      <c r="Q145" s="75" t="b">
        <f ca="1">IFERROR(__xludf.DUMMYFUNCTION("""COMPUTED_VALUE"""),FALSE)</f>
        <v>0</v>
      </c>
      <c r="R145" s="75" t="b">
        <f ca="1">IFERROR(__xludf.DUMMYFUNCTION("""COMPUTED_VALUE"""),FALSE)</f>
        <v>0</v>
      </c>
      <c r="S145" s="75" t="b">
        <f ca="1">IFERROR(__xludf.DUMMYFUNCTION("""COMPUTED_VALUE"""),FALSE)</f>
        <v>0</v>
      </c>
      <c r="T145" s="75" t="b">
        <f ca="1">IFERROR(__xludf.DUMMYFUNCTION("""COMPUTED_VALUE"""),FALSE)</f>
        <v>0</v>
      </c>
      <c r="U145" s="86">
        <f ca="1">IFERROR(__xludf.DUMMYFUNCTION("""COMPUTED_VALUE"""),22)</f>
        <v>22</v>
      </c>
      <c r="V145" s="84">
        <f ca="1">IFERROR(__xludf.DUMMYFUNCTION("""COMPUTED_VALUE"""),0)</f>
        <v>0</v>
      </c>
      <c r="W145" s="87">
        <f ca="1">IFERROR(__xludf.DUMMYFUNCTION("""COMPUTED_VALUE"""),104)</f>
        <v>104</v>
      </c>
      <c r="X145" s="84">
        <f ca="1">IFERROR(__xludf.DUMMYFUNCTION("""COMPUTED_VALUE"""),1977)</f>
        <v>1977</v>
      </c>
      <c r="Y145" s="84" t="str">
        <f ca="1">IFERROR(__xludf.DUMMYFUNCTION("""COMPUTED_VALUE"""),"BMIS_auto")</f>
        <v>BMIS_auto</v>
      </c>
      <c r="Z145" s="66" t="s">
        <v>1938</v>
      </c>
    </row>
    <row r="146" spans="1:26" ht="15.75" customHeight="1">
      <c r="A146" s="83" t="str">
        <f ca="1">IFERROR(__xludf.DUMMYFUNCTION("""COMPUTED_VALUE"""),"E12NW")</f>
        <v>E12NW</v>
      </c>
      <c r="B146" s="84">
        <f ca="1">IFERROR(__xludf.DUMMYFUNCTION("""COMPUTED_VALUE"""),12)</f>
        <v>12</v>
      </c>
      <c r="C146" s="84" t="str">
        <f ca="1">IFERROR(__xludf.DUMMYFUNCTION("""COMPUTED_VALUE"""),"NW")</f>
        <v>NW</v>
      </c>
      <c r="D146" s="339">
        <f ca="1">IFERROR(__xludf.DUMMYFUNCTION("""COMPUTED_VALUE"""),2600)</f>
        <v>2600</v>
      </c>
      <c r="E146" s="84" t="str">
        <f ca="1">IFERROR(__xludf.DUMMYFUNCTION("""COMPUTED_VALUE"""),"3627815479T20050430")</f>
        <v>3627815479T20050430</v>
      </c>
      <c r="F146" s="84">
        <f ca="1">IFERROR(__xludf.DUMMYFUNCTION("""COMPUTED_VALUE"""),1103128259)</f>
        <v>1103128259</v>
      </c>
      <c r="G146" s="83" t="str">
        <f ca="1">IFERROR(__xludf.DUMMYFUNCTION("""COMPUTED_VALUE"""),"Kwong Wah Mansion")</f>
        <v>Kwong Wah Mansion</v>
      </c>
      <c r="H146" s="84" t="str">
        <f ca="1">IFERROR(__xludf.DUMMYFUNCTION("""COMPUTED_VALUE"""),"光華大廈")</f>
        <v>光華大廈</v>
      </c>
      <c r="I146" s="84">
        <f ca="1">IFERROR(__xludf.DUMMYFUNCTION("""COMPUTED_VALUE"""),114.176977)</f>
        <v>114.17697699999999</v>
      </c>
      <c r="J146" s="84">
        <f ca="1">IFERROR(__xludf.DUMMYFUNCTION("""COMPUTED_VALUE"""),22.2782281)</f>
        <v>22.2782281</v>
      </c>
      <c r="K146" s="88">
        <f ca="1">IFERROR(__xludf.DUMMYFUNCTION("""COMPUTED_VALUE"""),3.6)</f>
        <v>3.6</v>
      </c>
      <c r="L146" s="84" t="str">
        <f ca="1">IFERROR(__xludf.DUMMYFUNCTION("""COMPUTED_VALUE"""),"l")</f>
        <v>l</v>
      </c>
      <c r="M146" s="88">
        <f ca="1">IFERROR(__xludf.DUMMYFUNCTION("""COMPUTED_VALUE"""),58.7)</f>
        <v>58.7</v>
      </c>
      <c r="N146" s="84" t="str">
        <f ca="1">IFERROR(__xludf.DUMMYFUNCTION("""COMPUTED_VALUE"""),"p")</f>
        <v>p</v>
      </c>
      <c r="O146" s="88">
        <f ca="1">IFERROR(__xludf.DUMMYFUNCTION("""COMPUTED_VALUE"""),55.1)</f>
        <v>55.1</v>
      </c>
      <c r="P146" s="85"/>
      <c r="Q146" s="75" t="b">
        <f ca="1">IFERROR(__xludf.DUMMYFUNCTION("""COMPUTED_VALUE"""),FALSE)</f>
        <v>0</v>
      </c>
      <c r="R146" s="75" t="b">
        <f ca="1">IFERROR(__xludf.DUMMYFUNCTION("""COMPUTED_VALUE"""),FALSE)</f>
        <v>0</v>
      </c>
      <c r="S146" s="75" t="b">
        <f ca="1">IFERROR(__xludf.DUMMYFUNCTION("""COMPUTED_VALUE"""),FALSE)</f>
        <v>0</v>
      </c>
      <c r="T146" s="75" t="b">
        <f ca="1">IFERROR(__xludf.DUMMYFUNCTION("""COMPUTED_VALUE"""),FALSE)</f>
        <v>0</v>
      </c>
      <c r="U146" s="86">
        <f ca="1">IFERROR(__xludf.DUMMYFUNCTION("""COMPUTED_VALUE"""),17)</f>
        <v>17</v>
      </c>
      <c r="V146" s="84">
        <f ca="1">IFERROR(__xludf.DUMMYFUNCTION("""COMPUTED_VALUE"""),0)</f>
        <v>0</v>
      </c>
      <c r="W146" s="87">
        <f ca="1">IFERROR(__xludf.DUMMYFUNCTION("""COMPUTED_VALUE"""),72)</f>
        <v>72</v>
      </c>
      <c r="X146" s="84">
        <f ca="1">IFERROR(__xludf.DUMMYFUNCTION("""COMPUTED_VALUE"""),1964)</f>
        <v>1964</v>
      </c>
      <c r="Y146" s="84" t="str">
        <f ca="1">IFERROR(__xludf.DUMMYFUNCTION("""COMPUTED_VALUE"""),"BMIS_auto")</f>
        <v>BMIS_auto</v>
      </c>
      <c r="Z146" s="66" t="s">
        <v>1940</v>
      </c>
    </row>
    <row r="147" spans="1:26" ht="15.75" customHeight="1">
      <c r="A147" s="83" t="str">
        <f ca="1">IFERROR(__xludf.DUMMYFUNCTION("""COMPUTED_VALUE"""),"W12NE")</f>
        <v>W12NE</v>
      </c>
      <c r="B147" s="84">
        <f ca="1">IFERROR(__xludf.DUMMYFUNCTION("""COMPUTED_VALUE"""),12)</f>
        <v>12</v>
      </c>
      <c r="C147" s="84" t="str">
        <f ca="1">IFERROR(__xludf.DUMMYFUNCTION("""COMPUTED_VALUE"""),"NE")</f>
        <v>NE</v>
      </c>
      <c r="D147" s="339">
        <f ca="1">IFERROR(__xludf.DUMMYFUNCTION("""COMPUTED_VALUE"""),2600)</f>
        <v>2600</v>
      </c>
      <c r="E147" s="84" t="str">
        <f ca="1">IFERROR(__xludf.DUMMYFUNCTION("""COMPUTED_VALUE"""),"3242116543T20050430")</f>
        <v>3242116543T20050430</v>
      </c>
      <c r="F147" s="84">
        <f ca="1">IFERROR(__xludf.DUMMYFUNCTION("""COMPUTED_VALUE"""),1103121082)</f>
        <v>1103121082</v>
      </c>
      <c r="G147" s="83" t="str">
        <f ca="1">IFERROR(__xludf.DUMMYFUNCTION("""COMPUTED_VALUE"""),"Tin Hing Building")</f>
        <v>Tin Hing Building</v>
      </c>
      <c r="H147" s="84" t="str">
        <f ca="1">IFERROR(__xludf.DUMMYFUNCTION("""COMPUTED_VALUE"""),"天興大廈")</f>
        <v>天興大廈</v>
      </c>
      <c r="I147" s="84">
        <f ca="1">IFERROR(__xludf.DUMMYFUNCTION("""COMPUTED_VALUE"""),114.1395267)</f>
        <v>114.1395267</v>
      </c>
      <c r="J147" s="84">
        <f ca="1">IFERROR(__xludf.DUMMYFUNCTION("""COMPUTED_VALUE"""),22.28784797)</f>
        <v>22.287847970000001</v>
      </c>
      <c r="K147" s="88">
        <f ca="1">IFERROR(__xludf.DUMMYFUNCTION("""COMPUTED_VALUE"""),3.7)</f>
        <v>3.7</v>
      </c>
      <c r="L147" s="84" t="str">
        <f ca="1">IFERROR(__xludf.DUMMYFUNCTION("""COMPUTED_VALUE"""),"l")</f>
        <v>l</v>
      </c>
      <c r="M147" s="88">
        <f ca="1">IFERROR(__xludf.DUMMYFUNCTION("""COMPUTED_VALUE"""),45.9)</f>
        <v>45.9</v>
      </c>
      <c r="N147" s="84" t="str">
        <f ca="1">IFERROR(__xludf.DUMMYFUNCTION("""COMPUTED_VALUE"""),"p")</f>
        <v>p</v>
      </c>
      <c r="O147" s="88">
        <f ca="1">IFERROR(__xludf.DUMMYFUNCTION("""COMPUTED_VALUE"""),42.2)</f>
        <v>42.2</v>
      </c>
      <c r="P147" s="85"/>
      <c r="Q147" s="75" t="b">
        <f ca="1">IFERROR(__xludf.DUMMYFUNCTION("""COMPUTED_VALUE"""),FALSE)</f>
        <v>0</v>
      </c>
      <c r="R147" s="75" t="b">
        <f ca="1">IFERROR(__xludf.DUMMYFUNCTION("""COMPUTED_VALUE"""),FALSE)</f>
        <v>0</v>
      </c>
      <c r="S147" s="75" t="b">
        <f ca="1">IFERROR(__xludf.DUMMYFUNCTION("""COMPUTED_VALUE"""),FALSE)</f>
        <v>0</v>
      </c>
      <c r="T147" s="75" t="b">
        <f ca="1">IFERROR(__xludf.DUMMYFUNCTION("""COMPUTED_VALUE"""),FALSE)</f>
        <v>0</v>
      </c>
      <c r="U147" s="86">
        <f ca="1">IFERROR(__xludf.DUMMYFUNCTION("""COMPUTED_VALUE"""),6)</f>
        <v>6</v>
      </c>
      <c r="V147" s="84"/>
      <c r="W147" s="87"/>
      <c r="X147" s="84"/>
      <c r="Y147" s="84" t="str">
        <f ca="1">IFERROR(__xludf.DUMMYFUNCTION("""COMPUTED_VALUE"""),"Fieldwork")</f>
        <v>Fieldwork</v>
      </c>
      <c r="Z147" s="66" t="s">
        <v>1941</v>
      </c>
    </row>
    <row r="148" spans="1:26" ht="15.75" customHeight="1">
      <c r="A148" s="83" t="str">
        <f ca="1">IFERROR(__xludf.DUMMYFUNCTION("""COMPUTED_VALUE"""),"W12SE")</f>
        <v>W12SE</v>
      </c>
      <c r="B148" s="84">
        <f ca="1">IFERROR(__xludf.DUMMYFUNCTION("""COMPUTED_VALUE"""),12)</f>
        <v>12</v>
      </c>
      <c r="C148" s="84" t="str">
        <f ca="1">IFERROR(__xludf.DUMMYFUNCTION("""COMPUTED_VALUE"""),"SE")</f>
        <v>SE</v>
      </c>
      <c r="D148" s="339">
        <f ca="1">IFERROR(__xludf.DUMMYFUNCTION("""COMPUTED_VALUE"""),2600)</f>
        <v>2600</v>
      </c>
      <c r="E148" s="84" t="str">
        <f ca="1">IFERROR(__xludf.DUMMYFUNCTION("""COMPUTED_VALUE"""),"3243716498T20050430")</f>
        <v>3243716498T20050430</v>
      </c>
      <c r="F148" s="84">
        <f ca="1">IFERROR(__xludf.DUMMYFUNCTION("""COMPUTED_VALUE"""),1103121419)</f>
        <v>1103121419</v>
      </c>
      <c r="G148" s="83" t="str">
        <f ca="1">IFERROR(__xludf.DUMMYFUNCTION("""COMPUTED_VALUE"""),"Siu Cheung Building")</f>
        <v>Siu Cheung Building</v>
      </c>
      <c r="H148" s="84" t="str">
        <f ca="1">IFERROR(__xludf.DUMMYFUNCTION("""COMPUTED_VALUE"""),"兆祥大廈")</f>
        <v>兆祥大廈</v>
      </c>
      <c r="I148" s="84">
        <f ca="1">IFERROR(__xludf.DUMMYFUNCTION("""COMPUTED_VALUE"""),114.1396977)</f>
        <v>114.1396977</v>
      </c>
      <c r="J148" s="84">
        <f ca="1">IFERROR(__xludf.DUMMYFUNCTION("""COMPUTED_VALUE"""),22.28739286)</f>
        <v>22.287392860000001</v>
      </c>
      <c r="K148" s="88">
        <f ca="1">IFERROR(__xludf.DUMMYFUNCTION("""COMPUTED_VALUE"""),10.8)</f>
        <v>10.8</v>
      </c>
      <c r="L148" s="84" t="str">
        <f ca="1">IFERROR(__xludf.DUMMYFUNCTION("""COMPUTED_VALUE"""),"p")</f>
        <v>p</v>
      </c>
      <c r="M148" s="88">
        <f ca="1">IFERROR(__xludf.DUMMYFUNCTION("""COMPUTED_VALUE"""),73)</f>
        <v>73</v>
      </c>
      <c r="N148" s="84" t="str">
        <f ca="1">IFERROR(__xludf.DUMMYFUNCTION("""COMPUTED_VALUE"""),"p")</f>
        <v>p</v>
      </c>
      <c r="O148" s="88">
        <f ca="1">IFERROR(__xludf.DUMMYFUNCTION("""COMPUTED_VALUE"""),62.2)</f>
        <v>62.2</v>
      </c>
      <c r="P148" s="85" t="str">
        <f ca="1">IFERROR(__xludf.DUMMYFUNCTION("""COMPUTED_VALUE"""),"To be changed, waiting confirmation")</f>
        <v>To be changed, waiting confirmation</v>
      </c>
      <c r="Q148" s="75" t="b">
        <f ca="1">IFERROR(__xludf.DUMMYFUNCTION("""COMPUTED_VALUE"""),FALSE)</f>
        <v>0</v>
      </c>
      <c r="R148" s="75" t="b">
        <f ca="1">IFERROR(__xludf.DUMMYFUNCTION("""COMPUTED_VALUE"""),FALSE)</f>
        <v>0</v>
      </c>
      <c r="S148" s="75" t="b">
        <f ca="1">IFERROR(__xludf.DUMMYFUNCTION("""COMPUTED_VALUE"""),FALSE)</f>
        <v>0</v>
      </c>
      <c r="T148" s="75" t="b">
        <f ca="1">IFERROR(__xludf.DUMMYFUNCTION("""COMPUTED_VALUE"""),FALSE)</f>
        <v>0</v>
      </c>
      <c r="U148" s="86">
        <f ca="1">IFERROR(__xludf.DUMMYFUNCTION("""COMPUTED_VALUE"""),6)</f>
        <v>6</v>
      </c>
      <c r="V148" s="84"/>
      <c r="W148" s="87"/>
      <c r="X148" s="84"/>
      <c r="Y148" s="84" t="str">
        <f ca="1">IFERROR(__xludf.DUMMYFUNCTION("""COMPUTED_VALUE"""),"Fieldwork")</f>
        <v>Fieldwork</v>
      </c>
      <c r="Z148" s="66" t="s">
        <v>1942</v>
      </c>
    </row>
    <row r="149" spans="1:26" ht="15.75" customHeight="1">
      <c r="A149" s="83" t="str">
        <f ca="1">IFERROR(__xludf.DUMMYFUNCTION("""COMPUTED_VALUE"""),"W12SW")</f>
        <v>W12SW</v>
      </c>
      <c r="B149" s="84">
        <f ca="1">IFERROR(__xludf.DUMMYFUNCTION("""COMPUTED_VALUE"""),12)</f>
        <v>12</v>
      </c>
      <c r="C149" s="84" t="str">
        <f ca="1">IFERROR(__xludf.DUMMYFUNCTION("""COMPUTED_VALUE"""),"SW")</f>
        <v>SW</v>
      </c>
      <c r="D149" s="339">
        <f ca="1">IFERROR(__xludf.DUMMYFUNCTION("""COMPUTED_VALUE"""),2600)</f>
        <v>2600</v>
      </c>
      <c r="E149" s="84" t="str">
        <f ca="1">IFERROR(__xludf.DUMMYFUNCTION("""COMPUTED_VALUE"""),"3239216498T20050430")</f>
        <v>3239216498T20050430</v>
      </c>
      <c r="F149" s="84">
        <f ca="1">IFERROR(__xludf.DUMMYFUNCTION("""COMPUTED_VALUE"""),1103121425)</f>
        <v>1103121425</v>
      </c>
      <c r="G149" s="83" t="str">
        <f ca="1">IFERROR(__xludf.DUMMYFUNCTION("""COMPUTED_VALUE"""),"Liang Ga Building")</f>
        <v>Liang Ga Building</v>
      </c>
      <c r="H149" s="84" t="str">
        <f ca="1">IFERROR(__xludf.DUMMYFUNCTION("""COMPUTED_VALUE"""),"良基大廈")</f>
        <v>良基大廈</v>
      </c>
      <c r="I149" s="84">
        <f ca="1">IFERROR(__xludf.DUMMYFUNCTION("""COMPUTED_VALUE"""),114.1392865)</f>
        <v>114.1392865</v>
      </c>
      <c r="J149" s="84">
        <f ca="1">IFERROR(__xludf.DUMMYFUNCTION("""COMPUTED_VALUE"""),22.28736465)</f>
        <v>22.287364650000001</v>
      </c>
      <c r="K149" s="88">
        <f ca="1">IFERROR(__xludf.DUMMYFUNCTION("""COMPUTED_VALUE"""),12.4)</f>
        <v>12.4</v>
      </c>
      <c r="L149" s="84" t="str">
        <f ca="1">IFERROR(__xludf.DUMMYFUNCTION("""COMPUTED_VALUE"""),"p")</f>
        <v>p</v>
      </c>
      <c r="M149" s="88">
        <f ca="1">IFERROR(__xludf.DUMMYFUNCTION("""COMPUTED_VALUE"""),86.3)</f>
        <v>86.3</v>
      </c>
      <c r="N149" s="84" t="str">
        <f ca="1">IFERROR(__xludf.DUMMYFUNCTION("""COMPUTED_VALUE"""),"p")</f>
        <v>p</v>
      </c>
      <c r="O149" s="88">
        <f ca="1">IFERROR(__xludf.DUMMYFUNCTION("""COMPUTED_VALUE"""),73.9)</f>
        <v>73.900000000000006</v>
      </c>
      <c r="P149" s="85"/>
      <c r="Q149" s="75" t="b">
        <f ca="1">IFERROR(__xludf.DUMMYFUNCTION("""COMPUTED_VALUE"""),FALSE)</f>
        <v>0</v>
      </c>
      <c r="R149" s="75" t="b">
        <f ca="1">IFERROR(__xludf.DUMMYFUNCTION("""COMPUTED_VALUE"""),FALSE)</f>
        <v>0</v>
      </c>
      <c r="S149" s="75" t="b">
        <f ca="1">IFERROR(__xludf.DUMMYFUNCTION("""COMPUTED_VALUE"""),FALSE)</f>
        <v>0</v>
      </c>
      <c r="T149" s="75" t="b">
        <f ca="1">IFERROR(__xludf.DUMMYFUNCTION("""COMPUTED_VALUE"""),FALSE)</f>
        <v>0</v>
      </c>
      <c r="U149" s="86">
        <f ca="1">IFERROR(__xludf.DUMMYFUNCTION("""COMPUTED_VALUE"""),22)</f>
        <v>22</v>
      </c>
      <c r="V149" s="84"/>
      <c r="W149" s="87"/>
      <c r="X149" s="84"/>
      <c r="Y149" s="84" t="str">
        <f ca="1">IFERROR(__xludf.DUMMYFUNCTION("""COMPUTED_VALUE"""),"Fieldwork")</f>
        <v>Fieldwork</v>
      </c>
      <c r="Z149" s="66" t="s">
        <v>1943</v>
      </c>
    </row>
    <row r="150" spans="1:26" ht="15.75" customHeight="1">
      <c r="A150" s="83" t="str">
        <f ca="1">IFERROR(__xludf.DUMMYFUNCTION("""COMPUTED_VALUE"""),"W12NW")</f>
        <v>W12NW</v>
      </c>
      <c r="B150" s="84">
        <f ca="1">IFERROR(__xludf.DUMMYFUNCTION("""COMPUTED_VALUE"""),12)</f>
        <v>12</v>
      </c>
      <c r="C150" s="84" t="str">
        <f ca="1">IFERROR(__xludf.DUMMYFUNCTION("""COMPUTED_VALUE"""),"NW")</f>
        <v>NW</v>
      </c>
      <c r="D150" s="339">
        <f ca="1">IFERROR(__xludf.DUMMYFUNCTION("""COMPUTED_VALUE"""),2600)</f>
        <v>2600</v>
      </c>
      <c r="E150" s="84" t="str">
        <f ca="1">IFERROR(__xludf.DUMMYFUNCTION("""COMPUTED_VALUE"""),"3237916537T20170223")</f>
        <v>3237916537T20170223</v>
      </c>
      <c r="F150" s="84">
        <f ca="1">IFERROR(__xludf.DUMMYFUNCTION("""COMPUTED_VALUE"""),1810159283)</f>
        <v>1810159283</v>
      </c>
      <c r="G150" s="83" t="str">
        <f ca="1">IFERROR(__xludf.DUMMYFUNCTION("""COMPUTED_VALUE"""),"Bohemian House")</f>
        <v>Bohemian House</v>
      </c>
      <c r="H150" s="84"/>
      <c r="I150" s="84">
        <f ca="1">IFERROR(__xludf.DUMMYFUNCTION("""COMPUTED_VALUE"""),114.1391234)</f>
        <v>114.1391234</v>
      </c>
      <c r="J150" s="84">
        <f ca="1">IFERROR(__xludf.DUMMYFUNCTION("""COMPUTED_VALUE"""),22.28772155)</f>
        <v>22.287721550000001</v>
      </c>
      <c r="K150" s="88">
        <f ca="1">IFERROR(__xludf.DUMMYFUNCTION("""COMPUTED_VALUE"""),17.3)</f>
        <v>17.3</v>
      </c>
      <c r="L150" s="84" t="str">
        <f ca="1">IFERROR(__xludf.DUMMYFUNCTION("""COMPUTED_VALUE"""),"b")</f>
        <v>b</v>
      </c>
      <c r="M150" s="88">
        <f ca="1">IFERROR(__xludf.DUMMYFUNCTION("""COMPUTED_VALUE"""),100.5)</f>
        <v>100.5</v>
      </c>
      <c r="N150" s="84" t="str">
        <f ca="1">IFERROR(__xludf.DUMMYFUNCTION("""COMPUTED_VALUE"""),"b")</f>
        <v>b</v>
      </c>
      <c r="O150" s="88">
        <f ca="1">IFERROR(__xludf.DUMMYFUNCTION("""COMPUTED_VALUE"""),83.2)</f>
        <v>83.2</v>
      </c>
      <c r="P150" s="85"/>
      <c r="Q150" s="75" t="b">
        <f ca="1">IFERROR(__xludf.DUMMYFUNCTION("""COMPUTED_VALUE"""),FALSE)</f>
        <v>0</v>
      </c>
      <c r="R150" s="75" t="b">
        <f ca="1">IFERROR(__xludf.DUMMYFUNCTION("""COMPUTED_VALUE"""),FALSE)</f>
        <v>0</v>
      </c>
      <c r="S150" s="75" t="b">
        <f ca="1">IFERROR(__xludf.DUMMYFUNCTION("""COMPUTED_VALUE"""),FALSE)</f>
        <v>0</v>
      </c>
      <c r="T150" s="75" t="b">
        <f ca="1">IFERROR(__xludf.DUMMYFUNCTION("""COMPUTED_VALUE"""),FALSE)</f>
        <v>0</v>
      </c>
      <c r="U150" s="86">
        <f ca="1">IFERROR(__xludf.DUMMYFUNCTION("""COMPUTED_VALUE"""),31)</f>
        <v>31</v>
      </c>
      <c r="V150" s="84"/>
      <c r="W150" s="87"/>
      <c r="X150" s="84"/>
      <c r="Y150" s="84" t="str">
        <f ca="1">IFERROR(__xludf.DUMMYFUNCTION("""COMPUTED_VALUE"""),"Fieldwork")</f>
        <v>Fieldwork</v>
      </c>
      <c r="Z150" s="66" t="s">
        <v>1944</v>
      </c>
    </row>
    <row r="151" spans="1:26" ht="15.75" customHeight="1">
      <c r="A151" s="83" t="str">
        <f ca="1">IFERROR(__xludf.DUMMYFUNCTION("""COMPUTED_VALUE"""),"N5NE")</f>
        <v>N5NE</v>
      </c>
      <c r="B151" s="84">
        <f ca="1">IFERROR(__xludf.DUMMYFUNCTION("""COMPUTED_VALUE"""),5)</f>
        <v>5</v>
      </c>
      <c r="C151" s="84" t="str">
        <f ca="1">IFERROR(__xludf.DUMMYFUNCTION("""COMPUTED_VALUE"""),"NE")</f>
        <v>NE</v>
      </c>
      <c r="D151" s="339">
        <f ca="1">IFERROR(__xludf.DUMMYFUNCTION("""COMPUTED_VALUE"""),2800)</f>
        <v>2800</v>
      </c>
      <c r="E151" s="84" t="str">
        <f ca="1">IFERROR(__xludf.DUMMYFUNCTION("""COMPUTED_VALUE"""),"3576018429T20050430")</f>
        <v>3576018429T20050430</v>
      </c>
      <c r="F151" s="84">
        <f ca="1">IFERROR(__xludf.DUMMYFUNCTION("""COMPUTED_VALUE"""),1108242144)</f>
        <v>1108242144</v>
      </c>
      <c r="G151" s="83" t="str">
        <f ca="1">IFERROR(__xludf.DUMMYFUNCTION("""COMPUTED_VALUE"""),"238 Nathan Road")</f>
        <v>238 Nathan Road</v>
      </c>
      <c r="H151" s="84"/>
      <c r="I151" s="84">
        <f ca="1">IFERROR(__xludf.DUMMYFUNCTION("""COMPUTED_VALUE"""),114.1719403)</f>
        <v>114.1719403</v>
      </c>
      <c r="J151" s="84">
        <f ca="1">IFERROR(__xludf.DUMMYFUNCTION("""COMPUTED_VALUE"""),22.30481452)</f>
        <v>22.304814520000001</v>
      </c>
      <c r="K151" s="88">
        <f ca="1">IFERROR(__xludf.DUMMYFUNCTION("""COMPUTED_VALUE"""),23.9)</f>
        <v>23.9</v>
      </c>
      <c r="L151" s="84" t="str">
        <f ca="1">IFERROR(__xludf.DUMMYFUNCTION("""COMPUTED_VALUE"""),"e")</f>
        <v>e</v>
      </c>
      <c r="M151" s="88">
        <f ca="1">IFERROR(__xludf.DUMMYFUNCTION("""COMPUTED_VALUE"""),87.099998)</f>
        <v>87.099997999999999</v>
      </c>
      <c r="N151" s="84" t="str">
        <f ca="1">IFERROR(__xludf.DUMMYFUNCTION("""COMPUTED_VALUE"""),"p")</f>
        <v>p</v>
      </c>
      <c r="O151" s="88">
        <f ca="1">IFERROR(__xludf.DUMMYFUNCTION("""COMPUTED_VALUE"""),63.199998)</f>
        <v>63.199998000000001</v>
      </c>
      <c r="P151" s="85"/>
      <c r="Q151" s="75" t="b">
        <f ca="1">IFERROR(__xludf.DUMMYFUNCTION("""COMPUTED_VALUE"""),FALSE)</f>
        <v>0</v>
      </c>
      <c r="R151" s="75" t="b">
        <f ca="1">IFERROR(__xludf.DUMMYFUNCTION("""COMPUTED_VALUE"""),FALSE)</f>
        <v>0</v>
      </c>
      <c r="S151" s="75" t="b">
        <f ca="1">IFERROR(__xludf.DUMMYFUNCTION("""COMPUTED_VALUE"""),TRUE)</f>
        <v>1</v>
      </c>
      <c r="T151" s="75"/>
      <c r="U151" s="86">
        <f ca="1">IFERROR(__xludf.DUMMYFUNCTION("""COMPUTED_VALUE"""),21)</f>
        <v>21</v>
      </c>
      <c r="V151" s="84">
        <f ca="1">IFERROR(__xludf.DUMMYFUNCTION("""COMPUTED_VALUE"""),0)</f>
        <v>0</v>
      </c>
      <c r="W151" s="87">
        <f ca="1">IFERROR(__xludf.DUMMYFUNCTION("""COMPUTED_VALUE"""),42)</f>
        <v>42</v>
      </c>
      <c r="X151" s="84">
        <f ca="1">IFERROR(__xludf.DUMMYFUNCTION("""COMPUTED_VALUE"""),1999)</f>
        <v>1999</v>
      </c>
      <c r="Y151" s="84" t="str">
        <f ca="1">IFERROR(__xludf.DUMMYFUNCTION("""COMPUTED_VALUE"""),"BMIS_auto")</f>
        <v>BMIS_auto</v>
      </c>
      <c r="Z151" s="66" t="s">
        <v>1946</v>
      </c>
    </row>
    <row r="152" spans="1:26" ht="15.75" customHeight="1">
      <c r="A152" s="83" t="str">
        <f ca="1">IFERROR(__xludf.DUMMYFUNCTION("""COMPUTED_VALUE"""),"N5SE")</f>
        <v>N5SE</v>
      </c>
      <c r="B152" s="84">
        <f ca="1">IFERROR(__xludf.DUMMYFUNCTION("""COMPUTED_VALUE"""),5)</f>
        <v>5</v>
      </c>
      <c r="C152" s="84" t="str">
        <f ca="1">IFERROR(__xludf.DUMMYFUNCTION("""COMPUTED_VALUE"""),"SE")</f>
        <v>SE</v>
      </c>
      <c r="D152" s="339">
        <f ca="1">IFERROR(__xludf.DUMMYFUNCTION("""COMPUTED_VALUE"""),2800)</f>
        <v>2800</v>
      </c>
      <c r="E152" s="84" t="str">
        <f ca="1">IFERROR(__xludf.DUMMYFUNCTION("""COMPUTED_VALUE"""),"3576218372T20050430")</f>
        <v>3576218372T20050430</v>
      </c>
      <c r="F152" s="84">
        <f ca="1">IFERROR(__xludf.DUMMYFUNCTION("""COMPUTED_VALUE"""),1108242261)</f>
        <v>1108242261</v>
      </c>
      <c r="G152" s="83" t="str">
        <f ca="1">IFERROR(__xludf.DUMMYFUNCTION("""COMPUTED_VALUE"""),"Prudential Centre")</f>
        <v>Prudential Centre</v>
      </c>
      <c r="H152" s="84" t="str">
        <f ca="1">IFERROR(__xludf.DUMMYFUNCTION("""COMPUTED_VALUE"""),"恆豐中心")</f>
        <v>恆豐中心</v>
      </c>
      <c r="I152" s="84">
        <f ca="1">IFERROR(__xludf.DUMMYFUNCTION("""COMPUTED_VALUE"""),114.1719781)</f>
        <v>114.1719781</v>
      </c>
      <c r="J152" s="84">
        <f ca="1">IFERROR(__xludf.DUMMYFUNCTION("""COMPUTED_VALUE"""),22.30433141)</f>
        <v>22.30433141</v>
      </c>
      <c r="K152" s="88">
        <f ca="1">IFERROR(__xludf.DUMMYFUNCTION("""COMPUTED_VALUE"""),25.799999)</f>
        <v>25.799999</v>
      </c>
      <c r="L152" s="84" t="str">
        <f ca="1">IFERROR(__xludf.DUMMYFUNCTION("""COMPUTED_VALUE"""),"e")</f>
        <v>e</v>
      </c>
      <c r="M152" s="88">
        <f ca="1">IFERROR(__xludf.DUMMYFUNCTION("""COMPUTED_VALUE"""),66)</f>
        <v>66</v>
      </c>
      <c r="N152" s="84" t="str">
        <f ca="1">IFERROR(__xludf.DUMMYFUNCTION("""COMPUTED_VALUE"""),"p")</f>
        <v>p</v>
      </c>
      <c r="O152" s="88">
        <f ca="1">IFERROR(__xludf.DUMMYFUNCTION("""COMPUTED_VALUE"""),40.200001)</f>
        <v>40.200001</v>
      </c>
      <c r="P152" s="85"/>
      <c r="Q152" s="75" t="b">
        <f ca="1">IFERROR(__xludf.DUMMYFUNCTION("""COMPUTED_VALUE"""),FALSE)</f>
        <v>0</v>
      </c>
      <c r="R152" s="75" t="b">
        <f ca="1">IFERROR(__xludf.DUMMYFUNCTION("""COMPUTED_VALUE"""),FALSE)</f>
        <v>0</v>
      </c>
      <c r="S152" s="75" t="b">
        <f ca="1">IFERROR(__xludf.DUMMYFUNCTION("""COMPUTED_VALUE"""),FALSE)</f>
        <v>0</v>
      </c>
      <c r="T152" s="75"/>
      <c r="U152" s="86">
        <f ca="1">IFERROR(__xludf.DUMMYFUNCTION("""COMPUTED_VALUE"""),22)</f>
        <v>22</v>
      </c>
      <c r="V152" s="84">
        <f ca="1">IFERROR(__xludf.DUMMYFUNCTION("""COMPUTED_VALUE"""),0)</f>
        <v>0</v>
      </c>
      <c r="W152" s="87">
        <f ca="1">IFERROR(__xludf.DUMMYFUNCTION("""COMPUTED_VALUE"""),88)</f>
        <v>88</v>
      </c>
      <c r="X152" s="84">
        <f ca="1">IFERROR(__xludf.DUMMYFUNCTION("""COMPUTED_VALUE"""),1982)</f>
        <v>1982</v>
      </c>
      <c r="Y152" s="84" t="str">
        <f ca="1">IFERROR(__xludf.DUMMYFUNCTION("""COMPUTED_VALUE"""),"BMIS")</f>
        <v>BMIS</v>
      </c>
      <c r="Z152" s="66" t="s">
        <v>1948</v>
      </c>
    </row>
    <row r="153" spans="1:26" ht="15.75" customHeight="1">
      <c r="A153" s="83" t="str">
        <f ca="1">IFERROR(__xludf.DUMMYFUNCTION("""COMPUTED_VALUE"""),"N5SW")</f>
        <v>N5SW</v>
      </c>
      <c r="B153" s="84">
        <f ca="1">IFERROR(__xludf.DUMMYFUNCTION("""COMPUTED_VALUE"""),5)</f>
        <v>5</v>
      </c>
      <c r="C153" s="84" t="str">
        <f ca="1">IFERROR(__xludf.DUMMYFUNCTION("""COMPUTED_VALUE"""),"SW")</f>
        <v>SW</v>
      </c>
      <c r="D153" s="339">
        <f ca="1">IFERROR(__xludf.DUMMYFUNCTION("""COMPUTED_VALUE"""),2800)</f>
        <v>2800</v>
      </c>
      <c r="E153" s="84" t="str">
        <f ca="1">IFERROR(__xludf.DUMMYFUNCTION("""COMPUTED_VALUE"""),"3571218360T20050430")</f>
        <v>3571218360T20050430</v>
      </c>
      <c r="F153" s="84">
        <f ca="1">IFERROR(__xludf.DUMMYFUNCTION("""COMPUTED_VALUE"""),1108242382)</f>
        <v>1108242382</v>
      </c>
      <c r="G153" s="83" t="str">
        <f ca="1">IFERROR(__xludf.DUMMYFUNCTION("""COMPUTED_VALUE"""),"Shamrock Hotel")</f>
        <v>Shamrock Hotel</v>
      </c>
      <c r="H153" s="84" t="str">
        <f ca="1">IFERROR(__xludf.DUMMYFUNCTION("""COMPUTED_VALUE"""),"新樂酒店")</f>
        <v>新樂酒店</v>
      </c>
      <c r="I153" s="84">
        <f ca="1">IFERROR(__xludf.DUMMYFUNCTION("""COMPUTED_VALUE"""),114.171439)</f>
        <v>114.17143900000001</v>
      </c>
      <c r="J153" s="84">
        <f ca="1">IFERROR(__xludf.DUMMYFUNCTION("""COMPUTED_VALUE"""),22.30412979)</f>
        <v>22.304129790000001</v>
      </c>
      <c r="K153" s="88">
        <f ca="1">IFERROR(__xludf.DUMMYFUNCTION("""COMPUTED_VALUE"""),9.5)</f>
        <v>9.5</v>
      </c>
      <c r="L153" s="84" t="str">
        <f ca="1">IFERROR(__xludf.DUMMYFUNCTION("""COMPUTED_VALUE"""),"l")</f>
        <v>l</v>
      </c>
      <c r="M153" s="88">
        <f ca="1">IFERROR(__xludf.DUMMYFUNCTION("""COMPUTED_VALUE"""),48.799999)</f>
        <v>48.799999</v>
      </c>
      <c r="N153" s="84" t="str">
        <f ca="1">IFERROR(__xludf.DUMMYFUNCTION("""COMPUTED_VALUE"""),"p")</f>
        <v>p</v>
      </c>
      <c r="O153" s="88">
        <f ca="1">IFERROR(__xludf.DUMMYFUNCTION("""COMPUTED_VALUE"""),39.299999)</f>
        <v>39.299999</v>
      </c>
      <c r="P153" s="85"/>
      <c r="Q153" s="75" t="b">
        <f ca="1">IFERROR(__xludf.DUMMYFUNCTION("""COMPUTED_VALUE"""),FALSE)</f>
        <v>0</v>
      </c>
      <c r="R153" s="75" t="b">
        <f ca="1">IFERROR(__xludf.DUMMYFUNCTION("""COMPUTED_VALUE"""),FALSE)</f>
        <v>0</v>
      </c>
      <c r="S153" s="75" t="b">
        <f ca="1">IFERROR(__xludf.DUMMYFUNCTION("""COMPUTED_VALUE"""),FALSE)</f>
        <v>0</v>
      </c>
      <c r="T153" s="75"/>
      <c r="U153" s="86">
        <f ca="1">IFERROR(__xludf.DUMMYFUNCTION("""COMPUTED_VALUE"""),10)</f>
        <v>10</v>
      </c>
      <c r="V153" s="84"/>
      <c r="W153" s="87"/>
      <c r="X153" s="84"/>
      <c r="Y153" s="84" t="str">
        <f ca="1">IFERROR(__xludf.DUMMYFUNCTION("""COMPUTED_VALUE"""),"Google Earth")</f>
        <v>Google Earth</v>
      </c>
      <c r="Z153" s="66" t="s">
        <v>1950</v>
      </c>
    </row>
    <row r="154" spans="1:26" ht="15.75" customHeight="1">
      <c r="A154" s="83" t="str">
        <f ca="1">IFERROR(__xludf.DUMMYFUNCTION("""COMPUTED_VALUE"""),"N5NW")</f>
        <v>N5NW</v>
      </c>
      <c r="B154" s="84">
        <f ca="1">IFERROR(__xludf.DUMMYFUNCTION("""COMPUTED_VALUE"""),5)</f>
        <v>5</v>
      </c>
      <c r="C154" s="84" t="str">
        <f ca="1">IFERROR(__xludf.DUMMYFUNCTION("""COMPUTED_VALUE"""),"NW")</f>
        <v>NW</v>
      </c>
      <c r="D154" s="339">
        <f ca="1">IFERROR(__xludf.DUMMYFUNCTION("""COMPUTED_VALUE"""),2800)</f>
        <v>2800</v>
      </c>
      <c r="E154" s="84" t="str">
        <f ca="1">IFERROR(__xludf.DUMMYFUNCTION("""COMPUTED_VALUE"""),"3570518390T20111115")</f>
        <v>3570518390T20111115</v>
      </c>
      <c r="F154" s="84">
        <f ca="1">IFERROR(__xludf.DUMMYFUNCTION("""COMPUTED_VALUE"""),1108242315)</f>
        <v>1108242315</v>
      </c>
      <c r="G154" s="83" t="str">
        <f ca="1">IFERROR(__xludf.DUMMYFUNCTION("""COMPUTED_VALUE"""),"Pearl Oriental Tower")</f>
        <v>Pearl Oriental Tower</v>
      </c>
      <c r="H154" s="84" t="str">
        <f ca="1">IFERROR(__xludf.DUMMYFUNCTION("""COMPUTED_VALUE"""),"明珠廣場")</f>
        <v>明珠廣場</v>
      </c>
      <c r="I154" s="84">
        <f ca="1">IFERROR(__xludf.DUMMYFUNCTION("""COMPUTED_VALUE"""),114.1713733)</f>
        <v>114.1713733</v>
      </c>
      <c r="J154" s="84">
        <f ca="1">IFERROR(__xludf.DUMMYFUNCTION("""COMPUTED_VALUE"""),22.30446197)</f>
        <v>22.304461969999998</v>
      </c>
      <c r="K154" s="88">
        <f ca="1">IFERROR(__xludf.DUMMYFUNCTION("""COMPUTED_VALUE"""),24.700001)</f>
        <v>24.700001</v>
      </c>
      <c r="L154" s="84" t="str">
        <f ca="1">IFERROR(__xludf.DUMMYFUNCTION("""COMPUTED_VALUE"""),"b")</f>
        <v>b</v>
      </c>
      <c r="M154" s="88">
        <f ca="1">IFERROR(__xludf.DUMMYFUNCTION("""COMPUTED_VALUE"""),79)</f>
        <v>79</v>
      </c>
      <c r="N154" s="84" t="str">
        <f ca="1">IFERROR(__xludf.DUMMYFUNCTION("""COMPUTED_VALUE"""),"p")</f>
        <v>p</v>
      </c>
      <c r="O154" s="88">
        <f ca="1">IFERROR(__xludf.DUMMYFUNCTION("""COMPUTED_VALUE"""),54.299999)</f>
        <v>54.299999</v>
      </c>
      <c r="P154" s="85"/>
      <c r="Q154" s="75" t="b">
        <f ca="1">IFERROR(__xludf.DUMMYFUNCTION("""COMPUTED_VALUE"""),FALSE)</f>
        <v>0</v>
      </c>
      <c r="R154" s="75" t="b">
        <f ca="1">IFERROR(__xludf.DUMMYFUNCTION("""COMPUTED_VALUE"""),FALSE)</f>
        <v>0</v>
      </c>
      <c r="S154" s="75" t="b">
        <f ca="1">IFERROR(__xludf.DUMMYFUNCTION("""COMPUTED_VALUE"""),FALSE)</f>
        <v>0</v>
      </c>
      <c r="T154" s="75"/>
      <c r="U154" s="86">
        <f ca="1">IFERROR(__xludf.DUMMYFUNCTION("""COMPUTED_VALUE"""),18)</f>
        <v>18</v>
      </c>
      <c r="V154" s="84">
        <f ca="1">IFERROR(__xludf.DUMMYFUNCTION("""COMPUTED_VALUE"""),0)</f>
        <v>0</v>
      </c>
      <c r="W154" s="87">
        <f ca="1">IFERROR(__xludf.DUMMYFUNCTION("""COMPUTED_VALUE"""),18)</f>
        <v>18</v>
      </c>
      <c r="X154" s="84">
        <f ca="1">IFERROR(__xludf.DUMMYFUNCTION("""COMPUTED_VALUE"""),1993)</f>
        <v>1993</v>
      </c>
      <c r="Y154" s="84" t="str">
        <f ca="1">IFERROR(__xludf.DUMMYFUNCTION("""COMPUTED_VALUE"""),"BMIS_auto")</f>
        <v>BMIS_auto</v>
      </c>
      <c r="Z154" s="66" t="s">
        <v>1952</v>
      </c>
    </row>
    <row r="155" spans="1:26" ht="15.75" customHeight="1">
      <c r="A155" s="83" t="str">
        <f ca="1">IFERROR(__xludf.DUMMYFUNCTION("""COMPUTED_VALUE"""),"E13NE")</f>
        <v>E13NE</v>
      </c>
      <c r="B155" s="84">
        <f ca="1">IFERROR(__xludf.DUMMYFUNCTION("""COMPUTED_VALUE"""),13)</f>
        <v>13</v>
      </c>
      <c r="C155" s="84" t="str">
        <f ca="1">IFERROR(__xludf.DUMMYFUNCTION("""COMPUTED_VALUE"""),"NE")</f>
        <v>NE</v>
      </c>
      <c r="D155" s="339">
        <f ca="1">IFERROR(__xludf.DUMMYFUNCTION("""COMPUTED_VALUE"""),2800)</f>
        <v>2800</v>
      </c>
      <c r="E155" s="84" t="str">
        <f ca="1">IFERROR(__xludf.DUMMYFUNCTION("""COMPUTED_VALUE"""),"3647915504T20050430")</f>
        <v>3647915504T20050430</v>
      </c>
      <c r="F155" s="84">
        <f ca="1">IFERROR(__xludf.DUMMYFUNCTION("""COMPUTED_VALUE"""),1103128154)</f>
        <v>1103128154</v>
      </c>
      <c r="G155" s="83" t="str">
        <f ca="1">IFERROR(__xludf.DUMMYFUNCTION("""COMPUTED_VALUE"""),"Kuo Wah Building")</f>
        <v>Kuo Wah Building</v>
      </c>
      <c r="H155" s="84" t="str">
        <f ca="1">IFERROR(__xludf.DUMMYFUNCTION("""COMPUTED_VALUE"""),"國華大樓")</f>
        <v>國華大樓</v>
      </c>
      <c r="I155" s="84">
        <f ca="1">IFERROR(__xludf.DUMMYFUNCTION("""COMPUTED_VALUE"""),114.1789903)</f>
        <v>114.1789903</v>
      </c>
      <c r="J155" s="84">
        <f ca="1">IFERROR(__xludf.DUMMYFUNCTION("""COMPUTED_VALUE"""),22.27833304)</f>
        <v>22.27833304</v>
      </c>
      <c r="K155" s="88">
        <f ca="1">IFERROR(__xludf.DUMMYFUNCTION("""COMPUTED_VALUE"""),3.8)</f>
        <v>3.8</v>
      </c>
      <c r="L155" s="84" t="str">
        <f ca="1">IFERROR(__xludf.DUMMYFUNCTION("""COMPUTED_VALUE"""),"l")</f>
        <v>l</v>
      </c>
      <c r="M155" s="88">
        <f ca="1">IFERROR(__xludf.DUMMYFUNCTION("""COMPUTED_VALUE"""),57)</f>
        <v>57</v>
      </c>
      <c r="N155" s="84" t="str">
        <f ca="1">IFERROR(__xludf.DUMMYFUNCTION("""COMPUTED_VALUE"""),"p")</f>
        <v>p</v>
      </c>
      <c r="O155" s="88">
        <f ca="1">IFERROR(__xludf.DUMMYFUNCTION("""COMPUTED_VALUE"""),53.2)</f>
        <v>53.2</v>
      </c>
      <c r="P155" s="85"/>
      <c r="Q155" s="75" t="b">
        <f ca="1">IFERROR(__xludf.DUMMYFUNCTION("""COMPUTED_VALUE"""),FALSE)</f>
        <v>0</v>
      </c>
      <c r="R155" s="75" t="b">
        <f ca="1">IFERROR(__xludf.DUMMYFUNCTION("""COMPUTED_VALUE"""),FALSE)</f>
        <v>0</v>
      </c>
      <c r="S155" s="75" t="b">
        <f ca="1">IFERROR(__xludf.DUMMYFUNCTION("""COMPUTED_VALUE"""),FALSE)</f>
        <v>0</v>
      </c>
      <c r="T155" s="75" t="b">
        <f ca="1">IFERROR(__xludf.DUMMYFUNCTION("""COMPUTED_VALUE"""),FALSE)</f>
        <v>0</v>
      </c>
      <c r="U155" s="86">
        <f ca="1">IFERROR(__xludf.DUMMYFUNCTION("""COMPUTED_VALUE"""),16)</f>
        <v>16</v>
      </c>
      <c r="V155" s="84">
        <f ca="1">IFERROR(__xludf.DUMMYFUNCTION("""COMPUTED_VALUE"""),0)</f>
        <v>0</v>
      </c>
      <c r="W155" s="87">
        <f ca="1">IFERROR(__xludf.DUMMYFUNCTION("""COMPUTED_VALUE"""),16)</f>
        <v>16</v>
      </c>
      <c r="X155" s="84">
        <f ca="1">IFERROR(__xludf.DUMMYFUNCTION("""COMPUTED_VALUE"""),1962)</f>
        <v>1962</v>
      </c>
      <c r="Y155" s="84" t="str">
        <f ca="1">IFERROR(__xludf.DUMMYFUNCTION("""COMPUTED_VALUE"""),"BMIS_auto")</f>
        <v>BMIS_auto</v>
      </c>
      <c r="Z155" s="66" t="s">
        <v>1954</v>
      </c>
    </row>
    <row r="156" spans="1:26" ht="15.75" customHeight="1">
      <c r="A156" s="83" t="str">
        <f ca="1">IFERROR(__xludf.DUMMYFUNCTION("""COMPUTED_VALUE"""),"E13SE")</f>
        <v>E13SE</v>
      </c>
      <c r="B156" s="84">
        <f ca="1">IFERROR(__xludf.DUMMYFUNCTION("""COMPUTED_VALUE"""),13)</f>
        <v>13</v>
      </c>
      <c r="C156" s="84" t="str">
        <f ca="1">IFERROR(__xludf.DUMMYFUNCTION("""COMPUTED_VALUE"""),"SE")</f>
        <v>SE</v>
      </c>
      <c r="D156" s="339">
        <f ca="1">IFERROR(__xludf.DUMMYFUNCTION("""COMPUTED_VALUE"""),2800)</f>
        <v>2800</v>
      </c>
      <c r="E156" s="84" t="str">
        <f ca="1">IFERROR(__xludf.DUMMYFUNCTION("""COMPUTED_VALUE"""),"3641615485T20050430")</f>
        <v>3641615485T20050430</v>
      </c>
      <c r="F156" s="84">
        <f ca="1">IFERROR(__xludf.DUMMYFUNCTION("""COMPUTED_VALUE"""),1103128290)</f>
        <v>1103128290</v>
      </c>
      <c r="G156" s="83" t="str">
        <f ca="1">IFERROR(__xludf.DUMMYFUNCTION("""COMPUTED_VALUE"""),"W Square")</f>
        <v>W Square</v>
      </c>
      <c r="H156" s="84"/>
      <c r="I156" s="84">
        <f ca="1">IFERROR(__xludf.DUMMYFUNCTION("""COMPUTED_VALUE"""),114.1783751)</f>
        <v>114.1783751</v>
      </c>
      <c r="J156" s="84">
        <f ca="1">IFERROR(__xludf.DUMMYFUNCTION("""COMPUTED_VALUE"""),22.27815417)</f>
        <v>22.278154170000001</v>
      </c>
      <c r="K156" s="88">
        <f ca="1">IFERROR(__xludf.DUMMYFUNCTION("""COMPUTED_VALUE"""),19.8)</f>
        <v>19.8</v>
      </c>
      <c r="L156" s="84" t="str">
        <f ca="1">IFERROR(__xludf.DUMMYFUNCTION("""COMPUTED_VALUE"""),"p")</f>
        <v>p</v>
      </c>
      <c r="M156" s="88">
        <f ca="1">IFERROR(__xludf.DUMMYFUNCTION("""COMPUTED_VALUE"""),94.2)</f>
        <v>94.2</v>
      </c>
      <c r="N156" s="84" t="str">
        <f ca="1">IFERROR(__xludf.DUMMYFUNCTION("""COMPUTED_VALUE"""),"3")</f>
        <v>3</v>
      </c>
      <c r="O156" s="88">
        <f ca="1">IFERROR(__xludf.DUMMYFUNCTION("""COMPUTED_VALUE"""),74.4)</f>
        <v>74.400000000000006</v>
      </c>
      <c r="P156" s="85"/>
      <c r="Q156" s="75" t="b">
        <f ca="1">IFERROR(__xludf.DUMMYFUNCTION("""COMPUTED_VALUE"""),FALSE)</f>
        <v>0</v>
      </c>
      <c r="R156" s="75" t="b">
        <f ca="1">IFERROR(__xludf.DUMMYFUNCTION("""COMPUTED_VALUE"""),FALSE)</f>
        <v>0</v>
      </c>
      <c r="S156" s="75" t="b">
        <f ca="1">IFERROR(__xludf.DUMMYFUNCTION("""COMPUTED_VALUE"""),FALSE)</f>
        <v>0</v>
      </c>
      <c r="T156" s="75" t="b">
        <f ca="1">IFERROR(__xludf.DUMMYFUNCTION("""COMPUTED_VALUE"""),FALSE)</f>
        <v>0</v>
      </c>
      <c r="U156" s="86">
        <f ca="1">IFERROR(__xludf.DUMMYFUNCTION("""COMPUTED_VALUE"""),23)</f>
        <v>23</v>
      </c>
      <c r="V156" s="84">
        <f ca="1">IFERROR(__xludf.DUMMYFUNCTION("""COMPUTED_VALUE"""),0)</f>
        <v>0</v>
      </c>
      <c r="W156" s="87">
        <f ca="1">IFERROR(__xludf.DUMMYFUNCTION("""COMPUTED_VALUE"""),23)</f>
        <v>23</v>
      </c>
      <c r="X156" s="84">
        <f ca="1">IFERROR(__xludf.DUMMYFUNCTION("""COMPUTED_VALUE"""),1978)</f>
        <v>1978</v>
      </c>
      <c r="Y156" s="84" t="str">
        <f ca="1">IFERROR(__xludf.DUMMYFUNCTION("""COMPUTED_VALUE"""),"BMIS_auto")</f>
        <v>BMIS_auto</v>
      </c>
      <c r="Z156" s="66" t="s">
        <v>1956</v>
      </c>
    </row>
    <row r="157" spans="1:26" ht="15.75" customHeight="1">
      <c r="A157" s="83" t="str">
        <f ca="1">IFERROR(__xludf.DUMMYFUNCTION("""COMPUTED_VALUE"""),"E13SW")</f>
        <v>E13SW</v>
      </c>
      <c r="B157" s="84">
        <f ca="1">IFERROR(__xludf.DUMMYFUNCTION("""COMPUTED_VALUE"""),13)</f>
        <v>13</v>
      </c>
      <c r="C157" s="84" t="str">
        <f ca="1">IFERROR(__xludf.DUMMYFUNCTION("""COMPUTED_VALUE"""),"SW")</f>
        <v>SW</v>
      </c>
      <c r="D157" s="339">
        <f ca="1">IFERROR(__xludf.DUMMYFUNCTION("""COMPUTED_VALUE"""),2800)</f>
        <v>2800</v>
      </c>
      <c r="E157" s="84" t="str">
        <f ca="1">IFERROR(__xludf.DUMMYFUNCTION("""COMPUTED_VALUE"""),"3642315523T20050430")</f>
        <v>3642315523T20050430</v>
      </c>
      <c r="F157" s="84">
        <f ca="1">IFERROR(__xludf.DUMMYFUNCTION("""COMPUTED_VALUE"""),1109346356)</f>
        <v>1109346356</v>
      </c>
      <c r="G157" s="83" t="str">
        <f ca="1">IFERROR(__xludf.DUMMYFUNCTION("""COMPUTED_VALUE"""),"Yick Wah Building")</f>
        <v>Yick Wah Building</v>
      </c>
      <c r="H157" s="84" t="str">
        <f ca="1">IFERROR(__xludf.DUMMYFUNCTION("""COMPUTED_VALUE"""),"益華大廈")</f>
        <v>益華大廈</v>
      </c>
      <c r="I157" s="84">
        <f ca="1">IFERROR(__xludf.DUMMYFUNCTION("""COMPUTED_VALUE"""),114.1783821)</f>
        <v>114.17838209999999</v>
      </c>
      <c r="J157" s="84">
        <f ca="1">IFERROR(__xludf.DUMMYFUNCTION("""COMPUTED_VALUE"""),22.27862226)</f>
        <v>22.278622259999999</v>
      </c>
      <c r="K157" s="88">
        <f ca="1">IFERROR(__xludf.DUMMYFUNCTION("""COMPUTED_VALUE"""),3.8)</f>
        <v>3.8</v>
      </c>
      <c r="L157" s="84" t="str">
        <f ca="1">IFERROR(__xludf.DUMMYFUNCTION("""COMPUTED_VALUE"""),"l")</f>
        <v>l</v>
      </c>
      <c r="M157" s="88">
        <f ca="1">IFERROR(__xludf.DUMMYFUNCTION("""COMPUTED_VALUE"""),42.8)</f>
        <v>42.8</v>
      </c>
      <c r="N157" s="84" t="str">
        <f ca="1">IFERROR(__xludf.DUMMYFUNCTION("""COMPUTED_VALUE"""),"t")</f>
        <v>t</v>
      </c>
      <c r="O157" s="88">
        <f ca="1">IFERROR(__xludf.DUMMYFUNCTION("""COMPUTED_VALUE"""),39)</f>
        <v>39</v>
      </c>
      <c r="P157" s="85"/>
      <c r="Q157" s="75" t="b">
        <f ca="1">IFERROR(__xludf.DUMMYFUNCTION("""COMPUTED_VALUE"""),FALSE)</f>
        <v>0</v>
      </c>
      <c r="R157" s="75" t="b">
        <f ca="1">IFERROR(__xludf.DUMMYFUNCTION("""COMPUTED_VALUE"""),FALSE)</f>
        <v>0</v>
      </c>
      <c r="S157" s="75" t="b">
        <f ca="1">IFERROR(__xludf.DUMMYFUNCTION("""COMPUTED_VALUE"""),FALSE)</f>
        <v>0</v>
      </c>
      <c r="T157" s="75" t="b">
        <f ca="1">IFERROR(__xludf.DUMMYFUNCTION("""COMPUTED_VALUE"""),FALSE)</f>
        <v>0</v>
      </c>
      <c r="U157" s="86">
        <f ca="1">IFERROR(__xludf.DUMMYFUNCTION("""COMPUTED_VALUE"""),12)</f>
        <v>12</v>
      </c>
      <c r="V157" s="84">
        <f ca="1">IFERROR(__xludf.DUMMYFUNCTION("""COMPUTED_VALUE"""),0)</f>
        <v>0</v>
      </c>
      <c r="W157" s="87">
        <f ca="1">IFERROR(__xludf.DUMMYFUNCTION("""COMPUTED_VALUE"""),39)</f>
        <v>39</v>
      </c>
      <c r="X157" s="84">
        <f ca="1">IFERROR(__xludf.DUMMYFUNCTION("""COMPUTED_VALUE"""),1965)</f>
        <v>1965</v>
      </c>
      <c r="Y157" s="84" t="str">
        <f ca="1">IFERROR(__xludf.DUMMYFUNCTION("""COMPUTED_VALUE"""),"BMIS_auto")</f>
        <v>BMIS_auto</v>
      </c>
      <c r="Z157" s="66" t="s">
        <v>1958</v>
      </c>
    </row>
    <row r="158" spans="1:26" ht="15.75" customHeight="1">
      <c r="A158" s="83" t="str">
        <f ca="1">IFERROR(__xludf.DUMMYFUNCTION("""COMPUTED_VALUE"""),"E13NW")</f>
        <v>E13NW</v>
      </c>
      <c r="B158" s="84">
        <f ca="1">IFERROR(__xludf.DUMMYFUNCTION("""COMPUTED_VALUE"""),13)</f>
        <v>13</v>
      </c>
      <c r="C158" s="84" t="str">
        <f ca="1">IFERROR(__xludf.DUMMYFUNCTION("""COMPUTED_VALUE"""),"NW")</f>
        <v>NW</v>
      </c>
      <c r="D158" s="339">
        <f ca="1">IFERROR(__xludf.DUMMYFUNCTION("""COMPUTED_VALUE"""),2800)</f>
        <v>2800</v>
      </c>
      <c r="E158" s="84" t="str">
        <f ca="1">IFERROR(__xludf.DUMMYFUNCTION("""COMPUTED_VALUE"""),"3646715537T20050430")</f>
        <v>3646715537T20050430</v>
      </c>
      <c r="F158" s="84">
        <f ca="1">IFERROR(__xludf.DUMMYFUNCTION("""COMPUTED_VALUE"""),1109346361)</f>
        <v>1109346361</v>
      </c>
      <c r="G158" s="83" t="str">
        <f ca="1">IFERROR(__xludf.DUMMYFUNCTION("""COMPUTED_VALUE"""),"Luen Wo Building")</f>
        <v>Luen Wo Building</v>
      </c>
      <c r="H158" s="84" t="str">
        <f ca="1">IFERROR(__xludf.DUMMYFUNCTION("""COMPUTED_VALUE"""),"聯和大廈")</f>
        <v>聯和大廈</v>
      </c>
      <c r="I158" s="84">
        <f ca="1">IFERROR(__xludf.DUMMYFUNCTION("""COMPUTED_VALUE"""),114.1787936)</f>
        <v>114.17879360000001</v>
      </c>
      <c r="J158" s="84">
        <f ca="1">IFERROR(__xludf.DUMMYFUNCTION("""COMPUTED_VALUE"""),22.27874315)</f>
        <v>22.27874315</v>
      </c>
      <c r="K158" s="88">
        <f ca="1">IFERROR(__xludf.DUMMYFUNCTION("""COMPUTED_VALUE"""),3.8)</f>
        <v>3.8</v>
      </c>
      <c r="L158" s="84" t="str">
        <f ca="1">IFERROR(__xludf.DUMMYFUNCTION("""COMPUTED_VALUE"""),"l")</f>
        <v>l</v>
      </c>
      <c r="M158" s="88">
        <f ca="1">IFERROR(__xludf.DUMMYFUNCTION("""COMPUTED_VALUE"""),44.2)</f>
        <v>44.2</v>
      </c>
      <c r="N158" s="84" t="str">
        <f ca="1">IFERROR(__xludf.DUMMYFUNCTION("""COMPUTED_VALUE"""),"p")</f>
        <v>p</v>
      </c>
      <c r="O158" s="88">
        <f ca="1">IFERROR(__xludf.DUMMYFUNCTION("""COMPUTED_VALUE"""),40.4)</f>
        <v>40.4</v>
      </c>
      <c r="P158" s="85"/>
      <c r="Q158" s="75" t="b">
        <f ca="1">IFERROR(__xludf.DUMMYFUNCTION("""COMPUTED_VALUE"""),FALSE)</f>
        <v>0</v>
      </c>
      <c r="R158" s="75" t="b">
        <f ca="1">IFERROR(__xludf.DUMMYFUNCTION("""COMPUTED_VALUE"""),FALSE)</f>
        <v>0</v>
      </c>
      <c r="S158" s="75" t="b">
        <f ca="1">IFERROR(__xludf.DUMMYFUNCTION("""COMPUTED_VALUE"""),FALSE)</f>
        <v>0</v>
      </c>
      <c r="T158" s="75" t="b">
        <f ca="1">IFERROR(__xludf.DUMMYFUNCTION("""COMPUTED_VALUE"""),FALSE)</f>
        <v>0</v>
      </c>
      <c r="U158" s="86">
        <f ca="1">IFERROR(__xludf.DUMMYFUNCTION("""COMPUTED_VALUE"""),12)</f>
        <v>12</v>
      </c>
      <c r="V158" s="84">
        <f ca="1">IFERROR(__xludf.DUMMYFUNCTION("""COMPUTED_VALUE"""),0)</f>
        <v>0</v>
      </c>
      <c r="W158" s="87">
        <f ca="1">IFERROR(__xludf.DUMMYFUNCTION("""COMPUTED_VALUE"""),22)</f>
        <v>22</v>
      </c>
      <c r="X158" s="84">
        <f ca="1">IFERROR(__xludf.DUMMYFUNCTION("""COMPUTED_VALUE"""),1967)</f>
        <v>1967</v>
      </c>
      <c r="Y158" s="84" t="str">
        <f ca="1">IFERROR(__xludf.DUMMYFUNCTION("""COMPUTED_VALUE"""),"BMIS_auto")</f>
        <v>BMIS_auto</v>
      </c>
      <c r="Z158" s="66" t="s">
        <v>1960</v>
      </c>
    </row>
    <row r="159" spans="1:26" ht="15.75" customHeight="1">
      <c r="A159" s="83" t="str">
        <f ca="1">IFERROR(__xludf.DUMMYFUNCTION("""COMPUTED_VALUE"""),"W13NE")</f>
        <v>W13NE</v>
      </c>
      <c r="B159" s="84">
        <f ca="1">IFERROR(__xludf.DUMMYFUNCTION("""COMPUTED_VALUE"""),13)</f>
        <v>13</v>
      </c>
      <c r="C159" s="84" t="str">
        <f ca="1">IFERROR(__xludf.DUMMYFUNCTION("""COMPUTED_VALUE"""),"NE")</f>
        <v>NE</v>
      </c>
      <c r="D159" s="339">
        <f ca="1">IFERROR(__xludf.DUMMYFUNCTION("""COMPUTED_VALUE"""),2800)</f>
        <v>2800</v>
      </c>
      <c r="E159" s="84" t="str">
        <f ca="1">IFERROR(__xludf.DUMMYFUNCTION("""COMPUTED_VALUE"""),"3225316505T20050430")</f>
        <v>3225316505T20050430</v>
      </c>
      <c r="F159" s="84">
        <f ca="1">IFERROR(__xludf.DUMMYFUNCTION("""COMPUTED_VALUE"""),1103121272)</f>
        <v>1103121272</v>
      </c>
      <c r="G159" s="83" t="str">
        <f ca="1">IFERROR(__xludf.DUMMYFUNCTION("""COMPUTED_VALUE"""),"Kwan Yick Building Phase II Block B")</f>
        <v>Kwan Yick Building Phase II Block B</v>
      </c>
      <c r="H159" s="84" t="str">
        <f ca="1">IFERROR(__xludf.DUMMYFUNCTION("""COMPUTED_VALUE"""),"均益大廈第二期Ｂ座")</f>
        <v>均益大廈第二期Ｂ座</v>
      </c>
      <c r="I159" s="84">
        <f ca="1">IFERROR(__xludf.DUMMYFUNCTION("""COMPUTED_VALUE"""),114.1378749)</f>
        <v>114.1378749</v>
      </c>
      <c r="J159" s="84">
        <f ca="1">IFERROR(__xludf.DUMMYFUNCTION("""COMPUTED_VALUE"""),22.28753766)</f>
        <v>22.287537660000002</v>
      </c>
      <c r="K159" s="88">
        <f ca="1">IFERROR(__xludf.DUMMYFUNCTION("""COMPUTED_VALUE"""),9.8)</f>
        <v>9.8000000000000007</v>
      </c>
      <c r="L159" s="84" t="str">
        <f ca="1">IFERROR(__xludf.DUMMYFUNCTION("""COMPUTED_VALUE"""),"p")</f>
        <v>p</v>
      </c>
      <c r="M159" s="88">
        <f ca="1">IFERROR(__xludf.DUMMYFUNCTION("""COMPUTED_VALUE"""),80.2)</f>
        <v>80.2</v>
      </c>
      <c r="N159" s="84" t="str">
        <f ca="1">IFERROR(__xludf.DUMMYFUNCTION("""COMPUTED_VALUE"""),"t")</f>
        <v>t</v>
      </c>
      <c r="O159" s="88">
        <f ca="1">IFERROR(__xludf.DUMMYFUNCTION("""COMPUTED_VALUE"""),70.4)</f>
        <v>70.400000000000006</v>
      </c>
      <c r="P159" s="85"/>
      <c r="Q159" s="75" t="b">
        <f ca="1">IFERROR(__xludf.DUMMYFUNCTION("""COMPUTED_VALUE"""),FALSE)</f>
        <v>0</v>
      </c>
      <c r="R159" s="75" t="b">
        <f ca="1">IFERROR(__xludf.DUMMYFUNCTION("""COMPUTED_VALUE"""),FALSE)</f>
        <v>0</v>
      </c>
      <c r="S159" s="75" t="b">
        <f ca="1">IFERROR(__xludf.DUMMYFUNCTION("""COMPUTED_VALUE"""),FALSE)</f>
        <v>0</v>
      </c>
      <c r="T159" s="75" t="b">
        <f ca="1">IFERROR(__xludf.DUMMYFUNCTION("""COMPUTED_VALUE"""),FALSE)</f>
        <v>0</v>
      </c>
      <c r="U159" s="86">
        <f ca="1">IFERROR(__xludf.DUMMYFUNCTION("""COMPUTED_VALUE"""),24)</f>
        <v>24</v>
      </c>
      <c r="V159" s="84"/>
      <c r="W159" s="87"/>
      <c r="X159" s="84"/>
      <c r="Y159" s="84" t="str">
        <f ca="1">IFERROR(__xludf.DUMMYFUNCTION("""COMPUTED_VALUE"""),"Fieldwork")</f>
        <v>Fieldwork</v>
      </c>
      <c r="Z159" s="66" t="s">
        <v>1961</v>
      </c>
    </row>
    <row r="160" spans="1:26" ht="15.75" customHeight="1">
      <c r="A160" s="83" t="str">
        <f ca="1">IFERROR(__xludf.DUMMYFUNCTION("""COMPUTED_VALUE"""),"W13SE")</f>
        <v>W13SE</v>
      </c>
      <c r="B160" s="84">
        <f ca="1">IFERROR(__xludf.DUMMYFUNCTION("""COMPUTED_VALUE"""),13)</f>
        <v>13</v>
      </c>
      <c r="C160" s="84" t="str">
        <f ca="1">IFERROR(__xludf.DUMMYFUNCTION("""COMPUTED_VALUE"""),"SE")</f>
        <v>SE</v>
      </c>
      <c r="D160" s="339">
        <f ca="1">IFERROR(__xludf.DUMMYFUNCTION("""COMPUTED_VALUE"""),2800)</f>
        <v>2800</v>
      </c>
      <c r="E160" s="84" t="str">
        <f ca="1">IFERROR(__xludf.DUMMYFUNCTION("""COMPUTED_VALUE"""),"3223316459T20050430")</f>
        <v>3223316459T20050430</v>
      </c>
      <c r="F160" s="84">
        <f ca="1">IFERROR(__xludf.DUMMYFUNCTION("""COMPUTED_VALUE"""),1103121646)</f>
        <v>1103121646</v>
      </c>
      <c r="G160" s="83" t="str">
        <f ca="1">IFERROR(__xludf.DUMMYFUNCTION("""COMPUTED_VALUE"""),"Chung Ah Building")</f>
        <v>Chung Ah Building</v>
      </c>
      <c r="H160" s="84" t="str">
        <f ca="1">IFERROR(__xludf.DUMMYFUNCTION("""COMPUTED_VALUE"""),"中亞大樓")</f>
        <v>中亞大樓</v>
      </c>
      <c r="I160" s="84">
        <f ca="1">IFERROR(__xludf.DUMMYFUNCTION("""COMPUTED_VALUE"""),114.137775)</f>
        <v>114.137775</v>
      </c>
      <c r="J160" s="84">
        <f ca="1">IFERROR(__xludf.DUMMYFUNCTION("""COMPUTED_VALUE"""),22.28698982)</f>
        <v>22.286989819999999</v>
      </c>
      <c r="K160" s="88">
        <f ca="1">IFERROR(__xludf.DUMMYFUNCTION("""COMPUTED_VALUE"""),4)</f>
        <v>4</v>
      </c>
      <c r="L160" s="84" t="str">
        <f ca="1">IFERROR(__xludf.DUMMYFUNCTION("""COMPUTED_VALUE"""),"l")</f>
        <v>l</v>
      </c>
      <c r="M160" s="88">
        <f ca="1">IFERROR(__xludf.DUMMYFUNCTION("""COMPUTED_VALUE"""),51.9)</f>
        <v>51.9</v>
      </c>
      <c r="N160" s="84" t="str">
        <f ca="1">IFERROR(__xludf.DUMMYFUNCTION("""COMPUTED_VALUE"""),"p")</f>
        <v>p</v>
      </c>
      <c r="O160" s="88">
        <f ca="1">IFERROR(__xludf.DUMMYFUNCTION("""COMPUTED_VALUE"""),47.9)</f>
        <v>47.9</v>
      </c>
      <c r="P160" s="85"/>
      <c r="Q160" s="75" t="b">
        <f ca="1">IFERROR(__xludf.DUMMYFUNCTION("""COMPUTED_VALUE"""),FALSE)</f>
        <v>0</v>
      </c>
      <c r="R160" s="75" t="b">
        <f ca="1">IFERROR(__xludf.DUMMYFUNCTION("""COMPUTED_VALUE"""),FALSE)</f>
        <v>0</v>
      </c>
      <c r="S160" s="75" t="b">
        <f ca="1">IFERROR(__xludf.DUMMYFUNCTION("""COMPUTED_VALUE"""),FALSE)</f>
        <v>0</v>
      </c>
      <c r="T160" s="75" t="b">
        <f ca="1">IFERROR(__xludf.DUMMYFUNCTION("""COMPUTED_VALUE"""),FALSE)</f>
        <v>0</v>
      </c>
      <c r="U160" s="86">
        <f ca="1">IFERROR(__xludf.DUMMYFUNCTION("""COMPUTED_VALUE"""),15)</f>
        <v>15</v>
      </c>
      <c r="V160" s="84"/>
      <c r="W160" s="87"/>
      <c r="X160" s="84"/>
      <c r="Y160" s="84" t="str">
        <f ca="1">IFERROR(__xludf.DUMMYFUNCTION("""COMPUTED_VALUE"""),"Fieldwork")</f>
        <v>Fieldwork</v>
      </c>
      <c r="Z160" s="66" t="s">
        <v>1962</v>
      </c>
    </row>
    <row r="161" spans="1:26" ht="15.75" customHeight="1">
      <c r="A161" s="83" t="str">
        <f ca="1">IFERROR(__xludf.DUMMYFUNCTION("""COMPUTED_VALUE"""),"W13SW")</f>
        <v>W13SW</v>
      </c>
      <c r="B161" s="84">
        <f ca="1">IFERROR(__xludf.DUMMYFUNCTION("""COMPUTED_VALUE"""),13)</f>
        <v>13</v>
      </c>
      <c r="C161" s="84" t="str">
        <f ca="1">IFERROR(__xludf.DUMMYFUNCTION("""COMPUTED_VALUE"""),"SW")</f>
        <v>SW</v>
      </c>
      <c r="D161" s="339">
        <f ca="1">IFERROR(__xludf.DUMMYFUNCTION("""COMPUTED_VALUE"""),2800)</f>
        <v>2800</v>
      </c>
      <c r="E161" s="84" t="str">
        <f ca="1">IFERROR(__xludf.DUMMYFUNCTION("""COMPUTED_VALUE"""),"3220816451T20050430")</f>
        <v>3220816451T20050430</v>
      </c>
      <c r="F161" s="84">
        <f ca="1">IFERROR(__xludf.DUMMYFUNCTION("""COMPUTED_VALUE"""),1103121710)</f>
        <v>1103121710</v>
      </c>
      <c r="G161" s="83" t="str">
        <f ca="1">IFERROR(__xludf.DUMMYFUNCTION("""COMPUTED_VALUE"""),"Lucky Building")</f>
        <v>Lucky Building</v>
      </c>
      <c r="H161" s="84" t="str">
        <f ca="1">IFERROR(__xludf.DUMMYFUNCTION("""COMPUTED_VALUE"""),"幸運樓")</f>
        <v>幸運樓</v>
      </c>
      <c r="I161" s="84">
        <f ca="1">IFERROR(__xludf.DUMMYFUNCTION("""COMPUTED_VALUE"""),114.1375293)</f>
        <v>114.1375293</v>
      </c>
      <c r="J161" s="84">
        <f ca="1">IFERROR(__xludf.DUMMYFUNCTION("""COMPUTED_VALUE"""),22.28688732)</f>
        <v>22.286887320000002</v>
      </c>
      <c r="K161" s="88">
        <f ca="1">IFERROR(__xludf.DUMMYFUNCTION("""COMPUTED_VALUE"""),4.1)</f>
        <v>4.0999999999999996</v>
      </c>
      <c r="L161" s="84" t="str">
        <f ca="1">IFERROR(__xludf.DUMMYFUNCTION("""COMPUTED_VALUE"""),"l")</f>
        <v>l</v>
      </c>
      <c r="M161" s="88">
        <f ca="1">IFERROR(__xludf.DUMMYFUNCTION("""COMPUTED_VALUE"""),33.6)</f>
        <v>33.6</v>
      </c>
      <c r="N161" s="84" t="str">
        <f ca="1">IFERROR(__xludf.DUMMYFUNCTION("""COMPUTED_VALUE"""),"p")</f>
        <v>p</v>
      </c>
      <c r="O161" s="88">
        <f ca="1">IFERROR(__xludf.DUMMYFUNCTION("""COMPUTED_VALUE"""),29.5)</f>
        <v>29.5</v>
      </c>
      <c r="P161" s="85"/>
      <c r="Q161" s="75" t="b">
        <f ca="1">IFERROR(__xludf.DUMMYFUNCTION("""COMPUTED_VALUE"""),FALSE)</f>
        <v>0</v>
      </c>
      <c r="R161" s="75" t="b">
        <f ca="1">IFERROR(__xludf.DUMMYFUNCTION("""COMPUTED_VALUE"""),FALSE)</f>
        <v>0</v>
      </c>
      <c r="S161" s="75" t="b">
        <f ca="1">IFERROR(__xludf.DUMMYFUNCTION("""COMPUTED_VALUE"""),FALSE)</f>
        <v>0</v>
      </c>
      <c r="T161" s="75" t="b">
        <f ca="1">IFERROR(__xludf.DUMMYFUNCTION("""COMPUTED_VALUE"""),FALSE)</f>
        <v>0</v>
      </c>
      <c r="U161" s="86">
        <f ca="1">IFERROR(__xludf.DUMMYFUNCTION("""COMPUTED_VALUE"""),9)</f>
        <v>9</v>
      </c>
      <c r="V161" s="84"/>
      <c r="W161" s="87"/>
      <c r="X161" s="84"/>
      <c r="Y161" s="84" t="str">
        <f ca="1">IFERROR(__xludf.DUMMYFUNCTION("""COMPUTED_VALUE"""),"Fieldwork")</f>
        <v>Fieldwork</v>
      </c>
      <c r="Z161" s="66" t="s">
        <v>1963</v>
      </c>
    </row>
    <row r="162" spans="1:26" ht="15.75" customHeight="1">
      <c r="A162" s="83" t="str">
        <f ca="1">IFERROR(__xludf.DUMMYFUNCTION("""COMPUTED_VALUE"""),"W13NW")</f>
        <v>W13NW</v>
      </c>
      <c r="B162" s="84">
        <f ca="1">IFERROR(__xludf.DUMMYFUNCTION("""COMPUTED_VALUE"""),13)</f>
        <v>13</v>
      </c>
      <c r="C162" s="84" t="str">
        <f ca="1">IFERROR(__xludf.DUMMYFUNCTION("""COMPUTED_VALUE"""),"NW")</f>
        <v>NW</v>
      </c>
      <c r="D162" s="339">
        <f ca="1">IFERROR(__xludf.DUMMYFUNCTION("""COMPUTED_VALUE"""),2800)</f>
        <v>2800</v>
      </c>
      <c r="E162" s="84" t="str">
        <f ca="1">IFERROR(__xludf.DUMMYFUNCTION("""COMPUTED_VALUE"""),"3217516509T20150615")</f>
        <v>3217516509T20150615</v>
      </c>
      <c r="F162" s="84">
        <f ca="1">IFERROR(__xludf.DUMMYFUNCTION("""COMPUTED_VALUE"""),1810143106)</f>
        <v>1810143106</v>
      </c>
      <c r="G162" s="83" t="str">
        <f ca="1">IFERROR(__xludf.DUMMYFUNCTION("""COMPUTED_VALUE"""),"Upton")</f>
        <v>Upton</v>
      </c>
      <c r="H162" s="84" t="str">
        <f ca="1">IFERROR(__xludf.DUMMYFUNCTION("""COMPUTED_VALUE"""),"維港峰")</f>
        <v>維港峰</v>
      </c>
      <c r="I162" s="84">
        <f ca="1">IFERROR(__xludf.DUMMYFUNCTION("""COMPUTED_VALUE"""),114.1371694)</f>
        <v>114.1371694</v>
      </c>
      <c r="J162" s="84">
        <f ca="1">IFERROR(__xludf.DUMMYFUNCTION("""COMPUTED_VALUE"""),22.28747235)</f>
        <v>22.287472350000002</v>
      </c>
      <c r="K162" s="88">
        <f ca="1">IFERROR(__xludf.DUMMYFUNCTION("""COMPUTED_VALUE"""),16.8)</f>
        <v>16.8</v>
      </c>
      <c r="L162" s="84" t="str">
        <f ca="1">IFERROR(__xludf.DUMMYFUNCTION("""COMPUTED_VALUE"""),"b")</f>
        <v>b</v>
      </c>
      <c r="M162" s="88">
        <f ca="1">IFERROR(__xludf.DUMMYFUNCTION("""COMPUTED_VALUE"""),157.5)</f>
        <v>157.5</v>
      </c>
      <c r="N162" s="84" t="str">
        <f ca="1">IFERROR(__xludf.DUMMYFUNCTION("""COMPUTED_VALUE"""),"g")</f>
        <v>g</v>
      </c>
      <c r="O162" s="88">
        <f ca="1">IFERROR(__xludf.DUMMYFUNCTION("""COMPUTED_VALUE"""),140.7)</f>
        <v>140.69999999999999</v>
      </c>
      <c r="P162" s="85"/>
      <c r="Q162" s="75" t="b">
        <f ca="1">IFERROR(__xludf.DUMMYFUNCTION("""COMPUTED_VALUE"""),FALSE)</f>
        <v>0</v>
      </c>
      <c r="R162" s="75" t="b">
        <f ca="1">IFERROR(__xludf.DUMMYFUNCTION("""COMPUTED_VALUE"""),FALSE)</f>
        <v>0</v>
      </c>
      <c r="S162" s="75" t="b">
        <f ca="1">IFERROR(__xludf.DUMMYFUNCTION("""COMPUTED_VALUE"""),FALSE)</f>
        <v>0</v>
      </c>
      <c r="T162" s="75" t="b">
        <f ca="1">IFERROR(__xludf.DUMMYFUNCTION("""COMPUTED_VALUE"""),FALSE)</f>
        <v>0</v>
      </c>
      <c r="U162" s="86">
        <f ca="1">IFERROR(__xludf.DUMMYFUNCTION("""COMPUTED_VALUE"""),46)</f>
        <v>46</v>
      </c>
      <c r="V162" s="84"/>
      <c r="W162" s="87"/>
      <c r="X162" s="84"/>
      <c r="Y162" s="84" t="str">
        <f ca="1">IFERROR(__xludf.DUMMYFUNCTION("""COMPUTED_VALUE"""),"Fieldwork")</f>
        <v>Fieldwork</v>
      </c>
      <c r="Z162" s="66" t="s">
        <v>1964</v>
      </c>
    </row>
    <row r="163" spans="1:26" ht="15.75" customHeight="1">
      <c r="A163" s="83" t="str">
        <f ca="1">IFERROR(__xludf.DUMMYFUNCTION("""COMPUTED_VALUE"""),"N6NE")</f>
        <v>N6NE</v>
      </c>
      <c r="B163" s="84">
        <f ca="1">IFERROR(__xludf.DUMMYFUNCTION("""COMPUTED_VALUE"""),6)</f>
        <v>6</v>
      </c>
      <c r="C163" s="84" t="str">
        <f ca="1">IFERROR(__xludf.DUMMYFUNCTION("""COMPUTED_VALUE"""),"NE")</f>
        <v>NE</v>
      </c>
      <c r="D163" s="339">
        <f ca="1">IFERROR(__xludf.DUMMYFUNCTION("""COMPUTED_VALUE"""),3000)</f>
        <v>3000</v>
      </c>
      <c r="E163" s="84" t="str">
        <f ca="1">IFERROR(__xludf.DUMMYFUNCTION("""COMPUTED_VALUE"""),"3573818584T20050430")</f>
        <v>3573818584T20050430</v>
      </c>
      <c r="F163" s="84">
        <f ca="1">IFERROR(__xludf.DUMMYFUNCTION("""COMPUTED_VALUE"""),1108241669)</f>
        <v>1108241669</v>
      </c>
      <c r="G163" s="83" t="str">
        <f ca="1">IFERROR(__xludf.DUMMYFUNCTION("""COMPUTED_VALUE"""),"CHI Residences 314")</f>
        <v>CHI Residences 314</v>
      </c>
      <c r="H163" s="84"/>
      <c r="I163" s="84">
        <f ca="1">IFERROR(__xludf.DUMMYFUNCTION("""COMPUTED_VALUE"""),114.1717686)</f>
        <v>114.17176859999999</v>
      </c>
      <c r="J163" s="84">
        <f ca="1">IFERROR(__xludf.DUMMYFUNCTION("""COMPUTED_VALUE"""),22.30622699)</f>
        <v>22.306226989999999</v>
      </c>
      <c r="K163" s="88">
        <f ca="1">IFERROR(__xludf.DUMMYFUNCTION("""COMPUTED_VALUE"""),7)</f>
        <v>7</v>
      </c>
      <c r="L163" s="84" t="str">
        <f ca="1">IFERROR(__xludf.DUMMYFUNCTION("""COMPUTED_VALUE"""),"l")</f>
        <v>l</v>
      </c>
      <c r="M163" s="88">
        <f ca="1">IFERROR(__xludf.DUMMYFUNCTION("""COMPUTED_VALUE"""),51.400002)</f>
        <v>51.400002000000001</v>
      </c>
      <c r="N163" s="84" t="str">
        <f ca="1">IFERROR(__xludf.DUMMYFUNCTION("""COMPUTED_VALUE"""),"p")</f>
        <v>p</v>
      </c>
      <c r="O163" s="88">
        <f ca="1">IFERROR(__xludf.DUMMYFUNCTION("""COMPUTED_VALUE"""),44.400002)</f>
        <v>44.400002000000001</v>
      </c>
      <c r="P163" s="85"/>
      <c r="Q163" s="75" t="b">
        <f ca="1">IFERROR(__xludf.DUMMYFUNCTION("""COMPUTED_VALUE"""),FALSE)</f>
        <v>0</v>
      </c>
      <c r="R163" s="75" t="b">
        <f ca="1">IFERROR(__xludf.DUMMYFUNCTION("""COMPUTED_VALUE"""),FALSE)</f>
        <v>0</v>
      </c>
      <c r="S163" s="75" t="b">
        <f ca="1">IFERROR(__xludf.DUMMYFUNCTION("""COMPUTED_VALUE"""),FALSE)</f>
        <v>0</v>
      </c>
      <c r="T163" s="75"/>
      <c r="U163" s="86">
        <f ca="1">IFERROR(__xludf.DUMMYFUNCTION("""COMPUTED_VALUE"""),25)</f>
        <v>25</v>
      </c>
      <c r="V163" s="84">
        <f ca="1">IFERROR(__xludf.DUMMYFUNCTION("""COMPUTED_VALUE"""),0)</f>
        <v>0</v>
      </c>
      <c r="W163" s="87">
        <f ca="1">IFERROR(__xludf.DUMMYFUNCTION("""COMPUTED_VALUE"""),25)</f>
        <v>25</v>
      </c>
      <c r="X163" s="84">
        <f ca="1">IFERROR(__xludf.DUMMYFUNCTION("""COMPUTED_VALUE"""),1999)</f>
        <v>1999</v>
      </c>
      <c r="Y163" s="84" t="str">
        <f ca="1">IFERROR(__xludf.DUMMYFUNCTION("""COMPUTED_VALUE"""),"BMIS")</f>
        <v>BMIS</v>
      </c>
      <c r="Z163" s="66" t="s">
        <v>1966</v>
      </c>
    </row>
    <row r="164" spans="1:26" ht="15.75" customHeight="1">
      <c r="A164" s="83" t="str">
        <f ca="1">IFERROR(__xludf.DUMMYFUNCTION("""COMPUTED_VALUE"""),"N6SE")</f>
        <v>N6SE</v>
      </c>
      <c r="B164" s="84">
        <f ca="1">IFERROR(__xludf.DUMMYFUNCTION("""COMPUTED_VALUE"""),6)</f>
        <v>6</v>
      </c>
      <c r="C164" s="84" t="str">
        <f ca="1">IFERROR(__xludf.DUMMYFUNCTION("""COMPUTED_VALUE"""),"SE")</f>
        <v>SE</v>
      </c>
      <c r="D164" s="339">
        <f ca="1">IFERROR(__xludf.DUMMYFUNCTION("""COMPUTED_VALUE"""),3000)</f>
        <v>3000</v>
      </c>
      <c r="E164" s="84" t="str">
        <f ca="1">IFERROR(__xludf.DUMMYFUNCTION("""COMPUTED_VALUE"""),"3574518563T20050430")</f>
        <v>3574518563T20050430</v>
      </c>
      <c r="F164" s="84">
        <f ca="1">IFERROR(__xludf.DUMMYFUNCTION("""COMPUTED_VALUE"""),1108241768)</f>
        <v>1108241768</v>
      </c>
      <c r="G164" s="83" t="str">
        <f ca="1">IFERROR(__xludf.DUMMYFUNCTION("""COMPUTED_VALUE"""),"May Ming Building")</f>
        <v>May Ming Building</v>
      </c>
      <c r="H164" s="84" t="str">
        <f ca="1">IFERROR(__xludf.DUMMYFUNCTION("""COMPUTED_VALUE"""),"美明大廈")</f>
        <v>美明大廈</v>
      </c>
      <c r="I164" s="84">
        <f ca="1">IFERROR(__xludf.DUMMYFUNCTION("""COMPUTED_VALUE"""),114.1718084)</f>
        <v>114.1718084</v>
      </c>
      <c r="J164" s="84">
        <f ca="1">IFERROR(__xludf.DUMMYFUNCTION("""COMPUTED_VALUE"""),22.30603969)</f>
        <v>22.306039689999999</v>
      </c>
      <c r="K164" s="88">
        <f ca="1">IFERROR(__xludf.DUMMYFUNCTION("""COMPUTED_VALUE"""),7.1)</f>
        <v>7.1</v>
      </c>
      <c r="L164" s="84" t="str">
        <f ca="1">IFERROR(__xludf.DUMMYFUNCTION("""COMPUTED_VALUE"""),"l")</f>
        <v>l</v>
      </c>
      <c r="M164" s="88">
        <f ca="1">IFERROR(__xludf.DUMMYFUNCTION("""COMPUTED_VALUE"""),47.799999)</f>
        <v>47.799999</v>
      </c>
      <c r="N164" s="84" t="str">
        <f ca="1">IFERROR(__xludf.DUMMYFUNCTION("""COMPUTED_VALUE"""),"p")</f>
        <v>p</v>
      </c>
      <c r="O164" s="88">
        <f ca="1">IFERROR(__xludf.DUMMYFUNCTION("""COMPUTED_VALUE"""),40.699999)</f>
        <v>40.699998999999998</v>
      </c>
      <c r="P164" s="85"/>
      <c r="Q164" s="75" t="b">
        <f ca="1">IFERROR(__xludf.DUMMYFUNCTION("""COMPUTED_VALUE"""),FALSE)</f>
        <v>0</v>
      </c>
      <c r="R164" s="75" t="b">
        <f ca="1">IFERROR(__xludf.DUMMYFUNCTION("""COMPUTED_VALUE"""),FALSE)</f>
        <v>0</v>
      </c>
      <c r="S164" s="75" t="b">
        <f ca="1">IFERROR(__xludf.DUMMYFUNCTION("""COMPUTED_VALUE"""),FALSE)</f>
        <v>0</v>
      </c>
      <c r="T164" s="75"/>
      <c r="U164" s="86">
        <f ca="1">IFERROR(__xludf.DUMMYFUNCTION("""COMPUTED_VALUE"""),11)</f>
        <v>11</v>
      </c>
      <c r="V164" s="84">
        <f ca="1">IFERROR(__xludf.DUMMYFUNCTION("""COMPUTED_VALUE"""),0)</f>
        <v>0</v>
      </c>
      <c r="W164" s="87">
        <f ca="1">IFERROR(__xludf.DUMMYFUNCTION("""COMPUTED_VALUE"""),22)</f>
        <v>22</v>
      </c>
      <c r="X164" s="84">
        <f ca="1">IFERROR(__xludf.DUMMYFUNCTION("""COMPUTED_VALUE"""),1965)</f>
        <v>1965</v>
      </c>
      <c r="Y164" s="84" t="str">
        <f ca="1">IFERROR(__xludf.DUMMYFUNCTION("""COMPUTED_VALUE"""),"BMIS_auto")</f>
        <v>BMIS_auto</v>
      </c>
      <c r="Z164" s="66" t="s">
        <v>1968</v>
      </c>
    </row>
    <row r="165" spans="1:26" ht="15.75" customHeight="1">
      <c r="A165" s="83" t="str">
        <f ca="1">IFERROR(__xludf.DUMMYFUNCTION("""COMPUTED_VALUE"""),"N6SW")</f>
        <v>N6SW</v>
      </c>
      <c r="B165" s="84">
        <f ca="1">IFERROR(__xludf.DUMMYFUNCTION("""COMPUTED_VALUE"""),6)</f>
        <v>6</v>
      </c>
      <c r="C165" s="84" t="str">
        <f ca="1">IFERROR(__xludf.DUMMYFUNCTION("""COMPUTED_VALUE"""),"SW")</f>
        <v>SW</v>
      </c>
      <c r="D165" s="339">
        <f ca="1">IFERROR(__xludf.DUMMYFUNCTION("""COMPUTED_VALUE"""),3000)</f>
        <v>3000</v>
      </c>
      <c r="E165" s="84" t="str">
        <f ca="1">IFERROR(__xludf.DUMMYFUNCTION("""COMPUTED_VALUE"""),"3569118567T20050430")</f>
        <v>3569118567T20050430</v>
      </c>
      <c r="F165" s="84">
        <f ca="1">IFERROR(__xludf.DUMMYFUNCTION("""COMPUTED_VALUE"""),1108241727)</f>
        <v>1108241727</v>
      </c>
      <c r="G165" s="83" t="str">
        <f ca="1">IFERROR(__xludf.DUMMYFUNCTION("""COMPUTED_VALUE"""),"Hong Kiu Mansion")</f>
        <v>Hong Kiu Mansion</v>
      </c>
      <c r="H165" s="84" t="str">
        <f ca="1">IFERROR(__xludf.DUMMYFUNCTION("""COMPUTED_VALUE"""),"康僑大廈")</f>
        <v>康僑大廈</v>
      </c>
      <c r="I165" s="84">
        <f ca="1">IFERROR(__xludf.DUMMYFUNCTION("""COMPUTED_VALUE"""),114.1712864)</f>
        <v>114.1712864</v>
      </c>
      <c r="J165" s="84">
        <f ca="1">IFERROR(__xludf.DUMMYFUNCTION("""COMPUTED_VALUE"""),22.30606425)</f>
        <v>22.306064249999999</v>
      </c>
      <c r="K165" s="88">
        <f ca="1">IFERROR(__xludf.DUMMYFUNCTION("""COMPUTED_VALUE"""),6.8)</f>
        <v>6.8</v>
      </c>
      <c r="L165" s="84" t="str">
        <f ca="1">IFERROR(__xludf.DUMMYFUNCTION("""COMPUTED_VALUE"""),"l")</f>
        <v>l</v>
      </c>
      <c r="M165" s="88">
        <f ca="1">IFERROR(__xludf.DUMMYFUNCTION("""COMPUTED_VALUE"""),55.200001)</f>
        <v>55.200001</v>
      </c>
      <c r="N165" s="84" t="str">
        <f ca="1">IFERROR(__xludf.DUMMYFUNCTION("""COMPUTED_VALUE"""),"3")</f>
        <v>3</v>
      </c>
      <c r="O165" s="88">
        <f ca="1">IFERROR(__xludf.DUMMYFUNCTION("""COMPUTED_VALUE"""),48.400001)</f>
        <v>48.400001000000003</v>
      </c>
      <c r="P165" s="85"/>
      <c r="Q165" s="75" t="b">
        <f ca="1">IFERROR(__xludf.DUMMYFUNCTION("""COMPUTED_VALUE"""),FALSE)</f>
        <v>0</v>
      </c>
      <c r="R165" s="75" t="b">
        <f ca="1">IFERROR(__xludf.DUMMYFUNCTION("""COMPUTED_VALUE"""),FALSE)</f>
        <v>0</v>
      </c>
      <c r="S165" s="75" t="b">
        <f ca="1">IFERROR(__xludf.DUMMYFUNCTION("""COMPUTED_VALUE"""),FALSE)</f>
        <v>0</v>
      </c>
      <c r="T165" s="75"/>
      <c r="U165" s="86">
        <f ca="1">IFERROR(__xludf.DUMMYFUNCTION("""COMPUTED_VALUE"""),15)</f>
        <v>15</v>
      </c>
      <c r="V165" s="84">
        <f ca="1">IFERROR(__xludf.DUMMYFUNCTION("""COMPUTED_VALUE"""),0)</f>
        <v>0</v>
      </c>
      <c r="W165" s="87">
        <f ca="1">IFERROR(__xludf.DUMMYFUNCTION("""COMPUTED_VALUE"""),94)</f>
        <v>94</v>
      </c>
      <c r="X165" s="84">
        <f ca="1">IFERROR(__xludf.DUMMYFUNCTION("""COMPUTED_VALUE"""),1964)</f>
        <v>1964</v>
      </c>
      <c r="Y165" s="84" t="str">
        <f ca="1">IFERROR(__xludf.DUMMYFUNCTION("""COMPUTED_VALUE"""),"BMIS_auto")</f>
        <v>BMIS_auto</v>
      </c>
      <c r="Z165" s="66" t="s">
        <v>1970</v>
      </c>
    </row>
    <row r="166" spans="1:26" ht="15.75" customHeight="1">
      <c r="A166" s="83" t="str">
        <f ca="1">IFERROR(__xludf.DUMMYFUNCTION("""COMPUTED_VALUE"""),"N6NW")</f>
        <v>N6NW</v>
      </c>
      <c r="B166" s="84">
        <f ca="1">IFERROR(__xludf.DUMMYFUNCTION("""COMPUTED_VALUE"""),6)</f>
        <v>6</v>
      </c>
      <c r="C166" s="84" t="str">
        <f ca="1">IFERROR(__xludf.DUMMYFUNCTION("""COMPUTED_VALUE"""),"NW")</f>
        <v>NW</v>
      </c>
      <c r="D166" s="339">
        <f ca="1">IFERROR(__xludf.DUMMYFUNCTION("""COMPUTED_VALUE"""),3000)</f>
        <v>3000</v>
      </c>
      <c r="E166" s="84" t="str">
        <f ca="1">IFERROR(__xludf.DUMMYFUNCTION("""COMPUTED_VALUE"""),"3569018578T20050430")</f>
        <v>3569018578T20050430</v>
      </c>
      <c r="F166" s="84">
        <f ca="1">IFERROR(__xludf.DUMMYFUNCTION("""COMPUTED_VALUE"""),1108241688)</f>
        <v>1108241688</v>
      </c>
      <c r="G166" s="83" t="str">
        <f ca="1">IFERROR(__xludf.DUMMYFUNCTION("""COMPUTED_VALUE"""),"315 Nathan Road")</f>
        <v>315 Nathan Road</v>
      </c>
      <c r="H166" s="84"/>
      <c r="I166" s="84">
        <f ca="1">IFERROR(__xludf.DUMMYFUNCTION("""COMPUTED_VALUE"""),114.1712813)</f>
        <v>114.1712813</v>
      </c>
      <c r="J166" s="84">
        <f ca="1">IFERROR(__xludf.DUMMYFUNCTION("""COMPUTED_VALUE"""),22.30617932)</f>
        <v>22.306179319999998</v>
      </c>
      <c r="K166" s="88">
        <f ca="1">IFERROR(__xludf.DUMMYFUNCTION("""COMPUTED_VALUE"""),6.5)</f>
        <v>6.5</v>
      </c>
      <c r="L166" s="84" t="str">
        <f ca="1">IFERROR(__xludf.DUMMYFUNCTION("""COMPUTED_VALUE"""),"l")</f>
        <v>l</v>
      </c>
      <c r="M166" s="88">
        <f ca="1">IFERROR(__xludf.DUMMYFUNCTION("""COMPUTED_VALUE"""),42.599998)</f>
        <v>42.599997999999999</v>
      </c>
      <c r="N166" s="84" t="str">
        <f ca="1">IFERROR(__xludf.DUMMYFUNCTION("""COMPUTED_VALUE"""),"3")</f>
        <v>3</v>
      </c>
      <c r="O166" s="88">
        <f ca="1">IFERROR(__xludf.DUMMYFUNCTION("""COMPUTED_VALUE"""),36.099998)</f>
        <v>36.099997999999999</v>
      </c>
      <c r="P166" s="85"/>
      <c r="Q166" s="75" t="b">
        <f ca="1">IFERROR(__xludf.DUMMYFUNCTION("""COMPUTED_VALUE"""),FALSE)</f>
        <v>0</v>
      </c>
      <c r="R166" s="75" t="b">
        <f ca="1">IFERROR(__xludf.DUMMYFUNCTION("""COMPUTED_VALUE"""),FALSE)</f>
        <v>0</v>
      </c>
      <c r="S166" s="75" t="b">
        <f ca="1">IFERROR(__xludf.DUMMYFUNCTION("""COMPUTED_VALUE"""),TRUE)</f>
        <v>1</v>
      </c>
      <c r="T166" s="75"/>
      <c r="U166" s="86">
        <f ca="1">IFERROR(__xludf.DUMMYFUNCTION("""COMPUTED_VALUE"""),10)</f>
        <v>10</v>
      </c>
      <c r="V166" s="84">
        <f ca="1">IFERROR(__xludf.DUMMYFUNCTION("""COMPUTED_VALUE"""),0)</f>
        <v>0</v>
      </c>
      <c r="W166" s="87">
        <f ca="1">IFERROR(__xludf.DUMMYFUNCTION("""COMPUTED_VALUE"""),20)</f>
        <v>20</v>
      </c>
      <c r="X166" s="84">
        <f ca="1">IFERROR(__xludf.DUMMYFUNCTION("""COMPUTED_VALUE"""),1965)</f>
        <v>1965</v>
      </c>
      <c r="Y166" s="84" t="str">
        <f ca="1">IFERROR(__xludf.DUMMYFUNCTION("""COMPUTED_VALUE"""),"BMIS_auto")</f>
        <v>BMIS_auto</v>
      </c>
      <c r="Z166" s="66" t="s">
        <v>1972</v>
      </c>
    </row>
    <row r="167" spans="1:26" ht="15.75" customHeight="1">
      <c r="A167" s="83" t="str">
        <f ca="1">IFERROR(__xludf.DUMMYFUNCTION("""COMPUTED_VALUE"""),"E14NE")</f>
        <v>E14NE</v>
      </c>
      <c r="B167" s="84">
        <f ca="1">IFERROR(__xludf.DUMMYFUNCTION("""COMPUTED_VALUE"""),14)</f>
        <v>14</v>
      </c>
      <c r="C167" s="84" t="str">
        <f ca="1">IFERROR(__xludf.DUMMYFUNCTION("""COMPUTED_VALUE"""),"NE")</f>
        <v>NE</v>
      </c>
      <c r="D167" s="339">
        <f ca="1">IFERROR(__xludf.DUMMYFUNCTION("""COMPUTED_VALUE"""),3000)</f>
        <v>3000</v>
      </c>
      <c r="E167" s="84" t="str">
        <f ca="1">IFERROR(__xludf.DUMMYFUNCTION("""COMPUTED_VALUE"""),"3668115577T20050430")</f>
        <v>3668115577T20050430</v>
      </c>
      <c r="F167" s="84">
        <f ca="1">IFERROR(__xludf.DUMMYFUNCTION("""COMPUTED_VALUE"""),1103127632)</f>
        <v>1103127632</v>
      </c>
      <c r="G167" s="83" t="str">
        <f ca="1">IFERROR(__xludf.DUMMYFUNCTION("""COMPUTED_VALUE"""),"Yau Kwong Building")</f>
        <v>Yau Kwong Building</v>
      </c>
      <c r="H167" s="84" t="str">
        <f ca="1">IFERROR(__xludf.DUMMYFUNCTION("""COMPUTED_VALUE"""),"友光大廈")</f>
        <v>友光大廈</v>
      </c>
      <c r="I167" s="84">
        <f ca="1">IFERROR(__xludf.DUMMYFUNCTION("""COMPUTED_VALUE"""),114.1809041)</f>
        <v>114.18090410000001</v>
      </c>
      <c r="J167" s="84">
        <f ca="1">IFERROR(__xludf.DUMMYFUNCTION("""COMPUTED_VALUE"""),22.27902029)</f>
        <v>22.279020289999998</v>
      </c>
      <c r="K167" s="88">
        <f ca="1">IFERROR(__xludf.DUMMYFUNCTION("""COMPUTED_VALUE"""),3.8)</f>
        <v>3.8</v>
      </c>
      <c r="L167" s="84" t="str">
        <f ca="1">IFERROR(__xludf.DUMMYFUNCTION("""COMPUTED_VALUE"""),"l")</f>
        <v>l</v>
      </c>
      <c r="M167" s="88">
        <f ca="1">IFERROR(__xludf.DUMMYFUNCTION("""COMPUTED_VALUE"""),57.8)</f>
        <v>57.8</v>
      </c>
      <c r="N167" s="84" t="str">
        <f ca="1">IFERROR(__xludf.DUMMYFUNCTION("""COMPUTED_VALUE"""),"p")</f>
        <v>p</v>
      </c>
      <c r="O167" s="88">
        <f ca="1">IFERROR(__xludf.DUMMYFUNCTION("""COMPUTED_VALUE"""),54)</f>
        <v>54</v>
      </c>
      <c r="P167" s="85"/>
      <c r="Q167" s="75" t="b">
        <f ca="1">IFERROR(__xludf.DUMMYFUNCTION("""COMPUTED_VALUE"""),FALSE)</f>
        <v>0</v>
      </c>
      <c r="R167" s="75" t="b">
        <f ca="1">IFERROR(__xludf.DUMMYFUNCTION("""COMPUTED_VALUE"""),FALSE)</f>
        <v>0</v>
      </c>
      <c r="S167" s="75" t="b">
        <f ca="1">IFERROR(__xludf.DUMMYFUNCTION("""COMPUTED_VALUE"""),FALSE)</f>
        <v>0</v>
      </c>
      <c r="T167" s="75" t="b">
        <f ca="1">IFERROR(__xludf.DUMMYFUNCTION("""COMPUTED_VALUE"""),FALSE)</f>
        <v>0</v>
      </c>
      <c r="U167" s="86">
        <f ca="1">IFERROR(__xludf.DUMMYFUNCTION("""COMPUTED_VALUE"""),16)</f>
        <v>16</v>
      </c>
      <c r="V167" s="84">
        <f ca="1">IFERROR(__xludf.DUMMYFUNCTION("""COMPUTED_VALUE"""),0)</f>
        <v>0</v>
      </c>
      <c r="W167" s="87">
        <f ca="1">IFERROR(__xludf.DUMMYFUNCTION("""COMPUTED_VALUE"""),105)</f>
        <v>105</v>
      </c>
      <c r="X167" s="84">
        <f ca="1">IFERROR(__xludf.DUMMYFUNCTION("""COMPUTED_VALUE"""),1970)</f>
        <v>1970</v>
      </c>
      <c r="Y167" s="84" t="str">
        <f ca="1">IFERROR(__xludf.DUMMYFUNCTION("""COMPUTED_VALUE"""),"BMIS_auto")</f>
        <v>BMIS_auto</v>
      </c>
      <c r="Z167" s="66" t="s">
        <v>1974</v>
      </c>
    </row>
    <row r="168" spans="1:26" ht="15.75" customHeight="1">
      <c r="A168" s="83" t="str">
        <f ca="1">IFERROR(__xludf.DUMMYFUNCTION("""COMPUTED_VALUE"""),"E14SE")</f>
        <v>E14SE</v>
      </c>
      <c r="B168" s="84">
        <f ca="1">IFERROR(__xludf.DUMMYFUNCTION("""COMPUTED_VALUE"""),14)</f>
        <v>14</v>
      </c>
      <c r="C168" s="84" t="str">
        <f ca="1">IFERROR(__xludf.DUMMYFUNCTION("""COMPUTED_VALUE"""),"SE")</f>
        <v>SE</v>
      </c>
      <c r="D168" s="339">
        <f ca="1">IFERROR(__xludf.DUMMYFUNCTION("""COMPUTED_VALUE"""),3000)</f>
        <v>3000</v>
      </c>
      <c r="E168" s="84" t="str">
        <f ca="1">IFERROR(__xludf.DUMMYFUNCTION("""COMPUTED_VALUE"""),"3662515555T20050430")</f>
        <v>3662515555T20050430</v>
      </c>
      <c r="F168" s="84">
        <f ca="1">IFERROR(__xludf.DUMMYFUNCTION("""COMPUTED_VALUE"""),1103127766)</f>
        <v>1103127766</v>
      </c>
      <c r="G168" s="83" t="str">
        <f ca="1">IFERROR(__xludf.DUMMYFUNCTION("""COMPUTED_VALUE"""),"Opulent Building")</f>
        <v>Opulent Building</v>
      </c>
      <c r="H168" s="84" t="str">
        <f ca="1">IFERROR(__xludf.DUMMYFUNCTION("""COMPUTED_VALUE"""),"德興大廈")</f>
        <v>德興大廈</v>
      </c>
      <c r="I168" s="84">
        <f ca="1">IFERROR(__xludf.DUMMYFUNCTION("""COMPUTED_VALUE"""),114.1804109)</f>
        <v>114.1804109</v>
      </c>
      <c r="J168" s="84">
        <f ca="1">IFERROR(__xludf.DUMMYFUNCTION("""COMPUTED_VALUE"""),22.27884395)</f>
        <v>22.278843949999999</v>
      </c>
      <c r="K168" s="88">
        <f ca="1">IFERROR(__xludf.DUMMYFUNCTION("""COMPUTED_VALUE"""),16.4)</f>
        <v>16.399999999999999</v>
      </c>
      <c r="L168" s="84" t="str">
        <f ca="1">IFERROR(__xludf.DUMMYFUNCTION("""COMPUTED_VALUE"""),"p")</f>
        <v>p</v>
      </c>
      <c r="M168" s="88">
        <f ca="1">IFERROR(__xludf.DUMMYFUNCTION("""COMPUTED_VALUE"""),78.3)</f>
        <v>78.3</v>
      </c>
      <c r="N168" s="84" t="str">
        <f ca="1">IFERROR(__xludf.DUMMYFUNCTION("""COMPUTED_VALUE"""),"p")</f>
        <v>p</v>
      </c>
      <c r="O168" s="88">
        <f ca="1">IFERROR(__xludf.DUMMYFUNCTION("""COMPUTED_VALUE"""),61.9)</f>
        <v>61.9</v>
      </c>
      <c r="P168" s="85"/>
      <c r="Q168" s="75" t="b">
        <f ca="1">IFERROR(__xludf.DUMMYFUNCTION("""COMPUTED_VALUE"""),FALSE)</f>
        <v>0</v>
      </c>
      <c r="R168" s="75" t="b">
        <f ca="1">IFERROR(__xludf.DUMMYFUNCTION("""COMPUTED_VALUE"""),FALSE)</f>
        <v>0</v>
      </c>
      <c r="S168" s="75" t="b">
        <f ca="1">IFERROR(__xludf.DUMMYFUNCTION("""COMPUTED_VALUE"""),FALSE)</f>
        <v>0</v>
      </c>
      <c r="T168" s="75" t="b">
        <f ca="1">IFERROR(__xludf.DUMMYFUNCTION("""COMPUTED_VALUE"""),FALSE)</f>
        <v>0</v>
      </c>
      <c r="U168" s="86">
        <f ca="1">IFERROR(__xludf.DUMMYFUNCTION("""COMPUTED_VALUE"""),23)</f>
        <v>23</v>
      </c>
      <c r="V168" s="84">
        <f ca="1">IFERROR(__xludf.DUMMYFUNCTION("""COMPUTED_VALUE"""),0)</f>
        <v>0</v>
      </c>
      <c r="W168" s="87">
        <f ca="1">IFERROR(__xludf.DUMMYFUNCTION("""COMPUTED_VALUE"""),180)</f>
        <v>180</v>
      </c>
      <c r="X168" s="84">
        <f ca="1">IFERROR(__xludf.DUMMYFUNCTION("""COMPUTED_VALUE"""),1977)</f>
        <v>1977</v>
      </c>
      <c r="Y168" s="84" t="str">
        <f ca="1">IFERROR(__xludf.DUMMYFUNCTION("""COMPUTED_VALUE"""),"BMIS_auto")</f>
        <v>BMIS_auto</v>
      </c>
      <c r="Z168" s="66" t="s">
        <v>1976</v>
      </c>
    </row>
    <row r="169" spans="1:26" ht="15.75" customHeight="1">
      <c r="A169" s="83" t="str">
        <f ca="1">IFERROR(__xludf.DUMMYFUNCTION("""COMPUTED_VALUE"""),"E14SW")</f>
        <v>E14SW</v>
      </c>
      <c r="B169" s="84">
        <f ca="1">IFERROR(__xludf.DUMMYFUNCTION("""COMPUTED_VALUE"""),14)</f>
        <v>14</v>
      </c>
      <c r="C169" s="84" t="str">
        <f ca="1">IFERROR(__xludf.DUMMYFUNCTION("""COMPUTED_VALUE"""),"SW")</f>
        <v>SW</v>
      </c>
      <c r="D169" s="339">
        <f ca="1">IFERROR(__xludf.DUMMYFUNCTION("""COMPUTED_VALUE"""),3000)</f>
        <v>3000</v>
      </c>
      <c r="E169" s="84" t="str">
        <f ca="1">IFERROR(__xludf.DUMMYFUNCTION("""COMPUTED_VALUE"""),"3659915582T20050430")</f>
        <v>3659915582T20050430</v>
      </c>
      <c r="F169" s="84">
        <f ca="1">IFERROR(__xludf.DUMMYFUNCTION("""COMPUTED_VALUE"""),1103127526)</f>
        <v>1103127526</v>
      </c>
      <c r="G169" s="83" t="str">
        <f ca="1">IFERROR(__xludf.DUMMYFUNCTION("""COMPUTED_VALUE"""),"Henning House")</f>
        <v>Henning House</v>
      </c>
      <c r="H169" s="84" t="str">
        <f ca="1">IFERROR(__xludf.DUMMYFUNCTION("""COMPUTED_VALUE"""),"軒寧大廈")</f>
        <v>軒寧大廈</v>
      </c>
      <c r="I169" s="84">
        <f ca="1">IFERROR(__xludf.DUMMYFUNCTION("""COMPUTED_VALUE"""),114.1800882)</f>
        <v>114.1800882</v>
      </c>
      <c r="J169" s="84">
        <f ca="1">IFERROR(__xludf.DUMMYFUNCTION("""COMPUTED_VALUE"""),22.27918106)</f>
        <v>22.279181059999999</v>
      </c>
      <c r="K169" s="88">
        <f ca="1">IFERROR(__xludf.DUMMYFUNCTION("""COMPUTED_VALUE"""),3.4)</f>
        <v>3.4</v>
      </c>
      <c r="L169" s="84" t="str">
        <f ca="1">IFERROR(__xludf.DUMMYFUNCTION("""COMPUTED_VALUE"""),"l")</f>
        <v>l</v>
      </c>
      <c r="M169" s="88">
        <f ca="1">IFERROR(__xludf.DUMMYFUNCTION("""COMPUTED_VALUE"""),62.1)</f>
        <v>62.1</v>
      </c>
      <c r="N169" s="84" t="str">
        <f ca="1">IFERROR(__xludf.DUMMYFUNCTION("""COMPUTED_VALUE"""),"p")</f>
        <v>p</v>
      </c>
      <c r="O169" s="88">
        <f ca="1">IFERROR(__xludf.DUMMYFUNCTION("""COMPUTED_VALUE"""),58.7)</f>
        <v>58.7</v>
      </c>
      <c r="P169" s="85"/>
      <c r="Q169" s="75" t="b">
        <f ca="1">IFERROR(__xludf.DUMMYFUNCTION("""COMPUTED_VALUE"""),FALSE)</f>
        <v>0</v>
      </c>
      <c r="R169" s="75" t="b">
        <f ca="1">IFERROR(__xludf.DUMMYFUNCTION("""COMPUTED_VALUE"""),FALSE)</f>
        <v>0</v>
      </c>
      <c r="S169" s="75" t="b">
        <f ca="1">IFERROR(__xludf.DUMMYFUNCTION("""COMPUTED_VALUE"""),FALSE)</f>
        <v>0</v>
      </c>
      <c r="T169" s="75" t="b">
        <f ca="1">IFERROR(__xludf.DUMMYFUNCTION("""COMPUTED_VALUE"""),FALSE)</f>
        <v>0</v>
      </c>
      <c r="U169" s="86">
        <f ca="1">IFERROR(__xludf.DUMMYFUNCTION("""COMPUTED_VALUE"""),19)</f>
        <v>19</v>
      </c>
      <c r="V169" s="84">
        <f ca="1">IFERROR(__xludf.DUMMYFUNCTION("""COMPUTED_VALUE"""),0)</f>
        <v>0</v>
      </c>
      <c r="W169" s="87">
        <f ca="1">IFERROR(__xludf.DUMMYFUNCTION("""COMPUTED_VALUE"""),65)</f>
        <v>65</v>
      </c>
      <c r="X169" s="84">
        <f ca="1">IFERROR(__xludf.DUMMYFUNCTION("""COMPUTED_VALUE"""),1971)</f>
        <v>1971</v>
      </c>
      <c r="Y169" s="84" t="str">
        <f ca="1">IFERROR(__xludf.DUMMYFUNCTION("""COMPUTED_VALUE"""),"BMIS_auto")</f>
        <v>BMIS_auto</v>
      </c>
      <c r="Z169" s="66" t="s">
        <v>1978</v>
      </c>
    </row>
    <row r="170" spans="1:26" ht="15.75" customHeight="1">
      <c r="A170" s="83" t="str">
        <f ca="1">IFERROR(__xludf.DUMMYFUNCTION("""COMPUTED_VALUE"""),"E14NW")</f>
        <v>E14NW</v>
      </c>
      <c r="B170" s="84">
        <f ca="1">IFERROR(__xludf.DUMMYFUNCTION("""COMPUTED_VALUE"""),14)</f>
        <v>14</v>
      </c>
      <c r="C170" s="84" t="str">
        <f ca="1">IFERROR(__xludf.DUMMYFUNCTION("""COMPUTED_VALUE"""),"NW")</f>
        <v>NW</v>
      </c>
      <c r="D170" s="339">
        <f ca="1">IFERROR(__xludf.DUMMYFUNCTION("""COMPUTED_VALUE"""),3000)</f>
        <v>3000</v>
      </c>
      <c r="E170" s="84" t="str">
        <f ca="1">IFERROR(__xludf.DUMMYFUNCTION("""COMPUTED_VALUE"""),"3665215605T20050430")</f>
        <v>3665215605T20050430</v>
      </c>
      <c r="F170" s="84">
        <f ca="1">IFERROR(__xludf.DUMMYFUNCTION("""COMPUTED_VALUE"""),1103127403)</f>
        <v>1103127403</v>
      </c>
      <c r="G170" s="83" t="str">
        <f ca="1">IFERROR(__xludf.DUMMYFUNCTION("""COMPUTED_VALUE"""),"BOC Wan Chai Commercial Centre")</f>
        <v>BOC Wan Chai Commercial Centre</v>
      </c>
      <c r="H170" s="84" t="str">
        <f ca="1">IFERROR(__xludf.DUMMYFUNCTION("""COMPUTED_VALUE"""),"中銀灣仔商業中心")</f>
        <v>中銀灣仔商業中心</v>
      </c>
      <c r="I170" s="84">
        <f ca="1">IFERROR(__xludf.DUMMYFUNCTION("""COMPUTED_VALUE"""),114.180616)</f>
        <v>114.180616</v>
      </c>
      <c r="J170" s="84">
        <f ca="1">IFERROR(__xludf.DUMMYFUNCTION("""COMPUTED_VALUE"""),22.27937844)</f>
        <v>22.279378439999999</v>
      </c>
      <c r="K170" s="88">
        <f ca="1">IFERROR(__xludf.DUMMYFUNCTION("""COMPUTED_VALUE"""),3.4)</f>
        <v>3.4</v>
      </c>
      <c r="L170" s="84" t="str">
        <f ca="1">IFERROR(__xludf.DUMMYFUNCTION("""COMPUTED_VALUE"""),"l")</f>
        <v>l</v>
      </c>
      <c r="M170" s="88">
        <f ca="1">IFERROR(__xludf.DUMMYFUNCTION("""COMPUTED_VALUE"""),80.2)</f>
        <v>80.2</v>
      </c>
      <c r="N170" s="84" t="str">
        <f ca="1">IFERROR(__xludf.DUMMYFUNCTION("""COMPUTED_VALUE"""),"p")</f>
        <v>p</v>
      </c>
      <c r="O170" s="88">
        <f ca="1">IFERROR(__xludf.DUMMYFUNCTION("""COMPUTED_VALUE"""),76.8)</f>
        <v>76.8</v>
      </c>
      <c r="P170" s="85"/>
      <c r="Q170" s="75" t="b">
        <f ca="1">IFERROR(__xludf.DUMMYFUNCTION("""COMPUTED_VALUE"""),FALSE)</f>
        <v>0</v>
      </c>
      <c r="R170" s="75" t="b">
        <f ca="1">IFERROR(__xludf.DUMMYFUNCTION("""COMPUTED_VALUE"""),FALSE)</f>
        <v>0</v>
      </c>
      <c r="S170" s="75" t="b">
        <f ca="1">IFERROR(__xludf.DUMMYFUNCTION("""COMPUTED_VALUE"""),FALSE)</f>
        <v>0</v>
      </c>
      <c r="T170" s="75" t="b">
        <f ca="1">IFERROR(__xludf.DUMMYFUNCTION("""COMPUTED_VALUE"""),FALSE)</f>
        <v>0</v>
      </c>
      <c r="U170" s="86">
        <f ca="1">IFERROR(__xludf.DUMMYFUNCTION("""COMPUTED_VALUE"""),23)</f>
        <v>23</v>
      </c>
      <c r="V170" s="84">
        <f ca="1">IFERROR(__xludf.DUMMYFUNCTION("""COMPUTED_VALUE"""),0)</f>
        <v>0</v>
      </c>
      <c r="W170" s="87">
        <f ca="1">IFERROR(__xludf.DUMMYFUNCTION("""COMPUTED_VALUE"""),56)</f>
        <v>56</v>
      </c>
      <c r="X170" s="84">
        <f ca="1">IFERROR(__xludf.DUMMYFUNCTION("""COMPUTED_VALUE"""),1983)</f>
        <v>1983</v>
      </c>
      <c r="Y170" s="84" t="str">
        <f ca="1">IFERROR(__xludf.DUMMYFUNCTION("""COMPUTED_VALUE"""),"BMIS_auto")</f>
        <v>BMIS_auto</v>
      </c>
      <c r="Z170" s="66" t="s">
        <v>1980</v>
      </c>
    </row>
    <row r="171" spans="1:26" ht="15.75" customHeight="1">
      <c r="A171" s="83" t="str">
        <f ca="1">IFERROR(__xludf.DUMMYFUNCTION("""COMPUTED_VALUE"""),"W14NE")</f>
        <v>W14NE</v>
      </c>
      <c r="B171" s="84">
        <f ca="1">IFERROR(__xludf.DUMMYFUNCTION("""COMPUTED_VALUE"""),14)</f>
        <v>14</v>
      </c>
      <c r="C171" s="84" t="str">
        <f ca="1">IFERROR(__xludf.DUMMYFUNCTION("""COMPUTED_VALUE"""),"NE")</f>
        <v>NE</v>
      </c>
      <c r="D171" s="339">
        <f ca="1">IFERROR(__xludf.DUMMYFUNCTION("""COMPUTED_VALUE"""),3000)</f>
        <v>3000</v>
      </c>
      <c r="E171" s="84" t="str">
        <f ca="1">IFERROR(__xludf.DUMMYFUNCTION("""COMPUTED_VALUE"""),"3209316457T20050430")</f>
        <v>3209316457T20050430</v>
      </c>
      <c r="F171" s="84">
        <f ca="1">IFERROR(__xludf.DUMMYFUNCTION("""COMPUTED_VALUE"""),1103121694)</f>
        <v>1103121694</v>
      </c>
      <c r="G171" s="83" t="str">
        <f ca="1">IFERROR(__xludf.DUMMYFUNCTION("""COMPUTED_VALUE"""),"Lun Fung Court")</f>
        <v>Lun Fung Court</v>
      </c>
      <c r="H171" s="84" t="str">
        <f ca="1">IFERROR(__xludf.DUMMYFUNCTION("""COMPUTED_VALUE"""),"龍豐閣")</f>
        <v>龍豐閣</v>
      </c>
      <c r="I171" s="84">
        <f ca="1">IFERROR(__xludf.DUMMYFUNCTION("""COMPUTED_VALUE"""),114.1362588)</f>
        <v>114.13625879999999</v>
      </c>
      <c r="J171" s="84">
        <f ca="1">IFERROR(__xludf.DUMMYFUNCTION("""COMPUTED_VALUE"""),22.28694237)</f>
        <v>22.286942369999998</v>
      </c>
      <c r="K171" s="88">
        <f ca="1">IFERROR(__xludf.DUMMYFUNCTION("""COMPUTED_VALUE"""),18.8)</f>
        <v>18.8</v>
      </c>
      <c r="L171" s="84" t="str">
        <f ca="1">IFERROR(__xludf.DUMMYFUNCTION("""COMPUTED_VALUE"""),"p")</f>
        <v>p</v>
      </c>
      <c r="M171" s="88">
        <f ca="1">IFERROR(__xludf.DUMMYFUNCTION("""COMPUTED_VALUE"""),111.1)</f>
        <v>111.1</v>
      </c>
      <c r="N171" s="84" t="str">
        <f ca="1">IFERROR(__xludf.DUMMYFUNCTION("""COMPUTED_VALUE"""),"p")</f>
        <v>p</v>
      </c>
      <c r="O171" s="88">
        <f ca="1">IFERROR(__xludf.DUMMYFUNCTION("""COMPUTED_VALUE"""),92.3)</f>
        <v>92.3</v>
      </c>
      <c r="P171" s="85"/>
      <c r="Q171" s="75" t="b">
        <f ca="1">IFERROR(__xludf.DUMMYFUNCTION("""COMPUTED_VALUE"""),FALSE)</f>
        <v>0</v>
      </c>
      <c r="R171" s="75" t="b">
        <f ca="1">IFERROR(__xludf.DUMMYFUNCTION("""COMPUTED_VALUE"""),FALSE)</f>
        <v>0</v>
      </c>
      <c r="S171" s="75" t="b">
        <f ca="1">IFERROR(__xludf.DUMMYFUNCTION("""COMPUTED_VALUE"""),FALSE)</f>
        <v>0</v>
      </c>
      <c r="T171" s="75" t="b">
        <f ca="1">IFERROR(__xludf.DUMMYFUNCTION("""COMPUTED_VALUE"""),FALSE)</f>
        <v>0</v>
      </c>
      <c r="U171" s="86">
        <f ca="1">IFERROR(__xludf.DUMMYFUNCTION("""COMPUTED_VALUE"""),35)</f>
        <v>35</v>
      </c>
      <c r="V171" s="84"/>
      <c r="W171" s="87"/>
      <c r="X171" s="84"/>
      <c r="Y171" s="84" t="str">
        <f ca="1">IFERROR(__xludf.DUMMYFUNCTION("""COMPUTED_VALUE"""),"Fieldwork")</f>
        <v>Fieldwork</v>
      </c>
      <c r="Z171" s="66" t="s">
        <v>1981</v>
      </c>
    </row>
    <row r="172" spans="1:26" ht="15.75" customHeight="1">
      <c r="A172" s="83" t="str">
        <f ca="1">IFERROR(__xludf.DUMMYFUNCTION("""COMPUTED_VALUE"""),"W14SE")</f>
        <v>W14SE</v>
      </c>
      <c r="B172" s="84">
        <f ca="1">IFERROR(__xludf.DUMMYFUNCTION("""COMPUTED_VALUE"""),14)</f>
        <v>14</v>
      </c>
      <c r="C172" s="84" t="str">
        <f ca="1">IFERROR(__xludf.DUMMYFUNCTION("""COMPUTED_VALUE"""),"SE")</f>
        <v>SE</v>
      </c>
      <c r="D172" s="339">
        <f ca="1">IFERROR(__xludf.DUMMYFUNCTION("""COMPUTED_VALUE"""),3000)</f>
        <v>3000</v>
      </c>
      <c r="E172" s="84" t="str">
        <f ca="1">IFERROR(__xludf.DUMMYFUNCTION("""COMPUTED_VALUE"""),"3207016411T20050430")</f>
        <v>3207016411T20050430</v>
      </c>
      <c r="F172" s="84">
        <f ca="1">IFERROR(__xludf.DUMMYFUNCTION("""COMPUTED_VALUE"""),1103121987)</f>
        <v>1103121987</v>
      </c>
      <c r="G172" s="83"/>
      <c r="H172" s="84"/>
      <c r="I172" s="84">
        <f ca="1">IFERROR(__xludf.DUMMYFUNCTION("""COMPUTED_VALUE"""),114.1361696)</f>
        <v>114.1361696</v>
      </c>
      <c r="J172" s="84">
        <f ca="1">IFERROR(__xludf.DUMMYFUNCTION("""COMPUTED_VALUE"""),22.28651142)</f>
        <v>22.28651142</v>
      </c>
      <c r="K172" s="88">
        <f ca="1">IFERROR(__xludf.DUMMYFUNCTION("""COMPUTED_VALUE"""),3.8)</f>
        <v>3.8</v>
      </c>
      <c r="L172" s="84" t="str">
        <f ca="1">IFERROR(__xludf.DUMMYFUNCTION("""COMPUTED_VALUE"""),"l")</f>
        <v>l</v>
      </c>
      <c r="M172" s="88">
        <f ca="1">IFERROR(__xludf.DUMMYFUNCTION("""COMPUTED_VALUE"""),45.8)</f>
        <v>45.8</v>
      </c>
      <c r="N172" s="84" t="str">
        <f ca="1">IFERROR(__xludf.DUMMYFUNCTION("""COMPUTED_VALUE"""),"t")</f>
        <v>t</v>
      </c>
      <c r="O172" s="88">
        <f ca="1">IFERROR(__xludf.DUMMYFUNCTION("""COMPUTED_VALUE"""),42)</f>
        <v>42</v>
      </c>
      <c r="P172" s="85" t="str">
        <f ca="1">IFERROR(__xludf.DUMMYFUNCTION("""COMPUTED_VALUE"""),"408 DVRW")</f>
        <v>408 DVRW</v>
      </c>
      <c r="Q172" s="75" t="b">
        <f ca="1">IFERROR(__xludf.DUMMYFUNCTION("""COMPUTED_VALUE"""),FALSE)</f>
        <v>0</v>
      </c>
      <c r="R172" s="75" t="b">
        <f ca="1">IFERROR(__xludf.DUMMYFUNCTION("""COMPUTED_VALUE"""),FALSE)</f>
        <v>0</v>
      </c>
      <c r="S172" s="75" t="b">
        <f ca="1">IFERROR(__xludf.DUMMYFUNCTION("""COMPUTED_VALUE"""),TRUE)</f>
        <v>1</v>
      </c>
      <c r="T172" s="75" t="b">
        <f ca="1">IFERROR(__xludf.DUMMYFUNCTION("""COMPUTED_VALUE"""),FALSE)</f>
        <v>0</v>
      </c>
      <c r="U172" s="86">
        <f ca="1">IFERROR(__xludf.DUMMYFUNCTION("""COMPUTED_VALUE"""),13)</f>
        <v>13</v>
      </c>
      <c r="V172" s="84"/>
      <c r="W172" s="87"/>
      <c r="X172" s="84"/>
      <c r="Y172" s="84" t="str">
        <f ca="1">IFERROR(__xludf.DUMMYFUNCTION("""COMPUTED_VALUE"""),"Fieldwork")</f>
        <v>Fieldwork</v>
      </c>
      <c r="Z172" s="66" t="s">
        <v>1982</v>
      </c>
    </row>
    <row r="173" spans="1:26" ht="15.75" customHeight="1">
      <c r="A173" s="83" t="str">
        <f ca="1">IFERROR(__xludf.DUMMYFUNCTION("""COMPUTED_VALUE"""),"W14SW")</f>
        <v>W14SW</v>
      </c>
      <c r="B173" s="84">
        <f ca="1">IFERROR(__xludf.DUMMYFUNCTION("""COMPUTED_VALUE"""),14)</f>
        <v>14</v>
      </c>
      <c r="C173" s="84" t="str">
        <f ca="1">IFERROR(__xludf.DUMMYFUNCTION("""COMPUTED_VALUE"""),"SW")</f>
        <v>SW</v>
      </c>
      <c r="D173" s="339">
        <f ca="1">IFERROR(__xludf.DUMMYFUNCTION("""COMPUTED_VALUE"""),3000)</f>
        <v>3000</v>
      </c>
      <c r="E173" s="84" t="str">
        <f ca="1">IFERROR(__xludf.DUMMYFUNCTION("""COMPUTED_VALUE"""),"3202116412T20050430")</f>
        <v>3202116412T20050430</v>
      </c>
      <c r="F173" s="84">
        <f ca="1">IFERROR(__xludf.DUMMYFUNCTION("""COMPUTED_VALUE"""),1103121900)</f>
        <v>1103121900</v>
      </c>
      <c r="G173" s="83" t="str">
        <f ca="1">IFERROR(__xludf.DUMMYFUNCTION("""COMPUTED_VALUE"""),"Pacific Plaza")</f>
        <v>Pacific Plaza</v>
      </c>
      <c r="H173" s="84" t="str">
        <f ca="1">IFERROR(__xludf.DUMMYFUNCTION("""COMPUTED_VALUE"""),"太平洋廣場")</f>
        <v>太平洋廣場</v>
      </c>
      <c r="I173" s="84">
        <f ca="1">IFERROR(__xludf.DUMMYFUNCTION("""COMPUTED_VALUE"""),114.1356467)</f>
        <v>114.1356467</v>
      </c>
      <c r="J173" s="84">
        <f ca="1">IFERROR(__xludf.DUMMYFUNCTION("""COMPUTED_VALUE"""),22.28659513)</f>
        <v>22.286595129999998</v>
      </c>
      <c r="K173" s="88">
        <f ca="1">IFERROR(__xludf.DUMMYFUNCTION("""COMPUTED_VALUE"""),20.2)</f>
        <v>20.2</v>
      </c>
      <c r="L173" s="84" t="str">
        <f ca="1">IFERROR(__xludf.DUMMYFUNCTION("""COMPUTED_VALUE"""),"p")</f>
        <v>p</v>
      </c>
      <c r="M173" s="88">
        <f ca="1">IFERROR(__xludf.DUMMYFUNCTION("""COMPUTED_VALUE"""),92.9)</f>
        <v>92.9</v>
      </c>
      <c r="N173" s="84" t="str">
        <f ca="1">IFERROR(__xludf.DUMMYFUNCTION("""COMPUTED_VALUE"""),"p")</f>
        <v>p</v>
      </c>
      <c r="O173" s="88">
        <f ca="1">IFERROR(__xludf.DUMMYFUNCTION("""COMPUTED_VALUE"""),72.7)</f>
        <v>72.7</v>
      </c>
      <c r="P173" s="85"/>
      <c r="Q173" s="75"/>
      <c r="R173" s="75" t="b">
        <f ca="1">IFERROR(__xludf.DUMMYFUNCTION("""COMPUTED_VALUE"""),FALSE)</f>
        <v>0</v>
      </c>
      <c r="S173" s="75" t="b">
        <f ca="1">IFERROR(__xludf.DUMMYFUNCTION("""COMPUTED_VALUE"""),FALSE)</f>
        <v>0</v>
      </c>
      <c r="T173" s="75" t="b">
        <f ca="1">IFERROR(__xludf.DUMMYFUNCTION("""COMPUTED_VALUE"""),FALSE)</f>
        <v>0</v>
      </c>
      <c r="U173" s="86">
        <f ca="1">IFERROR(__xludf.DUMMYFUNCTION("""COMPUTED_VALUE"""),29)</f>
        <v>29</v>
      </c>
      <c r="V173" s="84"/>
      <c r="W173" s="87"/>
      <c r="X173" s="84"/>
      <c r="Y173" s="84" t="str">
        <f ca="1">IFERROR(__xludf.DUMMYFUNCTION("""COMPUTED_VALUE"""),"Fieldwork")</f>
        <v>Fieldwork</v>
      </c>
      <c r="Z173" s="66" t="s">
        <v>1983</v>
      </c>
    </row>
    <row r="174" spans="1:26" ht="15.75" customHeight="1">
      <c r="A174" s="83" t="str">
        <f ca="1">IFERROR(__xludf.DUMMYFUNCTION("""COMPUTED_VALUE"""),"W14NW")</f>
        <v>W14NW</v>
      </c>
      <c r="B174" s="84">
        <f ca="1">IFERROR(__xludf.DUMMYFUNCTION("""COMPUTED_VALUE"""),14)</f>
        <v>14</v>
      </c>
      <c r="C174" s="84" t="str">
        <f ca="1">IFERROR(__xludf.DUMMYFUNCTION("""COMPUTED_VALUE"""),"NW")</f>
        <v>NW</v>
      </c>
      <c r="D174" s="339">
        <f ca="1">IFERROR(__xludf.DUMMYFUNCTION("""COMPUTED_VALUE"""),3000)</f>
        <v>3000</v>
      </c>
      <c r="E174" s="84" t="str">
        <f ca="1">IFERROR(__xludf.DUMMYFUNCTION("""COMPUTED_VALUE"""),"3204216477T20050430")</f>
        <v>3204216477T20050430</v>
      </c>
      <c r="F174" s="84">
        <f ca="1">IFERROR(__xludf.DUMMYFUNCTION("""COMPUTED_VALUE"""),1103121540)</f>
        <v>1103121540</v>
      </c>
      <c r="G174" s="83" t="str">
        <f ca="1">IFERROR(__xludf.DUMMYFUNCTION("""COMPUTED_VALUE"""),"Hong Kong Plaza")</f>
        <v>Hong Kong Plaza</v>
      </c>
      <c r="H174" s="84" t="str">
        <f ca="1">IFERROR(__xludf.DUMMYFUNCTION("""COMPUTED_VALUE"""),"香港商業中心")</f>
        <v>香港商業中心</v>
      </c>
      <c r="I174" s="84">
        <f ca="1">IFERROR(__xludf.DUMMYFUNCTION("""COMPUTED_VALUE"""),114.1359189)</f>
        <v>114.13591889999999</v>
      </c>
      <c r="J174" s="84">
        <f ca="1">IFERROR(__xludf.DUMMYFUNCTION("""COMPUTED_VALUE"""),22.28710521)</f>
        <v>22.28710521</v>
      </c>
      <c r="K174" s="88">
        <f ca="1">IFERROR(__xludf.DUMMYFUNCTION("""COMPUTED_VALUE"""),18.6)</f>
        <v>18.600000000000001</v>
      </c>
      <c r="L174" s="84" t="str">
        <f ca="1">IFERROR(__xludf.DUMMYFUNCTION("""COMPUTED_VALUE"""),"p")</f>
        <v>p</v>
      </c>
      <c r="M174" s="88">
        <f ca="1">IFERROR(__xludf.DUMMYFUNCTION("""COMPUTED_VALUE"""),152)</f>
        <v>152</v>
      </c>
      <c r="N174" s="84" t="str">
        <f ca="1">IFERROR(__xludf.DUMMYFUNCTION("""COMPUTED_VALUE"""),"3")</f>
        <v>3</v>
      </c>
      <c r="O174" s="88">
        <f ca="1">IFERROR(__xludf.DUMMYFUNCTION("""COMPUTED_VALUE"""),133.4)</f>
        <v>133.4</v>
      </c>
      <c r="P174" s="85"/>
      <c r="Q174" s="75" t="b">
        <f ca="1">IFERROR(__xludf.DUMMYFUNCTION("""COMPUTED_VALUE"""),FALSE)</f>
        <v>0</v>
      </c>
      <c r="R174" s="75" t="b">
        <f ca="1">IFERROR(__xludf.DUMMYFUNCTION("""COMPUTED_VALUE"""),FALSE)</f>
        <v>0</v>
      </c>
      <c r="S174" s="75" t="b">
        <f ca="1">IFERROR(__xludf.DUMMYFUNCTION("""COMPUTED_VALUE"""),FALSE)</f>
        <v>0</v>
      </c>
      <c r="T174" s="75" t="b">
        <f ca="1">IFERROR(__xludf.DUMMYFUNCTION("""COMPUTED_VALUE"""),FALSE)</f>
        <v>0</v>
      </c>
      <c r="U174" s="86">
        <f ca="1">IFERROR(__xludf.DUMMYFUNCTION("""COMPUTED_VALUE"""),42)</f>
        <v>42</v>
      </c>
      <c r="V174" s="84"/>
      <c r="W174" s="87"/>
      <c r="X174" s="84"/>
      <c r="Y174" s="84" t="str">
        <f ca="1">IFERROR(__xludf.DUMMYFUNCTION("""COMPUTED_VALUE"""),"Fieldwork")</f>
        <v>Fieldwork</v>
      </c>
      <c r="Z174" s="66" t="s">
        <v>1984</v>
      </c>
    </row>
    <row r="175" spans="1:26" ht="15.75" customHeight="1">
      <c r="A175" s="83" t="str">
        <f ca="1">IFERROR(__xludf.DUMMYFUNCTION("""COMPUTED_VALUE"""),"N7NE")</f>
        <v>N7NE</v>
      </c>
      <c r="B175" s="84">
        <f ca="1">IFERROR(__xludf.DUMMYFUNCTION("""COMPUTED_VALUE"""),7)</f>
        <v>7</v>
      </c>
      <c r="C175" s="84" t="str">
        <f ca="1">IFERROR(__xludf.DUMMYFUNCTION("""COMPUTED_VALUE"""),"NE")</f>
        <v>NE</v>
      </c>
      <c r="D175" s="339">
        <f ca="1">IFERROR(__xludf.DUMMYFUNCTION("""COMPUTED_VALUE"""),3200)</f>
        <v>3200</v>
      </c>
      <c r="E175" s="84" t="str">
        <f ca="1">IFERROR(__xludf.DUMMYFUNCTION("""COMPUTED_VALUE"""),"3575318792T20080211")</f>
        <v>3575318792T20080211</v>
      </c>
      <c r="F175" s="84">
        <f ca="1">IFERROR(__xludf.DUMMYFUNCTION("""COMPUTED_VALUE"""),1108240652)</f>
        <v>1108240652</v>
      </c>
      <c r="G175" s="83" t="str">
        <f ca="1">IFERROR(__xludf.DUMMYFUNCTION("""COMPUTED_VALUE"""),"Eaton Hotel")</f>
        <v>Eaton Hotel</v>
      </c>
      <c r="H175" s="84"/>
      <c r="I175" s="84">
        <f ca="1">IFERROR(__xludf.DUMMYFUNCTION("""COMPUTED_VALUE"""),114.1718235)</f>
        <v>114.1718235</v>
      </c>
      <c r="J175" s="84">
        <f ca="1">IFERROR(__xludf.DUMMYFUNCTION("""COMPUTED_VALUE"""),22.30804235)</f>
        <v>22.308042350000001</v>
      </c>
      <c r="K175" s="88">
        <f ca="1">IFERROR(__xludf.DUMMYFUNCTION("""COMPUTED_VALUE"""),20.9)</f>
        <v>20.9</v>
      </c>
      <c r="L175" s="84" t="str">
        <f ca="1">IFERROR(__xludf.DUMMYFUNCTION("""COMPUTED_VALUE"""),"p")</f>
        <v>p</v>
      </c>
      <c r="M175" s="88">
        <f ca="1">IFERROR(__xludf.DUMMYFUNCTION("""COMPUTED_VALUE"""),32.599998)</f>
        <v>32.599997999999999</v>
      </c>
      <c r="N175" s="84" t="str">
        <f ca="1">IFERROR(__xludf.DUMMYFUNCTION("""COMPUTED_VALUE"""),"p")</f>
        <v>p</v>
      </c>
      <c r="O175" s="88">
        <f ca="1">IFERROR(__xludf.DUMMYFUNCTION("""COMPUTED_VALUE"""),11.699998)</f>
        <v>11.699998000000001</v>
      </c>
      <c r="P175" s="85"/>
      <c r="Q175" s="75" t="b">
        <f ca="1">IFERROR(__xludf.DUMMYFUNCTION("""COMPUTED_VALUE"""),FALSE)</f>
        <v>0</v>
      </c>
      <c r="R175" s="75" t="b">
        <f ca="1">IFERROR(__xludf.DUMMYFUNCTION("""COMPUTED_VALUE"""),FALSE)</f>
        <v>0</v>
      </c>
      <c r="S175" s="75" t="b">
        <f ca="1">IFERROR(__xludf.DUMMYFUNCTION("""COMPUTED_VALUE"""),FALSE)</f>
        <v>0</v>
      </c>
      <c r="T175" s="75"/>
      <c r="U175" s="86">
        <f ca="1">IFERROR(__xludf.DUMMYFUNCTION("""COMPUTED_VALUE"""),10)</f>
        <v>10</v>
      </c>
      <c r="V175" s="84">
        <f ca="1">IFERROR(__xludf.DUMMYFUNCTION("""COMPUTED_VALUE"""),0)</f>
        <v>0</v>
      </c>
      <c r="W175" s="87">
        <f ca="1">IFERROR(__xludf.DUMMYFUNCTION("""COMPUTED_VALUE"""),20)</f>
        <v>20</v>
      </c>
      <c r="X175" s="84">
        <f ca="1">IFERROR(__xludf.DUMMYFUNCTION("""COMPUTED_VALUE"""),1965)</f>
        <v>1965</v>
      </c>
      <c r="Y175" s="84" t="str">
        <f ca="1">IFERROR(__xludf.DUMMYFUNCTION("""COMPUTED_VALUE"""),"BMIS_auto")</f>
        <v>BMIS_auto</v>
      </c>
      <c r="Z175" s="66" t="s">
        <v>1986</v>
      </c>
    </row>
    <row r="176" spans="1:26" ht="15.75" customHeight="1">
      <c r="A176" s="83" t="str">
        <f ca="1">IFERROR(__xludf.DUMMYFUNCTION("""COMPUTED_VALUE"""),"N7SE")</f>
        <v>N7SE</v>
      </c>
      <c r="B176" s="84">
        <f ca="1">IFERROR(__xludf.DUMMYFUNCTION("""COMPUTED_VALUE"""),7)</f>
        <v>7</v>
      </c>
      <c r="C176" s="84" t="str">
        <f ca="1">IFERROR(__xludf.DUMMYFUNCTION("""COMPUTED_VALUE"""),"SE")</f>
        <v>SE</v>
      </c>
      <c r="D176" s="339">
        <f ca="1">IFERROR(__xludf.DUMMYFUNCTION("""COMPUTED_VALUE"""),3200)</f>
        <v>3200</v>
      </c>
      <c r="E176" s="84" t="str">
        <f ca="1">IFERROR(__xludf.DUMMYFUNCTION("""COMPUTED_VALUE"""),"3567218718T20050430")</f>
        <v>3567218718T20050430</v>
      </c>
      <c r="F176" s="84">
        <f ca="1">IFERROR(__xludf.DUMMYFUNCTION("""COMPUTED_VALUE"""),1108240865)</f>
        <v>1108240865</v>
      </c>
      <c r="G176" s="83" t="str">
        <f ca="1">IFERROR(__xludf.DUMMYFUNCTION("""COMPUTED_VALUE"""),"Manulife Provident Funds Place")</f>
        <v>Manulife Provident Funds Place</v>
      </c>
      <c r="H176" s="84" t="str">
        <f ca="1">IFERROR(__xludf.DUMMYFUNCTION("""COMPUTED_VALUE"""),"宏利公積金大廈")</f>
        <v>宏利公積金大廈</v>
      </c>
      <c r="I176" s="84">
        <f ca="1">IFERROR(__xludf.DUMMYFUNCTION("""COMPUTED_VALUE"""),114.1710816)</f>
        <v>114.17108159999999</v>
      </c>
      <c r="J176" s="84">
        <f ca="1">IFERROR(__xludf.DUMMYFUNCTION("""COMPUTED_VALUE"""),22.30744805)</f>
        <v>22.307448050000001</v>
      </c>
      <c r="K176" s="88">
        <f ca="1">IFERROR(__xludf.DUMMYFUNCTION("""COMPUTED_VALUE"""),17.799999)</f>
        <v>17.799999</v>
      </c>
      <c r="L176" s="84" t="str">
        <f ca="1">IFERROR(__xludf.DUMMYFUNCTION("""COMPUTED_VALUE"""),"p")</f>
        <v>p</v>
      </c>
      <c r="M176" s="88">
        <f ca="1">IFERROR(__xludf.DUMMYFUNCTION("""COMPUTED_VALUE"""),59.099998)</f>
        <v>59.099997999999999</v>
      </c>
      <c r="N176" s="84" t="str">
        <f ca="1">IFERROR(__xludf.DUMMYFUNCTION("""COMPUTED_VALUE"""),"p")</f>
        <v>p</v>
      </c>
      <c r="O176" s="88">
        <f ca="1">IFERROR(__xludf.DUMMYFUNCTION("""COMPUTED_VALUE"""),41.299999)</f>
        <v>41.299999</v>
      </c>
      <c r="P176" s="85"/>
      <c r="Q176" s="75" t="b">
        <f ca="1">IFERROR(__xludf.DUMMYFUNCTION("""COMPUTED_VALUE"""),FALSE)</f>
        <v>0</v>
      </c>
      <c r="R176" s="75" t="b">
        <f ca="1">IFERROR(__xludf.DUMMYFUNCTION("""COMPUTED_VALUE"""),FALSE)</f>
        <v>0</v>
      </c>
      <c r="S176" s="75" t="b">
        <f ca="1">IFERROR(__xludf.DUMMYFUNCTION("""COMPUTED_VALUE"""),FALSE)</f>
        <v>0</v>
      </c>
      <c r="T176" s="75"/>
      <c r="U176" s="86">
        <f ca="1">IFERROR(__xludf.DUMMYFUNCTION("""COMPUTED_VALUE"""),18)</f>
        <v>18</v>
      </c>
      <c r="V176" s="84">
        <f ca="1">IFERROR(__xludf.DUMMYFUNCTION("""COMPUTED_VALUE"""),0)</f>
        <v>0</v>
      </c>
      <c r="W176" s="87">
        <f ca="1">IFERROR(__xludf.DUMMYFUNCTION("""COMPUTED_VALUE"""),21)</f>
        <v>21</v>
      </c>
      <c r="X176" s="84">
        <f ca="1">IFERROR(__xludf.DUMMYFUNCTION("""COMPUTED_VALUE"""),1999)</f>
        <v>1999</v>
      </c>
      <c r="Y176" s="84" t="str">
        <f ca="1">IFERROR(__xludf.DUMMYFUNCTION("""COMPUTED_VALUE"""),"BMIS_auto")</f>
        <v>BMIS_auto</v>
      </c>
      <c r="Z176" s="66" t="s">
        <v>1988</v>
      </c>
    </row>
    <row r="177" spans="1:26" ht="15.75" customHeight="1">
      <c r="A177" s="83" t="str">
        <f ca="1">IFERROR(__xludf.DUMMYFUNCTION("""COMPUTED_VALUE"""),"N7SW")</f>
        <v>N7SW</v>
      </c>
      <c r="B177" s="84">
        <f ca="1">IFERROR(__xludf.DUMMYFUNCTION("""COMPUTED_VALUE"""),7)</f>
        <v>7</v>
      </c>
      <c r="C177" s="84" t="str">
        <f ca="1">IFERROR(__xludf.DUMMYFUNCTION("""COMPUTED_VALUE"""),"SW")</f>
        <v>SW</v>
      </c>
      <c r="D177" s="339">
        <f ca="1">IFERROR(__xludf.DUMMYFUNCTION("""COMPUTED_VALUE"""),3200)</f>
        <v>3200</v>
      </c>
      <c r="E177" s="84" t="str">
        <f ca="1">IFERROR(__xludf.DUMMYFUNCTION("""COMPUTED_VALUE"""),"3573518740T20050430")</f>
        <v>3573518740T20050430</v>
      </c>
      <c r="F177" s="84">
        <f ca="1">IFERROR(__xludf.DUMMYFUNCTION("""COMPUTED_VALUE"""),1108240829)</f>
        <v>1108240829</v>
      </c>
      <c r="G177" s="83" t="str">
        <f ca="1">IFERROR(__xludf.DUMMYFUNCTION("""COMPUTED_VALUE"""),"Nathan Hotel")</f>
        <v>Nathan Hotel</v>
      </c>
      <c r="H177" s="84" t="str">
        <f ca="1">IFERROR(__xludf.DUMMYFUNCTION("""COMPUTED_VALUE"""),"彌敦酒店")</f>
        <v>彌敦酒店</v>
      </c>
      <c r="I177" s="84">
        <f ca="1">IFERROR(__xludf.DUMMYFUNCTION("""COMPUTED_VALUE"""),114.171665)</f>
        <v>114.171665</v>
      </c>
      <c r="J177" s="84">
        <f ca="1">IFERROR(__xludf.DUMMYFUNCTION("""COMPUTED_VALUE"""),22.30762817)</f>
        <v>22.307628170000001</v>
      </c>
      <c r="K177" s="88">
        <f ca="1">IFERROR(__xludf.DUMMYFUNCTION("""COMPUTED_VALUE"""),5.5)</f>
        <v>5.5</v>
      </c>
      <c r="L177" s="84" t="str">
        <f ca="1">IFERROR(__xludf.DUMMYFUNCTION("""COMPUTED_VALUE"""),"l")</f>
        <v>l</v>
      </c>
      <c r="M177" s="88">
        <f ca="1">IFERROR(__xludf.DUMMYFUNCTION("""COMPUTED_VALUE"""),59.700001)</f>
        <v>59.700001</v>
      </c>
      <c r="N177" s="84" t="str">
        <f ca="1">IFERROR(__xludf.DUMMYFUNCTION("""COMPUTED_VALUE"""),"p")</f>
        <v>p</v>
      </c>
      <c r="O177" s="88">
        <f ca="1">IFERROR(__xludf.DUMMYFUNCTION("""COMPUTED_VALUE"""),54.200001)</f>
        <v>54.200001</v>
      </c>
      <c r="P177" s="85"/>
      <c r="Q177" s="75" t="b">
        <f ca="1">IFERROR(__xludf.DUMMYFUNCTION("""COMPUTED_VALUE"""),FALSE)</f>
        <v>0</v>
      </c>
      <c r="R177" s="75" t="b">
        <f ca="1">IFERROR(__xludf.DUMMYFUNCTION("""COMPUTED_VALUE"""),FALSE)</f>
        <v>0</v>
      </c>
      <c r="S177" s="75" t="b">
        <f ca="1">IFERROR(__xludf.DUMMYFUNCTION("""COMPUTED_VALUE"""),FALSE)</f>
        <v>0</v>
      </c>
      <c r="T177" s="75"/>
      <c r="U177" s="86">
        <f ca="1">IFERROR(__xludf.DUMMYFUNCTION("""COMPUTED_VALUE"""),16)</f>
        <v>16</v>
      </c>
      <c r="V177" s="84"/>
      <c r="W177" s="87"/>
      <c r="X177" s="84"/>
      <c r="Y177" s="84" t="str">
        <f ca="1">IFERROR(__xludf.DUMMYFUNCTION("""COMPUTED_VALUE"""),"Google Earth")</f>
        <v>Google Earth</v>
      </c>
      <c r="Z177" s="66" t="s">
        <v>1990</v>
      </c>
    </row>
    <row r="178" spans="1:26" ht="15.75" customHeight="1">
      <c r="A178" s="83" t="str">
        <f ca="1">IFERROR(__xludf.DUMMYFUNCTION("""COMPUTED_VALUE"""),"N7NW")</f>
        <v>N7NW</v>
      </c>
      <c r="B178" s="84">
        <f ca="1">IFERROR(__xludf.DUMMYFUNCTION("""COMPUTED_VALUE"""),7)</f>
        <v>7</v>
      </c>
      <c r="C178" s="84" t="str">
        <f ca="1">IFERROR(__xludf.DUMMYFUNCTION("""COMPUTED_VALUE"""),"NW")</f>
        <v>NW</v>
      </c>
      <c r="D178" s="339">
        <f ca="1">IFERROR(__xludf.DUMMYFUNCTION("""COMPUTED_VALUE"""),3200)</f>
        <v>3200</v>
      </c>
      <c r="E178" s="84" t="str">
        <f ca="1">IFERROR(__xludf.DUMMYFUNCTION("""COMPUTED_VALUE"""),"3567418777T20050430")</f>
        <v>3567418777T20050430</v>
      </c>
      <c r="F178" s="84">
        <f ca="1">IFERROR(__xludf.DUMMYFUNCTION("""COMPUTED_VALUE"""),1108240658)</f>
        <v>1108240658</v>
      </c>
      <c r="G178" s="83" t="str">
        <f ca="1">IFERROR(__xludf.DUMMYFUNCTION("""COMPUTED_VALUE"""),"Hang Shing Building")</f>
        <v>Hang Shing Building</v>
      </c>
      <c r="H178" s="84" t="str">
        <f ca="1">IFERROR(__xludf.DUMMYFUNCTION("""COMPUTED_VALUE"""),"恒成大廈")</f>
        <v>恒成大廈</v>
      </c>
      <c r="I178" s="84">
        <f ca="1">IFERROR(__xludf.DUMMYFUNCTION("""COMPUTED_VALUE"""),114.1710676)</f>
        <v>114.1710676</v>
      </c>
      <c r="J178" s="84">
        <f ca="1">IFERROR(__xludf.DUMMYFUNCTION("""COMPUTED_VALUE"""),22.30796114)</f>
        <v>22.30796114</v>
      </c>
      <c r="K178" s="88">
        <f ca="1">IFERROR(__xludf.DUMMYFUNCTION("""COMPUTED_VALUE"""),20.4)</f>
        <v>20.399999999999999</v>
      </c>
      <c r="L178" s="84" t="str">
        <f ca="1">IFERROR(__xludf.DUMMYFUNCTION("""COMPUTED_VALUE"""),"p")</f>
        <v>p</v>
      </c>
      <c r="M178" s="88">
        <f ca="1">IFERROR(__xludf.DUMMYFUNCTION("""COMPUTED_VALUE"""),60.700001)</f>
        <v>60.700001</v>
      </c>
      <c r="N178" s="84" t="str">
        <f ca="1">IFERROR(__xludf.DUMMYFUNCTION("""COMPUTED_VALUE"""),"p")</f>
        <v>p</v>
      </c>
      <c r="O178" s="88">
        <f ca="1">IFERROR(__xludf.DUMMYFUNCTION("""COMPUTED_VALUE"""),40.300001)</f>
        <v>40.300001000000002</v>
      </c>
      <c r="P178" s="85"/>
      <c r="Q178" s="75" t="b">
        <f ca="1">IFERROR(__xludf.DUMMYFUNCTION("""COMPUTED_VALUE"""),FALSE)</f>
        <v>0</v>
      </c>
      <c r="R178" s="75" t="b">
        <f ca="1">IFERROR(__xludf.DUMMYFUNCTION("""COMPUTED_VALUE"""),FALSE)</f>
        <v>0</v>
      </c>
      <c r="S178" s="75" t="b">
        <f ca="1">IFERROR(__xludf.DUMMYFUNCTION("""COMPUTED_VALUE"""),FALSE)</f>
        <v>0</v>
      </c>
      <c r="T178" s="75"/>
      <c r="U178" s="86">
        <f ca="1">IFERROR(__xludf.DUMMYFUNCTION("""COMPUTED_VALUE"""),16)</f>
        <v>16</v>
      </c>
      <c r="V178" s="84">
        <f ca="1">IFERROR(__xludf.DUMMYFUNCTION("""COMPUTED_VALUE"""),0)</f>
        <v>0</v>
      </c>
      <c r="W178" s="87">
        <f ca="1">IFERROR(__xludf.DUMMYFUNCTION("""COMPUTED_VALUE"""),110)</f>
        <v>110</v>
      </c>
      <c r="X178" s="84">
        <f ca="1">IFERROR(__xludf.DUMMYFUNCTION("""COMPUTED_VALUE"""),1975)</f>
        <v>1975</v>
      </c>
      <c r="Y178" s="84" t="str">
        <f ca="1">IFERROR(__xludf.DUMMYFUNCTION("""COMPUTED_VALUE"""),"BMIS_auto")</f>
        <v>BMIS_auto</v>
      </c>
      <c r="Z178" s="66" t="s">
        <v>1992</v>
      </c>
    </row>
    <row r="179" spans="1:26" ht="15.75" customHeight="1">
      <c r="A179" s="83" t="str">
        <f ca="1">IFERROR(__xludf.DUMMYFUNCTION("""COMPUTED_VALUE"""),"E15NE")</f>
        <v>E15NE</v>
      </c>
      <c r="B179" s="84">
        <f ca="1">IFERROR(__xludf.DUMMYFUNCTION("""COMPUTED_VALUE"""),15)</f>
        <v>15</v>
      </c>
      <c r="C179" s="84" t="str">
        <f ca="1">IFERROR(__xludf.DUMMYFUNCTION("""COMPUTED_VALUE"""),"NE")</f>
        <v>NE</v>
      </c>
      <c r="D179" s="339">
        <f ca="1">IFERROR(__xludf.DUMMYFUNCTION("""COMPUTED_VALUE"""),3200)</f>
        <v>3200</v>
      </c>
      <c r="E179" s="84" t="str">
        <f ca="1">IFERROR(__xludf.DUMMYFUNCTION("""COMPUTED_VALUE"""),"3685815649T20050430")</f>
        <v>3685815649T20050430</v>
      </c>
      <c r="F179" s="84">
        <f ca="1">IFERROR(__xludf.DUMMYFUNCTION("""COMPUTED_VALUE"""),1103127238)</f>
        <v>1103127238</v>
      </c>
      <c r="G179" s="83" t="str">
        <f ca="1">IFERROR(__xludf.DUMMYFUNCTION("""COMPUTED_VALUE"""),"Thai Kong Building")</f>
        <v>Thai Kong Building</v>
      </c>
      <c r="H179" s="84" t="str">
        <f ca="1">IFERROR(__xludf.DUMMYFUNCTION("""COMPUTED_VALUE"""),"泰港大廈")</f>
        <v>泰港大廈</v>
      </c>
      <c r="I179" s="84">
        <f ca="1">IFERROR(__xludf.DUMMYFUNCTION("""COMPUTED_VALUE"""),114.1826522)</f>
        <v>114.18265220000001</v>
      </c>
      <c r="J179" s="84">
        <f ca="1">IFERROR(__xludf.DUMMYFUNCTION("""COMPUTED_VALUE"""),22.27962433)</f>
        <v>22.279624330000001</v>
      </c>
      <c r="K179" s="88">
        <f ca="1">IFERROR(__xludf.DUMMYFUNCTION("""COMPUTED_VALUE"""),3.8)</f>
        <v>3.8</v>
      </c>
      <c r="L179" s="84" t="str">
        <f ca="1">IFERROR(__xludf.DUMMYFUNCTION("""COMPUTED_VALUE"""),"l")</f>
        <v>l</v>
      </c>
      <c r="M179" s="88">
        <f ca="1">IFERROR(__xludf.DUMMYFUNCTION("""COMPUTED_VALUE"""),67.3)</f>
        <v>67.3</v>
      </c>
      <c r="N179" s="84" t="str">
        <f ca="1">IFERROR(__xludf.DUMMYFUNCTION("""COMPUTED_VALUE"""),"3")</f>
        <v>3</v>
      </c>
      <c r="O179" s="88">
        <f ca="1">IFERROR(__xludf.DUMMYFUNCTION("""COMPUTED_VALUE"""),63.5)</f>
        <v>63.5</v>
      </c>
      <c r="P179" s="85"/>
      <c r="Q179" s="75" t="b">
        <f ca="1">IFERROR(__xludf.DUMMYFUNCTION("""COMPUTED_VALUE"""),FALSE)</f>
        <v>0</v>
      </c>
      <c r="R179" s="75" t="b">
        <f ca="1">IFERROR(__xludf.DUMMYFUNCTION("""COMPUTED_VALUE"""),FALSE)</f>
        <v>0</v>
      </c>
      <c r="S179" s="75" t="b">
        <f ca="1">IFERROR(__xludf.DUMMYFUNCTION("""COMPUTED_VALUE"""),FALSE)</f>
        <v>0</v>
      </c>
      <c r="T179" s="75" t="b">
        <f ca="1">IFERROR(__xludf.DUMMYFUNCTION("""COMPUTED_VALUE"""),FALSE)</f>
        <v>0</v>
      </c>
      <c r="U179" s="86">
        <f ca="1">IFERROR(__xludf.DUMMYFUNCTION("""COMPUTED_VALUE"""),23)</f>
        <v>23</v>
      </c>
      <c r="V179" s="84">
        <f ca="1">IFERROR(__xludf.DUMMYFUNCTION("""COMPUTED_VALUE"""),0)</f>
        <v>0</v>
      </c>
      <c r="W179" s="87">
        <f ca="1">IFERROR(__xludf.DUMMYFUNCTION("""COMPUTED_VALUE"""),106)</f>
        <v>106</v>
      </c>
      <c r="X179" s="84">
        <f ca="1">IFERROR(__xludf.DUMMYFUNCTION("""COMPUTED_VALUE"""),1966)</f>
        <v>1966</v>
      </c>
      <c r="Y179" s="84" t="str">
        <f ca="1">IFERROR(__xludf.DUMMYFUNCTION("""COMPUTED_VALUE"""),"BMIS")</f>
        <v>BMIS</v>
      </c>
      <c r="Z179" s="66" t="s">
        <v>1994</v>
      </c>
    </row>
    <row r="180" spans="1:26" ht="15.75" customHeight="1">
      <c r="A180" s="83" t="str">
        <f ca="1">IFERROR(__xludf.DUMMYFUNCTION("""COMPUTED_VALUE"""),"E15SE")</f>
        <v>E15SE</v>
      </c>
      <c r="B180" s="84">
        <f ca="1">IFERROR(__xludf.DUMMYFUNCTION("""COMPUTED_VALUE"""),15)</f>
        <v>15</v>
      </c>
      <c r="C180" s="84" t="str">
        <f ca="1">IFERROR(__xludf.DUMMYFUNCTION("""COMPUTED_VALUE"""),"SE")</f>
        <v>SE</v>
      </c>
      <c r="D180" s="339">
        <f ca="1">IFERROR(__xludf.DUMMYFUNCTION("""COMPUTED_VALUE"""),3200)</f>
        <v>3200</v>
      </c>
      <c r="E180" s="84" t="str">
        <f ca="1">IFERROR(__xludf.DUMMYFUNCTION("""COMPUTED_VALUE"""),"3681015630T20050430")</f>
        <v>3681015630T20050430</v>
      </c>
      <c r="F180" s="84">
        <f ca="1">IFERROR(__xludf.DUMMYFUNCTION("""COMPUTED_VALUE"""),1103127322)</f>
        <v>1103127322</v>
      </c>
      <c r="G180" s="83" t="str">
        <f ca="1">IFERROR(__xludf.DUMMYFUNCTION("""COMPUTED_VALUE"""),"Cameron Commercial Centre")</f>
        <v>Cameron Commercial Centre</v>
      </c>
      <c r="H180" s="84" t="str">
        <f ca="1">IFERROR(__xludf.DUMMYFUNCTION("""COMPUTED_VALUE"""),"金聯商業中心")</f>
        <v>金聯商業中心</v>
      </c>
      <c r="I180" s="84">
        <f ca="1">IFERROR(__xludf.DUMMYFUNCTION("""COMPUTED_VALUE"""),114.1821622)</f>
        <v>114.18216219999999</v>
      </c>
      <c r="J180" s="84">
        <f ca="1">IFERROR(__xludf.DUMMYFUNCTION("""COMPUTED_VALUE"""),22.27950105)</f>
        <v>22.27950105</v>
      </c>
      <c r="K180" s="88">
        <f ca="1">IFERROR(__xludf.DUMMYFUNCTION("""COMPUTED_VALUE"""),3.8)</f>
        <v>3.8</v>
      </c>
      <c r="L180" s="84" t="str">
        <f ca="1">IFERROR(__xludf.DUMMYFUNCTION("""COMPUTED_VALUE"""),"l")</f>
        <v>l</v>
      </c>
      <c r="M180" s="88">
        <f ca="1">IFERROR(__xludf.DUMMYFUNCTION("""COMPUTED_VALUE"""),74.4)</f>
        <v>74.400000000000006</v>
      </c>
      <c r="N180" s="84" t="str">
        <f ca="1">IFERROR(__xludf.DUMMYFUNCTION("""COMPUTED_VALUE"""),"p")</f>
        <v>p</v>
      </c>
      <c r="O180" s="88">
        <f ca="1">IFERROR(__xludf.DUMMYFUNCTION("""COMPUTED_VALUE"""),70.6)</f>
        <v>70.599999999999994</v>
      </c>
      <c r="P180" s="85"/>
      <c r="Q180" s="75" t="b">
        <f ca="1">IFERROR(__xludf.DUMMYFUNCTION("""COMPUTED_VALUE"""),FALSE)</f>
        <v>0</v>
      </c>
      <c r="R180" s="75" t="b">
        <f ca="1">IFERROR(__xludf.DUMMYFUNCTION("""COMPUTED_VALUE"""),FALSE)</f>
        <v>0</v>
      </c>
      <c r="S180" s="75" t="b">
        <f ca="1">IFERROR(__xludf.DUMMYFUNCTION("""COMPUTED_VALUE"""),FALSE)</f>
        <v>0</v>
      </c>
      <c r="T180" s="75" t="b">
        <f ca="1">IFERROR(__xludf.DUMMYFUNCTION("""COMPUTED_VALUE"""),FALSE)</f>
        <v>0</v>
      </c>
      <c r="U180" s="86">
        <f ca="1">IFERROR(__xludf.DUMMYFUNCTION("""COMPUTED_VALUE"""),22)</f>
        <v>22</v>
      </c>
      <c r="V180" s="84">
        <f ca="1">IFERROR(__xludf.DUMMYFUNCTION("""COMPUTED_VALUE"""),0)</f>
        <v>0</v>
      </c>
      <c r="W180" s="87">
        <f ca="1">IFERROR(__xludf.DUMMYFUNCTION("""COMPUTED_VALUE"""),74)</f>
        <v>74</v>
      </c>
      <c r="X180" s="84">
        <f ca="1">IFERROR(__xludf.DUMMYFUNCTION("""COMPUTED_VALUE"""),1976)</f>
        <v>1976</v>
      </c>
      <c r="Y180" s="84" t="str">
        <f ca="1">IFERROR(__xludf.DUMMYFUNCTION("""COMPUTED_VALUE"""),"BMIS_auto")</f>
        <v>BMIS_auto</v>
      </c>
      <c r="Z180" s="66" t="s">
        <v>1996</v>
      </c>
    </row>
    <row r="181" spans="1:26" ht="15.75" customHeight="1">
      <c r="A181" s="83" t="str">
        <f ca="1">IFERROR(__xludf.DUMMYFUNCTION("""COMPUTED_VALUE"""),"E15SW")</f>
        <v>E15SW</v>
      </c>
      <c r="B181" s="84">
        <f ca="1">IFERROR(__xludf.DUMMYFUNCTION("""COMPUTED_VALUE"""),15)</f>
        <v>15</v>
      </c>
      <c r="C181" s="84" t="str">
        <f ca="1">IFERROR(__xludf.DUMMYFUNCTION("""COMPUTED_VALUE"""),"SW")</f>
        <v>SW</v>
      </c>
      <c r="D181" s="339">
        <f ca="1">IFERROR(__xludf.DUMMYFUNCTION("""COMPUTED_VALUE"""),3200)</f>
        <v>3200</v>
      </c>
      <c r="E181" s="84" t="str">
        <f ca="1">IFERROR(__xludf.DUMMYFUNCTION("""COMPUTED_VALUE"""),"3680515665T20050430")</f>
        <v>3680515665T20050430</v>
      </c>
      <c r="F181" s="84">
        <f ca="1">IFERROR(__xludf.DUMMYFUNCTION("""COMPUTED_VALUE"""),1103127103)</f>
        <v>1103127103</v>
      </c>
      <c r="G181" s="83" t="str">
        <f ca="1">IFERROR(__xludf.DUMMYFUNCTION("""COMPUTED_VALUE"""),"459-465 Henessey Road")</f>
        <v>459-465 Henessey Road</v>
      </c>
      <c r="H181" s="84"/>
      <c r="I181" s="84">
        <f ca="1">IFERROR(__xludf.DUMMYFUNCTION("""COMPUTED_VALUE"""),114.1820594)</f>
        <v>114.1820594</v>
      </c>
      <c r="J181" s="84">
        <f ca="1">IFERROR(__xludf.DUMMYFUNCTION("""COMPUTED_VALUE"""),22.27990823)</f>
        <v>22.27990823</v>
      </c>
      <c r="K181" s="88">
        <f ca="1">IFERROR(__xludf.DUMMYFUNCTION("""COMPUTED_VALUE"""),3.5)</f>
        <v>3.5</v>
      </c>
      <c r="L181" s="84" t="str">
        <f ca="1">IFERROR(__xludf.DUMMYFUNCTION("""COMPUTED_VALUE"""),"l")</f>
        <v>l</v>
      </c>
      <c r="M181" s="88">
        <f ca="1">IFERROR(__xludf.DUMMYFUNCTION("""COMPUTED_VALUE"""),53.4)</f>
        <v>53.4</v>
      </c>
      <c r="N181" s="84" t="str">
        <f ca="1">IFERROR(__xludf.DUMMYFUNCTION("""COMPUTED_VALUE"""),"p")</f>
        <v>p</v>
      </c>
      <c r="O181" s="88">
        <f ca="1">IFERROR(__xludf.DUMMYFUNCTION("""COMPUTED_VALUE"""),49.9)</f>
        <v>49.9</v>
      </c>
      <c r="P181" s="85"/>
      <c r="Q181" s="75" t="b">
        <f ca="1">IFERROR(__xludf.DUMMYFUNCTION("""COMPUTED_VALUE"""),FALSE)</f>
        <v>0</v>
      </c>
      <c r="R181" s="75" t="b">
        <f ca="1">IFERROR(__xludf.DUMMYFUNCTION("""COMPUTED_VALUE"""),FALSE)</f>
        <v>0</v>
      </c>
      <c r="S181" s="75" t="b">
        <f ca="1">IFERROR(__xludf.DUMMYFUNCTION("""COMPUTED_VALUE"""),TRUE)</f>
        <v>1</v>
      </c>
      <c r="T181" s="75" t="b">
        <f ca="1">IFERROR(__xludf.DUMMYFUNCTION("""COMPUTED_VALUE"""),FALSE)</f>
        <v>0</v>
      </c>
      <c r="U181" s="86">
        <f ca="1">IFERROR(__xludf.DUMMYFUNCTION("""COMPUTED_VALUE"""),15)</f>
        <v>15</v>
      </c>
      <c r="V181" s="84">
        <f ca="1">IFERROR(__xludf.DUMMYFUNCTION("""COMPUTED_VALUE"""),0)</f>
        <v>0</v>
      </c>
      <c r="W181" s="87">
        <f ca="1">IFERROR(__xludf.DUMMYFUNCTION("""COMPUTED_VALUE"""),30)</f>
        <v>30</v>
      </c>
      <c r="X181" s="84">
        <f ca="1">IFERROR(__xludf.DUMMYFUNCTION("""COMPUTED_VALUE"""),1966)</f>
        <v>1966</v>
      </c>
      <c r="Y181" s="84" t="str">
        <f ca="1">IFERROR(__xludf.DUMMYFUNCTION("""COMPUTED_VALUE"""),"BMIS_auto")</f>
        <v>BMIS_auto</v>
      </c>
      <c r="Z181" s="66" t="s">
        <v>1998</v>
      </c>
    </row>
    <row r="182" spans="1:26" ht="15.75" customHeight="1">
      <c r="A182" s="83" t="str">
        <f ca="1">IFERROR(__xludf.DUMMYFUNCTION("""COMPUTED_VALUE"""),"E15NW")</f>
        <v>E15NW</v>
      </c>
      <c r="B182" s="84">
        <f ca="1">IFERROR(__xludf.DUMMYFUNCTION("""COMPUTED_VALUE"""),15)</f>
        <v>15</v>
      </c>
      <c r="C182" s="84" t="str">
        <f ca="1">IFERROR(__xludf.DUMMYFUNCTION("""COMPUTED_VALUE"""),"NW")</f>
        <v>NW</v>
      </c>
      <c r="D182" s="339">
        <f ca="1">IFERROR(__xludf.DUMMYFUNCTION("""COMPUTED_VALUE"""),3200)</f>
        <v>3200</v>
      </c>
      <c r="E182" s="84" t="str">
        <f ca="1">IFERROR(__xludf.DUMMYFUNCTION("""COMPUTED_VALUE"""),"3683815678T20050430")</f>
        <v>3683815678T20050430</v>
      </c>
      <c r="F182" s="84">
        <f ca="1">IFERROR(__xludf.DUMMYFUNCTION("""COMPUTED_VALUE"""),1103127021)</f>
        <v>1103127021</v>
      </c>
      <c r="G182" s="83" t="str">
        <f ca="1">IFERROR(__xludf.DUMMYFUNCTION("""COMPUTED_VALUE"""),"East South Building")</f>
        <v>East South Building</v>
      </c>
      <c r="H182" s="84" t="str">
        <f ca="1">IFERROR(__xludf.DUMMYFUNCTION("""COMPUTED_VALUE"""),"東南大廈")</f>
        <v>東南大廈</v>
      </c>
      <c r="I182" s="84">
        <f ca="1">IFERROR(__xludf.DUMMYFUNCTION("""COMPUTED_VALUE"""),114.1823889)</f>
        <v>114.18238890000001</v>
      </c>
      <c r="J182" s="84">
        <f ca="1">IFERROR(__xludf.DUMMYFUNCTION("""COMPUTED_VALUE"""),22.2800435)</f>
        <v>22.280043500000001</v>
      </c>
      <c r="K182" s="88">
        <f ca="1">IFERROR(__xludf.DUMMYFUNCTION("""COMPUTED_VALUE"""),3.4)</f>
        <v>3.4</v>
      </c>
      <c r="L182" s="84" t="str">
        <f ca="1">IFERROR(__xludf.DUMMYFUNCTION("""COMPUTED_VALUE"""),"l")</f>
        <v>l</v>
      </c>
      <c r="M182" s="88">
        <f ca="1">IFERROR(__xludf.DUMMYFUNCTION("""COMPUTED_VALUE"""),52.8)</f>
        <v>52.8</v>
      </c>
      <c r="N182" s="84" t="str">
        <f ca="1">IFERROR(__xludf.DUMMYFUNCTION("""COMPUTED_VALUE"""),"p")</f>
        <v>p</v>
      </c>
      <c r="O182" s="88">
        <f ca="1">IFERROR(__xludf.DUMMYFUNCTION("""COMPUTED_VALUE"""),49.4)</f>
        <v>49.4</v>
      </c>
      <c r="P182" s="85"/>
      <c r="Q182" s="75" t="b">
        <f ca="1">IFERROR(__xludf.DUMMYFUNCTION("""COMPUTED_VALUE"""),FALSE)</f>
        <v>0</v>
      </c>
      <c r="R182" s="75" t="b">
        <f ca="1">IFERROR(__xludf.DUMMYFUNCTION("""COMPUTED_VALUE"""),FALSE)</f>
        <v>0</v>
      </c>
      <c r="S182" s="75" t="b">
        <f ca="1">IFERROR(__xludf.DUMMYFUNCTION("""COMPUTED_VALUE"""),FALSE)</f>
        <v>0</v>
      </c>
      <c r="T182" s="75" t="b">
        <f ca="1">IFERROR(__xludf.DUMMYFUNCTION("""COMPUTED_VALUE"""),FALSE)</f>
        <v>0</v>
      </c>
      <c r="U182" s="86">
        <f ca="1">IFERROR(__xludf.DUMMYFUNCTION("""COMPUTED_VALUE"""),15)</f>
        <v>15</v>
      </c>
      <c r="V182" s="84">
        <f ca="1">IFERROR(__xludf.DUMMYFUNCTION("""COMPUTED_VALUE"""),0)</f>
        <v>0</v>
      </c>
      <c r="W182" s="87">
        <f ca="1">IFERROR(__xludf.DUMMYFUNCTION("""COMPUTED_VALUE"""),96)</f>
        <v>96</v>
      </c>
      <c r="X182" s="84">
        <f ca="1">IFERROR(__xludf.DUMMYFUNCTION("""COMPUTED_VALUE"""),1965)</f>
        <v>1965</v>
      </c>
      <c r="Y182" s="84" t="str">
        <f ca="1">IFERROR(__xludf.DUMMYFUNCTION("""COMPUTED_VALUE"""),"BMIS_auto")</f>
        <v>BMIS_auto</v>
      </c>
      <c r="Z182" s="66" t="s">
        <v>2000</v>
      </c>
    </row>
    <row r="183" spans="1:26" ht="15.75" customHeight="1">
      <c r="A183" s="83" t="str">
        <f ca="1">IFERROR(__xludf.DUMMYFUNCTION("""COMPUTED_VALUE"""),"W15NE")</f>
        <v>W15NE</v>
      </c>
      <c r="B183" s="84">
        <f ca="1">IFERROR(__xludf.DUMMYFUNCTION("""COMPUTED_VALUE"""),15)</f>
        <v>15</v>
      </c>
      <c r="C183" s="84" t="str">
        <f ca="1">IFERROR(__xludf.DUMMYFUNCTION("""COMPUTED_VALUE"""),"NE")</f>
        <v>NE</v>
      </c>
      <c r="D183" s="339">
        <f ca="1">IFERROR(__xludf.DUMMYFUNCTION("""COMPUTED_VALUE"""),3200)</f>
        <v>3200</v>
      </c>
      <c r="E183" s="84"/>
      <c r="F183" s="84"/>
      <c r="G183" s="83"/>
      <c r="H183" s="84"/>
      <c r="I183" s="84"/>
      <c r="J183" s="84"/>
      <c r="K183" s="88"/>
      <c r="L183" s="84"/>
      <c r="M183" s="88"/>
      <c r="N183" s="84"/>
      <c r="O183" s="88"/>
      <c r="P183" s="85"/>
      <c r="Q183" s="75" t="b">
        <f ca="1">IFERROR(__xludf.DUMMYFUNCTION("""COMPUTED_VALUE"""),TRUE)</f>
        <v>1</v>
      </c>
      <c r="R183" s="75" t="b">
        <f ca="1">IFERROR(__xludf.DUMMYFUNCTION("""COMPUTED_VALUE"""),FALSE)</f>
        <v>0</v>
      </c>
      <c r="S183" s="75" t="b">
        <f ca="1">IFERROR(__xludf.DUMMYFUNCTION("""COMPUTED_VALUE"""),FALSE)</f>
        <v>0</v>
      </c>
      <c r="T183" s="75" t="b">
        <f ca="1">IFERROR(__xludf.DUMMYFUNCTION("""COMPUTED_VALUE"""),TRUE)</f>
        <v>1</v>
      </c>
      <c r="U183" s="86">
        <f ca="1">IFERROR(__xludf.DUMMYFUNCTION("""COMPUTED_VALUE"""),0)</f>
        <v>0</v>
      </c>
      <c r="V183" s="84"/>
      <c r="W183" s="87"/>
      <c r="X183" s="84"/>
      <c r="Y183" s="84"/>
      <c r="Z183" s="66" t="s">
        <v>556</v>
      </c>
    </row>
    <row r="184" spans="1:26" ht="15.75" customHeight="1">
      <c r="A184" s="83" t="str">
        <f ca="1">IFERROR(__xludf.DUMMYFUNCTION("""COMPUTED_VALUE"""),"W15SE")</f>
        <v>W15SE</v>
      </c>
      <c r="B184" s="84">
        <f ca="1">IFERROR(__xludf.DUMMYFUNCTION("""COMPUTED_VALUE"""),15)</f>
        <v>15</v>
      </c>
      <c r="C184" s="84" t="str">
        <f ca="1">IFERROR(__xludf.DUMMYFUNCTION("""COMPUTED_VALUE"""),"SE")</f>
        <v>SE</v>
      </c>
      <c r="D184" s="339">
        <f ca="1">IFERROR(__xludf.DUMMYFUNCTION("""COMPUTED_VALUE"""),3200)</f>
        <v>3200</v>
      </c>
      <c r="E184" s="84" t="str">
        <f ca="1">IFERROR(__xludf.DUMMYFUNCTION("""COMPUTED_VALUE"""),"3183916450T20050430")</f>
        <v>3183916450T20050430</v>
      </c>
      <c r="F184" s="84">
        <f ca="1">IFERROR(__xludf.DUMMYFUNCTION("""COMPUTED_VALUE"""),1103121696)</f>
        <v>1103121696</v>
      </c>
      <c r="G184" s="83" t="str">
        <f ca="1">IFERROR(__xludf.DUMMYFUNCTION("""COMPUTED_VALUE"""),"Mei Sun Lau Block A")</f>
        <v>Mei Sun Lau Block A</v>
      </c>
      <c r="H184" s="84" t="str">
        <f ca="1">IFERROR(__xludf.DUMMYFUNCTION("""COMPUTED_VALUE"""),"美新樓Ａ座")</f>
        <v>美新樓Ａ座</v>
      </c>
      <c r="I184" s="84">
        <f ca="1">IFERROR(__xludf.DUMMYFUNCTION("""COMPUTED_VALUE"""),114.1339054)</f>
        <v>114.1339054</v>
      </c>
      <c r="J184" s="84">
        <f ca="1">IFERROR(__xludf.DUMMYFUNCTION("""COMPUTED_VALUE"""),22.28688304)</f>
        <v>22.286883039999999</v>
      </c>
      <c r="K184" s="88">
        <f ca="1">IFERROR(__xludf.DUMMYFUNCTION("""COMPUTED_VALUE"""),12.6)</f>
        <v>12.6</v>
      </c>
      <c r="L184" s="84" t="str">
        <f ca="1">IFERROR(__xludf.DUMMYFUNCTION("""COMPUTED_VALUE"""),"p")</f>
        <v>p</v>
      </c>
      <c r="M184" s="88">
        <f ca="1">IFERROR(__xludf.DUMMYFUNCTION("""COMPUTED_VALUE"""),75.4)</f>
        <v>75.400000000000006</v>
      </c>
      <c r="N184" s="84" t="str">
        <f ca="1">IFERROR(__xludf.DUMMYFUNCTION("""COMPUTED_VALUE"""),"p")</f>
        <v>p</v>
      </c>
      <c r="O184" s="88">
        <f ca="1">IFERROR(__xludf.DUMMYFUNCTION("""COMPUTED_VALUE"""),62.8)</f>
        <v>62.8</v>
      </c>
      <c r="P184" s="85"/>
      <c r="Q184" s="75" t="b">
        <f ca="1">IFERROR(__xludf.DUMMYFUNCTION("""COMPUTED_VALUE"""),FALSE)</f>
        <v>0</v>
      </c>
      <c r="R184" s="75" t="b">
        <f ca="1">IFERROR(__xludf.DUMMYFUNCTION("""COMPUTED_VALUE"""),FALSE)</f>
        <v>0</v>
      </c>
      <c r="S184" s="75" t="b">
        <f ca="1">IFERROR(__xludf.DUMMYFUNCTION("""COMPUTED_VALUE"""),FALSE)</f>
        <v>0</v>
      </c>
      <c r="T184" s="75" t="b">
        <f ca="1">IFERROR(__xludf.DUMMYFUNCTION("""COMPUTED_VALUE"""),FALSE)</f>
        <v>0</v>
      </c>
      <c r="U184" s="86">
        <f ca="1">IFERROR(__xludf.DUMMYFUNCTION("""COMPUTED_VALUE"""),24)</f>
        <v>24</v>
      </c>
      <c r="V184" s="84"/>
      <c r="W184" s="87"/>
      <c r="X184" s="84"/>
      <c r="Y184" s="84" t="str">
        <f ca="1">IFERROR(__xludf.DUMMYFUNCTION("""COMPUTED_VALUE"""),"Fieldwork")</f>
        <v>Fieldwork</v>
      </c>
      <c r="Z184" s="66" t="s">
        <v>2002</v>
      </c>
    </row>
    <row r="185" spans="1:26" ht="15.75" customHeight="1">
      <c r="A185" s="83" t="str">
        <f ca="1">IFERROR(__xludf.DUMMYFUNCTION("""COMPUTED_VALUE"""),"W15SW")</f>
        <v>W15SW</v>
      </c>
      <c r="B185" s="84">
        <f ca="1">IFERROR(__xludf.DUMMYFUNCTION("""COMPUTED_VALUE"""),15)</f>
        <v>15</v>
      </c>
      <c r="C185" s="84" t="str">
        <f ca="1">IFERROR(__xludf.DUMMYFUNCTION("""COMPUTED_VALUE"""),"SW")</f>
        <v>SW</v>
      </c>
      <c r="D185" s="339">
        <f ca="1">IFERROR(__xludf.DUMMYFUNCTION("""COMPUTED_VALUE"""),3200)</f>
        <v>3200</v>
      </c>
      <c r="E185" s="84" t="str">
        <f ca="1">IFERROR(__xludf.DUMMYFUNCTION("""COMPUTED_VALUE"""),"3179316460T20050430")</f>
        <v>3179316460T20050430</v>
      </c>
      <c r="F185" s="84">
        <f ca="1">IFERROR(__xludf.DUMMYFUNCTION("""COMPUTED_VALUE"""),1103121624)</f>
        <v>1103121624</v>
      </c>
      <c r="G185" s="83" t="str">
        <f ca="1">IFERROR(__xludf.DUMMYFUNCTION("""COMPUTED_VALUE"""),"Hong Kong Industrial Building")</f>
        <v>Hong Kong Industrial Building</v>
      </c>
      <c r="H185" s="84" t="str">
        <f ca="1">IFERROR(__xludf.DUMMYFUNCTION("""COMPUTED_VALUE"""),"香港工業大廈")</f>
        <v>香港工業大廈</v>
      </c>
      <c r="I185" s="84">
        <f ca="1">IFERROR(__xludf.DUMMYFUNCTION("""COMPUTED_VALUE"""),114.1334574)</f>
        <v>114.1334574</v>
      </c>
      <c r="J185" s="84">
        <f ca="1">IFERROR(__xludf.DUMMYFUNCTION("""COMPUTED_VALUE"""),22.28697415)</f>
        <v>22.286974149999999</v>
      </c>
      <c r="K185" s="88">
        <f ca="1">IFERROR(__xludf.DUMMYFUNCTION("""COMPUTED_VALUE"""),19.7)</f>
        <v>19.7</v>
      </c>
      <c r="L185" s="84" t="str">
        <f ca="1">IFERROR(__xludf.DUMMYFUNCTION("""COMPUTED_VALUE"""),"p")</f>
        <v>p</v>
      </c>
      <c r="M185" s="88">
        <f ca="1">IFERROR(__xludf.DUMMYFUNCTION("""COMPUTED_VALUE"""),79.6)</f>
        <v>79.599999999999994</v>
      </c>
      <c r="N185" s="84" t="str">
        <f ca="1">IFERROR(__xludf.DUMMYFUNCTION("""COMPUTED_VALUE"""),"3")</f>
        <v>3</v>
      </c>
      <c r="O185" s="88">
        <f ca="1">IFERROR(__xludf.DUMMYFUNCTION("""COMPUTED_VALUE"""),59.9)</f>
        <v>59.9</v>
      </c>
      <c r="P185" s="85"/>
      <c r="Q185" s="75" t="b">
        <f ca="1">IFERROR(__xludf.DUMMYFUNCTION("""COMPUTED_VALUE"""),FALSE)</f>
        <v>0</v>
      </c>
      <c r="R185" s="75" t="b">
        <f ca="1">IFERROR(__xludf.DUMMYFUNCTION("""COMPUTED_VALUE"""),FALSE)</f>
        <v>0</v>
      </c>
      <c r="S185" s="75" t="b">
        <f ca="1">IFERROR(__xludf.DUMMYFUNCTION("""COMPUTED_VALUE"""),FALSE)</f>
        <v>0</v>
      </c>
      <c r="T185" s="75" t="b">
        <f ca="1">IFERROR(__xludf.DUMMYFUNCTION("""COMPUTED_VALUE"""),FALSE)</f>
        <v>0</v>
      </c>
      <c r="U185" s="86">
        <f ca="1">IFERROR(__xludf.DUMMYFUNCTION("""COMPUTED_VALUE"""),22)</f>
        <v>22</v>
      </c>
      <c r="V185" s="84"/>
      <c r="W185" s="87"/>
      <c r="X185" s="84"/>
      <c r="Y185" s="84" t="str">
        <f ca="1">IFERROR(__xludf.DUMMYFUNCTION("""COMPUTED_VALUE"""),"Fieldwork")</f>
        <v>Fieldwork</v>
      </c>
      <c r="Z185" s="66" t="s">
        <v>2003</v>
      </c>
    </row>
    <row r="186" spans="1:26" ht="15.75" customHeight="1">
      <c r="A186" s="83" t="str">
        <f ca="1">IFERROR(__xludf.DUMMYFUNCTION("""COMPUTED_VALUE"""),"W15NW")</f>
        <v>W15NW</v>
      </c>
      <c r="B186" s="84">
        <f ca="1">IFERROR(__xludf.DUMMYFUNCTION("""COMPUTED_VALUE"""),15)</f>
        <v>15</v>
      </c>
      <c r="C186" s="84" t="str">
        <f ca="1">IFERROR(__xludf.DUMMYFUNCTION("""COMPUTED_VALUE"""),"NW")</f>
        <v>NW</v>
      </c>
      <c r="D186" s="339">
        <f ca="1">IFERROR(__xludf.DUMMYFUNCTION("""COMPUTED_VALUE"""),3200)</f>
        <v>3200</v>
      </c>
      <c r="E186" s="84"/>
      <c r="F186" s="84"/>
      <c r="G186" s="83"/>
      <c r="H186" s="84"/>
      <c r="I186" s="84"/>
      <c r="J186" s="84"/>
      <c r="K186" s="88"/>
      <c r="L186" s="84"/>
      <c r="M186" s="88"/>
      <c r="N186" s="84"/>
      <c r="O186" s="88"/>
      <c r="P186" s="85"/>
      <c r="Q186" s="75" t="b">
        <f ca="1">IFERROR(__xludf.DUMMYFUNCTION("""COMPUTED_VALUE"""),TRUE)</f>
        <v>1</v>
      </c>
      <c r="R186" s="75" t="b">
        <f ca="1">IFERROR(__xludf.DUMMYFUNCTION("""COMPUTED_VALUE"""),FALSE)</f>
        <v>0</v>
      </c>
      <c r="S186" s="75" t="b">
        <f ca="1">IFERROR(__xludf.DUMMYFUNCTION("""COMPUTED_VALUE"""),FALSE)</f>
        <v>0</v>
      </c>
      <c r="T186" s="75" t="b">
        <f ca="1">IFERROR(__xludf.DUMMYFUNCTION("""COMPUTED_VALUE"""),TRUE)</f>
        <v>1</v>
      </c>
      <c r="U186" s="86">
        <f ca="1">IFERROR(__xludf.DUMMYFUNCTION("""COMPUTED_VALUE"""),0)</f>
        <v>0</v>
      </c>
      <c r="V186" s="84"/>
      <c r="W186" s="87"/>
      <c r="X186" s="84"/>
      <c r="Y186" s="84"/>
      <c r="Z186" s="66" t="s">
        <v>556</v>
      </c>
    </row>
    <row r="187" spans="1:26" ht="15.75" customHeight="1">
      <c r="A187" s="83" t="str">
        <f ca="1">IFERROR(__xludf.DUMMYFUNCTION("""COMPUTED_VALUE"""),"N8NE")</f>
        <v>N8NE</v>
      </c>
      <c r="B187" s="84">
        <f ca="1">IFERROR(__xludf.DUMMYFUNCTION("""COMPUTED_VALUE"""),8)</f>
        <v>8</v>
      </c>
      <c r="C187" s="84" t="str">
        <f ca="1">IFERROR(__xludf.DUMMYFUNCTION("""COMPUTED_VALUE"""),"NE")</f>
        <v>NE</v>
      </c>
      <c r="D187" s="339">
        <f ca="1">IFERROR(__xludf.DUMMYFUNCTION("""COMPUTED_VALUE"""),3400)</f>
        <v>3400</v>
      </c>
      <c r="E187" s="84" t="str">
        <f ca="1">IFERROR(__xludf.DUMMYFUNCTION("""COMPUTED_VALUE"""),"3571518994T20050430")</f>
        <v>3571518994T20050430</v>
      </c>
      <c r="F187" s="84">
        <f ca="1">IFERROR(__xludf.DUMMYFUNCTION("""COMPUTED_VALUE"""),1108240186)</f>
        <v>1108240186</v>
      </c>
      <c r="G187" s="83" t="str">
        <f ca="1">IFERROR(__xludf.DUMMYFUNCTION("""COMPUTED_VALUE"""),"Chak Fung House")</f>
        <v>Chak Fung House</v>
      </c>
      <c r="H187" s="84" t="str">
        <f ca="1">IFERROR(__xludf.DUMMYFUNCTION("""COMPUTED_VALUE"""),"澤豐大廈")</f>
        <v>澤豐大廈</v>
      </c>
      <c r="I187" s="84">
        <f ca="1">IFERROR(__xludf.DUMMYFUNCTION("""COMPUTED_VALUE"""),114.1715072)</f>
        <v>114.17150719999999</v>
      </c>
      <c r="J187" s="84">
        <f ca="1">IFERROR(__xludf.DUMMYFUNCTION("""COMPUTED_VALUE"""),22.30991908)</f>
        <v>22.30991908</v>
      </c>
      <c r="K187" s="88">
        <f ca="1">IFERROR(__xludf.DUMMYFUNCTION("""COMPUTED_VALUE"""),6)</f>
        <v>6</v>
      </c>
      <c r="L187" s="84" t="str">
        <f ca="1">IFERROR(__xludf.DUMMYFUNCTION("""COMPUTED_VALUE"""),"l")</f>
        <v>l</v>
      </c>
      <c r="M187" s="88">
        <f ca="1">IFERROR(__xludf.DUMMYFUNCTION("""COMPUTED_VALUE"""),55.200001)</f>
        <v>55.200001</v>
      </c>
      <c r="N187" s="84" t="str">
        <f ca="1">IFERROR(__xludf.DUMMYFUNCTION("""COMPUTED_VALUE"""),"p")</f>
        <v>p</v>
      </c>
      <c r="O187" s="88">
        <f ca="1">IFERROR(__xludf.DUMMYFUNCTION("""COMPUTED_VALUE"""),49.200001)</f>
        <v>49.200001</v>
      </c>
      <c r="P187" s="85"/>
      <c r="Q187" s="75" t="b">
        <f ca="1">IFERROR(__xludf.DUMMYFUNCTION("""COMPUTED_VALUE"""),FALSE)</f>
        <v>0</v>
      </c>
      <c r="R187" s="75" t="b">
        <f ca="1">IFERROR(__xludf.DUMMYFUNCTION("""COMPUTED_VALUE"""),FALSE)</f>
        <v>0</v>
      </c>
      <c r="S187" s="75" t="b">
        <f ca="1">IFERROR(__xludf.DUMMYFUNCTION("""COMPUTED_VALUE"""),FALSE)</f>
        <v>0</v>
      </c>
      <c r="T187" s="75"/>
      <c r="U187" s="86">
        <f ca="1">IFERROR(__xludf.DUMMYFUNCTION("""COMPUTED_VALUE"""),16)</f>
        <v>16</v>
      </c>
      <c r="V187" s="84">
        <f ca="1">IFERROR(__xludf.DUMMYFUNCTION("""COMPUTED_VALUE"""),0)</f>
        <v>0</v>
      </c>
      <c r="W187" s="87">
        <f ca="1">IFERROR(__xludf.DUMMYFUNCTION("""COMPUTED_VALUE"""),90)</f>
        <v>90</v>
      </c>
      <c r="X187" s="84">
        <f ca="1">IFERROR(__xludf.DUMMYFUNCTION("""COMPUTED_VALUE"""),1966)</f>
        <v>1966</v>
      </c>
      <c r="Y187" s="84" t="str">
        <f ca="1">IFERROR(__xludf.DUMMYFUNCTION("""COMPUTED_VALUE"""),"BMIS_auto")</f>
        <v>BMIS_auto</v>
      </c>
      <c r="Z187" s="66" t="s">
        <v>2006</v>
      </c>
    </row>
    <row r="188" spans="1:26" ht="15.75" customHeight="1">
      <c r="A188" s="83" t="str">
        <f ca="1">IFERROR(__xludf.DUMMYFUNCTION("""COMPUTED_VALUE"""),"N8SE")</f>
        <v>N8SE</v>
      </c>
      <c r="B188" s="84">
        <f ca="1">IFERROR(__xludf.DUMMYFUNCTION("""COMPUTED_VALUE"""),8)</f>
        <v>8</v>
      </c>
      <c r="C188" s="84" t="str">
        <f ca="1">IFERROR(__xludf.DUMMYFUNCTION("""COMPUTED_VALUE"""),"SE")</f>
        <v>SE</v>
      </c>
      <c r="D188" s="339">
        <f ca="1">IFERROR(__xludf.DUMMYFUNCTION("""COMPUTED_VALUE"""),3400)</f>
        <v>3400</v>
      </c>
      <c r="E188" s="84" t="str">
        <f ca="1">IFERROR(__xludf.DUMMYFUNCTION("""COMPUTED_VALUE"""),"3571818980T20050430")</f>
        <v>3571818980T20050430</v>
      </c>
      <c r="F188" s="84">
        <f ca="1">IFERROR(__xludf.DUMMYFUNCTION("""COMPUTED_VALUE"""),1108240221)</f>
        <v>1108240221</v>
      </c>
      <c r="G188" s="83" t="str">
        <f ca="1">IFERROR(__xludf.DUMMYFUNCTION("""COMPUTED_VALUE"""),"Tang's Mansion")</f>
        <v>Tang's Mansion</v>
      </c>
      <c r="H188" s="84" t="str">
        <f ca="1">IFERROR(__xludf.DUMMYFUNCTION("""COMPUTED_VALUE"""),"鄧氏大廈")</f>
        <v>鄧氏大廈</v>
      </c>
      <c r="I188" s="84">
        <f ca="1">IFERROR(__xludf.DUMMYFUNCTION("""COMPUTED_VALUE"""),114.1715383)</f>
        <v>114.17153829999999</v>
      </c>
      <c r="J188" s="84">
        <f ca="1">IFERROR(__xludf.DUMMYFUNCTION("""COMPUTED_VALUE"""),22.30979024)</f>
        <v>22.309790240000002</v>
      </c>
      <c r="K188" s="88">
        <f ca="1">IFERROR(__xludf.DUMMYFUNCTION("""COMPUTED_VALUE"""),5.9)</f>
        <v>5.9</v>
      </c>
      <c r="L188" s="84" t="str">
        <f ca="1">IFERROR(__xludf.DUMMYFUNCTION("""COMPUTED_VALUE"""),"l")</f>
        <v>l</v>
      </c>
      <c r="M188" s="88">
        <f ca="1">IFERROR(__xludf.DUMMYFUNCTION("""COMPUTED_VALUE"""),45.599998)</f>
        <v>45.599997999999999</v>
      </c>
      <c r="N188" s="84" t="str">
        <f ca="1">IFERROR(__xludf.DUMMYFUNCTION("""COMPUTED_VALUE"""),"p")</f>
        <v>p</v>
      </c>
      <c r="O188" s="88">
        <f ca="1">IFERROR(__xludf.DUMMYFUNCTION("""COMPUTED_VALUE"""),39.699998)</f>
        <v>39.699998000000001</v>
      </c>
      <c r="P188" s="85"/>
      <c r="Q188" s="75" t="b">
        <f ca="1">IFERROR(__xludf.DUMMYFUNCTION("""COMPUTED_VALUE"""),FALSE)</f>
        <v>0</v>
      </c>
      <c r="R188" s="75" t="b">
        <f ca="1">IFERROR(__xludf.DUMMYFUNCTION("""COMPUTED_VALUE"""),FALSE)</f>
        <v>0</v>
      </c>
      <c r="S188" s="75" t="b">
        <f ca="1">IFERROR(__xludf.DUMMYFUNCTION("""COMPUTED_VALUE"""),FALSE)</f>
        <v>0</v>
      </c>
      <c r="T188" s="75"/>
      <c r="U188" s="86">
        <f ca="1">IFERROR(__xludf.DUMMYFUNCTION("""COMPUTED_VALUE"""),12)</f>
        <v>12</v>
      </c>
      <c r="V188" s="84">
        <f ca="1">IFERROR(__xludf.DUMMYFUNCTION("""COMPUTED_VALUE"""),0)</f>
        <v>0</v>
      </c>
      <c r="W188" s="87">
        <f ca="1">IFERROR(__xludf.DUMMYFUNCTION("""COMPUTED_VALUE"""),24)</f>
        <v>24</v>
      </c>
      <c r="X188" s="84">
        <f ca="1">IFERROR(__xludf.DUMMYFUNCTION("""COMPUTED_VALUE"""),1962)</f>
        <v>1962</v>
      </c>
      <c r="Y188" s="84" t="str">
        <f ca="1">IFERROR(__xludf.DUMMYFUNCTION("""COMPUTED_VALUE"""),"BMIS_auto")</f>
        <v>BMIS_auto</v>
      </c>
      <c r="Z188" s="66" t="s">
        <v>2008</v>
      </c>
    </row>
    <row r="189" spans="1:26" ht="15.75" customHeight="1">
      <c r="A189" s="83" t="str">
        <f ca="1">IFERROR(__xludf.DUMMYFUNCTION("""COMPUTED_VALUE"""),"N8SW")</f>
        <v>N8SW</v>
      </c>
      <c r="B189" s="84">
        <f ca="1">IFERROR(__xludf.DUMMYFUNCTION("""COMPUTED_VALUE"""),8)</f>
        <v>8</v>
      </c>
      <c r="C189" s="84" t="str">
        <f ca="1">IFERROR(__xludf.DUMMYFUNCTION("""COMPUTED_VALUE"""),"SW")</f>
        <v>SW</v>
      </c>
      <c r="D189" s="339">
        <f ca="1">IFERROR(__xludf.DUMMYFUNCTION("""COMPUTED_VALUE"""),3400)</f>
        <v>3400</v>
      </c>
      <c r="E189" s="84" t="str">
        <f ca="1">IFERROR(__xludf.DUMMYFUNCTION("""COMPUTED_VALUE"""),"3565918941T20050430")</f>
        <v>3565918941T20050430</v>
      </c>
      <c r="F189" s="84">
        <f ca="1">IFERROR(__xludf.DUMMYFUNCTION("""COMPUTED_VALUE"""),1108240283)</f>
        <v>1108240283</v>
      </c>
      <c r="G189" s="83" t="str">
        <f ca="1">IFERROR(__xludf.DUMMYFUNCTION("""COMPUTED_VALUE"""),"Kowloon Government Offices")</f>
        <v>Kowloon Government Offices</v>
      </c>
      <c r="H189" s="84" t="str">
        <f ca="1">IFERROR(__xludf.DUMMYFUNCTION("""COMPUTED_VALUE"""),"九龍政府合署")</f>
        <v>九龍政府合署</v>
      </c>
      <c r="I189" s="84">
        <f ca="1">IFERROR(__xludf.DUMMYFUNCTION("""COMPUTED_VALUE"""),114.1709227)</f>
        <v>114.17092270000001</v>
      </c>
      <c r="J189" s="84">
        <f ca="1">IFERROR(__xludf.DUMMYFUNCTION("""COMPUTED_VALUE"""),22.3094561)</f>
        <v>22.309456099999998</v>
      </c>
      <c r="K189" s="88">
        <f ca="1">IFERROR(__xludf.DUMMYFUNCTION("""COMPUTED_VALUE"""),19.6)</f>
        <v>19.600000000000001</v>
      </c>
      <c r="L189" s="84" t="str">
        <f ca="1">IFERROR(__xludf.DUMMYFUNCTION("""COMPUTED_VALUE"""),"p")</f>
        <v>p</v>
      </c>
      <c r="M189" s="88">
        <f ca="1">IFERROR(__xludf.DUMMYFUNCTION("""COMPUTED_VALUE"""),67.599998)</f>
        <v>67.599997999999999</v>
      </c>
      <c r="N189" s="84" t="str">
        <f ca="1">IFERROR(__xludf.DUMMYFUNCTION("""COMPUTED_VALUE"""),"p")</f>
        <v>p</v>
      </c>
      <c r="O189" s="88">
        <f ca="1">IFERROR(__xludf.DUMMYFUNCTION("""COMPUTED_VALUE"""),47.999998)</f>
        <v>47.999997999999998</v>
      </c>
      <c r="P189" s="85" t="str">
        <f ca="1">IFERROR(__xludf.DUMMYFUNCTION("""COMPUTED_VALUE"""),"Government Building")</f>
        <v>Government Building</v>
      </c>
      <c r="Q189" s="75" t="b">
        <f ca="1">IFERROR(__xludf.DUMMYFUNCTION("""COMPUTED_VALUE"""),FALSE)</f>
        <v>0</v>
      </c>
      <c r="R189" s="75" t="b">
        <f ca="1">IFERROR(__xludf.DUMMYFUNCTION("""COMPUTED_VALUE"""),TRUE)</f>
        <v>1</v>
      </c>
      <c r="S189" s="75" t="b">
        <f ca="1">IFERROR(__xludf.DUMMYFUNCTION("""COMPUTED_VALUE"""),FALSE)</f>
        <v>0</v>
      </c>
      <c r="T189" s="75"/>
      <c r="U189" s="86">
        <f ca="1">IFERROR(__xludf.DUMMYFUNCTION("""COMPUTED_VALUE"""),19)</f>
        <v>19</v>
      </c>
      <c r="V189" s="84"/>
      <c r="W189" s="87"/>
      <c r="X189" s="84"/>
      <c r="Y189" s="84" t="str">
        <f ca="1">IFERROR(__xludf.DUMMYFUNCTION("""COMPUTED_VALUE"""),"Google Earth")</f>
        <v>Google Earth</v>
      </c>
      <c r="Z189" s="66" t="s">
        <v>2010</v>
      </c>
    </row>
    <row r="190" spans="1:26" ht="15.75" customHeight="1">
      <c r="A190" s="83" t="str">
        <f ca="1">IFERROR(__xludf.DUMMYFUNCTION("""COMPUTED_VALUE"""),"N8NW")</f>
        <v>N8NW</v>
      </c>
      <c r="B190" s="84">
        <f ca="1">IFERROR(__xludf.DUMMYFUNCTION("""COMPUTED_VALUE"""),8)</f>
        <v>8</v>
      </c>
      <c r="C190" s="84" t="str">
        <f ca="1">IFERROR(__xludf.DUMMYFUNCTION("""COMPUTED_VALUE"""),"NW")</f>
        <v>NW</v>
      </c>
      <c r="D190" s="339">
        <f ca="1">IFERROR(__xludf.DUMMYFUNCTION("""COMPUTED_VALUE"""),3400)</f>
        <v>3400</v>
      </c>
      <c r="E190" s="84" t="str">
        <f ca="1">IFERROR(__xludf.DUMMYFUNCTION("""COMPUTED_VALUE"""),"3563418972T20050430")</f>
        <v>3563418972T20050430</v>
      </c>
      <c r="F190" s="84">
        <f ca="1">IFERROR(__xludf.DUMMYFUNCTION("""COMPUTED_VALUE"""),1108240246)</f>
        <v>1108240246</v>
      </c>
      <c r="G190" s="83" t="str">
        <f ca="1">IFERROR(__xludf.DUMMYFUNCTION("""COMPUTED_VALUE"""),"Tin Hau Temple")</f>
        <v>Tin Hau Temple</v>
      </c>
      <c r="H190" s="84"/>
      <c r="I190" s="84">
        <f ca="1">IFERROR(__xludf.DUMMYFUNCTION("""COMPUTED_VALUE"""),114.1707203)</f>
        <v>114.1707203</v>
      </c>
      <c r="J190" s="84">
        <f ca="1">IFERROR(__xludf.DUMMYFUNCTION("""COMPUTED_VALUE"""),22.30971456)</f>
        <v>22.30971456</v>
      </c>
      <c r="K190" s="88">
        <f ca="1">IFERROR(__xludf.DUMMYFUNCTION("""COMPUTED_VALUE"""),6.1)</f>
        <v>6.1</v>
      </c>
      <c r="L190" s="84" t="str">
        <f ca="1">IFERROR(__xludf.DUMMYFUNCTION("""COMPUTED_VALUE"""),"l")</f>
        <v>l</v>
      </c>
      <c r="M190" s="88">
        <f ca="1">IFERROR(__xludf.DUMMYFUNCTION("""COMPUTED_VALUE"""),13.3)</f>
        <v>13.3</v>
      </c>
      <c r="N190" s="84" t="str">
        <f ca="1">IFERROR(__xludf.DUMMYFUNCTION("""COMPUTED_VALUE"""),"3")</f>
        <v>3</v>
      </c>
      <c r="O190" s="88">
        <f ca="1">IFERROR(__xludf.DUMMYFUNCTION("""COMPUTED_VALUE"""),7.2)</f>
        <v>7.2</v>
      </c>
      <c r="P190" s="85" t="str">
        <f ca="1">IFERROR(__xludf.DUMMYFUNCTION("""COMPUTED_VALUE"""),"Used for religious purposes")</f>
        <v>Used for religious purposes</v>
      </c>
      <c r="Q190" s="75" t="b">
        <f ca="1">IFERROR(__xludf.DUMMYFUNCTION("""COMPUTED_VALUE"""),FALSE)</f>
        <v>0</v>
      </c>
      <c r="R190" s="75" t="b">
        <f ca="1">IFERROR(__xludf.DUMMYFUNCTION("""COMPUTED_VALUE"""),TRUE)</f>
        <v>1</v>
      </c>
      <c r="S190" s="75" t="b">
        <f ca="1">IFERROR(__xludf.DUMMYFUNCTION("""COMPUTED_VALUE"""),FALSE)</f>
        <v>0</v>
      </c>
      <c r="T190" s="75"/>
      <c r="U190" s="86">
        <f ca="1">IFERROR(__xludf.DUMMYFUNCTION("""COMPUTED_VALUE"""),2)</f>
        <v>2</v>
      </c>
      <c r="V190" s="84"/>
      <c r="W190" s="87"/>
      <c r="X190" s="84"/>
      <c r="Y190" s="84" t="str">
        <f ca="1">IFERROR(__xludf.DUMMYFUNCTION("""COMPUTED_VALUE"""),"Street View")</f>
        <v>Street View</v>
      </c>
      <c r="Z190" s="66" t="s">
        <v>2012</v>
      </c>
    </row>
    <row r="191" spans="1:26" ht="15.75" customHeight="1">
      <c r="A191" s="83" t="str">
        <f ca="1">IFERROR(__xludf.DUMMYFUNCTION("""COMPUTED_VALUE"""),"E16NE")</f>
        <v>E16NE</v>
      </c>
      <c r="B191" s="84">
        <f ca="1">IFERROR(__xludf.DUMMYFUNCTION("""COMPUTED_VALUE"""),16)</f>
        <v>16</v>
      </c>
      <c r="C191" s="84" t="str">
        <f ca="1">IFERROR(__xludf.DUMMYFUNCTION("""COMPUTED_VALUE"""),"NE")</f>
        <v>NE</v>
      </c>
      <c r="D191" s="339">
        <f ca="1">IFERROR(__xludf.DUMMYFUNCTION("""COMPUTED_VALUE"""),3400)</f>
        <v>3400</v>
      </c>
      <c r="E191" s="84" t="str">
        <f ca="1">IFERROR(__xludf.DUMMYFUNCTION("""COMPUTED_VALUE"""),"3702715678T20050430")</f>
        <v>3702715678T20050430</v>
      </c>
      <c r="F191" s="84">
        <f ca="1">IFERROR(__xludf.DUMMYFUNCTION("""COMPUTED_VALUE"""),1103127104)</f>
        <v>1103127104</v>
      </c>
      <c r="G191" s="83" t="str">
        <f ca="1">IFERROR(__xludf.DUMMYFUNCTION("""COMPUTED_VALUE"""),"The Goldmark")</f>
        <v>The Goldmark</v>
      </c>
      <c r="H191" s="84" t="str">
        <f ca="1">IFERROR(__xludf.DUMMYFUNCTION("""COMPUTED_VALUE"""),"黃金廣場")</f>
        <v>黃金廣場</v>
      </c>
      <c r="I191" s="84">
        <f ca="1">IFERROR(__xludf.DUMMYFUNCTION("""COMPUTED_VALUE"""),114.1842536)</f>
        <v>114.18425360000001</v>
      </c>
      <c r="J191" s="84">
        <f ca="1">IFERROR(__xludf.DUMMYFUNCTION("""COMPUTED_VALUE"""),22.27992359)</f>
        <v>22.279923589999999</v>
      </c>
      <c r="K191" s="88">
        <f ca="1">IFERROR(__xludf.DUMMYFUNCTION("""COMPUTED_VALUE"""),3.9)</f>
        <v>3.9</v>
      </c>
      <c r="L191" s="84" t="str">
        <f ca="1">IFERROR(__xludf.DUMMYFUNCTION("""COMPUTED_VALUE"""),"l")</f>
        <v>l</v>
      </c>
      <c r="M191" s="88">
        <f ca="1">IFERROR(__xludf.DUMMYFUNCTION("""COMPUTED_VALUE"""),88.9)</f>
        <v>88.9</v>
      </c>
      <c r="N191" s="84" t="str">
        <f ca="1">IFERROR(__xludf.DUMMYFUNCTION("""COMPUTED_VALUE"""),"p")</f>
        <v>p</v>
      </c>
      <c r="O191" s="88">
        <f ca="1">IFERROR(__xludf.DUMMYFUNCTION("""COMPUTED_VALUE"""),85)</f>
        <v>85</v>
      </c>
      <c r="P191" s="85"/>
      <c r="Q191" s="75" t="b">
        <f ca="1">IFERROR(__xludf.DUMMYFUNCTION("""COMPUTED_VALUE"""),FALSE)</f>
        <v>0</v>
      </c>
      <c r="R191" s="75" t="b">
        <f ca="1">IFERROR(__xludf.DUMMYFUNCTION("""COMPUTED_VALUE"""),FALSE)</f>
        <v>0</v>
      </c>
      <c r="S191" s="75" t="b">
        <f ca="1">IFERROR(__xludf.DUMMYFUNCTION("""COMPUTED_VALUE"""),FALSE)</f>
        <v>0</v>
      </c>
      <c r="T191" s="75" t="b">
        <f ca="1">IFERROR(__xludf.DUMMYFUNCTION("""COMPUTED_VALUE"""),FALSE)</f>
        <v>0</v>
      </c>
      <c r="U191" s="86">
        <f ca="1">IFERROR(__xludf.DUMMYFUNCTION("""COMPUTED_VALUE"""),23)</f>
        <v>23</v>
      </c>
      <c r="V191" s="84">
        <f ca="1">IFERROR(__xludf.DUMMYFUNCTION("""COMPUTED_VALUE"""),0)</f>
        <v>0</v>
      </c>
      <c r="W191" s="87">
        <f ca="1">IFERROR(__xludf.DUMMYFUNCTION("""COMPUTED_VALUE"""),124)</f>
        <v>124</v>
      </c>
      <c r="X191" s="84">
        <f ca="1">IFERROR(__xludf.DUMMYFUNCTION("""COMPUTED_VALUE"""),1987)</f>
        <v>1987</v>
      </c>
      <c r="Y191" s="84" t="str">
        <f ca="1">IFERROR(__xludf.DUMMYFUNCTION("""COMPUTED_VALUE"""),"BMIS_auto+web")</f>
        <v>BMIS_auto+web</v>
      </c>
      <c r="Z191" s="66" t="s">
        <v>2014</v>
      </c>
    </row>
    <row r="192" spans="1:26" ht="15.75" customHeight="1">
      <c r="A192" s="83" t="str">
        <f ca="1">IFERROR(__xludf.DUMMYFUNCTION("""COMPUTED_VALUE"""),"E16SE")</f>
        <v>E16SE</v>
      </c>
      <c r="B192" s="84">
        <f ca="1">IFERROR(__xludf.DUMMYFUNCTION("""COMPUTED_VALUE"""),16)</f>
        <v>16</v>
      </c>
      <c r="C192" s="84" t="str">
        <f ca="1">IFERROR(__xludf.DUMMYFUNCTION("""COMPUTED_VALUE"""),"SE")</f>
        <v>SE</v>
      </c>
      <c r="D192" s="339">
        <f ca="1">IFERROR(__xludf.DUMMYFUNCTION("""COMPUTED_VALUE"""),3400)</f>
        <v>3400</v>
      </c>
      <c r="E192" s="84" t="str">
        <f ca="1">IFERROR(__xludf.DUMMYFUNCTION("""COMPUTED_VALUE"""),"3698415658T20120223")</f>
        <v>3698415658T20120223</v>
      </c>
      <c r="F192" s="84">
        <f ca="1">IFERROR(__xludf.DUMMYFUNCTION("""COMPUTED_VALUE"""),1810079778)</f>
        <v>1810079778</v>
      </c>
      <c r="G192" s="83" t="str">
        <f ca="1">IFERROR(__xludf.DUMMYFUNCTION("""COMPUTED_VALUE"""),"Hysan Place")</f>
        <v>Hysan Place</v>
      </c>
      <c r="H192" s="84" t="str">
        <f ca="1">IFERROR(__xludf.DUMMYFUNCTION("""COMPUTED_VALUE"""),"希慎廣場")</f>
        <v>希慎廣場</v>
      </c>
      <c r="I192" s="84">
        <f ca="1">IFERROR(__xludf.DUMMYFUNCTION("""COMPUTED_VALUE"""),114.1838005)</f>
        <v>114.1838005</v>
      </c>
      <c r="J192" s="84">
        <f ca="1">IFERROR(__xludf.DUMMYFUNCTION("""COMPUTED_VALUE"""),22.27980119)</f>
        <v>22.279801190000001</v>
      </c>
      <c r="K192" s="88">
        <f ca="1">IFERROR(__xludf.DUMMYFUNCTION("""COMPUTED_VALUE"""),46.2)</f>
        <v>46.2</v>
      </c>
      <c r="L192" s="84" t="str">
        <f ca="1">IFERROR(__xludf.DUMMYFUNCTION("""COMPUTED_VALUE"""),"b")</f>
        <v>b</v>
      </c>
      <c r="M192" s="88">
        <f ca="1">IFERROR(__xludf.DUMMYFUNCTION("""COMPUTED_VALUE"""),199.4)</f>
        <v>199.4</v>
      </c>
      <c r="N192" s="84" t="str">
        <f ca="1">IFERROR(__xludf.DUMMYFUNCTION("""COMPUTED_VALUE"""),"g")</f>
        <v>g</v>
      </c>
      <c r="O192" s="88">
        <f ca="1">IFERROR(__xludf.DUMMYFUNCTION("""COMPUTED_VALUE"""),153.2)</f>
        <v>153.19999999999999</v>
      </c>
      <c r="P192" s="85"/>
      <c r="Q192" s="75" t="b">
        <f ca="1">IFERROR(__xludf.DUMMYFUNCTION("""COMPUTED_VALUE"""),FALSE)</f>
        <v>0</v>
      </c>
      <c r="R192" s="75" t="b">
        <f ca="1">IFERROR(__xludf.DUMMYFUNCTION("""COMPUTED_VALUE"""),FALSE)</f>
        <v>0</v>
      </c>
      <c r="S192" s="75" t="b">
        <f ca="1">IFERROR(__xludf.DUMMYFUNCTION("""COMPUTED_VALUE"""),FALSE)</f>
        <v>0</v>
      </c>
      <c r="T192" s="75" t="b">
        <f ca="1">IFERROR(__xludf.DUMMYFUNCTION("""COMPUTED_VALUE"""),FALSE)</f>
        <v>0</v>
      </c>
      <c r="U192" s="86">
        <f ca="1">IFERROR(__xludf.DUMMYFUNCTION("""COMPUTED_VALUE"""),40)</f>
        <v>40</v>
      </c>
      <c r="V192" s="84">
        <f ca="1">IFERROR(__xludf.DUMMYFUNCTION("""COMPUTED_VALUE"""),4)</f>
        <v>4</v>
      </c>
      <c r="W192" s="87"/>
      <c r="X192" s="84">
        <f ca="1">IFERROR(__xludf.DUMMYFUNCTION("""COMPUTED_VALUE"""),2012)</f>
        <v>2012</v>
      </c>
      <c r="Y192" s="84" t="str">
        <f ca="1">IFERROR(__xludf.DUMMYFUNCTION("""COMPUTED_VALUE"""),"BMIS_auto+web")</f>
        <v>BMIS_auto+web</v>
      </c>
      <c r="Z192" s="66" t="s">
        <v>2016</v>
      </c>
    </row>
    <row r="193" spans="1:26" ht="15.75" customHeight="1">
      <c r="A193" s="83" t="str">
        <f ca="1">IFERROR(__xludf.DUMMYFUNCTION("""COMPUTED_VALUE"""),"E16SW")</f>
        <v>E16SW</v>
      </c>
      <c r="B193" s="84">
        <f ca="1">IFERROR(__xludf.DUMMYFUNCTION("""COMPUTED_VALUE"""),16)</f>
        <v>16</v>
      </c>
      <c r="C193" s="84" t="str">
        <f ca="1">IFERROR(__xludf.DUMMYFUNCTION("""COMPUTED_VALUE"""),"SW")</f>
        <v>SW</v>
      </c>
      <c r="D193" s="339">
        <f ca="1">IFERROR(__xludf.DUMMYFUNCTION("""COMPUTED_VALUE"""),3400)</f>
        <v>3400</v>
      </c>
      <c r="E193" s="84" t="str">
        <f ca="1">IFERROR(__xludf.DUMMYFUNCTION("""COMPUTED_VALUE"""),"3697615717T20050430")</f>
        <v>3697615717T20050430</v>
      </c>
      <c r="F193" s="84">
        <f ca="1">IFERROR(__xludf.DUMMYFUNCTION("""COMPUTED_VALUE"""),1103126886)</f>
        <v>1103126886</v>
      </c>
      <c r="G193" s="83" t="str">
        <f ca="1">IFERROR(__xludf.DUMMYFUNCTION("""COMPUTED_VALUE"""),"Macau Yat Yuen Centre")</f>
        <v>Macau Yat Yuen Centre</v>
      </c>
      <c r="H193" s="84" t="str">
        <f ca="1">IFERROR(__xludf.DUMMYFUNCTION("""COMPUTED_VALUE"""),"澳門逸園中心")</f>
        <v>澳門逸園中心</v>
      </c>
      <c r="I193" s="84">
        <f ca="1">IFERROR(__xludf.DUMMYFUNCTION("""COMPUTED_VALUE"""),114.1837643)</f>
        <v>114.18376430000001</v>
      </c>
      <c r="J193" s="84">
        <f ca="1">IFERROR(__xludf.DUMMYFUNCTION("""COMPUTED_VALUE"""),22.28031167)</f>
        <v>22.28031167</v>
      </c>
      <c r="K193" s="88">
        <f ca="1">IFERROR(__xludf.DUMMYFUNCTION("""COMPUTED_VALUE"""),4.1)</f>
        <v>4.0999999999999996</v>
      </c>
      <c r="L193" s="84" t="str">
        <f ca="1">IFERROR(__xludf.DUMMYFUNCTION("""COMPUTED_VALUE"""),"p")</f>
        <v>p</v>
      </c>
      <c r="M193" s="88">
        <f ca="1">IFERROR(__xludf.DUMMYFUNCTION("""COMPUTED_VALUE"""),88.4)</f>
        <v>88.4</v>
      </c>
      <c r="N193" s="84" t="str">
        <f ca="1">IFERROR(__xludf.DUMMYFUNCTION("""COMPUTED_VALUE"""),"p")</f>
        <v>p</v>
      </c>
      <c r="O193" s="88">
        <f ca="1">IFERROR(__xludf.DUMMYFUNCTION("""COMPUTED_VALUE"""),84.3)</f>
        <v>84.3</v>
      </c>
      <c r="P193" s="85"/>
      <c r="Q193" s="75" t="b">
        <f ca="1">IFERROR(__xludf.DUMMYFUNCTION("""COMPUTED_VALUE"""),FALSE)</f>
        <v>0</v>
      </c>
      <c r="R193" s="75" t="b">
        <f ca="1">IFERROR(__xludf.DUMMYFUNCTION("""COMPUTED_VALUE"""),FALSE)</f>
        <v>0</v>
      </c>
      <c r="S193" s="75" t="b">
        <f ca="1">IFERROR(__xludf.DUMMYFUNCTION("""COMPUTED_VALUE"""),FALSE)</f>
        <v>0</v>
      </c>
      <c r="T193" s="75" t="b">
        <f ca="1">IFERROR(__xludf.DUMMYFUNCTION("""COMPUTED_VALUE"""),FALSE)</f>
        <v>0</v>
      </c>
      <c r="U193" s="86">
        <f ca="1">IFERROR(__xludf.DUMMYFUNCTION("""COMPUTED_VALUE"""),30)</f>
        <v>30</v>
      </c>
      <c r="V193" s="84">
        <f ca="1">IFERROR(__xludf.DUMMYFUNCTION("""COMPUTED_VALUE"""),1)</f>
        <v>1</v>
      </c>
      <c r="W193" s="87">
        <f ca="1">IFERROR(__xludf.DUMMYFUNCTION("""COMPUTED_VALUE"""),30)</f>
        <v>30</v>
      </c>
      <c r="X193" s="84">
        <f ca="1">IFERROR(__xludf.DUMMYFUNCTION("""COMPUTED_VALUE"""),2004)</f>
        <v>2004</v>
      </c>
      <c r="Y193" s="84" t="str">
        <f ca="1">IFERROR(__xludf.DUMMYFUNCTION("""COMPUTED_VALUE"""),"BMIS_auto")</f>
        <v>BMIS_auto</v>
      </c>
      <c r="Z193" s="66" t="s">
        <v>2018</v>
      </c>
    </row>
    <row r="194" spans="1:26" ht="15.75" customHeight="1">
      <c r="A194" s="83" t="str">
        <f ca="1">IFERROR(__xludf.DUMMYFUNCTION("""COMPUTED_VALUE"""),"E16NW")</f>
        <v>E16NW</v>
      </c>
      <c r="B194" s="84">
        <f ca="1">IFERROR(__xludf.DUMMYFUNCTION("""COMPUTED_VALUE"""),16)</f>
        <v>16</v>
      </c>
      <c r="C194" s="84" t="str">
        <f ca="1">IFERROR(__xludf.DUMMYFUNCTION("""COMPUTED_VALUE"""),"NW")</f>
        <v>NW</v>
      </c>
      <c r="D194" s="339">
        <f ca="1">IFERROR(__xludf.DUMMYFUNCTION("""COMPUTED_VALUE"""),3400)</f>
        <v>3400</v>
      </c>
      <c r="E194" s="84" t="str">
        <f ca="1">IFERROR(__xludf.DUMMYFUNCTION("""COMPUTED_VALUE"""),"3705015716T20050430")</f>
        <v>3705015716T20050430</v>
      </c>
      <c r="F194" s="84">
        <f ca="1">IFERROR(__xludf.DUMMYFUNCTION("""COMPUTED_VALUE"""),1103126700)</f>
        <v>1103126700</v>
      </c>
      <c r="G194" s="83" t="str">
        <f ca="1">IFERROR(__xludf.DUMMYFUNCTION("""COMPUTED_VALUE"""),"East Point Centre (Old Wing)")</f>
        <v>East Point Centre (Old Wing)</v>
      </c>
      <c r="H194" s="84" t="str">
        <f ca="1">IFERROR(__xludf.DUMMYFUNCTION("""COMPUTED_VALUE"""),"東角中心（舊翼）")</f>
        <v>東角中心（舊翼）</v>
      </c>
      <c r="I194" s="84">
        <f ca="1">IFERROR(__xludf.DUMMYFUNCTION("""COMPUTED_VALUE"""),114.184473)</f>
        <v>114.184473</v>
      </c>
      <c r="J194" s="84">
        <f ca="1">IFERROR(__xludf.DUMMYFUNCTION("""COMPUTED_VALUE"""),22.28041186)</f>
        <v>22.280411860000001</v>
      </c>
      <c r="K194" s="88">
        <f ca="1">IFERROR(__xludf.DUMMYFUNCTION("""COMPUTED_VALUE"""),19)</f>
        <v>19</v>
      </c>
      <c r="L194" s="84" t="str">
        <f ca="1">IFERROR(__xludf.DUMMYFUNCTION("""COMPUTED_VALUE"""),"b")</f>
        <v>b</v>
      </c>
      <c r="M194" s="88">
        <f ca="1">IFERROR(__xludf.DUMMYFUNCTION("""COMPUTED_VALUE"""),86.9)</f>
        <v>86.9</v>
      </c>
      <c r="N194" s="84" t="str">
        <f ca="1">IFERROR(__xludf.DUMMYFUNCTION("""COMPUTED_VALUE"""),"b")</f>
        <v>b</v>
      </c>
      <c r="O194" s="88">
        <f ca="1">IFERROR(__xludf.DUMMYFUNCTION("""COMPUTED_VALUE"""),67.9)</f>
        <v>67.900000000000006</v>
      </c>
      <c r="P194" s="85"/>
      <c r="Q194" s="75" t="b">
        <f ca="1">IFERROR(__xludf.DUMMYFUNCTION("""COMPUTED_VALUE"""),FALSE)</f>
        <v>0</v>
      </c>
      <c r="R194" s="75" t="b">
        <f ca="1">IFERROR(__xludf.DUMMYFUNCTION("""COMPUTED_VALUE"""),FALSE)</f>
        <v>0</v>
      </c>
      <c r="S194" s="75" t="b">
        <f ca="1">IFERROR(__xludf.DUMMYFUNCTION("""COMPUTED_VALUE"""),FALSE)</f>
        <v>0</v>
      </c>
      <c r="T194" s="75" t="b">
        <f ca="1">IFERROR(__xludf.DUMMYFUNCTION("""COMPUTED_VALUE"""),FALSE)</f>
        <v>0</v>
      </c>
      <c r="U194" s="86">
        <f ca="1">IFERROR(__xludf.DUMMYFUNCTION("""COMPUTED_VALUE"""),18)</f>
        <v>18</v>
      </c>
      <c r="V194" s="84"/>
      <c r="W194" s="87"/>
      <c r="X194" s="84">
        <f ca="1">IFERROR(__xludf.DUMMYFUNCTION("""COMPUTED_VALUE"""),1993)</f>
        <v>1993</v>
      </c>
      <c r="Y194" s="84" t="str">
        <f ca="1">IFERROR(__xludf.DUMMYFUNCTION("""COMPUTED_VALUE"""),"Google Earth")</f>
        <v>Google Earth</v>
      </c>
      <c r="Z194" s="66" t="s">
        <v>2020</v>
      </c>
    </row>
    <row r="195" spans="1:26" ht="15.75" customHeight="1">
      <c r="A195" s="83" t="str">
        <f ca="1">IFERROR(__xludf.DUMMYFUNCTION("""COMPUTED_VALUE"""),"W16NE")</f>
        <v>W16NE</v>
      </c>
      <c r="B195" s="84">
        <f ca="1">IFERROR(__xludf.DUMMYFUNCTION("""COMPUTED_VALUE"""),16)</f>
        <v>16</v>
      </c>
      <c r="C195" s="84" t="str">
        <f ca="1">IFERROR(__xludf.DUMMYFUNCTION("""COMPUTED_VALUE"""),"NE")</f>
        <v>NE</v>
      </c>
      <c r="D195" s="339">
        <f ca="1">IFERROR(__xludf.DUMMYFUNCTION("""COMPUTED_VALUE"""),3400)</f>
        <v>3400</v>
      </c>
      <c r="E195" s="84" t="str">
        <f ca="1">IFERROR(__xludf.DUMMYFUNCTION("""COMPUTED_VALUE"""),"3171016430T20050430")</f>
        <v>3171016430T20050430</v>
      </c>
      <c r="F195" s="84">
        <f ca="1">IFERROR(__xludf.DUMMYFUNCTION("""COMPUTED_VALUE"""),1103121801)</f>
        <v>1103121801</v>
      </c>
      <c r="G195" s="83" t="str">
        <f ca="1">IFERROR(__xludf.DUMMYFUNCTION("""COMPUTED_VALUE"""),"Wo Fat Building")</f>
        <v>Wo Fat Building</v>
      </c>
      <c r="H195" s="84" t="str">
        <f ca="1">IFERROR(__xludf.DUMMYFUNCTION("""COMPUTED_VALUE"""),"和發大廈")</f>
        <v>和發大廈</v>
      </c>
      <c r="I195" s="84">
        <f ca="1">IFERROR(__xludf.DUMMYFUNCTION("""COMPUTED_VALUE"""),114.1326744)</f>
        <v>114.1326744</v>
      </c>
      <c r="J195" s="84">
        <f ca="1">IFERROR(__xludf.DUMMYFUNCTION("""COMPUTED_VALUE"""),22.28679344)</f>
        <v>22.28679344</v>
      </c>
      <c r="K195" s="88">
        <f ca="1">IFERROR(__xludf.DUMMYFUNCTION("""COMPUTED_VALUE"""),10.6)</f>
        <v>10.6</v>
      </c>
      <c r="L195" s="84" t="str">
        <f ca="1">IFERROR(__xludf.DUMMYFUNCTION("""COMPUTED_VALUE"""),"p")</f>
        <v>p</v>
      </c>
      <c r="M195" s="88">
        <f ca="1">IFERROR(__xludf.DUMMYFUNCTION("""COMPUTED_VALUE"""),66.2)</f>
        <v>66.2</v>
      </c>
      <c r="N195" s="84" t="str">
        <f ca="1">IFERROR(__xludf.DUMMYFUNCTION("""COMPUTED_VALUE"""),"p")</f>
        <v>p</v>
      </c>
      <c r="O195" s="88">
        <f ca="1">IFERROR(__xludf.DUMMYFUNCTION("""COMPUTED_VALUE"""),55.6)</f>
        <v>55.6</v>
      </c>
      <c r="P195" s="85"/>
      <c r="Q195" s="75" t="b">
        <f ca="1">IFERROR(__xludf.DUMMYFUNCTION("""COMPUTED_VALUE"""),FALSE)</f>
        <v>0</v>
      </c>
      <c r="R195" s="75" t="b">
        <f ca="1">IFERROR(__xludf.DUMMYFUNCTION("""COMPUTED_VALUE"""),FALSE)</f>
        <v>0</v>
      </c>
      <c r="S195" s="75" t="b">
        <f ca="1">IFERROR(__xludf.DUMMYFUNCTION("""COMPUTED_VALUE"""),FALSE)</f>
        <v>0</v>
      </c>
      <c r="T195" s="75" t="b">
        <f ca="1">IFERROR(__xludf.DUMMYFUNCTION("""COMPUTED_VALUE"""),FALSE)</f>
        <v>0</v>
      </c>
      <c r="U195" s="86">
        <f ca="1">IFERROR(__xludf.DUMMYFUNCTION("""COMPUTED_VALUE"""),20)</f>
        <v>20</v>
      </c>
      <c r="V195" s="84"/>
      <c r="W195" s="87"/>
      <c r="X195" s="84"/>
      <c r="Y195" s="84" t="str">
        <f ca="1">IFERROR(__xludf.DUMMYFUNCTION("""COMPUTED_VALUE"""),"Fieldwork")</f>
        <v>Fieldwork</v>
      </c>
      <c r="Z195" s="66" t="s">
        <v>2021</v>
      </c>
    </row>
    <row r="196" spans="1:26" ht="15.75" customHeight="1">
      <c r="A196" s="83" t="str">
        <f ca="1">IFERROR(__xludf.DUMMYFUNCTION("""COMPUTED_VALUE"""),"W16SE")</f>
        <v>W16SE</v>
      </c>
      <c r="B196" s="84">
        <f ca="1">IFERROR(__xludf.DUMMYFUNCTION("""COMPUTED_VALUE"""),16)</f>
        <v>16</v>
      </c>
      <c r="C196" s="84" t="str">
        <f ca="1">IFERROR(__xludf.DUMMYFUNCTION("""COMPUTED_VALUE"""),"SE")</f>
        <v>SE</v>
      </c>
      <c r="D196" s="339">
        <f ca="1">IFERROR(__xludf.DUMMYFUNCTION("""COMPUTED_VALUE"""),3400)</f>
        <v>3400</v>
      </c>
      <c r="E196" s="84" t="str">
        <f ca="1">IFERROR(__xludf.DUMMYFUNCTION("""COMPUTED_VALUE"""),"3168416404T20050430")</f>
        <v>3168416404T20050430</v>
      </c>
      <c r="F196" s="84">
        <f ca="1">IFERROR(__xludf.DUMMYFUNCTION("""COMPUTED_VALUE"""),1103121970)</f>
        <v>1103121970</v>
      </c>
      <c r="G196" s="83" t="str">
        <f ca="1">IFERROR(__xludf.DUMMYFUNCTION("""COMPUTED_VALUE"""),"Sum Way Mansion")</f>
        <v>Sum Way Mansion</v>
      </c>
      <c r="H196" s="84" t="str">
        <f ca="1">IFERROR(__xludf.DUMMYFUNCTION("""COMPUTED_VALUE"""),"三匯大廈")</f>
        <v>三匯大廈</v>
      </c>
      <c r="I196" s="84">
        <f ca="1">IFERROR(__xludf.DUMMYFUNCTION("""COMPUTED_VALUE"""),114.1325156)</f>
        <v>114.1325156</v>
      </c>
      <c r="J196" s="84">
        <f ca="1">IFERROR(__xludf.DUMMYFUNCTION("""COMPUTED_VALUE"""),22.28649699)</f>
        <v>22.28649699</v>
      </c>
      <c r="K196" s="88">
        <f ca="1">IFERROR(__xludf.DUMMYFUNCTION("""COMPUTED_VALUE"""),3.9)</f>
        <v>3.9</v>
      </c>
      <c r="L196" s="84" t="str">
        <f ca="1">IFERROR(__xludf.DUMMYFUNCTION("""COMPUTED_VALUE"""),"l")</f>
        <v>l</v>
      </c>
      <c r="M196" s="88">
        <f ca="1">IFERROR(__xludf.DUMMYFUNCTION("""COMPUTED_VALUE"""),79.9)</f>
        <v>79.900000000000006</v>
      </c>
      <c r="N196" s="84" t="str">
        <f ca="1">IFERROR(__xludf.DUMMYFUNCTION("""COMPUTED_VALUE"""),"3")</f>
        <v>3</v>
      </c>
      <c r="O196" s="88">
        <f ca="1">IFERROR(__xludf.DUMMYFUNCTION("""COMPUTED_VALUE"""),76)</f>
        <v>76</v>
      </c>
      <c r="P196" s="85"/>
      <c r="Q196" s="75" t="b">
        <f ca="1">IFERROR(__xludf.DUMMYFUNCTION("""COMPUTED_VALUE"""),FALSE)</f>
        <v>0</v>
      </c>
      <c r="R196" s="75" t="b">
        <f ca="1">IFERROR(__xludf.DUMMYFUNCTION("""COMPUTED_VALUE"""),FALSE)</f>
        <v>0</v>
      </c>
      <c r="S196" s="75" t="b">
        <f ca="1">IFERROR(__xludf.DUMMYFUNCTION("""COMPUTED_VALUE"""),FALSE)</f>
        <v>0</v>
      </c>
      <c r="T196" s="75" t="b">
        <f ca="1">IFERROR(__xludf.DUMMYFUNCTION("""COMPUTED_VALUE"""),FALSE)</f>
        <v>0</v>
      </c>
      <c r="U196" s="86">
        <f ca="1">IFERROR(__xludf.DUMMYFUNCTION("""COMPUTED_VALUE"""),23)</f>
        <v>23</v>
      </c>
      <c r="V196" s="84"/>
      <c r="W196" s="87"/>
      <c r="X196" s="84"/>
      <c r="Y196" s="84" t="str">
        <f ca="1">IFERROR(__xludf.DUMMYFUNCTION("""COMPUTED_VALUE"""),"Fieldwork")</f>
        <v>Fieldwork</v>
      </c>
      <c r="Z196" s="66" t="s">
        <v>2022</v>
      </c>
    </row>
    <row r="197" spans="1:26" ht="15.75" customHeight="1">
      <c r="A197" s="83" t="str">
        <f ca="1">IFERROR(__xludf.DUMMYFUNCTION("""COMPUTED_VALUE"""),"W16SW")</f>
        <v>W16SW</v>
      </c>
      <c r="B197" s="84">
        <f ca="1">IFERROR(__xludf.DUMMYFUNCTION("""COMPUTED_VALUE"""),16)</f>
        <v>16</v>
      </c>
      <c r="C197" s="84" t="str">
        <f ca="1">IFERROR(__xludf.DUMMYFUNCTION("""COMPUTED_VALUE"""),"SW")</f>
        <v>SW</v>
      </c>
      <c r="D197" s="339">
        <f ca="1">IFERROR(__xludf.DUMMYFUNCTION("""COMPUTED_VALUE"""),3400)</f>
        <v>3400</v>
      </c>
      <c r="E197" s="84"/>
      <c r="F197" s="84"/>
      <c r="G197" s="83"/>
      <c r="H197" s="84"/>
      <c r="I197" s="84"/>
      <c r="J197" s="84"/>
      <c r="K197" s="88"/>
      <c r="L197" s="84"/>
      <c r="M197" s="88"/>
      <c r="N197" s="84"/>
      <c r="O197" s="88"/>
      <c r="P197" s="85"/>
      <c r="Q197" s="75" t="b">
        <f ca="1">IFERROR(__xludf.DUMMYFUNCTION("""COMPUTED_VALUE"""),TRUE)</f>
        <v>1</v>
      </c>
      <c r="R197" s="75" t="b">
        <f ca="1">IFERROR(__xludf.DUMMYFUNCTION("""COMPUTED_VALUE"""),FALSE)</f>
        <v>0</v>
      </c>
      <c r="S197" s="75" t="b">
        <f ca="1">IFERROR(__xludf.DUMMYFUNCTION("""COMPUTED_VALUE"""),FALSE)</f>
        <v>0</v>
      </c>
      <c r="T197" s="75" t="b">
        <f ca="1">IFERROR(__xludf.DUMMYFUNCTION("""COMPUTED_VALUE"""),TRUE)</f>
        <v>1</v>
      </c>
      <c r="U197" s="86">
        <f ca="1">IFERROR(__xludf.DUMMYFUNCTION("""COMPUTED_VALUE"""),0)</f>
        <v>0</v>
      </c>
      <c r="V197" s="84"/>
      <c r="W197" s="87"/>
      <c r="X197" s="84"/>
      <c r="Y197" s="84"/>
      <c r="Z197" s="66" t="s">
        <v>556</v>
      </c>
    </row>
    <row r="198" spans="1:26" ht="15.75" customHeight="1">
      <c r="A198" s="83" t="str">
        <f ca="1">IFERROR(__xludf.DUMMYFUNCTION("""COMPUTED_VALUE"""),"W16NW")</f>
        <v>W16NW</v>
      </c>
      <c r="B198" s="84">
        <f ca="1">IFERROR(__xludf.DUMMYFUNCTION("""COMPUTED_VALUE"""),16)</f>
        <v>16</v>
      </c>
      <c r="C198" s="84" t="str">
        <f ca="1">IFERROR(__xludf.DUMMYFUNCTION("""COMPUTED_VALUE"""),"NW")</f>
        <v>NW</v>
      </c>
      <c r="D198" s="339">
        <f ca="1">IFERROR(__xludf.DUMMYFUNCTION("""COMPUTED_VALUE"""),3400)</f>
        <v>3400</v>
      </c>
      <c r="E198" s="84"/>
      <c r="F198" s="84"/>
      <c r="G198" s="83"/>
      <c r="H198" s="84"/>
      <c r="I198" s="84"/>
      <c r="J198" s="84"/>
      <c r="K198" s="88"/>
      <c r="L198" s="84"/>
      <c r="M198" s="88"/>
      <c r="N198" s="84"/>
      <c r="O198" s="88"/>
      <c r="P198" s="85"/>
      <c r="Q198" s="75" t="b">
        <f ca="1">IFERROR(__xludf.DUMMYFUNCTION("""COMPUTED_VALUE"""),TRUE)</f>
        <v>1</v>
      </c>
      <c r="R198" s="75" t="b">
        <f ca="1">IFERROR(__xludf.DUMMYFUNCTION("""COMPUTED_VALUE"""),FALSE)</f>
        <v>0</v>
      </c>
      <c r="S198" s="75" t="b">
        <f ca="1">IFERROR(__xludf.DUMMYFUNCTION("""COMPUTED_VALUE"""),FALSE)</f>
        <v>0</v>
      </c>
      <c r="T198" s="75" t="b">
        <f ca="1">IFERROR(__xludf.DUMMYFUNCTION("""COMPUTED_VALUE"""),TRUE)</f>
        <v>1</v>
      </c>
      <c r="U198" s="86">
        <f ca="1">IFERROR(__xludf.DUMMYFUNCTION("""COMPUTED_VALUE"""),0)</f>
        <v>0</v>
      </c>
      <c r="V198" s="84"/>
      <c r="W198" s="87"/>
      <c r="X198" s="84"/>
      <c r="Y198" s="84"/>
      <c r="Z198" s="66" t="s">
        <v>556</v>
      </c>
    </row>
    <row r="199" spans="1:26" ht="15.75" customHeight="1">
      <c r="A199" s="83" t="str">
        <f ca="1">IFERROR(__xludf.DUMMYFUNCTION("""COMPUTED_VALUE"""),"N9NE")</f>
        <v>N9NE</v>
      </c>
      <c r="B199" s="84">
        <f ca="1">IFERROR(__xludf.DUMMYFUNCTION("""COMPUTED_VALUE"""),9)</f>
        <v>9</v>
      </c>
      <c r="C199" s="84" t="str">
        <f ca="1">IFERROR(__xludf.DUMMYFUNCTION("""COMPUTED_VALUE"""),"NE")</f>
        <v>NE</v>
      </c>
      <c r="D199" s="339">
        <f ca="1">IFERROR(__xludf.DUMMYFUNCTION("""COMPUTED_VALUE"""),3600)</f>
        <v>3600</v>
      </c>
      <c r="E199" s="84" t="str">
        <f ca="1">IFERROR(__xludf.DUMMYFUNCTION("""COMPUTED_VALUE"""),"3568219177T20050430")</f>
        <v>3568219177T20050430</v>
      </c>
      <c r="F199" s="84">
        <f ca="1">IFERROR(__xludf.DUMMYFUNCTION("""COMPUTED_VALUE"""),1108239661)</f>
        <v>1108239661</v>
      </c>
      <c r="G199" s="83" t="str">
        <f ca="1">IFERROR(__xludf.DUMMYFUNCTION("""COMPUTED_VALUE"""),"Bangkok Bank Building")</f>
        <v>Bangkok Bank Building</v>
      </c>
      <c r="H199" s="84" t="str">
        <f ca="1">IFERROR(__xludf.DUMMYFUNCTION("""COMPUTED_VALUE"""),"盤谷銀行大廈")</f>
        <v>盤谷銀行大廈</v>
      </c>
      <c r="I199" s="84">
        <f ca="1">IFERROR(__xludf.DUMMYFUNCTION("""COMPUTED_VALUE"""),114.1711861)</f>
        <v>114.1711861</v>
      </c>
      <c r="J199" s="84">
        <f ca="1">IFERROR(__xludf.DUMMYFUNCTION("""COMPUTED_VALUE"""),22.31156702)</f>
        <v>22.311567019999998</v>
      </c>
      <c r="K199" s="88">
        <f ca="1">IFERROR(__xludf.DUMMYFUNCTION("""COMPUTED_VALUE"""),21.799999)</f>
        <v>21.799999</v>
      </c>
      <c r="L199" s="84" t="str">
        <f ca="1">IFERROR(__xludf.DUMMYFUNCTION("""COMPUTED_VALUE"""),"p")</f>
        <v>p</v>
      </c>
      <c r="M199" s="88">
        <f ca="1">IFERROR(__xludf.DUMMYFUNCTION("""COMPUTED_VALUE"""),77.199997)</f>
        <v>77.199996999999996</v>
      </c>
      <c r="N199" s="84" t="str">
        <f ca="1">IFERROR(__xludf.DUMMYFUNCTION("""COMPUTED_VALUE"""),"3")</f>
        <v>3</v>
      </c>
      <c r="O199" s="88">
        <f ca="1">IFERROR(__xludf.DUMMYFUNCTION("""COMPUTED_VALUE"""),55.399998)</f>
        <v>55.399997999999997</v>
      </c>
      <c r="P199" s="85"/>
      <c r="Q199" s="75" t="b">
        <f ca="1">IFERROR(__xludf.DUMMYFUNCTION("""COMPUTED_VALUE"""),FALSE)</f>
        <v>0</v>
      </c>
      <c r="R199" s="75" t="b">
        <f ca="1">IFERROR(__xludf.DUMMYFUNCTION("""COMPUTED_VALUE"""),FALSE)</f>
        <v>0</v>
      </c>
      <c r="S199" s="75" t="b">
        <f ca="1">IFERROR(__xludf.DUMMYFUNCTION("""COMPUTED_VALUE"""),FALSE)</f>
        <v>0</v>
      </c>
      <c r="T199" s="75"/>
      <c r="U199" s="86">
        <f ca="1">IFERROR(__xludf.DUMMYFUNCTION("""COMPUTED_VALUE"""),24)</f>
        <v>24</v>
      </c>
      <c r="V199" s="84">
        <f ca="1">IFERROR(__xludf.DUMMYFUNCTION("""COMPUTED_VALUE"""),0)</f>
        <v>0</v>
      </c>
      <c r="W199" s="87">
        <f ca="1">IFERROR(__xludf.DUMMYFUNCTION("""COMPUTED_VALUE"""),48)</f>
        <v>48</v>
      </c>
      <c r="X199" s="84">
        <f ca="1">IFERROR(__xludf.DUMMYFUNCTION("""COMPUTED_VALUE"""),1976)</f>
        <v>1976</v>
      </c>
      <c r="Y199" s="84" t="str">
        <f ca="1">IFERROR(__xludf.DUMMYFUNCTION("""COMPUTED_VALUE"""),"BMIS_auto")</f>
        <v>BMIS_auto</v>
      </c>
      <c r="Z199" s="66" t="s">
        <v>2026</v>
      </c>
    </row>
    <row r="200" spans="1:26" ht="15.75" customHeight="1">
      <c r="A200" s="83" t="str">
        <f ca="1">IFERROR(__xludf.DUMMYFUNCTION("""COMPUTED_VALUE"""),"N9SE")</f>
        <v>N9SE</v>
      </c>
      <c r="B200" s="84">
        <f ca="1">IFERROR(__xludf.DUMMYFUNCTION("""COMPUTED_VALUE"""),9)</f>
        <v>9</v>
      </c>
      <c r="C200" s="84" t="str">
        <f ca="1">IFERROR(__xludf.DUMMYFUNCTION("""COMPUTED_VALUE"""),"SE")</f>
        <v>SE</v>
      </c>
      <c r="D200" s="339">
        <f ca="1">IFERROR(__xludf.DUMMYFUNCTION("""COMPUTED_VALUE"""),3600)</f>
        <v>3600</v>
      </c>
      <c r="E200" s="84" t="str">
        <f ca="1">IFERROR(__xludf.DUMMYFUNCTION("""COMPUTED_VALUE"""),"3568419165T20050430")</f>
        <v>3568419165T20050430</v>
      </c>
      <c r="F200" s="84">
        <f ca="1">IFERROR(__xludf.DUMMYFUNCTION("""COMPUTED_VALUE"""),1108239696)</f>
        <v>1108239696</v>
      </c>
      <c r="G200" s="83" t="str">
        <f ca="1">IFERROR(__xludf.DUMMYFUNCTION("""COMPUTED_VALUE"""),"Oxford Commercial Building")</f>
        <v>Oxford Commercial Building</v>
      </c>
      <c r="H200" s="84" t="str">
        <f ca="1">IFERROR(__xludf.DUMMYFUNCTION("""COMPUTED_VALUE"""),"益南華廈")</f>
        <v>益南華廈</v>
      </c>
      <c r="I200" s="84">
        <f ca="1">IFERROR(__xludf.DUMMYFUNCTION("""COMPUTED_VALUE"""),114.1712057)</f>
        <v>114.1712057</v>
      </c>
      <c r="J200" s="84">
        <f ca="1">IFERROR(__xludf.DUMMYFUNCTION("""COMPUTED_VALUE"""),22.31148501)</f>
        <v>22.311485009999998</v>
      </c>
      <c r="K200" s="88">
        <f ca="1">IFERROR(__xludf.DUMMYFUNCTION("""COMPUTED_VALUE"""),5.5)</f>
        <v>5.5</v>
      </c>
      <c r="L200" s="84" t="str">
        <f ca="1">IFERROR(__xludf.DUMMYFUNCTION("""COMPUTED_VALUE"""),"l")</f>
        <v>l</v>
      </c>
      <c r="M200" s="88">
        <f ca="1">IFERROR(__xludf.DUMMYFUNCTION("""COMPUTED_VALUE"""),46.799999)</f>
        <v>46.799999</v>
      </c>
      <c r="N200" s="84" t="str">
        <f ca="1">IFERROR(__xludf.DUMMYFUNCTION("""COMPUTED_VALUE"""),"3")</f>
        <v>3</v>
      </c>
      <c r="O200" s="88">
        <f ca="1">IFERROR(__xludf.DUMMYFUNCTION("""COMPUTED_VALUE"""),41.299999)</f>
        <v>41.299999</v>
      </c>
      <c r="P200" s="85"/>
      <c r="Q200" s="75" t="b">
        <f ca="1">IFERROR(__xludf.DUMMYFUNCTION("""COMPUTED_VALUE"""),FALSE)</f>
        <v>0</v>
      </c>
      <c r="R200" s="75" t="b">
        <f ca="1">IFERROR(__xludf.DUMMYFUNCTION("""COMPUTED_VALUE"""),FALSE)</f>
        <v>0</v>
      </c>
      <c r="S200" s="75" t="b">
        <f ca="1">IFERROR(__xludf.DUMMYFUNCTION("""COMPUTED_VALUE"""),FALSE)</f>
        <v>0</v>
      </c>
      <c r="T200" s="75"/>
      <c r="U200" s="86">
        <f ca="1">IFERROR(__xludf.DUMMYFUNCTION("""COMPUTED_VALUE"""),24)</f>
        <v>24</v>
      </c>
      <c r="V200" s="84">
        <f ca="1">IFERROR(__xludf.DUMMYFUNCTION("""COMPUTED_VALUE"""),0)</f>
        <v>0</v>
      </c>
      <c r="W200" s="87">
        <f ca="1">IFERROR(__xludf.DUMMYFUNCTION("""COMPUTED_VALUE"""),24)</f>
        <v>24</v>
      </c>
      <c r="X200" s="84">
        <f ca="1">IFERROR(__xludf.DUMMYFUNCTION("""COMPUTED_VALUE"""),1974)</f>
        <v>1974</v>
      </c>
      <c r="Y200" s="84" t="str">
        <f ca="1">IFERROR(__xludf.DUMMYFUNCTION("""COMPUTED_VALUE"""),"BMIS")</f>
        <v>BMIS</v>
      </c>
      <c r="Z200" s="66" t="s">
        <v>2028</v>
      </c>
    </row>
    <row r="201" spans="1:26" ht="15.75" customHeight="1">
      <c r="A201" s="83" t="str">
        <f ca="1">IFERROR(__xludf.DUMMYFUNCTION("""COMPUTED_VALUE"""),"N9NW")</f>
        <v>N9NW</v>
      </c>
      <c r="B201" s="84">
        <f ca="1">IFERROR(__xludf.DUMMYFUNCTION("""COMPUTED_VALUE"""),9)</f>
        <v>9</v>
      </c>
      <c r="C201" s="84" t="str">
        <f ca="1">IFERROR(__xludf.DUMMYFUNCTION("""COMPUTED_VALUE"""),"NW")</f>
        <v>NW</v>
      </c>
      <c r="D201" s="339">
        <f ca="1">IFERROR(__xludf.DUMMYFUNCTION("""COMPUTED_VALUE"""),3600)</f>
        <v>3600</v>
      </c>
      <c r="E201" s="84" t="str">
        <f ca="1">IFERROR(__xludf.DUMMYFUNCTION("""COMPUTED_VALUE"""),"3563319168T20080704")</f>
        <v>3563319168T20080704</v>
      </c>
      <c r="F201" s="84">
        <f ca="1">IFERROR(__xludf.DUMMYFUNCTION("""COMPUTED_VALUE"""),1108239676)</f>
        <v>1108239676</v>
      </c>
      <c r="G201" s="83" t="str">
        <f ca="1">IFERROR(__xludf.DUMMYFUNCTION("""COMPUTED_VALUE"""),"Casa Hotel")</f>
        <v>Casa Hotel</v>
      </c>
      <c r="H201" s="84"/>
      <c r="I201" s="84">
        <f ca="1">IFERROR(__xludf.DUMMYFUNCTION("""COMPUTED_VALUE"""),114.1707248)</f>
        <v>114.1707248</v>
      </c>
      <c r="J201" s="84">
        <f ca="1">IFERROR(__xludf.DUMMYFUNCTION("""COMPUTED_VALUE"""),22.31149723)</f>
        <v>22.311497230000001</v>
      </c>
      <c r="K201" s="88">
        <f ca="1">IFERROR(__xludf.DUMMYFUNCTION("""COMPUTED_VALUE"""),5.4)</f>
        <v>5.4</v>
      </c>
      <c r="L201" s="84" t="str">
        <f ca="1">IFERROR(__xludf.DUMMYFUNCTION("""COMPUTED_VALUE"""),"l")</f>
        <v>l</v>
      </c>
      <c r="M201" s="88">
        <f ca="1">IFERROR(__xludf.DUMMYFUNCTION("""COMPUTED_VALUE"""),54.799999)</f>
        <v>54.799999</v>
      </c>
      <c r="N201" s="84" t="str">
        <f ca="1">IFERROR(__xludf.DUMMYFUNCTION("""COMPUTED_VALUE"""),"p")</f>
        <v>p</v>
      </c>
      <c r="O201" s="88">
        <f ca="1">IFERROR(__xludf.DUMMYFUNCTION("""COMPUTED_VALUE"""),49.399999)</f>
        <v>49.399999000000001</v>
      </c>
      <c r="P201" s="85"/>
      <c r="Q201" s="75" t="b">
        <f ca="1">IFERROR(__xludf.DUMMYFUNCTION("""COMPUTED_VALUE"""),FALSE)</f>
        <v>0</v>
      </c>
      <c r="R201" s="75" t="b">
        <f ca="1">IFERROR(__xludf.DUMMYFUNCTION("""COMPUTED_VALUE"""),FALSE)</f>
        <v>0</v>
      </c>
      <c r="S201" s="75" t="b">
        <f ca="1">IFERROR(__xludf.DUMMYFUNCTION("""COMPUTED_VALUE"""),FALSE)</f>
        <v>0</v>
      </c>
      <c r="T201" s="75"/>
      <c r="U201" s="86">
        <f ca="1">IFERROR(__xludf.DUMMYFUNCTION("""COMPUTED_VALUE"""),15)</f>
        <v>15</v>
      </c>
      <c r="V201" s="84"/>
      <c r="W201" s="87"/>
      <c r="X201" s="84"/>
      <c r="Y201" s="84" t="str">
        <f ca="1">IFERROR(__xludf.DUMMYFUNCTION("""COMPUTED_VALUE"""),"Street View")</f>
        <v>Street View</v>
      </c>
      <c r="Z201" s="66" t="s">
        <v>2030</v>
      </c>
    </row>
    <row r="202" spans="1:26" ht="15.75" customHeight="1">
      <c r="A202" s="83" t="str">
        <f ca="1">IFERROR(__xludf.DUMMYFUNCTION("""COMPUTED_VALUE"""),"N9SW")</f>
        <v>N9SW</v>
      </c>
      <c r="B202" s="84">
        <f ca="1">IFERROR(__xludf.DUMMYFUNCTION("""COMPUTED_VALUE"""),9)</f>
        <v>9</v>
      </c>
      <c r="C202" s="84" t="str">
        <f ca="1">IFERROR(__xludf.DUMMYFUNCTION("""COMPUTED_VALUE"""),"SW")</f>
        <v>SW</v>
      </c>
      <c r="D202" s="339">
        <f ca="1">IFERROR(__xludf.DUMMYFUNCTION("""COMPUTED_VALUE"""),3600)</f>
        <v>3600</v>
      </c>
      <c r="E202" s="84" t="str">
        <f ca="1">IFERROR(__xludf.DUMMYFUNCTION("""COMPUTED_VALUE"""),"3563719151T20130220")</f>
        <v>3563719151T20130220</v>
      </c>
      <c r="F202" s="84">
        <f ca="1">IFERROR(__xludf.DUMMYFUNCTION("""COMPUTED_VALUE"""),1810095790)</f>
        <v>1810095790</v>
      </c>
      <c r="G202" s="83" t="str">
        <f ca="1">IFERROR(__xludf.DUMMYFUNCTION("""COMPUTED_VALUE"""),"Casa Deluxe Hotel")</f>
        <v>Casa Deluxe Hotel</v>
      </c>
      <c r="H202" s="84"/>
      <c r="I202" s="84">
        <f ca="1">IFERROR(__xludf.DUMMYFUNCTION("""COMPUTED_VALUE"""),114.1707551)</f>
        <v>114.17075509999999</v>
      </c>
      <c r="J202" s="84">
        <f ca="1">IFERROR(__xludf.DUMMYFUNCTION("""COMPUTED_VALUE"""),22.3113397)</f>
        <v>22.311339700000001</v>
      </c>
      <c r="K202" s="88">
        <f ca="1">IFERROR(__xludf.DUMMYFUNCTION("""COMPUTED_VALUE"""),5.4)</f>
        <v>5.4</v>
      </c>
      <c r="L202" s="84" t="str">
        <f ca="1">IFERROR(__xludf.DUMMYFUNCTION("""COMPUTED_VALUE"""),"l")</f>
        <v>l</v>
      </c>
      <c r="M202" s="88">
        <f ca="1">IFERROR(__xludf.DUMMYFUNCTION("""COMPUTED_VALUE"""),51.299999)</f>
        <v>51.299999</v>
      </c>
      <c r="N202" s="84" t="str">
        <f ca="1">IFERROR(__xludf.DUMMYFUNCTION("""COMPUTED_VALUE"""),"3")</f>
        <v>3</v>
      </c>
      <c r="O202" s="88">
        <f ca="1">IFERROR(__xludf.DUMMYFUNCTION("""COMPUTED_VALUE"""),45.899999)</f>
        <v>45.899999000000001</v>
      </c>
      <c r="P202" s="85"/>
      <c r="Q202" s="75" t="b">
        <f ca="1">IFERROR(__xludf.DUMMYFUNCTION("""COMPUTED_VALUE"""),FALSE)</f>
        <v>0</v>
      </c>
      <c r="R202" s="75" t="b">
        <f ca="1">IFERROR(__xludf.DUMMYFUNCTION("""COMPUTED_VALUE"""),FALSE)</f>
        <v>0</v>
      </c>
      <c r="S202" s="75" t="b">
        <f ca="1">IFERROR(__xludf.DUMMYFUNCTION("""COMPUTED_VALUE"""),FALSE)</f>
        <v>0</v>
      </c>
      <c r="T202" s="75"/>
      <c r="U202" s="86">
        <f ca="1">IFERROR(__xludf.DUMMYFUNCTION("""COMPUTED_VALUE"""),14)</f>
        <v>14</v>
      </c>
      <c r="V202" s="84"/>
      <c r="W202" s="87"/>
      <c r="X202" s="84"/>
      <c r="Y202" s="84" t="str">
        <f ca="1">IFERROR(__xludf.DUMMYFUNCTION("""COMPUTED_VALUE"""),"Street View")</f>
        <v>Street View</v>
      </c>
      <c r="Z202" s="66" t="s">
        <v>2032</v>
      </c>
    </row>
    <row r="203" spans="1:26" ht="15.75" customHeight="1">
      <c r="A203" s="83" t="str">
        <f ca="1">IFERROR(__xludf.DUMMYFUNCTION("""COMPUTED_VALUE"""),"E17NE")</f>
        <v>E17NE</v>
      </c>
      <c r="B203" s="84">
        <f ca="1">IFERROR(__xludf.DUMMYFUNCTION("""COMPUTED_VALUE"""),17)</f>
        <v>17</v>
      </c>
      <c r="C203" s="84" t="str">
        <f ca="1">IFERROR(__xludf.DUMMYFUNCTION("""COMPUTED_VALUE"""),"NE")</f>
        <v>NE</v>
      </c>
      <c r="D203" s="339">
        <f ca="1">IFERROR(__xludf.DUMMYFUNCTION("""COMPUTED_VALUE"""),3600)</f>
        <v>3600</v>
      </c>
      <c r="E203" s="84" t="str">
        <f ca="1">IFERROR(__xludf.DUMMYFUNCTION("""COMPUTED_VALUE"""),"3722115622T20050430")</f>
        <v>3722115622T20050430</v>
      </c>
      <c r="F203" s="84">
        <f ca="1">IFERROR(__xludf.DUMMYFUNCTION("""COMPUTED_VALUE"""),1103127364)</f>
        <v>1103127364</v>
      </c>
      <c r="G203" s="83" t="str">
        <f ca="1">IFERROR(__xludf.DUMMYFUNCTION("""COMPUTED_VALUE"""),"60-62 Yee Wo Street")</f>
        <v>60-62 Yee Wo Street</v>
      </c>
      <c r="H203" s="84"/>
      <c r="I203" s="84">
        <f ca="1">IFERROR(__xludf.DUMMYFUNCTION("""COMPUTED_VALUE"""),114.1861172)</f>
        <v>114.1861172</v>
      </c>
      <c r="J203" s="84">
        <f ca="1">IFERROR(__xludf.DUMMYFUNCTION("""COMPUTED_VALUE"""),22.27945228)</f>
        <v>22.279452280000001</v>
      </c>
      <c r="K203" s="88">
        <f ca="1">IFERROR(__xludf.DUMMYFUNCTION("""COMPUTED_VALUE"""),4.2)</f>
        <v>4.2</v>
      </c>
      <c r="L203" s="84" t="str">
        <f ca="1">IFERROR(__xludf.DUMMYFUNCTION("""COMPUTED_VALUE"""),"l")</f>
        <v>l</v>
      </c>
      <c r="M203" s="88">
        <f ca="1">IFERROR(__xludf.DUMMYFUNCTION("""COMPUTED_VALUE"""),49.7)</f>
        <v>49.7</v>
      </c>
      <c r="N203" s="84" t="str">
        <f ca="1">IFERROR(__xludf.DUMMYFUNCTION("""COMPUTED_VALUE"""),"3")</f>
        <v>3</v>
      </c>
      <c r="O203" s="88">
        <f ca="1">IFERROR(__xludf.DUMMYFUNCTION("""COMPUTED_VALUE"""),45.5)</f>
        <v>45.5</v>
      </c>
      <c r="P203" s="85"/>
      <c r="Q203" s="75" t="b">
        <f ca="1">IFERROR(__xludf.DUMMYFUNCTION("""COMPUTED_VALUE"""),FALSE)</f>
        <v>0</v>
      </c>
      <c r="R203" s="75" t="b">
        <f ca="1">IFERROR(__xludf.DUMMYFUNCTION("""COMPUTED_VALUE"""),FALSE)</f>
        <v>0</v>
      </c>
      <c r="S203" s="75" t="b">
        <f ca="1">IFERROR(__xludf.DUMMYFUNCTION("""COMPUTED_VALUE"""),TRUE)</f>
        <v>1</v>
      </c>
      <c r="T203" s="75" t="b">
        <f ca="1">IFERROR(__xludf.DUMMYFUNCTION("""COMPUTED_VALUE"""),FALSE)</f>
        <v>0</v>
      </c>
      <c r="U203" s="86">
        <f ca="1">IFERROR(__xludf.DUMMYFUNCTION("""COMPUTED_VALUE"""),12)</f>
        <v>12</v>
      </c>
      <c r="V203" s="84">
        <f ca="1">IFERROR(__xludf.DUMMYFUNCTION("""COMPUTED_VALUE"""),0)</f>
        <v>0</v>
      </c>
      <c r="W203" s="87">
        <f ca="1">IFERROR(__xludf.DUMMYFUNCTION("""COMPUTED_VALUE"""),42)</f>
        <v>42</v>
      </c>
      <c r="X203" s="84">
        <f ca="1">IFERROR(__xludf.DUMMYFUNCTION("""COMPUTED_VALUE"""),1966)</f>
        <v>1966</v>
      </c>
      <c r="Y203" s="84" t="str">
        <f ca="1">IFERROR(__xludf.DUMMYFUNCTION("""COMPUTED_VALUE"""),"BMIS_auto")</f>
        <v>BMIS_auto</v>
      </c>
      <c r="Z203" s="66" t="s">
        <v>1014</v>
      </c>
    </row>
    <row r="204" spans="1:26" ht="15.75" customHeight="1">
      <c r="A204" s="83" t="str">
        <f ca="1">IFERROR(__xludf.DUMMYFUNCTION("""COMPUTED_VALUE"""),"E17SE")</f>
        <v>E17SE</v>
      </c>
      <c r="B204" s="84">
        <f ca="1">IFERROR(__xludf.DUMMYFUNCTION("""COMPUTED_VALUE"""),17)</f>
        <v>17</v>
      </c>
      <c r="C204" s="84" t="str">
        <f ca="1">IFERROR(__xludf.DUMMYFUNCTION("""COMPUTED_VALUE"""),"SE")</f>
        <v>SE</v>
      </c>
      <c r="D204" s="339">
        <f ca="1">IFERROR(__xludf.DUMMYFUNCTION("""COMPUTED_VALUE"""),3600)</f>
        <v>3600</v>
      </c>
      <c r="E204" s="84" t="str">
        <f ca="1">IFERROR(__xludf.DUMMYFUNCTION("""COMPUTED_VALUE"""),"3719315637T20050430")</f>
        <v>3719315637T20050430</v>
      </c>
      <c r="F204" s="84">
        <f ca="1">IFERROR(__xludf.DUMMYFUNCTION("""COMPUTED_VALUE"""),1103127299)</f>
        <v>1103127299</v>
      </c>
      <c r="G204" s="83" t="str">
        <f ca="1">IFERROR(__xludf.DUMMYFUNCTION("""COMPUTED_VALUE"""),"McDonald's Building")</f>
        <v>McDonald's Building</v>
      </c>
      <c r="H204" s="84" t="str">
        <f ca="1">IFERROR(__xludf.DUMMYFUNCTION("""COMPUTED_VALUE"""),"麥當勞大廈")</f>
        <v>麥當勞大廈</v>
      </c>
      <c r="I204" s="84">
        <f ca="1">IFERROR(__xludf.DUMMYFUNCTION("""COMPUTED_VALUE"""),114.1858596)</f>
        <v>114.1858596</v>
      </c>
      <c r="J204" s="84">
        <f ca="1">IFERROR(__xludf.DUMMYFUNCTION("""COMPUTED_VALUE"""),22.27953591)</f>
        <v>22.27953591</v>
      </c>
      <c r="K204" s="88">
        <f ca="1">IFERROR(__xludf.DUMMYFUNCTION("""COMPUTED_VALUE"""),4.2)</f>
        <v>4.2</v>
      </c>
      <c r="L204" s="84" t="str">
        <f ca="1">IFERROR(__xludf.DUMMYFUNCTION("""COMPUTED_VALUE"""),"l")</f>
        <v>l</v>
      </c>
      <c r="M204" s="88">
        <f ca="1">IFERROR(__xludf.DUMMYFUNCTION("""COMPUTED_VALUE"""),82.5)</f>
        <v>82.5</v>
      </c>
      <c r="N204" s="84" t="str">
        <f ca="1">IFERROR(__xludf.DUMMYFUNCTION("""COMPUTED_VALUE"""),"3")</f>
        <v>3</v>
      </c>
      <c r="O204" s="88">
        <f ca="1">IFERROR(__xludf.DUMMYFUNCTION("""COMPUTED_VALUE"""),78.3)</f>
        <v>78.3</v>
      </c>
      <c r="P204" s="85"/>
      <c r="Q204" s="75" t="b">
        <f ca="1">IFERROR(__xludf.DUMMYFUNCTION("""COMPUTED_VALUE"""),FALSE)</f>
        <v>0</v>
      </c>
      <c r="R204" s="75" t="b">
        <f ca="1">IFERROR(__xludf.DUMMYFUNCTION("""COMPUTED_VALUE"""),FALSE)</f>
        <v>0</v>
      </c>
      <c r="S204" s="75" t="b">
        <f ca="1">IFERROR(__xludf.DUMMYFUNCTION("""COMPUTED_VALUE"""),FALSE)</f>
        <v>0</v>
      </c>
      <c r="T204" s="75" t="b">
        <f ca="1">IFERROR(__xludf.DUMMYFUNCTION("""COMPUTED_VALUE"""),FALSE)</f>
        <v>0</v>
      </c>
      <c r="U204" s="86">
        <f ca="1">IFERROR(__xludf.DUMMYFUNCTION("""COMPUTED_VALUE"""),21)</f>
        <v>21</v>
      </c>
      <c r="V204" s="84">
        <f ca="1">IFERROR(__xludf.DUMMYFUNCTION("""COMPUTED_VALUE"""),0)</f>
        <v>0</v>
      </c>
      <c r="W204" s="87">
        <f ca="1">IFERROR(__xludf.DUMMYFUNCTION("""COMPUTED_VALUE"""),80)</f>
        <v>80</v>
      </c>
      <c r="X204" s="84">
        <f ca="1">IFERROR(__xludf.DUMMYFUNCTION("""COMPUTED_VALUE"""),1984)</f>
        <v>1984</v>
      </c>
      <c r="Y204" s="84" t="str">
        <f ca="1">IFERROR(__xludf.DUMMYFUNCTION("""COMPUTED_VALUE"""),"BMIS_auto+web")</f>
        <v>BMIS_auto+web</v>
      </c>
      <c r="Z204" s="66" t="s">
        <v>2035</v>
      </c>
    </row>
    <row r="205" spans="1:26" ht="15.75" customHeight="1">
      <c r="A205" s="83" t="str">
        <f ca="1">IFERROR(__xludf.DUMMYFUNCTION("""COMPUTED_VALUE"""),"E17SW")</f>
        <v>E17SW</v>
      </c>
      <c r="B205" s="84">
        <f ca="1">IFERROR(__xludf.DUMMYFUNCTION("""COMPUTED_VALUE"""),17)</f>
        <v>17</v>
      </c>
      <c r="C205" s="84" t="str">
        <f ca="1">IFERROR(__xludf.DUMMYFUNCTION("""COMPUTED_VALUE"""),"SW")</f>
        <v>SW</v>
      </c>
      <c r="D205" s="339">
        <f ca="1">IFERROR(__xludf.DUMMYFUNCTION("""COMPUTED_VALUE"""),3600)</f>
        <v>3600</v>
      </c>
      <c r="E205" s="84" t="str">
        <f ca="1">IFERROR(__xludf.DUMMYFUNCTION("""COMPUTED_VALUE"""),"3721615666T20050430")</f>
        <v>3721615666T20050430</v>
      </c>
      <c r="F205" s="84">
        <f ca="1">IFERROR(__xludf.DUMMYFUNCTION("""COMPUTED_VALUE"""),1103127113)</f>
        <v>1103127113</v>
      </c>
      <c r="G205" s="83" t="str">
        <f ca="1">IFERROR(__xludf.DUMMYFUNCTION("""COMPUTED_VALUE"""),"V Causeway Bay")</f>
        <v>V Causeway Bay</v>
      </c>
      <c r="H205" s="84"/>
      <c r="I205" s="84">
        <f ca="1">IFERROR(__xludf.DUMMYFUNCTION("""COMPUTED_VALUE"""),114.186129)</f>
        <v>114.18612899999999</v>
      </c>
      <c r="J205" s="84">
        <f ca="1">IFERROR(__xludf.DUMMYFUNCTION("""COMPUTED_VALUE"""),22.27988797)</f>
        <v>22.279887970000001</v>
      </c>
      <c r="K205" s="88">
        <f ca="1">IFERROR(__xludf.DUMMYFUNCTION("""COMPUTED_VALUE"""),4)</f>
        <v>4</v>
      </c>
      <c r="L205" s="84" t="str">
        <f ca="1">IFERROR(__xludf.DUMMYFUNCTION("""COMPUTED_VALUE"""),"l")</f>
        <v>l</v>
      </c>
      <c r="M205" s="88">
        <f ca="1">IFERROR(__xludf.DUMMYFUNCTION("""COMPUTED_VALUE"""),63)</f>
        <v>63</v>
      </c>
      <c r="N205" s="84" t="str">
        <f ca="1">IFERROR(__xludf.DUMMYFUNCTION("""COMPUTED_VALUE"""),"p")</f>
        <v>p</v>
      </c>
      <c r="O205" s="88">
        <f ca="1">IFERROR(__xludf.DUMMYFUNCTION("""COMPUTED_VALUE"""),59)</f>
        <v>59</v>
      </c>
      <c r="P205" s="85"/>
      <c r="Q205" s="75" t="b">
        <f ca="1">IFERROR(__xludf.DUMMYFUNCTION("""COMPUTED_VALUE"""),FALSE)</f>
        <v>0</v>
      </c>
      <c r="R205" s="75" t="b">
        <f ca="1">IFERROR(__xludf.DUMMYFUNCTION("""COMPUTED_VALUE"""),FALSE)</f>
        <v>0</v>
      </c>
      <c r="S205" s="75" t="b">
        <f ca="1">IFERROR(__xludf.DUMMYFUNCTION("""COMPUTED_VALUE"""),FALSE)</f>
        <v>0</v>
      </c>
      <c r="T205" s="75" t="b">
        <f ca="1">IFERROR(__xludf.DUMMYFUNCTION("""COMPUTED_VALUE"""),FALSE)</f>
        <v>0</v>
      </c>
      <c r="U205" s="86">
        <f ca="1">IFERROR(__xludf.DUMMYFUNCTION("""COMPUTED_VALUE"""),19)</f>
        <v>19</v>
      </c>
      <c r="V205" s="84"/>
      <c r="W205" s="87">
        <f ca="1">IFERROR(__xludf.DUMMYFUNCTION("""COMPUTED_VALUE"""),170)</f>
        <v>170</v>
      </c>
      <c r="X205" s="84">
        <f ca="1">IFERROR(__xludf.DUMMYFUNCTION("""COMPUTED_VALUE"""),2002)</f>
        <v>2002</v>
      </c>
      <c r="Y205" s="84" t="str">
        <f ca="1">IFERROR(__xludf.DUMMYFUNCTION("""COMPUTED_VALUE"""),"BMIS")</f>
        <v>BMIS</v>
      </c>
      <c r="Z205" s="66" t="s">
        <v>2037</v>
      </c>
    </row>
    <row r="206" spans="1:26" ht="15.75" customHeight="1">
      <c r="A206" s="83" t="str">
        <f ca="1">IFERROR(__xludf.DUMMYFUNCTION("""COMPUTED_VALUE"""),"E17NW")</f>
        <v>E17NW</v>
      </c>
      <c r="B206" s="84">
        <f ca="1">IFERROR(__xludf.DUMMYFUNCTION("""COMPUTED_VALUE"""),17)</f>
        <v>17</v>
      </c>
      <c r="C206" s="84" t="str">
        <f ca="1">IFERROR(__xludf.DUMMYFUNCTION("""COMPUTED_VALUE"""),"NW")</f>
        <v>NW</v>
      </c>
      <c r="D206" s="339">
        <f ca="1">IFERROR(__xludf.DUMMYFUNCTION("""COMPUTED_VALUE"""),3600)</f>
        <v>3600</v>
      </c>
      <c r="E206" s="84" t="str">
        <f ca="1">IFERROR(__xludf.DUMMYFUNCTION("""COMPUTED_VALUE"""),"3725115668T20050430")</f>
        <v>3725115668T20050430</v>
      </c>
      <c r="F206" s="84">
        <f ca="1">IFERROR(__xludf.DUMMYFUNCTION("""COMPUTED_VALUE"""),1103127060)</f>
        <v>1103127060</v>
      </c>
      <c r="G206" s="83" t="str">
        <f ca="1">IFERROR(__xludf.DUMMYFUNCTION("""COMPUTED_VALUE"""),"Causeway Bay Commercial Building")</f>
        <v>Causeway Bay Commercial Building</v>
      </c>
      <c r="H206" s="84" t="str">
        <f ca="1">IFERROR(__xludf.DUMMYFUNCTION("""COMPUTED_VALUE"""),"銅鑼灣商業大廈")</f>
        <v>銅鑼灣商業大廈</v>
      </c>
      <c r="I206" s="84">
        <f ca="1">IFERROR(__xludf.DUMMYFUNCTION("""COMPUTED_VALUE"""),114.1863851)</f>
        <v>114.1863851</v>
      </c>
      <c r="J206" s="84">
        <f ca="1">IFERROR(__xludf.DUMMYFUNCTION("""COMPUTED_VALUE"""),22.2799502)</f>
        <v>22.279950199999998</v>
      </c>
      <c r="K206" s="88">
        <f ca="1">IFERROR(__xludf.DUMMYFUNCTION("""COMPUTED_VALUE"""),3.9)</f>
        <v>3.9</v>
      </c>
      <c r="L206" s="84" t="str">
        <f ca="1">IFERROR(__xludf.DUMMYFUNCTION("""COMPUTED_VALUE"""),"l")</f>
        <v>l</v>
      </c>
      <c r="M206" s="88">
        <f ca="1">IFERROR(__xludf.DUMMYFUNCTION("""COMPUTED_VALUE"""),75.6)</f>
        <v>75.599999999999994</v>
      </c>
      <c r="N206" s="84" t="str">
        <f ca="1">IFERROR(__xludf.DUMMYFUNCTION("""COMPUTED_VALUE"""),"3")</f>
        <v>3</v>
      </c>
      <c r="O206" s="88">
        <f ca="1">IFERROR(__xludf.DUMMYFUNCTION("""COMPUTED_VALUE"""),71.7)</f>
        <v>71.7</v>
      </c>
      <c r="P206" s="85"/>
      <c r="Q206" s="75" t="b">
        <f ca="1">IFERROR(__xludf.DUMMYFUNCTION("""COMPUTED_VALUE"""),FALSE)</f>
        <v>0</v>
      </c>
      <c r="R206" s="75" t="b">
        <f ca="1">IFERROR(__xludf.DUMMYFUNCTION("""COMPUTED_VALUE"""),FALSE)</f>
        <v>0</v>
      </c>
      <c r="S206" s="75" t="b">
        <f ca="1">IFERROR(__xludf.DUMMYFUNCTION("""COMPUTED_VALUE"""),FALSE)</f>
        <v>0</v>
      </c>
      <c r="T206" s="75" t="b">
        <f ca="1">IFERROR(__xludf.DUMMYFUNCTION("""COMPUTED_VALUE"""),FALSE)</f>
        <v>0</v>
      </c>
      <c r="U206" s="86">
        <f ca="1">IFERROR(__xludf.DUMMYFUNCTION("""COMPUTED_VALUE"""),22)</f>
        <v>22</v>
      </c>
      <c r="V206" s="84">
        <f ca="1">IFERROR(__xludf.DUMMYFUNCTION("""COMPUTED_VALUE"""),0)</f>
        <v>0</v>
      </c>
      <c r="W206" s="87">
        <f ca="1">IFERROR(__xludf.DUMMYFUNCTION("""COMPUTED_VALUE"""),260)</f>
        <v>260</v>
      </c>
      <c r="X206" s="84">
        <f ca="1">IFERROR(__xludf.DUMMYFUNCTION("""COMPUTED_VALUE"""),1975)</f>
        <v>1975</v>
      </c>
      <c r="Y206" s="84" t="str">
        <f ca="1">IFERROR(__xludf.DUMMYFUNCTION("""COMPUTED_VALUE"""),"BMIS_auto")</f>
        <v>BMIS_auto</v>
      </c>
      <c r="Z206" s="66" t="s">
        <v>2039</v>
      </c>
    </row>
    <row r="207" spans="1:26" ht="15.75" customHeight="1">
      <c r="A207" s="83" t="str">
        <f ca="1">IFERROR(__xludf.DUMMYFUNCTION("""COMPUTED_VALUE"""),"N10NE")</f>
        <v>N10NE</v>
      </c>
      <c r="B207" s="84">
        <f ca="1">IFERROR(__xludf.DUMMYFUNCTION("""COMPUTED_VALUE"""),10)</f>
        <v>10</v>
      </c>
      <c r="C207" s="84" t="str">
        <f ca="1">IFERROR(__xludf.DUMMYFUNCTION("""COMPUTED_VALUE"""),"NE")</f>
        <v>NE</v>
      </c>
      <c r="D207" s="339">
        <f ca="1">IFERROR(__xludf.DUMMYFUNCTION("""COMPUTED_VALUE"""),3800)</f>
        <v>3800</v>
      </c>
      <c r="E207" s="84" t="str">
        <f ca="1">IFERROR(__xludf.DUMMYFUNCTION("""COMPUTED_VALUE"""),"3564819370T20050430")</f>
        <v>3564819370T20050430</v>
      </c>
      <c r="F207" s="84">
        <f ca="1">IFERROR(__xludf.DUMMYFUNCTION("""COMPUTED_VALUE"""),1108238725)</f>
        <v>1108238725</v>
      </c>
      <c r="G207" s="83" t="str">
        <f ca="1">IFERROR(__xludf.DUMMYFUNCTION("""COMPUTED_VALUE"""),"Wing Kiu Building")</f>
        <v>Wing Kiu Building</v>
      </c>
      <c r="H207" s="84" t="str">
        <f ca="1">IFERROR(__xludf.DUMMYFUNCTION("""COMPUTED_VALUE"""),"永僑大廈")</f>
        <v>永僑大廈</v>
      </c>
      <c r="I207" s="84">
        <f ca="1">IFERROR(__xludf.DUMMYFUNCTION("""COMPUTED_VALUE"""),114.1708527)</f>
        <v>114.1708527</v>
      </c>
      <c r="J207" s="84">
        <f ca="1">IFERROR(__xludf.DUMMYFUNCTION("""COMPUTED_VALUE"""),22.31335666)</f>
        <v>22.31335666</v>
      </c>
      <c r="K207" s="88">
        <f ca="1">IFERROR(__xludf.DUMMYFUNCTION("""COMPUTED_VALUE"""),20.200001)</f>
        <v>20.200001</v>
      </c>
      <c r="L207" s="84" t="str">
        <f ca="1">IFERROR(__xludf.DUMMYFUNCTION("""COMPUTED_VALUE"""),"p")</f>
        <v>p</v>
      </c>
      <c r="M207" s="88">
        <f ca="1">IFERROR(__xludf.DUMMYFUNCTION("""COMPUTED_VALUE"""),58)</f>
        <v>58</v>
      </c>
      <c r="N207" s="84" t="str">
        <f ca="1">IFERROR(__xludf.DUMMYFUNCTION("""COMPUTED_VALUE"""),"3")</f>
        <v>3</v>
      </c>
      <c r="O207" s="88">
        <f ca="1">IFERROR(__xludf.DUMMYFUNCTION("""COMPUTED_VALUE"""),37.799999)</f>
        <v>37.799999</v>
      </c>
      <c r="P207" s="85"/>
      <c r="Q207" s="75" t="b">
        <f ca="1">IFERROR(__xludf.DUMMYFUNCTION("""COMPUTED_VALUE"""),FALSE)</f>
        <v>0</v>
      </c>
      <c r="R207" s="75" t="b">
        <f ca="1">IFERROR(__xludf.DUMMYFUNCTION("""COMPUTED_VALUE"""),FALSE)</f>
        <v>0</v>
      </c>
      <c r="S207" s="75" t="b">
        <f ca="1">IFERROR(__xludf.DUMMYFUNCTION("""COMPUTED_VALUE"""),FALSE)</f>
        <v>0</v>
      </c>
      <c r="T207" s="75"/>
      <c r="U207" s="86">
        <f ca="1">IFERROR(__xludf.DUMMYFUNCTION("""COMPUTED_VALUE"""),16)</f>
        <v>16</v>
      </c>
      <c r="V207" s="84"/>
      <c r="W207" s="87">
        <f ca="1">IFERROR(__xludf.DUMMYFUNCTION("""COMPUTED_VALUE"""),52)</f>
        <v>52</v>
      </c>
      <c r="X207" s="84">
        <f ca="1">IFERROR(__xludf.DUMMYFUNCTION("""COMPUTED_VALUE"""),1969)</f>
        <v>1969</v>
      </c>
      <c r="Y207" s="84" t="str">
        <f ca="1">IFERROR(__xludf.DUMMYFUNCTION("""COMPUTED_VALUE"""),"BMIS")</f>
        <v>BMIS</v>
      </c>
      <c r="Z207" s="66" t="s">
        <v>2041</v>
      </c>
    </row>
    <row r="208" spans="1:26" ht="15.75" customHeight="1">
      <c r="A208" s="83" t="str">
        <f ca="1">IFERROR(__xludf.DUMMYFUNCTION("""COMPUTED_VALUE"""),"N10SE")</f>
        <v>N10SE</v>
      </c>
      <c r="B208" s="84">
        <f ca="1">IFERROR(__xludf.DUMMYFUNCTION("""COMPUTED_VALUE"""),10)</f>
        <v>10</v>
      </c>
      <c r="C208" s="84" t="str">
        <f ca="1">IFERROR(__xludf.DUMMYFUNCTION("""COMPUTED_VALUE"""),"SE")</f>
        <v>SE</v>
      </c>
      <c r="D208" s="339">
        <f ca="1">IFERROR(__xludf.DUMMYFUNCTION("""COMPUTED_VALUE"""),3800)</f>
        <v>3800</v>
      </c>
      <c r="E208" s="84" t="str">
        <f ca="1">IFERROR(__xludf.DUMMYFUNCTION("""COMPUTED_VALUE"""),"3565119360T20050430")</f>
        <v>3565119360T20050430</v>
      </c>
      <c r="F208" s="84">
        <f ca="1">IFERROR(__xludf.DUMMYFUNCTION("""COMPUTED_VALUE"""),1108238831)</f>
        <v>1108238831</v>
      </c>
      <c r="G208" s="83" t="str">
        <f ca="1">IFERROR(__xludf.DUMMYFUNCTION("""COMPUTED_VALUE"""),"Onward Building")</f>
        <v>Onward Building</v>
      </c>
      <c r="H208" s="84" t="str">
        <f ca="1">IFERROR(__xludf.DUMMYFUNCTION("""COMPUTED_VALUE"""),"康祐大廈")</f>
        <v>康祐大廈</v>
      </c>
      <c r="I208" s="84">
        <f ca="1">IFERROR(__xludf.DUMMYFUNCTION("""COMPUTED_VALUE"""),114.1708856)</f>
        <v>114.17088560000001</v>
      </c>
      <c r="J208" s="84">
        <f ca="1">IFERROR(__xludf.DUMMYFUNCTION("""COMPUTED_VALUE"""),22.31321578)</f>
        <v>22.31321578</v>
      </c>
      <c r="K208" s="88">
        <f ca="1">IFERROR(__xludf.DUMMYFUNCTION("""COMPUTED_VALUE"""),4.7)</f>
        <v>4.7</v>
      </c>
      <c r="L208" s="84" t="str">
        <f ca="1">IFERROR(__xludf.DUMMYFUNCTION("""COMPUTED_VALUE"""),"l")</f>
        <v>l</v>
      </c>
      <c r="M208" s="88">
        <f ca="1">IFERROR(__xludf.DUMMYFUNCTION("""COMPUTED_VALUE"""),49.200001)</f>
        <v>49.200001</v>
      </c>
      <c r="N208" s="84" t="str">
        <f ca="1">IFERROR(__xludf.DUMMYFUNCTION("""COMPUTED_VALUE"""),"3")</f>
        <v>3</v>
      </c>
      <c r="O208" s="88">
        <f ca="1">IFERROR(__xludf.DUMMYFUNCTION("""COMPUTED_VALUE"""),44.500001)</f>
        <v>44.500000999999997</v>
      </c>
      <c r="P208" s="85"/>
      <c r="Q208" s="75" t="b">
        <f ca="1">IFERROR(__xludf.DUMMYFUNCTION("""COMPUTED_VALUE"""),FALSE)</f>
        <v>0</v>
      </c>
      <c r="R208" s="75" t="b">
        <f ca="1">IFERROR(__xludf.DUMMYFUNCTION("""COMPUTED_VALUE"""),FALSE)</f>
        <v>0</v>
      </c>
      <c r="S208" s="75" t="b">
        <f ca="1">IFERROR(__xludf.DUMMYFUNCTION("""COMPUTED_VALUE"""),FALSE)</f>
        <v>0</v>
      </c>
      <c r="T208" s="75"/>
      <c r="U208" s="86">
        <f ca="1">IFERROR(__xludf.DUMMYFUNCTION("""COMPUTED_VALUE"""),13)</f>
        <v>13</v>
      </c>
      <c r="V208" s="84">
        <f ca="1">IFERROR(__xludf.DUMMYFUNCTION("""COMPUTED_VALUE"""),0)</f>
        <v>0</v>
      </c>
      <c r="W208" s="87">
        <f ca="1">IFERROR(__xludf.DUMMYFUNCTION("""COMPUTED_VALUE"""),26)</f>
        <v>26</v>
      </c>
      <c r="X208" s="84">
        <f ca="1">IFERROR(__xludf.DUMMYFUNCTION("""COMPUTED_VALUE"""),1974)</f>
        <v>1974</v>
      </c>
      <c r="Y208" s="84" t="str">
        <f ca="1">IFERROR(__xludf.DUMMYFUNCTION("""COMPUTED_VALUE"""),"BMIS_auto")</f>
        <v>BMIS_auto</v>
      </c>
      <c r="Z208" s="66" t="s">
        <v>2043</v>
      </c>
    </row>
    <row r="209" spans="1:26" ht="15.75" customHeight="1">
      <c r="A209" s="83" t="str">
        <f ca="1">IFERROR(__xludf.DUMMYFUNCTION("""COMPUTED_VALUE"""),"N10SW")</f>
        <v>N10SW</v>
      </c>
      <c r="B209" s="84">
        <f ca="1">IFERROR(__xludf.DUMMYFUNCTION("""COMPUTED_VALUE"""),10)</f>
        <v>10</v>
      </c>
      <c r="C209" s="84" t="str">
        <f ca="1">IFERROR(__xludf.DUMMYFUNCTION("""COMPUTED_VALUE"""),"SW")</f>
        <v>SW</v>
      </c>
      <c r="D209" s="339">
        <f ca="1">IFERROR(__xludf.DUMMYFUNCTION("""COMPUTED_VALUE"""),3800)</f>
        <v>3800</v>
      </c>
      <c r="E209" s="84" t="str">
        <f ca="1">IFERROR(__xludf.DUMMYFUNCTION("""COMPUTED_VALUE"""),"3560619306T20050430")</f>
        <v>3560619306T20050430</v>
      </c>
      <c r="F209" s="84">
        <f ca="1">IFERROR(__xludf.DUMMYFUNCTION("""COMPUTED_VALUE"""),1108239101)</f>
        <v>1108239101</v>
      </c>
      <c r="G209" s="83" t="str">
        <f ca="1">IFERROR(__xludf.DUMMYFUNCTION("""COMPUTED_VALUE"""),"Lai Kee Mansion")</f>
        <v>Lai Kee Mansion</v>
      </c>
      <c r="H209" s="84" t="str">
        <f ca="1">IFERROR(__xludf.DUMMYFUNCTION("""COMPUTED_VALUE"""),"禮基大廈")</f>
        <v>禮基大廈</v>
      </c>
      <c r="I209" s="84">
        <f ca="1">IFERROR(__xludf.DUMMYFUNCTION("""COMPUTED_VALUE"""),114.1704589)</f>
        <v>114.1704589</v>
      </c>
      <c r="J209" s="84">
        <f ca="1">IFERROR(__xludf.DUMMYFUNCTION("""COMPUTED_VALUE"""),22.31275516)</f>
        <v>22.312755159999998</v>
      </c>
      <c r="K209" s="88">
        <f ca="1">IFERROR(__xludf.DUMMYFUNCTION("""COMPUTED_VALUE"""),4.5)</f>
        <v>4.5</v>
      </c>
      <c r="L209" s="84" t="str">
        <f ca="1">IFERROR(__xludf.DUMMYFUNCTION("""COMPUTED_VALUE"""),"l")</f>
        <v>l</v>
      </c>
      <c r="M209" s="88">
        <f ca="1">IFERROR(__xludf.DUMMYFUNCTION("""COMPUTED_VALUE"""),49.799999)</f>
        <v>49.799999</v>
      </c>
      <c r="N209" s="84" t="str">
        <f ca="1">IFERROR(__xludf.DUMMYFUNCTION("""COMPUTED_VALUE"""),"p")</f>
        <v>p</v>
      </c>
      <c r="O209" s="88">
        <f ca="1">IFERROR(__xludf.DUMMYFUNCTION("""COMPUTED_VALUE"""),45.299999)</f>
        <v>45.299999</v>
      </c>
      <c r="P209" s="85"/>
      <c r="Q209" s="75" t="b">
        <f ca="1">IFERROR(__xludf.DUMMYFUNCTION("""COMPUTED_VALUE"""),FALSE)</f>
        <v>0</v>
      </c>
      <c r="R209" s="75" t="b">
        <f ca="1">IFERROR(__xludf.DUMMYFUNCTION("""COMPUTED_VALUE"""),FALSE)</f>
        <v>0</v>
      </c>
      <c r="S209" s="75" t="b">
        <f ca="1">IFERROR(__xludf.DUMMYFUNCTION("""COMPUTED_VALUE"""),FALSE)</f>
        <v>0</v>
      </c>
      <c r="T209" s="75"/>
      <c r="U209" s="86">
        <f ca="1">IFERROR(__xludf.DUMMYFUNCTION("""COMPUTED_VALUE"""),13)</f>
        <v>13</v>
      </c>
      <c r="V209" s="84">
        <f ca="1">IFERROR(__xludf.DUMMYFUNCTION("""COMPUTED_VALUE"""),0)</f>
        <v>0</v>
      </c>
      <c r="W209" s="87">
        <f ca="1">IFERROR(__xludf.DUMMYFUNCTION("""COMPUTED_VALUE"""),48)</f>
        <v>48</v>
      </c>
      <c r="X209" s="84">
        <f ca="1">IFERROR(__xludf.DUMMYFUNCTION("""COMPUTED_VALUE"""),1967)</f>
        <v>1967</v>
      </c>
      <c r="Y209" s="84" t="str">
        <f ca="1">IFERROR(__xludf.DUMMYFUNCTION("""COMPUTED_VALUE"""),"BMIS_auto")</f>
        <v>BMIS_auto</v>
      </c>
      <c r="Z209" s="66" t="s">
        <v>2045</v>
      </c>
    </row>
    <row r="210" spans="1:26" ht="15.75" customHeight="1">
      <c r="A210" s="83" t="str">
        <f ca="1">IFERROR(__xludf.DUMMYFUNCTION("""COMPUTED_VALUE"""),"N10NW")</f>
        <v>N10NW</v>
      </c>
      <c r="B210" s="84">
        <f ca="1">IFERROR(__xludf.DUMMYFUNCTION("""COMPUTED_VALUE"""),10)</f>
        <v>10</v>
      </c>
      <c r="C210" s="84" t="str">
        <f ca="1">IFERROR(__xludf.DUMMYFUNCTION("""COMPUTED_VALUE"""),"NW")</f>
        <v>NW</v>
      </c>
      <c r="D210" s="339">
        <f ca="1">IFERROR(__xludf.DUMMYFUNCTION("""COMPUTED_VALUE"""),3800)</f>
        <v>3800</v>
      </c>
      <c r="E210" s="84" t="str">
        <f ca="1">IFERROR(__xludf.DUMMYFUNCTION("""COMPUTED_VALUE"""),"3559619384T20050430")</f>
        <v>3559619384T20050430</v>
      </c>
      <c r="F210" s="84">
        <f ca="1">IFERROR(__xludf.DUMMYFUNCTION("""COMPUTED_VALUE"""),1108238565)</f>
        <v>1108238565</v>
      </c>
      <c r="G210" s="83" t="str">
        <f ca="1">IFERROR(__xludf.DUMMYFUNCTION("""COMPUTED_VALUE"""),"Bell House")</f>
        <v>Bell House</v>
      </c>
      <c r="H210" s="84" t="str">
        <f ca="1">IFERROR(__xludf.DUMMYFUNCTION("""COMPUTED_VALUE"""),"寶寧大廈")</f>
        <v>寶寧大廈</v>
      </c>
      <c r="I210" s="84">
        <f ca="1">IFERROR(__xludf.DUMMYFUNCTION("""COMPUTED_VALUE"""),114.1703284)</f>
        <v>114.1703284</v>
      </c>
      <c r="J210" s="84">
        <f ca="1">IFERROR(__xludf.DUMMYFUNCTION("""COMPUTED_VALUE"""),22.31343911)</f>
        <v>22.313439110000001</v>
      </c>
      <c r="K210" s="88">
        <f ca="1">IFERROR(__xludf.DUMMYFUNCTION("""COMPUTED_VALUE"""),4.4)</f>
        <v>4.4000000000000004</v>
      </c>
      <c r="L210" s="84" t="str">
        <f ca="1">IFERROR(__xludf.DUMMYFUNCTION("""COMPUTED_VALUE"""),"l")</f>
        <v>l</v>
      </c>
      <c r="M210" s="88">
        <f ca="1">IFERROR(__xludf.DUMMYFUNCTION("""COMPUTED_VALUE"""),70.400002)</f>
        <v>70.400002000000001</v>
      </c>
      <c r="N210" s="84" t="str">
        <f ca="1">IFERROR(__xludf.DUMMYFUNCTION("""COMPUTED_VALUE"""),"p")</f>
        <v>p</v>
      </c>
      <c r="O210" s="88">
        <f ca="1">IFERROR(__xludf.DUMMYFUNCTION("""COMPUTED_VALUE"""),66.000002)</f>
        <v>66.000001999999995</v>
      </c>
      <c r="P210" s="85"/>
      <c r="Q210" s="75" t="b">
        <f ca="1">IFERROR(__xludf.DUMMYFUNCTION("""COMPUTED_VALUE"""),FALSE)</f>
        <v>0</v>
      </c>
      <c r="R210" s="75" t="b">
        <f ca="1">IFERROR(__xludf.DUMMYFUNCTION("""COMPUTED_VALUE"""),FALSE)</f>
        <v>0</v>
      </c>
      <c r="S210" s="75" t="b">
        <f ca="1">IFERROR(__xludf.DUMMYFUNCTION("""COMPUTED_VALUE"""),FALSE)</f>
        <v>0</v>
      </c>
      <c r="T210" s="75"/>
      <c r="U210" s="86">
        <f ca="1">IFERROR(__xludf.DUMMYFUNCTION("""COMPUTED_VALUE"""),22)</f>
        <v>22</v>
      </c>
      <c r="V210" s="84">
        <f ca="1">IFERROR(__xludf.DUMMYFUNCTION("""COMPUTED_VALUE"""),0)</f>
        <v>0</v>
      </c>
      <c r="W210" s="87">
        <f ca="1">IFERROR(__xludf.DUMMYFUNCTION("""COMPUTED_VALUE"""),362)</f>
        <v>362</v>
      </c>
      <c r="X210" s="84">
        <f ca="1">IFERROR(__xludf.DUMMYFUNCTION("""COMPUTED_VALUE"""),1969)</f>
        <v>1969</v>
      </c>
      <c r="Y210" s="84" t="str">
        <f ca="1">IFERROR(__xludf.DUMMYFUNCTION("""COMPUTED_VALUE"""),"BMIS")</f>
        <v>BMIS</v>
      </c>
      <c r="Z210" s="66" t="s">
        <v>2047</v>
      </c>
    </row>
    <row r="211" spans="1:26" ht="15.75" customHeight="1">
      <c r="A211" s="83" t="str">
        <f ca="1">IFERROR(__xludf.DUMMYFUNCTION("""COMPUTED_VALUE"""),"E18NE")</f>
        <v>E18NE</v>
      </c>
      <c r="B211" s="84">
        <f ca="1">IFERROR(__xludf.DUMMYFUNCTION("""COMPUTED_VALUE"""),18)</f>
        <v>18</v>
      </c>
      <c r="C211" s="84" t="str">
        <f ca="1">IFERROR(__xludf.DUMMYFUNCTION("""COMPUTED_VALUE"""),"NE")</f>
        <v>NE</v>
      </c>
      <c r="D211" s="339">
        <f ca="1">IFERROR(__xludf.DUMMYFUNCTION("""COMPUTED_VALUE"""),3800)</f>
        <v>3800</v>
      </c>
      <c r="E211" s="84" t="str">
        <f ca="1">IFERROR(__xludf.DUMMYFUNCTION("""COMPUTED_VALUE"""),"3745015639T20050430")</f>
        <v>3745015639T20050430</v>
      </c>
      <c r="F211" s="84">
        <f ca="1">IFERROR(__xludf.DUMMYFUNCTION("""COMPUTED_VALUE"""),1103127265)</f>
        <v>1103127265</v>
      </c>
      <c r="G211" s="83" t="str">
        <f ca="1">IFERROR(__xludf.DUMMYFUNCTION("""COMPUTED_VALUE"""),"Causeway Tower")</f>
        <v>Causeway Tower</v>
      </c>
      <c r="H211" s="84" t="str">
        <f ca="1">IFERROR(__xludf.DUMMYFUNCTION("""COMPUTED_VALUE"""),"高威樓")</f>
        <v>高威樓</v>
      </c>
      <c r="I211" s="84">
        <f ca="1">IFERROR(__xludf.DUMMYFUNCTION("""COMPUTED_VALUE"""),114.1884208)</f>
        <v>114.1884208</v>
      </c>
      <c r="J211" s="84">
        <f ca="1">IFERROR(__xludf.DUMMYFUNCTION("""COMPUTED_VALUE"""),22.27957115)</f>
        <v>22.279571149999999</v>
      </c>
      <c r="K211" s="88">
        <f ca="1">IFERROR(__xludf.DUMMYFUNCTION("""COMPUTED_VALUE"""),4.5)</f>
        <v>4.5</v>
      </c>
      <c r="L211" s="84" t="str">
        <f ca="1">IFERROR(__xludf.DUMMYFUNCTION("""COMPUTED_VALUE"""),"l")</f>
        <v>l</v>
      </c>
      <c r="M211" s="88">
        <f ca="1">IFERROR(__xludf.DUMMYFUNCTION("""COMPUTED_VALUE"""),76.5)</f>
        <v>76.5</v>
      </c>
      <c r="N211" s="84" t="str">
        <f ca="1">IFERROR(__xludf.DUMMYFUNCTION("""COMPUTED_VALUE"""),"p")</f>
        <v>p</v>
      </c>
      <c r="O211" s="88">
        <f ca="1">IFERROR(__xludf.DUMMYFUNCTION("""COMPUTED_VALUE"""),72)</f>
        <v>72</v>
      </c>
      <c r="P211" s="85"/>
      <c r="Q211" s="75" t="b">
        <f ca="1">IFERROR(__xludf.DUMMYFUNCTION("""COMPUTED_VALUE"""),FALSE)</f>
        <v>0</v>
      </c>
      <c r="R211" s="75" t="b">
        <f ca="1">IFERROR(__xludf.DUMMYFUNCTION("""COMPUTED_VALUE"""),FALSE)</f>
        <v>0</v>
      </c>
      <c r="S211" s="75" t="b">
        <f ca="1">IFERROR(__xludf.DUMMYFUNCTION("""COMPUTED_VALUE"""),FALSE)</f>
        <v>0</v>
      </c>
      <c r="T211" s="75" t="b">
        <f ca="1">IFERROR(__xludf.DUMMYFUNCTION("""COMPUTED_VALUE"""),FALSE)</f>
        <v>0</v>
      </c>
      <c r="U211" s="86">
        <f ca="1">IFERROR(__xludf.DUMMYFUNCTION("""COMPUTED_VALUE"""),22)</f>
        <v>22</v>
      </c>
      <c r="V211" s="84">
        <f ca="1">IFERROR(__xludf.DUMMYFUNCTION("""COMPUTED_VALUE"""),0)</f>
        <v>0</v>
      </c>
      <c r="W211" s="87">
        <f ca="1">IFERROR(__xludf.DUMMYFUNCTION("""COMPUTED_VALUE"""),140)</f>
        <v>140</v>
      </c>
      <c r="X211" s="84">
        <f ca="1">IFERROR(__xludf.DUMMYFUNCTION("""COMPUTED_VALUE"""),1978)</f>
        <v>1978</v>
      </c>
      <c r="Y211" s="84" t="str">
        <f ca="1">IFERROR(__xludf.DUMMYFUNCTION("""COMPUTED_VALUE"""),"BMIS_auto")</f>
        <v>BMIS_auto</v>
      </c>
      <c r="Z211" s="66" t="s">
        <v>2049</v>
      </c>
    </row>
    <row r="212" spans="1:26" ht="15.75" customHeight="1">
      <c r="A212" s="83" t="str">
        <f ca="1">IFERROR(__xludf.DUMMYFUNCTION("""COMPUTED_VALUE"""),"E18SE")</f>
        <v>E18SE</v>
      </c>
      <c r="B212" s="84">
        <f ca="1">IFERROR(__xludf.DUMMYFUNCTION("""COMPUTED_VALUE"""),18)</f>
        <v>18</v>
      </c>
      <c r="C212" s="84" t="str">
        <f ca="1">IFERROR(__xludf.DUMMYFUNCTION("""COMPUTED_VALUE"""),"SE")</f>
        <v>SE</v>
      </c>
      <c r="D212" s="339">
        <f ca="1">IFERROR(__xludf.DUMMYFUNCTION("""COMPUTED_VALUE"""),3800)</f>
        <v>3800</v>
      </c>
      <c r="E212" s="84" t="str">
        <f ca="1">IFERROR(__xludf.DUMMYFUNCTION("""COMPUTED_VALUE"""),"3742915620T20050430")</f>
        <v>3742915620T20050430</v>
      </c>
      <c r="F212" s="84">
        <f ca="1">IFERROR(__xludf.DUMMYFUNCTION("""COMPUTED_VALUE"""),1103127365)</f>
        <v>1103127365</v>
      </c>
      <c r="G212" s="83" t="str">
        <f ca="1">IFERROR(__xludf.DUMMYFUNCTION("""COMPUTED_VALUE"""),"Catic Plaza")</f>
        <v>Catic Plaza</v>
      </c>
      <c r="H212" s="84" t="str">
        <f ca="1">IFERROR(__xludf.DUMMYFUNCTION("""COMPUTED_VALUE"""),"航空大廈")</f>
        <v>航空大廈</v>
      </c>
      <c r="I212" s="84">
        <f ca="1">IFERROR(__xludf.DUMMYFUNCTION("""COMPUTED_VALUE"""),114.1881336)</f>
        <v>114.1881336</v>
      </c>
      <c r="J212" s="84">
        <f ca="1">IFERROR(__xludf.DUMMYFUNCTION("""COMPUTED_VALUE"""),22.27943899)</f>
        <v>22.279438989999999</v>
      </c>
      <c r="K212" s="88">
        <f ca="1">IFERROR(__xludf.DUMMYFUNCTION("""COMPUTED_VALUE"""),18.7)</f>
        <v>18.7</v>
      </c>
      <c r="L212" s="84" t="str">
        <f ca="1">IFERROR(__xludf.DUMMYFUNCTION("""COMPUTED_VALUE"""),"p")</f>
        <v>p</v>
      </c>
      <c r="M212" s="88">
        <f ca="1">IFERROR(__xludf.DUMMYFUNCTION("""COMPUTED_VALUE"""),101.7)</f>
        <v>101.7</v>
      </c>
      <c r="N212" s="84" t="str">
        <f ca="1">IFERROR(__xludf.DUMMYFUNCTION("""COMPUTED_VALUE"""),"p")</f>
        <v>p</v>
      </c>
      <c r="O212" s="88">
        <f ca="1">IFERROR(__xludf.DUMMYFUNCTION("""COMPUTED_VALUE"""),83)</f>
        <v>83</v>
      </c>
      <c r="P212" s="85"/>
      <c r="Q212" s="75" t="b">
        <f ca="1">IFERROR(__xludf.DUMMYFUNCTION("""COMPUTED_VALUE"""),FALSE)</f>
        <v>0</v>
      </c>
      <c r="R212" s="75" t="b">
        <f ca="1">IFERROR(__xludf.DUMMYFUNCTION("""COMPUTED_VALUE"""),FALSE)</f>
        <v>0</v>
      </c>
      <c r="S212" s="75" t="b">
        <f ca="1">IFERROR(__xludf.DUMMYFUNCTION("""COMPUTED_VALUE"""),FALSE)</f>
        <v>0</v>
      </c>
      <c r="T212" s="75" t="b">
        <f ca="1">IFERROR(__xludf.DUMMYFUNCTION("""COMPUTED_VALUE"""),FALSE)</f>
        <v>0</v>
      </c>
      <c r="U212" s="86">
        <f ca="1">IFERROR(__xludf.DUMMYFUNCTION("""COMPUTED_VALUE"""),27)</f>
        <v>27</v>
      </c>
      <c r="V212" s="84">
        <f ca="1">IFERROR(__xludf.DUMMYFUNCTION("""COMPUTED_VALUE"""),0)</f>
        <v>0</v>
      </c>
      <c r="W212" s="87">
        <f ca="1">IFERROR(__xludf.DUMMYFUNCTION("""COMPUTED_VALUE"""),29)</f>
        <v>29</v>
      </c>
      <c r="X212" s="84">
        <f ca="1">IFERROR(__xludf.DUMMYFUNCTION("""COMPUTED_VALUE"""),1994)</f>
        <v>1994</v>
      </c>
      <c r="Y212" s="84" t="str">
        <f ca="1">IFERROR(__xludf.DUMMYFUNCTION("""COMPUTED_VALUE"""),"BMIS_auto")</f>
        <v>BMIS_auto</v>
      </c>
      <c r="Z212" s="66" t="s">
        <v>2051</v>
      </c>
    </row>
    <row r="213" spans="1:26" ht="15.75" customHeight="1">
      <c r="A213" s="83" t="str">
        <f ca="1">IFERROR(__xludf.DUMMYFUNCTION("""COMPUTED_VALUE"""),"E18SW")</f>
        <v>E18SW</v>
      </c>
      <c r="B213" s="84">
        <f ca="1">IFERROR(__xludf.DUMMYFUNCTION("""COMPUTED_VALUE"""),18)</f>
        <v>18</v>
      </c>
      <c r="C213" s="84" t="str">
        <f ca="1">IFERROR(__xludf.DUMMYFUNCTION("""COMPUTED_VALUE"""),"SW")</f>
        <v>SW</v>
      </c>
      <c r="D213" s="339">
        <f ca="1">IFERROR(__xludf.DUMMYFUNCTION("""COMPUTED_VALUE"""),3800)</f>
        <v>3800</v>
      </c>
      <c r="E213" s="84"/>
      <c r="F213" s="84"/>
      <c r="G213" s="83" t="str">
        <f ca="1">IFERROR(__xludf.DUMMYFUNCTION("""COMPUTED_VALUE"""),"Tai Hang Rd Flyover")</f>
        <v>Tai Hang Rd Flyover</v>
      </c>
      <c r="H213" s="84"/>
      <c r="I213" s="84"/>
      <c r="J213" s="84"/>
      <c r="K213" s="88"/>
      <c r="L213" s="84"/>
      <c r="M213" s="88"/>
      <c r="N213" s="84"/>
      <c r="O213" s="88"/>
      <c r="P213" s="85" t="str">
        <f ca="1">IFERROR(__xludf.DUMMYFUNCTION("""COMPUTED_VALUE"""),"no building ")</f>
        <v xml:space="preserve">no building </v>
      </c>
      <c r="Q213" s="75" t="b">
        <f ca="1">IFERROR(__xludf.DUMMYFUNCTION("""COMPUTED_VALUE"""),TRUE)</f>
        <v>1</v>
      </c>
      <c r="R213" s="75" t="b">
        <f ca="1">IFERROR(__xludf.DUMMYFUNCTION("""COMPUTED_VALUE"""),TRUE)</f>
        <v>1</v>
      </c>
      <c r="S213" s="75" t="b">
        <f ca="1">IFERROR(__xludf.DUMMYFUNCTION("""COMPUTED_VALUE"""),FALSE)</f>
        <v>0</v>
      </c>
      <c r="T213" s="75" t="b">
        <f ca="1">IFERROR(__xludf.DUMMYFUNCTION("""COMPUTED_VALUE"""),TRUE)</f>
        <v>1</v>
      </c>
      <c r="U213" s="86">
        <f ca="1">IFERROR(__xludf.DUMMYFUNCTION("""COMPUTED_VALUE"""),0)</f>
        <v>0</v>
      </c>
      <c r="V213" s="84"/>
      <c r="W213" s="87"/>
      <c r="X213" s="84"/>
      <c r="Y213" s="84"/>
      <c r="Z213" s="66" t="s">
        <v>556</v>
      </c>
    </row>
    <row r="214" spans="1:26" ht="15.75" customHeight="1">
      <c r="A214" s="83" t="str">
        <f ca="1">IFERROR(__xludf.DUMMYFUNCTION("""COMPUTED_VALUE"""),"E18NW")</f>
        <v>E18NW</v>
      </c>
      <c r="B214" s="84">
        <f ca="1">IFERROR(__xludf.DUMMYFUNCTION("""COMPUTED_VALUE"""),18)</f>
        <v>18</v>
      </c>
      <c r="C214" s="84" t="str">
        <f ca="1">IFERROR(__xludf.DUMMYFUNCTION("""COMPUTED_VALUE"""),"NW")</f>
        <v>NW</v>
      </c>
      <c r="D214" s="339">
        <f ca="1">IFERROR(__xludf.DUMMYFUNCTION("""COMPUTED_VALUE"""),3800)</f>
        <v>3800</v>
      </c>
      <c r="E214" s="84"/>
      <c r="F214" s="84"/>
      <c r="G214" s="83" t="str">
        <f ca="1">IFERROR(__xludf.DUMMYFUNCTION("""COMPUTED_VALUE"""),"Tai Hang Rd Flyover")</f>
        <v>Tai Hang Rd Flyover</v>
      </c>
      <c r="H214" s="84"/>
      <c r="I214" s="84"/>
      <c r="J214" s="84"/>
      <c r="K214" s="88"/>
      <c r="L214" s="84"/>
      <c r="M214" s="88"/>
      <c r="N214" s="84"/>
      <c r="O214" s="88"/>
      <c r="P214" s="85" t="str">
        <f ca="1">IFERROR(__xludf.DUMMYFUNCTION("""COMPUTED_VALUE"""),"no building ")</f>
        <v xml:space="preserve">no building </v>
      </c>
      <c r="Q214" s="75" t="b">
        <f ca="1">IFERROR(__xludf.DUMMYFUNCTION("""COMPUTED_VALUE"""),TRUE)</f>
        <v>1</v>
      </c>
      <c r="R214" s="75" t="b">
        <f ca="1">IFERROR(__xludf.DUMMYFUNCTION("""COMPUTED_VALUE"""),TRUE)</f>
        <v>1</v>
      </c>
      <c r="S214" s="75" t="b">
        <f ca="1">IFERROR(__xludf.DUMMYFUNCTION("""COMPUTED_VALUE"""),FALSE)</f>
        <v>0</v>
      </c>
      <c r="T214" s="75" t="b">
        <f ca="1">IFERROR(__xludf.DUMMYFUNCTION("""COMPUTED_VALUE"""),TRUE)</f>
        <v>1</v>
      </c>
      <c r="U214" s="86">
        <f ca="1">IFERROR(__xludf.DUMMYFUNCTION("""COMPUTED_VALUE"""),0)</f>
        <v>0</v>
      </c>
      <c r="V214" s="84"/>
      <c r="W214" s="87"/>
      <c r="X214" s="84"/>
      <c r="Y214" s="84"/>
      <c r="Z214" s="66" t="s">
        <v>556</v>
      </c>
    </row>
    <row r="215" spans="1:26" ht="15.75" customHeight="1">
      <c r="A215" s="83" t="str">
        <f ca="1">IFERROR(__xludf.DUMMYFUNCTION("""COMPUTED_VALUE"""),"N11NE")</f>
        <v>N11NE</v>
      </c>
      <c r="B215" s="84">
        <f ca="1">IFERROR(__xludf.DUMMYFUNCTION("""COMPUTED_VALUE"""),11)</f>
        <v>11</v>
      </c>
      <c r="C215" s="84" t="str">
        <f ca="1">IFERROR(__xludf.DUMMYFUNCTION("""COMPUTED_VALUE"""),"NE")</f>
        <v>NE</v>
      </c>
      <c r="D215" s="339">
        <f ca="1">IFERROR(__xludf.DUMMYFUNCTION("""COMPUTED_VALUE"""),4000)</f>
        <v>4000</v>
      </c>
      <c r="E215" s="84" t="str">
        <f ca="1">IFERROR(__xludf.DUMMYFUNCTION("""COMPUTED_VALUE"""),"3560919575T20050430")</f>
        <v>3560919575T20050430</v>
      </c>
      <c r="F215" s="84">
        <f ca="1">IFERROR(__xludf.DUMMYFUNCTION("""COMPUTED_VALUE"""),1108237754)</f>
        <v>1108237754</v>
      </c>
      <c r="G215" s="83" t="str">
        <f ca="1">IFERROR(__xludf.DUMMYFUNCTION("""COMPUTED_VALUE"""),"Wofoo Commercial Building")</f>
        <v>Wofoo Commercial Building</v>
      </c>
      <c r="H215" s="84" t="str">
        <f ca="1">IFERROR(__xludf.DUMMYFUNCTION("""COMPUTED_VALUE"""),"和富商業大廈")</f>
        <v>和富商業大廈</v>
      </c>
      <c r="I215" s="84">
        <f ca="1">IFERROR(__xludf.DUMMYFUNCTION("""COMPUTED_VALUE"""),114.1704887)</f>
        <v>114.17048870000001</v>
      </c>
      <c r="J215" s="84">
        <f ca="1">IFERROR(__xludf.DUMMYFUNCTION("""COMPUTED_VALUE"""),22.31517131)</f>
        <v>22.31517131</v>
      </c>
      <c r="K215" s="88">
        <f ca="1">IFERROR(__xludf.DUMMYFUNCTION("""COMPUTED_VALUE"""),5.1)</f>
        <v>5.0999999999999996</v>
      </c>
      <c r="L215" s="84" t="str">
        <f ca="1">IFERROR(__xludf.DUMMYFUNCTION("""COMPUTED_VALUE"""),"l")</f>
        <v>l</v>
      </c>
      <c r="M215" s="88">
        <f ca="1">IFERROR(__xludf.DUMMYFUNCTION("""COMPUTED_VALUE"""),82.300003)</f>
        <v>82.300003000000004</v>
      </c>
      <c r="N215" s="84" t="str">
        <f ca="1">IFERROR(__xludf.DUMMYFUNCTION("""COMPUTED_VALUE"""),"3")</f>
        <v>3</v>
      </c>
      <c r="O215" s="88">
        <f ca="1">IFERROR(__xludf.DUMMYFUNCTION("""COMPUTED_VALUE"""),77.200003)</f>
        <v>77.200002999999995</v>
      </c>
      <c r="P215" s="85"/>
      <c r="Q215" s="75" t="b">
        <f ca="1">IFERROR(__xludf.DUMMYFUNCTION("""COMPUTED_VALUE"""),FALSE)</f>
        <v>0</v>
      </c>
      <c r="R215" s="75" t="b">
        <f ca="1">IFERROR(__xludf.DUMMYFUNCTION("""COMPUTED_VALUE"""),FALSE)</f>
        <v>0</v>
      </c>
      <c r="S215" s="75" t="b">
        <f ca="1">IFERROR(__xludf.DUMMYFUNCTION("""COMPUTED_VALUE"""),FALSE)</f>
        <v>0</v>
      </c>
      <c r="T215" s="75"/>
      <c r="U215" s="86">
        <f ca="1">IFERROR(__xludf.DUMMYFUNCTION("""COMPUTED_VALUE"""),24)</f>
        <v>24</v>
      </c>
      <c r="V215" s="84">
        <f ca="1">IFERROR(__xludf.DUMMYFUNCTION("""COMPUTED_VALUE"""),0)</f>
        <v>0</v>
      </c>
      <c r="W215" s="87">
        <f ca="1">IFERROR(__xludf.DUMMYFUNCTION("""COMPUTED_VALUE"""),24)</f>
        <v>24</v>
      </c>
      <c r="X215" s="84">
        <f ca="1">IFERROR(__xludf.DUMMYFUNCTION("""COMPUTED_VALUE"""),1997)</f>
        <v>1997</v>
      </c>
      <c r="Y215" s="84" t="str">
        <f ca="1">IFERROR(__xludf.DUMMYFUNCTION("""COMPUTED_VALUE"""),"BMIS_auto")</f>
        <v>BMIS_auto</v>
      </c>
      <c r="Z215" s="66" t="s">
        <v>2055</v>
      </c>
    </row>
    <row r="216" spans="1:26" ht="15.75" customHeight="1">
      <c r="A216" s="83" t="str">
        <f ca="1">IFERROR(__xludf.DUMMYFUNCTION("""COMPUTED_VALUE"""),"N11SE")</f>
        <v>N11SE</v>
      </c>
      <c r="B216" s="84">
        <f ca="1">IFERROR(__xludf.DUMMYFUNCTION("""COMPUTED_VALUE"""),11)</f>
        <v>11</v>
      </c>
      <c r="C216" s="84" t="str">
        <f ca="1">IFERROR(__xludf.DUMMYFUNCTION("""COMPUTED_VALUE"""),"SE")</f>
        <v>SE</v>
      </c>
      <c r="D216" s="339">
        <f ca="1">IFERROR(__xludf.DUMMYFUNCTION("""COMPUTED_VALUE"""),4000)</f>
        <v>4000</v>
      </c>
      <c r="E216" s="84" t="str">
        <f ca="1">IFERROR(__xludf.DUMMYFUNCTION("""COMPUTED_VALUE"""),"3561219563T20050430")</f>
        <v>3561219563T20050430</v>
      </c>
      <c r="F216" s="84">
        <f ca="1">IFERROR(__xludf.DUMMYFUNCTION("""COMPUTED_VALUE"""),1108237821)</f>
        <v>1108237821</v>
      </c>
      <c r="G216" s="83" t="str">
        <f ca="1">IFERROR(__xludf.DUMMYFUNCTION("""COMPUTED_VALUE"""),"Kelly Commercial Centre")</f>
        <v>Kelly Commercial Centre</v>
      </c>
      <c r="H216" s="84" t="str">
        <f ca="1">IFERROR(__xludf.DUMMYFUNCTION("""COMPUTED_VALUE"""),"基利商業大廈")</f>
        <v>基利商業大廈</v>
      </c>
      <c r="I216" s="84">
        <f ca="1">IFERROR(__xludf.DUMMYFUNCTION("""COMPUTED_VALUE"""),114.1705116)</f>
        <v>114.1705116</v>
      </c>
      <c r="J216" s="84">
        <f ca="1">IFERROR(__xludf.DUMMYFUNCTION("""COMPUTED_VALUE"""),22.31506029)</f>
        <v>22.315060290000002</v>
      </c>
      <c r="K216" s="88">
        <f ca="1">IFERROR(__xludf.DUMMYFUNCTION("""COMPUTED_VALUE"""),5.1)</f>
        <v>5.0999999999999996</v>
      </c>
      <c r="L216" s="84" t="str">
        <f ca="1">IFERROR(__xludf.DUMMYFUNCTION("""COMPUTED_VALUE"""),"l")</f>
        <v>l</v>
      </c>
      <c r="M216" s="88">
        <f ca="1">IFERROR(__xludf.DUMMYFUNCTION("""COMPUTED_VALUE"""),74.699997)</f>
        <v>74.699996999999996</v>
      </c>
      <c r="N216" s="84" t="str">
        <f ca="1">IFERROR(__xludf.DUMMYFUNCTION("""COMPUTED_VALUE"""),"3")</f>
        <v>3</v>
      </c>
      <c r="O216" s="88">
        <f ca="1">IFERROR(__xludf.DUMMYFUNCTION("""COMPUTED_VALUE"""),69.599997)</f>
        <v>69.599997000000002</v>
      </c>
      <c r="P216" s="85"/>
      <c r="Q216" s="75" t="b">
        <f ca="1">IFERROR(__xludf.DUMMYFUNCTION("""COMPUTED_VALUE"""),FALSE)</f>
        <v>0</v>
      </c>
      <c r="R216" s="75" t="b">
        <f ca="1">IFERROR(__xludf.DUMMYFUNCTION("""COMPUTED_VALUE"""),FALSE)</f>
        <v>0</v>
      </c>
      <c r="S216" s="75" t="b">
        <f ca="1">IFERROR(__xludf.DUMMYFUNCTION("""COMPUTED_VALUE"""),FALSE)</f>
        <v>0</v>
      </c>
      <c r="T216" s="75"/>
      <c r="U216" s="86">
        <f ca="1">IFERROR(__xludf.DUMMYFUNCTION("""COMPUTED_VALUE"""),22)</f>
        <v>22</v>
      </c>
      <c r="V216" s="84">
        <f ca="1">IFERROR(__xludf.DUMMYFUNCTION("""COMPUTED_VALUE"""),0)</f>
        <v>0</v>
      </c>
      <c r="W216" s="87">
        <f ca="1">IFERROR(__xludf.DUMMYFUNCTION("""COMPUTED_VALUE"""),30)</f>
        <v>30</v>
      </c>
      <c r="X216" s="84">
        <f ca="1">IFERROR(__xludf.DUMMYFUNCTION("""COMPUTED_VALUE"""),1975)</f>
        <v>1975</v>
      </c>
      <c r="Y216" s="84" t="str">
        <f ca="1">IFERROR(__xludf.DUMMYFUNCTION("""COMPUTED_VALUE"""),"BMIS_auto")</f>
        <v>BMIS_auto</v>
      </c>
      <c r="Z216" s="66" t="s">
        <v>2057</v>
      </c>
    </row>
    <row r="217" spans="1:26" ht="15.75" customHeight="1">
      <c r="A217" s="83" t="str">
        <f ca="1">IFERROR(__xludf.DUMMYFUNCTION("""COMPUTED_VALUE"""),"N11SW")</f>
        <v>N11SW</v>
      </c>
      <c r="B217" s="84">
        <f ca="1">IFERROR(__xludf.DUMMYFUNCTION("""COMPUTED_VALUE"""),11)</f>
        <v>11</v>
      </c>
      <c r="C217" s="84" t="str">
        <f ca="1">IFERROR(__xludf.DUMMYFUNCTION("""COMPUTED_VALUE"""),"SW")</f>
        <v>SW</v>
      </c>
      <c r="D217" s="339">
        <f ca="1">IFERROR(__xludf.DUMMYFUNCTION("""COMPUTED_VALUE"""),4000)</f>
        <v>4000</v>
      </c>
      <c r="E217" s="84" t="str">
        <f ca="1">IFERROR(__xludf.DUMMYFUNCTION("""COMPUTED_VALUE"""),"3556119552T20050430")</f>
        <v>3556119552T20050430</v>
      </c>
      <c r="F217" s="84">
        <f ca="1">IFERROR(__xludf.DUMMYFUNCTION("""COMPUTED_VALUE"""),1108237866)</f>
        <v>1108237866</v>
      </c>
      <c r="G217" s="83" t="str">
        <f ca="1">IFERROR(__xludf.DUMMYFUNCTION("""COMPUTED_VALUE"""),"Full Win Commercial Centre")</f>
        <v>Full Win Commercial Centre</v>
      </c>
      <c r="H217" s="84" t="str">
        <f ca="1">IFERROR(__xludf.DUMMYFUNCTION("""COMPUTED_VALUE"""),"富運商業中心")</f>
        <v>富運商業中心</v>
      </c>
      <c r="I217" s="84">
        <f ca="1">IFERROR(__xludf.DUMMYFUNCTION("""COMPUTED_VALUE"""),114.1700129)</f>
        <v>114.1700129</v>
      </c>
      <c r="J217" s="84">
        <f ca="1">IFERROR(__xludf.DUMMYFUNCTION("""COMPUTED_VALUE"""),22.31495295)</f>
        <v>22.314952949999999</v>
      </c>
      <c r="K217" s="88">
        <f ca="1">IFERROR(__xludf.DUMMYFUNCTION("""COMPUTED_VALUE"""),20.200001)</f>
        <v>20.200001</v>
      </c>
      <c r="L217" s="84" t="str">
        <f ca="1">IFERROR(__xludf.DUMMYFUNCTION("""COMPUTED_VALUE"""),"p")</f>
        <v>p</v>
      </c>
      <c r="M217" s="88">
        <f ca="1">IFERROR(__xludf.DUMMYFUNCTION("""COMPUTED_VALUE"""),88.400002)</f>
        <v>88.400002000000001</v>
      </c>
      <c r="N217" s="84" t="str">
        <f ca="1">IFERROR(__xludf.DUMMYFUNCTION("""COMPUTED_VALUE"""),"p")</f>
        <v>p</v>
      </c>
      <c r="O217" s="88">
        <f ca="1">IFERROR(__xludf.DUMMYFUNCTION("""COMPUTED_VALUE"""),68.200001)</f>
        <v>68.200001</v>
      </c>
      <c r="P217" s="85"/>
      <c r="Q217" s="75" t="b">
        <f ca="1">IFERROR(__xludf.DUMMYFUNCTION("""COMPUTED_VALUE"""),FALSE)</f>
        <v>0</v>
      </c>
      <c r="R217" s="75" t="b">
        <f ca="1">IFERROR(__xludf.DUMMYFUNCTION("""COMPUTED_VALUE"""),FALSE)</f>
        <v>0</v>
      </c>
      <c r="S217" s="75" t="b">
        <f ca="1">IFERROR(__xludf.DUMMYFUNCTION("""COMPUTED_VALUE"""),FALSE)</f>
        <v>0</v>
      </c>
      <c r="T217" s="75"/>
      <c r="U217" s="86">
        <f ca="1">IFERROR(__xludf.DUMMYFUNCTION("""COMPUTED_VALUE"""),24)</f>
        <v>24</v>
      </c>
      <c r="V217" s="84">
        <f ca="1">IFERROR(__xludf.DUMMYFUNCTION("""COMPUTED_VALUE"""),1)</f>
        <v>1</v>
      </c>
      <c r="W217" s="87">
        <f ca="1">IFERROR(__xludf.DUMMYFUNCTION("""COMPUTED_VALUE"""),26)</f>
        <v>26</v>
      </c>
      <c r="X217" s="84">
        <f ca="1">IFERROR(__xludf.DUMMYFUNCTION("""COMPUTED_VALUE"""),1995)</f>
        <v>1995</v>
      </c>
      <c r="Y217" s="84" t="str">
        <f ca="1">IFERROR(__xludf.DUMMYFUNCTION("""COMPUTED_VALUE"""),"BMIS_auto")</f>
        <v>BMIS_auto</v>
      </c>
      <c r="Z217" s="66" t="s">
        <v>2059</v>
      </c>
    </row>
    <row r="218" spans="1:26" ht="15.75" customHeight="1">
      <c r="A218" s="83" t="str">
        <f ca="1">IFERROR(__xludf.DUMMYFUNCTION("""COMPUTED_VALUE"""),"N11NW")</f>
        <v>N11NW</v>
      </c>
      <c r="B218" s="84">
        <f ca="1">IFERROR(__xludf.DUMMYFUNCTION("""COMPUTED_VALUE"""),11)</f>
        <v>11</v>
      </c>
      <c r="C218" s="84" t="str">
        <f ca="1">IFERROR(__xludf.DUMMYFUNCTION("""COMPUTED_VALUE"""),"NW")</f>
        <v>NW</v>
      </c>
      <c r="D218" s="339">
        <f ca="1">IFERROR(__xludf.DUMMYFUNCTION("""COMPUTED_VALUE"""),4000)</f>
        <v>4000</v>
      </c>
      <c r="E218" s="84" t="str">
        <f ca="1">IFERROR(__xludf.DUMMYFUNCTION("""COMPUTED_VALUE"""),"3556119570T20180817")</f>
        <v>3556119570T20180817</v>
      </c>
      <c r="F218" s="84">
        <f ca="1">IFERROR(__xludf.DUMMYFUNCTION("""COMPUTED_VALUE"""),1810178822)</f>
        <v>1810178822</v>
      </c>
      <c r="G218" s="83" t="str">
        <f ca="1">IFERROR(__xludf.DUMMYFUNCTION("""COMPUTED_VALUE"""),"Ladder Dundas")</f>
        <v>Ladder Dundas</v>
      </c>
      <c r="H218" s="84"/>
      <c r="I218" s="84">
        <f ca="1">IFERROR(__xludf.DUMMYFUNCTION("""COMPUTED_VALUE"""),114.1699784)</f>
        <v>114.16997840000001</v>
      </c>
      <c r="J218" s="84">
        <f ca="1">IFERROR(__xludf.DUMMYFUNCTION("""COMPUTED_VALUE"""),22.31511715)</f>
        <v>22.315117149999999</v>
      </c>
      <c r="K218" s="88">
        <f ca="1">IFERROR(__xludf.DUMMYFUNCTION("""COMPUTED_VALUE"""),21)</f>
        <v>21</v>
      </c>
      <c r="L218" s="84" t="str">
        <f ca="1">IFERROR(__xludf.DUMMYFUNCTION("""COMPUTED_VALUE"""),"e")</f>
        <v>e</v>
      </c>
      <c r="M218" s="88">
        <f ca="1">IFERROR(__xludf.DUMMYFUNCTION("""COMPUTED_VALUE"""),94)</f>
        <v>94</v>
      </c>
      <c r="N218" s="84" t="str">
        <f ca="1">IFERROR(__xludf.DUMMYFUNCTION("""COMPUTED_VALUE"""),"e")</f>
        <v>e</v>
      </c>
      <c r="O218" s="88">
        <f ca="1">IFERROR(__xludf.DUMMYFUNCTION("""COMPUTED_VALUE"""),73)</f>
        <v>73</v>
      </c>
      <c r="P218" s="85"/>
      <c r="Q218" s="75" t="b">
        <f ca="1">IFERROR(__xludf.DUMMYFUNCTION("""COMPUTED_VALUE"""),FALSE)</f>
        <v>0</v>
      </c>
      <c r="R218" s="75" t="b">
        <f ca="1">IFERROR(__xludf.DUMMYFUNCTION("""COMPUTED_VALUE"""),FALSE)</f>
        <v>0</v>
      </c>
      <c r="S218" s="75" t="b">
        <f ca="1">IFERROR(__xludf.DUMMYFUNCTION("""COMPUTED_VALUE"""),FALSE)</f>
        <v>0</v>
      </c>
      <c r="T218" s="75"/>
      <c r="U218" s="86">
        <f ca="1">IFERROR(__xludf.DUMMYFUNCTION("""COMPUTED_VALUE"""),19)</f>
        <v>19</v>
      </c>
      <c r="V218" s="84"/>
      <c r="W218" s="87"/>
      <c r="X218" s="84"/>
      <c r="Y218" s="338" t="str">
        <f ca="1">IFERROR(__xludf.DUMMYFUNCTION("""COMPUTED_VALUE"""),"http://www.ladder.com.hk/dundas/download/info.jpg")</f>
        <v>http://www.ladder.com.hk/dundas/download/info.jpg</v>
      </c>
      <c r="Z218" s="66" t="s">
        <v>2061</v>
      </c>
    </row>
    <row r="219" spans="1:26" ht="15.75" customHeight="1">
      <c r="A219" s="83" t="str">
        <f ca="1">IFERROR(__xludf.DUMMYFUNCTION("""COMPUTED_VALUE"""),"E19NE")</f>
        <v>E19NE</v>
      </c>
      <c r="B219" s="84">
        <f ca="1">IFERROR(__xludf.DUMMYFUNCTION("""COMPUTED_VALUE"""),19)</f>
        <v>19</v>
      </c>
      <c r="C219" s="84" t="str">
        <f ca="1">IFERROR(__xludf.DUMMYFUNCTION("""COMPUTED_VALUE"""),"NE")</f>
        <v>NE</v>
      </c>
      <c r="D219" s="339">
        <f ca="1">IFERROR(__xludf.DUMMYFUNCTION("""COMPUTED_VALUE"""),4000)</f>
        <v>4000</v>
      </c>
      <c r="E219" s="84"/>
      <c r="F219" s="84"/>
      <c r="G219" s="83" t="str">
        <f ca="1">IFERROR(__xludf.DUMMYFUNCTION("""COMPUTED_VALUE"""),"Causeway Bay Sports Ground")</f>
        <v>Causeway Bay Sports Ground</v>
      </c>
      <c r="H219" s="84"/>
      <c r="I219" s="84"/>
      <c r="J219" s="84"/>
      <c r="K219" s="88"/>
      <c r="L219" s="84"/>
      <c r="M219" s="88"/>
      <c r="N219" s="84"/>
      <c r="O219" s="88"/>
      <c r="P219" s="85" t="str">
        <f ca="1">IFERROR(__xludf.DUMMYFUNCTION("""COMPUTED_VALUE"""),"no building ")</f>
        <v xml:space="preserve">no building </v>
      </c>
      <c r="Q219" s="75" t="b">
        <f ca="1">IFERROR(__xludf.DUMMYFUNCTION("""COMPUTED_VALUE"""),TRUE)</f>
        <v>1</v>
      </c>
      <c r="R219" s="75" t="b">
        <f ca="1">IFERROR(__xludf.DUMMYFUNCTION("""COMPUTED_VALUE"""),TRUE)</f>
        <v>1</v>
      </c>
      <c r="S219" s="75" t="b">
        <f ca="1">IFERROR(__xludf.DUMMYFUNCTION("""COMPUTED_VALUE"""),FALSE)</f>
        <v>0</v>
      </c>
      <c r="T219" s="75" t="b">
        <f ca="1">IFERROR(__xludf.DUMMYFUNCTION("""COMPUTED_VALUE"""),FALSE)</f>
        <v>0</v>
      </c>
      <c r="U219" s="86">
        <f ca="1">IFERROR(__xludf.DUMMYFUNCTION("""COMPUTED_VALUE"""),0)</f>
        <v>0</v>
      </c>
      <c r="V219" s="84"/>
      <c r="W219" s="87"/>
      <c r="X219" s="84"/>
      <c r="Y219" s="84"/>
      <c r="Z219" s="66" t="s">
        <v>556</v>
      </c>
    </row>
    <row r="220" spans="1:26" ht="15.75" customHeight="1">
      <c r="A220" s="83" t="str">
        <f ca="1">IFERROR(__xludf.DUMMYFUNCTION("""COMPUTED_VALUE"""),"E19SE")</f>
        <v>E19SE</v>
      </c>
      <c r="B220" s="84">
        <f ca="1">IFERROR(__xludf.DUMMYFUNCTION("""COMPUTED_VALUE"""),19)</f>
        <v>19</v>
      </c>
      <c r="C220" s="84" t="str">
        <f ca="1">IFERROR(__xludf.DUMMYFUNCTION("""COMPUTED_VALUE"""),"SE")</f>
        <v>SE</v>
      </c>
      <c r="D220" s="339">
        <f ca="1">IFERROR(__xludf.DUMMYFUNCTION("""COMPUTED_VALUE"""),4000)</f>
        <v>4000</v>
      </c>
      <c r="E220" s="84" t="str">
        <f ca="1">IFERROR(__xludf.DUMMYFUNCTION("""COMPUTED_VALUE"""),"3758615670T20050430")</f>
        <v>3758615670T20050430</v>
      </c>
      <c r="F220" s="84">
        <f ca="1">IFERROR(__xludf.DUMMYFUNCTION("""COMPUTED_VALUE"""),1103126958)</f>
        <v>1103126958</v>
      </c>
      <c r="G220" s="83" t="str">
        <f ca="1">IFERROR(__xludf.DUMMYFUNCTION("""COMPUTED_VALUE"""),"Hong Kong Central Library")</f>
        <v>Hong Kong Central Library</v>
      </c>
      <c r="H220" s="84" t="str">
        <f ca="1">IFERROR(__xludf.DUMMYFUNCTION("""COMPUTED_VALUE"""),"香港中央圖書館")</f>
        <v>香港中央圖書館</v>
      </c>
      <c r="I220" s="84">
        <f ca="1">IFERROR(__xludf.DUMMYFUNCTION("""COMPUTED_VALUE"""),114.1896634)</f>
        <v>114.1896634</v>
      </c>
      <c r="J220" s="84">
        <f ca="1">IFERROR(__xludf.DUMMYFUNCTION("""COMPUTED_VALUE"""),22.2799082)</f>
        <v>22.279908200000001</v>
      </c>
      <c r="K220" s="88">
        <f ca="1">IFERROR(__xludf.DUMMYFUNCTION("""COMPUTED_VALUE"""),12.1)</f>
        <v>12.1</v>
      </c>
      <c r="L220" s="84" t="str">
        <f ca="1">IFERROR(__xludf.DUMMYFUNCTION("""COMPUTED_VALUE"""),"p")</f>
        <v>p</v>
      </c>
      <c r="M220" s="88">
        <f ca="1">IFERROR(__xludf.DUMMYFUNCTION("""COMPUTED_VALUE"""),64.1)</f>
        <v>64.099999999999994</v>
      </c>
      <c r="N220" s="84" t="str">
        <f ca="1">IFERROR(__xludf.DUMMYFUNCTION("""COMPUTED_VALUE"""),"3")</f>
        <v>3</v>
      </c>
      <c r="O220" s="88">
        <f ca="1">IFERROR(__xludf.DUMMYFUNCTION("""COMPUTED_VALUE"""),52)</f>
        <v>52</v>
      </c>
      <c r="P220" s="85" t="str">
        <f ca="1">IFERROR(__xludf.DUMMYFUNCTION("""COMPUTED_VALUE"""),"public recreational facility")</f>
        <v>public recreational facility</v>
      </c>
      <c r="Q220" s="75" t="b">
        <f ca="1">IFERROR(__xludf.DUMMYFUNCTION("""COMPUTED_VALUE"""),FALSE)</f>
        <v>0</v>
      </c>
      <c r="R220" s="75" t="b">
        <f ca="1">IFERROR(__xludf.DUMMYFUNCTION("""COMPUTED_VALUE"""),TRUE)</f>
        <v>1</v>
      </c>
      <c r="S220" s="75" t="b">
        <f ca="1">IFERROR(__xludf.DUMMYFUNCTION("""COMPUTED_VALUE"""),FALSE)</f>
        <v>0</v>
      </c>
      <c r="T220" s="75" t="b">
        <f ca="1">IFERROR(__xludf.DUMMYFUNCTION("""COMPUTED_VALUE"""),TRUE)</f>
        <v>1</v>
      </c>
      <c r="U220" s="86">
        <f ca="1">IFERROR(__xludf.DUMMYFUNCTION("""COMPUTED_VALUE"""),12)</f>
        <v>12</v>
      </c>
      <c r="V220" s="84"/>
      <c r="W220" s="87"/>
      <c r="X220" s="84">
        <f ca="1">IFERROR(__xludf.DUMMYFUNCTION("""COMPUTED_VALUE"""),2001)</f>
        <v>2001</v>
      </c>
      <c r="Y220" s="338" t="str">
        <f ca="1">IFERROR(__xludf.DUMMYFUNCTION("""COMPUTED_VALUE"""),"https://www.hkpl.gov.hk/en/hkcl/aboutus/index.html")</f>
        <v>https://www.hkpl.gov.hk/en/hkcl/aboutus/index.html</v>
      </c>
      <c r="Z220" s="66" t="s">
        <v>2064</v>
      </c>
    </row>
    <row r="221" spans="1:26" ht="15.75" customHeight="1">
      <c r="A221" s="83" t="str">
        <f ca="1">IFERROR(__xludf.DUMMYFUNCTION("""COMPUTED_VALUE"""),"E19SW")</f>
        <v>E19SW</v>
      </c>
      <c r="B221" s="84">
        <f ca="1">IFERROR(__xludf.DUMMYFUNCTION("""COMPUTED_VALUE"""),19)</f>
        <v>19</v>
      </c>
      <c r="C221" s="84" t="str">
        <f ca="1">IFERROR(__xludf.DUMMYFUNCTION("""COMPUTED_VALUE"""),"SW")</f>
        <v>SW</v>
      </c>
      <c r="D221" s="339">
        <f ca="1">IFERROR(__xludf.DUMMYFUNCTION("""COMPUTED_VALUE"""),4000)</f>
        <v>4000</v>
      </c>
      <c r="E221" s="84"/>
      <c r="F221" s="84"/>
      <c r="G221" s="83" t="str">
        <f ca="1">IFERROR(__xludf.DUMMYFUNCTION("""COMPUTED_VALUE"""),"Victoria Park")</f>
        <v>Victoria Park</v>
      </c>
      <c r="H221" s="84"/>
      <c r="I221" s="84"/>
      <c r="J221" s="84"/>
      <c r="K221" s="88"/>
      <c r="L221" s="84"/>
      <c r="M221" s="88"/>
      <c r="N221" s="84"/>
      <c r="O221" s="88"/>
      <c r="P221" s="85" t="str">
        <f ca="1">IFERROR(__xludf.DUMMYFUNCTION("""COMPUTED_VALUE"""),"no building ")</f>
        <v xml:space="preserve">no building </v>
      </c>
      <c r="Q221" s="75" t="b">
        <f ca="1">IFERROR(__xludf.DUMMYFUNCTION("""COMPUTED_VALUE"""),TRUE)</f>
        <v>1</v>
      </c>
      <c r="R221" s="75" t="b">
        <f ca="1">IFERROR(__xludf.DUMMYFUNCTION("""COMPUTED_VALUE"""),TRUE)</f>
        <v>1</v>
      </c>
      <c r="S221" s="75" t="b">
        <f ca="1">IFERROR(__xludf.DUMMYFUNCTION("""COMPUTED_VALUE"""),FALSE)</f>
        <v>0</v>
      </c>
      <c r="T221" s="75" t="b">
        <f ca="1">IFERROR(__xludf.DUMMYFUNCTION("""COMPUTED_VALUE"""),FALSE)</f>
        <v>0</v>
      </c>
      <c r="U221" s="86">
        <f ca="1">IFERROR(__xludf.DUMMYFUNCTION("""COMPUTED_VALUE"""),0)</f>
        <v>0</v>
      </c>
      <c r="V221" s="84"/>
      <c r="W221" s="87"/>
      <c r="X221" s="84"/>
      <c r="Y221" s="84"/>
      <c r="Z221" s="66" t="s">
        <v>556</v>
      </c>
    </row>
    <row r="222" spans="1:26" ht="15.75" customHeight="1">
      <c r="A222" s="83" t="str">
        <f ca="1">IFERROR(__xludf.DUMMYFUNCTION("""COMPUTED_VALUE"""),"E19NW")</f>
        <v>E19NW</v>
      </c>
      <c r="B222" s="84">
        <f ca="1">IFERROR(__xludf.DUMMYFUNCTION("""COMPUTED_VALUE"""),19)</f>
        <v>19</v>
      </c>
      <c r="C222" s="84" t="str">
        <f ca="1">IFERROR(__xludf.DUMMYFUNCTION("""COMPUTED_VALUE"""),"NW")</f>
        <v>NW</v>
      </c>
      <c r="D222" s="339">
        <f ca="1">IFERROR(__xludf.DUMMYFUNCTION("""COMPUTED_VALUE"""),4000)</f>
        <v>4000</v>
      </c>
      <c r="E222" s="84"/>
      <c r="F222" s="84"/>
      <c r="G222" s="83" t="str">
        <f ca="1">IFERROR(__xludf.DUMMYFUNCTION("""COMPUTED_VALUE"""),"Victoria Park")</f>
        <v>Victoria Park</v>
      </c>
      <c r="H222" s="84"/>
      <c r="I222" s="84"/>
      <c r="J222" s="84"/>
      <c r="K222" s="88"/>
      <c r="L222" s="84"/>
      <c r="M222" s="88"/>
      <c r="N222" s="84"/>
      <c r="O222" s="88"/>
      <c r="P222" s="85" t="str">
        <f ca="1">IFERROR(__xludf.DUMMYFUNCTION("""COMPUTED_VALUE"""),"no building ")</f>
        <v xml:space="preserve">no building </v>
      </c>
      <c r="Q222" s="75" t="b">
        <f ca="1">IFERROR(__xludf.DUMMYFUNCTION("""COMPUTED_VALUE"""),TRUE)</f>
        <v>1</v>
      </c>
      <c r="R222" s="75" t="b">
        <f ca="1">IFERROR(__xludf.DUMMYFUNCTION("""COMPUTED_VALUE"""),TRUE)</f>
        <v>1</v>
      </c>
      <c r="S222" s="75" t="b">
        <f ca="1">IFERROR(__xludf.DUMMYFUNCTION("""COMPUTED_VALUE"""),FALSE)</f>
        <v>0</v>
      </c>
      <c r="T222" s="75" t="b">
        <f ca="1">IFERROR(__xludf.DUMMYFUNCTION("""COMPUTED_VALUE"""),FALSE)</f>
        <v>0</v>
      </c>
      <c r="U222" s="86">
        <f ca="1">IFERROR(__xludf.DUMMYFUNCTION("""COMPUTED_VALUE"""),0)</f>
        <v>0</v>
      </c>
      <c r="V222" s="84"/>
      <c r="W222" s="87"/>
      <c r="X222" s="84"/>
      <c r="Y222" s="84"/>
      <c r="Z222" s="66" t="s">
        <v>556</v>
      </c>
    </row>
    <row r="223" spans="1:26" ht="15.75" customHeight="1">
      <c r="A223" s="83" t="str">
        <f ca="1">IFERROR(__xludf.DUMMYFUNCTION("""COMPUTED_VALUE"""),"N12NE")</f>
        <v>N12NE</v>
      </c>
      <c r="B223" s="84">
        <f ca="1">IFERROR(__xludf.DUMMYFUNCTION("""COMPUTED_VALUE"""),12)</f>
        <v>12</v>
      </c>
      <c r="C223" s="84" t="str">
        <f ca="1">IFERROR(__xludf.DUMMYFUNCTION("""COMPUTED_VALUE"""),"NE")</f>
        <v>NE</v>
      </c>
      <c r="D223" s="339">
        <f ca="1">IFERROR(__xludf.DUMMYFUNCTION("""COMPUTED_VALUE"""),4200)</f>
        <v>4200</v>
      </c>
      <c r="E223" s="84" t="str">
        <f ca="1">IFERROR(__xludf.DUMMYFUNCTION("""COMPUTED_VALUE"""),"3557019827T20050430")</f>
        <v>3557019827T20050430</v>
      </c>
      <c r="F223" s="84">
        <f ca="1">IFERROR(__xludf.DUMMYFUNCTION("""COMPUTED_VALUE"""),1108236167)</f>
        <v>1108236167</v>
      </c>
      <c r="G223" s="83" t="str">
        <f ca="1">IFERROR(__xludf.DUMMYFUNCTION("""COMPUTED_VALUE"""),"Good Hope Building")</f>
        <v>Good Hope Building</v>
      </c>
      <c r="H223" s="84" t="str">
        <f ca="1">IFERROR(__xludf.DUMMYFUNCTION("""COMPUTED_VALUE"""),"好望角大廈")</f>
        <v>好望角大廈</v>
      </c>
      <c r="I223" s="84">
        <f ca="1">IFERROR(__xludf.DUMMYFUNCTION("""COMPUTED_VALUE"""),114.1701272)</f>
        <v>114.1701272</v>
      </c>
      <c r="J223" s="84">
        <f ca="1">IFERROR(__xludf.DUMMYFUNCTION("""COMPUTED_VALUE"""),22.31730545)</f>
        <v>22.317305449999999</v>
      </c>
      <c r="K223" s="88">
        <f ca="1">IFERROR(__xludf.DUMMYFUNCTION("""COMPUTED_VALUE"""),20.5)</f>
        <v>20.5</v>
      </c>
      <c r="L223" s="84" t="str">
        <f ca="1">IFERROR(__xludf.DUMMYFUNCTION("""COMPUTED_VALUE"""),"e")</f>
        <v>e</v>
      </c>
      <c r="M223" s="88">
        <f ca="1">IFERROR(__xludf.DUMMYFUNCTION("""COMPUTED_VALUE"""),75.400002)</f>
        <v>75.400002000000001</v>
      </c>
      <c r="N223" s="84" t="str">
        <f ca="1">IFERROR(__xludf.DUMMYFUNCTION("""COMPUTED_VALUE"""),"p")</f>
        <v>p</v>
      </c>
      <c r="O223" s="88">
        <f ca="1">IFERROR(__xludf.DUMMYFUNCTION("""COMPUTED_VALUE"""),54.900002)</f>
        <v>54.900002000000001</v>
      </c>
      <c r="P223" s="85"/>
      <c r="Q223" s="75" t="b">
        <f ca="1">IFERROR(__xludf.DUMMYFUNCTION("""COMPUTED_VALUE"""),FALSE)</f>
        <v>0</v>
      </c>
      <c r="R223" s="75" t="b">
        <f ca="1">IFERROR(__xludf.DUMMYFUNCTION("""COMPUTED_VALUE"""),FALSE)</f>
        <v>0</v>
      </c>
      <c r="S223" s="75" t="b">
        <f ca="1">IFERROR(__xludf.DUMMYFUNCTION("""COMPUTED_VALUE"""),FALSE)</f>
        <v>0</v>
      </c>
      <c r="T223" s="75"/>
      <c r="U223" s="86">
        <f ca="1">IFERROR(__xludf.DUMMYFUNCTION("""COMPUTED_VALUE"""),22)</f>
        <v>22</v>
      </c>
      <c r="V223" s="84">
        <f ca="1">IFERROR(__xludf.DUMMYFUNCTION("""COMPUTED_VALUE"""),0)</f>
        <v>0</v>
      </c>
      <c r="W223" s="87">
        <f ca="1">IFERROR(__xludf.DUMMYFUNCTION("""COMPUTED_VALUE"""),189)</f>
        <v>189</v>
      </c>
      <c r="X223" s="84">
        <f ca="1">IFERROR(__xludf.DUMMYFUNCTION("""COMPUTED_VALUE"""),1971)</f>
        <v>1971</v>
      </c>
      <c r="Y223" s="84" t="str">
        <f ca="1">IFERROR(__xludf.DUMMYFUNCTION("""COMPUTED_VALUE"""),"BMIS_auto+web")</f>
        <v>BMIS_auto+web</v>
      </c>
      <c r="Z223" s="66" t="s">
        <v>2068</v>
      </c>
    </row>
    <row r="224" spans="1:26" ht="15.75" customHeight="1">
      <c r="A224" s="83" t="str">
        <f ca="1">IFERROR(__xludf.DUMMYFUNCTION("""COMPUTED_VALUE"""),"N12SE")</f>
        <v>N12SE</v>
      </c>
      <c r="B224" s="84">
        <f ca="1">IFERROR(__xludf.DUMMYFUNCTION("""COMPUTED_VALUE"""),12)</f>
        <v>12</v>
      </c>
      <c r="C224" s="84" t="str">
        <f ca="1">IFERROR(__xludf.DUMMYFUNCTION("""COMPUTED_VALUE"""),"SE")</f>
        <v>SE</v>
      </c>
      <c r="D224" s="339">
        <f ca="1">IFERROR(__xludf.DUMMYFUNCTION("""COMPUTED_VALUE"""),4200)</f>
        <v>4200</v>
      </c>
      <c r="E224" s="84" t="str">
        <f ca="1">IFERROR(__xludf.DUMMYFUNCTION("""COMPUTED_VALUE"""),"3558119770T20050430")</f>
        <v>3558119770T20050430</v>
      </c>
      <c r="F224" s="84">
        <f ca="1">IFERROR(__xludf.DUMMYFUNCTION("""COMPUTED_VALUE"""),1108236428)</f>
        <v>1108236428</v>
      </c>
      <c r="G224" s="83" t="str">
        <f ca="1">IFERROR(__xludf.DUMMYFUNCTION("""COMPUTED_VALUE"""),"Hollywood Plaza")</f>
        <v>Hollywood Plaza</v>
      </c>
      <c r="H224" s="84" t="str">
        <f ca="1">IFERROR(__xludf.DUMMYFUNCTION("""COMPUTED_VALUE"""),"荷李活商業中心")</f>
        <v>荷李活商業中心</v>
      </c>
      <c r="I224" s="84">
        <f ca="1">IFERROR(__xludf.DUMMYFUNCTION("""COMPUTED_VALUE"""),114.1702067)</f>
        <v>114.17020669999999</v>
      </c>
      <c r="J224" s="84">
        <f ca="1">IFERROR(__xludf.DUMMYFUNCTION("""COMPUTED_VALUE"""),22.31690279)</f>
        <v>22.31690279</v>
      </c>
      <c r="K224" s="88">
        <f ca="1">IFERROR(__xludf.DUMMYFUNCTION("""COMPUTED_VALUE"""),19.9)</f>
        <v>19.899999999999999</v>
      </c>
      <c r="L224" s="84" t="str">
        <f ca="1">IFERROR(__xludf.DUMMYFUNCTION("""COMPUTED_VALUE"""),"p")</f>
        <v>p</v>
      </c>
      <c r="M224" s="88">
        <f ca="1">IFERROR(__xludf.DUMMYFUNCTION("""COMPUTED_VALUE"""),85.099998)</f>
        <v>85.099997999999999</v>
      </c>
      <c r="N224" s="84" t="str">
        <f ca="1">IFERROR(__xludf.DUMMYFUNCTION("""COMPUTED_VALUE"""),"p")</f>
        <v>p</v>
      </c>
      <c r="O224" s="88">
        <f ca="1">IFERROR(__xludf.DUMMYFUNCTION("""COMPUTED_VALUE"""),65.199998)</f>
        <v>65.199997999999994</v>
      </c>
      <c r="P224" s="85"/>
      <c r="Q224" s="75" t="b">
        <f ca="1">IFERROR(__xludf.DUMMYFUNCTION("""COMPUTED_VALUE"""),FALSE)</f>
        <v>0</v>
      </c>
      <c r="R224" s="75" t="b">
        <f ca="1">IFERROR(__xludf.DUMMYFUNCTION("""COMPUTED_VALUE"""),FALSE)</f>
        <v>0</v>
      </c>
      <c r="S224" s="75" t="b">
        <f ca="1">IFERROR(__xludf.DUMMYFUNCTION("""COMPUTED_VALUE"""),FALSE)</f>
        <v>0</v>
      </c>
      <c r="T224" s="75"/>
      <c r="U224" s="86">
        <f ca="1">IFERROR(__xludf.DUMMYFUNCTION("""COMPUTED_VALUE"""),22)</f>
        <v>22</v>
      </c>
      <c r="V224" s="84">
        <f ca="1">IFERROR(__xludf.DUMMYFUNCTION("""COMPUTED_VALUE"""),0)</f>
        <v>0</v>
      </c>
      <c r="W224" s="87">
        <f ca="1">IFERROR(__xludf.DUMMYFUNCTION("""COMPUTED_VALUE"""),345)</f>
        <v>345</v>
      </c>
      <c r="X224" s="84">
        <f ca="1">IFERROR(__xludf.DUMMYFUNCTION("""COMPUTED_VALUE"""),1984)</f>
        <v>1984</v>
      </c>
      <c r="Y224" s="84" t="str">
        <f ca="1">IFERROR(__xludf.DUMMYFUNCTION("""COMPUTED_VALUE"""),"BMIS_auto")</f>
        <v>BMIS_auto</v>
      </c>
      <c r="Z224" s="66" t="s">
        <v>2070</v>
      </c>
    </row>
    <row r="225" spans="1:26" ht="15.75" customHeight="1">
      <c r="A225" s="83" t="str">
        <f ca="1">IFERROR(__xludf.DUMMYFUNCTION("""COMPUTED_VALUE"""),"N12SW")</f>
        <v>N12SW</v>
      </c>
      <c r="B225" s="84">
        <f ca="1">IFERROR(__xludf.DUMMYFUNCTION("""COMPUTED_VALUE"""),12)</f>
        <v>12</v>
      </c>
      <c r="C225" s="84" t="str">
        <f ca="1">IFERROR(__xludf.DUMMYFUNCTION("""COMPUTED_VALUE"""),"SW")</f>
        <v>SW</v>
      </c>
      <c r="D225" s="339">
        <f ca="1">IFERROR(__xludf.DUMMYFUNCTION("""COMPUTED_VALUE"""),4200)</f>
        <v>4200</v>
      </c>
      <c r="E225" s="84" t="str">
        <f ca="1">IFERROR(__xludf.DUMMYFUNCTION("""COMPUTED_VALUE"""),"3552419750T20050430")</f>
        <v>3552419750T20050430</v>
      </c>
      <c r="F225" s="84">
        <f ca="1">IFERROR(__xludf.DUMMYFUNCTION("""COMPUTED_VALUE"""),1108236423)</f>
        <v>1108236423</v>
      </c>
      <c r="G225" s="83" t="str">
        <f ca="1">IFERROR(__xludf.DUMMYFUNCTION("""COMPUTED_VALUE"""),"Sun Hing Building")</f>
        <v>Sun Hing Building</v>
      </c>
      <c r="H225" s="84" t="str">
        <f ca="1">IFERROR(__xludf.DUMMYFUNCTION("""COMPUTED_VALUE"""),"新興大廈")</f>
        <v>新興大廈</v>
      </c>
      <c r="I225" s="84">
        <f ca="1">IFERROR(__xludf.DUMMYFUNCTION("""COMPUTED_VALUE"""),114.169569)</f>
        <v>114.169569</v>
      </c>
      <c r="J225" s="84">
        <f ca="1">IFERROR(__xludf.DUMMYFUNCTION("""COMPUTED_VALUE"""),22.31684557)</f>
        <v>22.316845570000002</v>
      </c>
      <c r="K225" s="88">
        <f ca="1">IFERROR(__xludf.DUMMYFUNCTION("""COMPUTED_VALUE"""),19.9)</f>
        <v>19.899999999999999</v>
      </c>
      <c r="L225" s="84" t="str">
        <f ca="1">IFERROR(__xludf.DUMMYFUNCTION("""COMPUTED_VALUE"""),"p")</f>
        <v>p</v>
      </c>
      <c r="M225" s="88">
        <f ca="1">IFERROR(__xludf.DUMMYFUNCTION("""COMPUTED_VALUE"""),88.099998)</f>
        <v>88.099997999999999</v>
      </c>
      <c r="N225" s="84" t="str">
        <f ca="1">IFERROR(__xludf.DUMMYFUNCTION("""COMPUTED_VALUE"""),"e")</f>
        <v>e</v>
      </c>
      <c r="O225" s="88">
        <f ca="1">IFERROR(__xludf.DUMMYFUNCTION("""COMPUTED_VALUE"""),68.199998)</f>
        <v>68.199997999999994</v>
      </c>
      <c r="P225" s="85"/>
      <c r="Q225" s="75" t="b">
        <f ca="1">IFERROR(__xludf.DUMMYFUNCTION("""COMPUTED_VALUE"""),FALSE)</f>
        <v>0</v>
      </c>
      <c r="R225" s="75" t="b">
        <f ca="1">IFERROR(__xludf.DUMMYFUNCTION("""COMPUTED_VALUE"""),FALSE)</f>
        <v>0</v>
      </c>
      <c r="S225" s="75" t="b">
        <f ca="1">IFERROR(__xludf.DUMMYFUNCTION("""COMPUTED_VALUE"""),FALSE)</f>
        <v>0</v>
      </c>
      <c r="T225" s="75"/>
      <c r="U225" s="86">
        <f ca="1">IFERROR(__xludf.DUMMYFUNCTION("""COMPUTED_VALUE"""),29)</f>
        <v>29</v>
      </c>
      <c r="V225" s="84">
        <f ca="1">IFERROR(__xludf.DUMMYFUNCTION("""COMPUTED_VALUE"""),2)</f>
        <v>2</v>
      </c>
      <c r="W225" s="87">
        <f ca="1">IFERROR(__xludf.DUMMYFUNCTION("""COMPUTED_VALUE"""),453)</f>
        <v>453</v>
      </c>
      <c r="X225" s="84">
        <f ca="1">IFERROR(__xludf.DUMMYFUNCTION("""COMPUTED_VALUE"""),1966)</f>
        <v>1966</v>
      </c>
      <c r="Y225" s="84" t="str">
        <f ca="1">IFERROR(__xludf.DUMMYFUNCTION("""COMPUTED_VALUE"""),"BMIS_auto")</f>
        <v>BMIS_auto</v>
      </c>
      <c r="Z225" s="66" t="s">
        <v>2072</v>
      </c>
    </row>
    <row r="226" spans="1:26" ht="15.75" customHeight="1">
      <c r="A226" s="83" t="str">
        <f ca="1">IFERROR(__xludf.DUMMYFUNCTION("""COMPUTED_VALUE"""),"N12NW")</f>
        <v>N12NW</v>
      </c>
      <c r="B226" s="84">
        <f ca="1">IFERROR(__xludf.DUMMYFUNCTION("""COMPUTED_VALUE"""),12)</f>
        <v>12</v>
      </c>
      <c r="C226" s="84" t="str">
        <f ca="1">IFERROR(__xludf.DUMMYFUNCTION("""COMPUTED_VALUE"""),"NW")</f>
        <v>NW</v>
      </c>
      <c r="D226" s="339">
        <f ca="1">IFERROR(__xludf.DUMMYFUNCTION("""COMPUTED_VALUE"""),4200)</f>
        <v>4200</v>
      </c>
      <c r="E226" s="84" t="str">
        <f ca="1">IFERROR(__xludf.DUMMYFUNCTION("""COMPUTED_VALUE"""),"3551319795T20050430")</f>
        <v>3551319795T20050430</v>
      </c>
      <c r="F226" s="84">
        <f ca="1">IFERROR(__xludf.DUMMYFUNCTION("""COMPUTED_VALUE"""),1108236334)</f>
        <v>1108236334</v>
      </c>
      <c r="G226" s="83" t="str">
        <f ca="1">IFERROR(__xludf.DUMMYFUNCTION("""COMPUTED_VALUE"""),"Fee Tat Commercial Centre")</f>
        <v>Fee Tat Commercial Centre</v>
      </c>
      <c r="H226" s="84" t="str">
        <f ca="1">IFERROR(__xludf.DUMMYFUNCTION("""COMPUTED_VALUE"""),"飛達商業中心")</f>
        <v>飛達商業中心</v>
      </c>
      <c r="I226" s="84">
        <f ca="1">IFERROR(__xludf.DUMMYFUNCTION("""COMPUTED_VALUE"""),114.169553)</f>
        <v>114.16955299999999</v>
      </c>
      <c r="J226" s="84">
        <f ca="1">IFERROR(__xludf.DUMMYFUNCTION("""COMPUTED_VALUE"""),22.31716285)</f>
        <v>22.317162849999999</v>
      </c>
      <c r="K226" s="88">
        <f ca="1">IFERROR(__xludf.DUMMYFUNCTION("""COMPUTED_VALUE"""),4.8)</f>
        <v>4.8</v>
      </c>
      <c r="L226" s="84" t="str">
        <f ca="1">IFERROR(__xludf.DUMMYFUNCTION("""COMPUTED_VALUE"""),"e")</f>
        <v>e</v>
      </c>
      <c r="M226" s="88">
        <f ca="1">IFERROR(__xludf.DUMMYFUNCTION("""COMPUTED_VALUE"""),89.800003)</f>
        <v>89.800003000000004</v>
      </c>
      <c r="N226" s="84" t="str">
        <f ca="1">IFERROR(__xludf.DUMMYFUNCTION("""COMPUTED_VALUE"""),"e")</f>
        <v>e</v>
      </c>
      <c r="O226" s="88">
        <f ca="1">IFERROR(__xludf.DUMMYFUNCTION("""COMPUTED_VALUE"""),85.000003)</f>
        <v>85.000003000000007</v>
      </c>
      <c r="P226" s="85"/>
      <c r="Q226" s="75" t="b">
        <f ca="1">IFERROR(__xludf.DUMMYFUNCTION("""COMPUTED_VALUE"""),FALSE)</f>
        <v>0</v>
      </c>
      <c r="R226" s="75" t="b">
        <f ca="1">IFERROR(__xludf.DUMMYFUNCTION("""COMPUTED_VALUE"""),FALSE)</f>
        <v>0</v>
      </c>
      <c r="S226" s="75" t="b">
        <f ca="1">IFERROR(__xludf.DUMMYFUNCTION("""COMPUTED_VALUE"""),FALSE)</f>
        <v>0</v>
      </c>
      <c r="T226" s="75"/>
      <c r="U226" s="86">
        <f ca="1">IFERROR(__xludf.DUMMYFUNCTION("""COMPUTED_VALUE"""),24)</f>
        <v>24</v>
      </c>
      <c r="V226" s="84">
        <f ca="1">IFERROR(__xludf.DUMMYFUNCTION("""COMPUTED_VALUE"""),0)</f>
        <v>0</v>
      </c>
      <c r="W226" s="87">
        <f ca="1">IFERROR(__xludf.DUMMYFUNCTION("""COMPUTED_VALUE"""),24)</f>
        <v>24</v>
      </c>
      <c r="X226" s="84">
        <f ca="1">IFERROR(__xludf.DUMMYFUNCTION("""COMPUTED_VALUE"""),2002)</f>
        <v>2002</v>
      </c>
      <c r="Y226" s="84" t="str">
        <f ca="1">IFERROR(__xludf.DUMMYFUNCTION("""COMPUTED_VALUE"""),"BMIS_auto")</f>
        <v>BMIS_auto</v>
      </c>
      <c r="Z226" s="66" t="s">
        <v>2074</v>
      </c>
    </row>
    <row r="227" spans="1:26" ht="15.75" customHeight="1">
      <c r="A227" s="83" t="str">
        <f ca="1">IFERROR(__xludf.DUMMYFUNCTION("""COMPUTED_VALUE"""),"E20NE")</f>
        <v>E20NE</v>
      </c>
      <c r="B227" s="84">
        <f ca="1">IFERROR(__xludf.DUMMYFUNCTION("""COMPUTED_VALUE"""),20)</f>
        <v>20</v>
      </c>
      <c r="C227" s="84" t="str">
        <f ca="1">IFERROR(__xludf.DUMMYFUNCTION("""COMPUTED_VALUE"""),"NE")</f>
        <v>NE</v>
      </c>
      <c r="D227" s="339">
        <f ca="1">IFERROR(__xludf.DUMMYFUNCTION("""COMPUTED_VALUE"""),4200)</f>
        <v>4200</v>
      </c>
      <c r="E227" s="84"/>
      <c r="F227" s="84"/>
      <c r="G227" s="83" t="str">
        <f ca="1">IFERROR(__xludf.DUMMYFUNCTION("""COMPUTED_VALUE"""),"Open Area")</f>
        <v>Open Area</v>
      </c>
      <c r="H227" s="84"/>
      <c r="I227" s="84"/>
      <c r="J227" s="84"/>
      <c r="K227" s="88"/>
      <c r="L227" s="84"/>
      <c r="M227" s="88"/>
      <c r="N227" s="84"/>
      <c r="O227" s="88"/>
      <c r="P227" s="85" t="str">
        <f ca="1">IFERROR(__xludf.DUMMYFUNCTION("""COMPUTED_VALUE"""),"no building ")</f>
        <v xml:space="preserve">no building </v>
      </c>
      <c r="Q227" s="75" t="b">
        <f ca="1">IFERROR(__xludf.DUMMYFUNCTION("""COMPUTED_VALUE"""),TRUE)</f>
        <v>1</v>
      </c>
      <c r="R227" s="75" t="b">
        <f ca="1">IFERROR(__xludf.DUMMYFUNCTION("""COMPUTED_VALUE"""),TRUE)</f>
        <v>1</v>
      </c>
      <c r="S227" s="75" t="b">
        <f ca="1">IFERROR(__xludf.DUMMYFUNCTION("""COMPUTED_VALUE"""),FALSE)</f>
        <v>0</v>
      </c>
      <c r="T227" s="75" t="b">
        <f ca="1">IFERROR(__xludf.DUMMYFUNCTION("""COMPUTED_VALUE"""),TRUE)</f>
        <v>1</v>
      </c>
      <c r="U227" s="86">
        <f ca="1">IFERROR(__xludf.DUMMYFUNCTION("""COMPUTED_VALUE"""),0)</f>
        <v>0</v>
      </c>
      <c r="V227" s="84"/>
      <c r="W227" s="87"/>
      <c r="X227" s="84"/>
      <c r="Y227" s="84"/>
      <c r="Z227" s="66" t="s">
        <v>556</v>
      </c>
    </row>
    <row r="228" spans="1:26" ht="15.75" customHeight="1">
      <c r="A228" s="83" t="str">
        <f ca="1">IFERROR(__xludf.DUMMYFUNCTION("""COMPUTED_VALUE"""),"E20SE")</f>
        <v>E20SE</v>
      </c>
      <c r="B228" s="84">
        <f ca="1">IFERROR(__xludf.DUMMYFUNCTION("""COMPUTED_VALUE"""),20)</f>
        <v>20</v>
      </c>
      <c r="C228" s="84" t="str">
        <f ca="1">IFERROR(__xludf.DUMMYFUNCTION("""COMPUTED_VALUE"""),"SE")</f>
        <v>SE</v>
      </c>
      <c r="D228" s="339">
        <f ca="1">IFERROR(__xludf.DUMMYFUNCTION("""COMPUTED_VALUE"""),4200)</f>
        <v>4200</v>
      </c>
      <c r="E228" s="84" t="str">
        <f ca="1">IFERROR(__xludf.DUMMYFUNCTION("""COMPUTED_VALUE"""),"3775815848T20050430")</f>
        <v>3775815848T20050430</v>
      </c>
      <c r="F228" s="84">
        <f ca="1">IFERROR(__xludf.DUMMYFUNCTION("""COMPUTED_VALUE"""),1103125871)</f>
        <v>1103125871</v>
      </c>
      <c r="G228" s="83" t="str">
        <f ca="1">IFERROR(__xludf.DUMMYFUNCTION("""COMPUTED_VALUE"""),"Queen's College")</f>
        <v>Queen's College</v>
      </c>
      <c r="H228" s="84" t="str">
        <f ca="1">IFERROR(__xludf.DUMMYFUNCTION("""COMPUTED_VALUE"""),"皇仁書院")</f>
        <v>皇仁書院</v>
      </c>
      <c r="I228" s="84">
        <f ca="1">IFERROR(__xludf.DUMMYFUNCTION("""COMPUTED_VALUE"""),114.1915176)</f>
        <v>114.1915176</v>
      </c>
      <c r="J228" s="84">
        <f ca="1">IFERROR(__xludf.DUMMYFUNCTION("""COMPUTED_VALUE"""),22.28125726)</f>
        <v>22.28125726</v>
      </c>
      <c r="K228" s="88">
        <f ca="1">IFERROR(__xludf.DUMMYFUNCTION("""COMPUTED_VALUE"""),4.4)</f>
        <v>4.4000000000000004</v>
      </c>
      <c r="L228" s="84" t="str">
        <f ca="1">IFERROR(__xludf.DUMMYFUNCTION("""COMPUTED_VALUE"""),"l")</f>
        <v>l</v>
      </c>
      <c r="M228" s="88">
        <f ca="1">IFERROR(__xludf.DUMMYFUNCTION("""COMPUTED_VALUE"""),11.4)</f>
        <v>11.4</v>
      </c>
      <c r="N228" s="84" t="str">
        <f ca="1">IFERROR(__xludf.DUMMYFUNCTION("""COMPUTED_VALUE"""),"p")</f>
        <v>p</v>
      </c>
      <c r="O228" s="88">
        <f ca="1">IFERROR(__xludf.DUMMYFUNCTION("""COMPUTED_VALUE"""),7)</f>
        <v>7</v>
      </c>
      <c r="P228" s="85" t="str">
        <f ca="1">IFERROR(__xludf.DUMMYFUNCTION("""COMPUTED_VALUE"""),"school ")</f>
        <v xml:space="preserve">school </v>
      </c>
      <c r="Q228" s="75" t="b">
        <f ca="1">IFERROR(__xludf.DUMMYFUNCTION("""COMPUTED_VALUE"""),FALSE)</f>
        <v>0</v>
      </c>
      <c r="R228" s="75" t="b">
        <f ca="1">IFERROR(__xludf.DUMMYFUNCTION("""COMPUTED_VALUE"""),TRUE)</f>
        <v>1</v>
      </c>
      <c r="S228" s="75" t="b">
        <f ca="1">IFERROR(__xludf.DUMMYFUNCTION("""COMPUTED_VALUE"""),FALSE)</f>
        <v>0</v>
      </c>
      <c r="T228" s="75" t="b">
        <f ca="1">IFERROR(__xludf.DUMMYFUNCTION("""COMPUTED_VALUE"""),TRUE)</f>
        <v>1</v>
      </c>
      <c r="U228" s="86">
        <f ca="1">IFERROR(__xludf.DUMMYFUNCTION("""COMPUTED_VALUE"""),2)</f>
        <v>2</v>
      </c>
      <c r="V228" s="84"/>
      <c r="W228" s="87"/>
      <c r="X228" s="84"/>
      <c r="Y228" s="84" t="str">
        <f ca="1">IFERROR(__xludf.DUMMYFUNCTION("""COMPUTED_VALUE"""),"Street View")</f>
        <v>Street View</v>
      </c>
      <c r="Z228" s="66" t="s">
        <v>2077</v>
      </c>
    </row>
    <row r="229" spans="1:26" ht="15.75" customHeight="1">
      <c r="A229" s="83" t="str">
        <f ca="1">IFERROR(__xludf.DUMMYFUNCTION("""COMPUTED_VALUE"""),"E20SW")</f>
        <v>E20SW</v>
      </c>
      <c r="B229" s="84">
        <f ca="1">IFERROR(__xludf.DUMMYFUNCTION("""COMPUTED_VALUE"""),20)</f>
        <v>20</v>
      </c>
      <c r="C229" s="84" t="str">
        <f ca="1">IFERROR(__xludf.DUMMYFUNCTION("""COMPUTED_VALUE"""),"SW")</f>
        <v>SW</v>
      </c>
      <c r="D229" s="339">
        <f ca="1">IFERROR(__xludf.DUMMYFUNCTION("""COMPUTED_VALUE"""),4200)</f>
        <v>4200</v>
      </c>
      <c r="E229" s="84"/>
      <c r="F229" s="84"/>
      <c r="G229" s="83" t="str">
        <f ca="1">IFERROR(__xludf.DUMMYFUNCTION("""COMPUTED_VALUE"""),"Victoria Park")</f>
        <v>Victoria Park</v>
      </c>
      <c r="H229" s="84"/>
      <c r="I229" s="84"/>
      <c r="J229" s="84"/>
      <c r="K229" s="88"/>
      <c r="L229" s="84"/>
      <c r="M229" s="88"/>
      <c r="N229" s="84"/>
      <c r="O229" s="88"/>
      <c r="P229" s="85" t="str">
        <f ca="1">IFERROR(__xludf.DUMMYFUNCTION("""COMPUTED_VALUE"""),"no building ")</f>
        <v xml:space="preserve">no building </v>
      </c>
      <c r="Q229" s="75" t="b">
        <f ca="1">IFERROR(__xludf.DUMMYFUNCTION("""COMPUTED_VALUE"""),TRUE)</f>
        <v>1</v>
      </c>
      <c r="R229" s="75" t="b">
        <f ca="1">IFERROR(__xludf.DUMMYFUNCTION("""COMPUTED_VALUE"""),TRUE)</f>
        <v>1</v>
      </c>
      <c r="S229" s="75" t="b">
        <f ca="1">IFERROR(__xludf.DUMMYFUNCTION("""COMPUTED_VALUE"""),FALSE)</f>
        <v>0</v>
      </c>
      <c r="T229" s="75" t="b">
        <f ca="1">IFERROR(__xludf.DUMMYFUNCTION("""COMPUTED_VALUE"""),TRUE)</f>
        <v>1</v>
      </c>
      <c r="U229" s="86">
        <f ca="1">IFERROR(__xludf.DUMMYFUNCTION("""COMPUTED_VALUE"""),0)</f>
        <v>0</v>
      </c>
      <c r="V229" s="84"/>
      <c r="W229" s="87"/>
      <c r="X229" s="84"/>
      <c r="Y229" s="84"/>
      <c r="Z229" s="66" t="s">
        <v>556</v>
      </c>
    </row>
    <row r="230" spans="1:26" ht="15.75" customHeight="1">
      <c r="A230" s="83" t="str">
        <f ca="1">IFERROR(__xludf.DUMMYFUNCTION("""COMPUTED_VALUE"""),"E20NW")</f>
        <v>E20NW</v>
      </c>
      <c r="B230" s="84">
        <f ca="1">IFERROR(__xludf.DUMMYFUNCTION("""COMPUTED_VALUE"""),20)</f>
        <v>20</v>
      </c>
      <c r="C230" s="84" t="str">
        <f ca="1">IFERROR(__xludf.DUMMYFUNCTION("""COMPUTED_VALUE"""),"NW")</f>
        <v>NW</v>
      </c>
      <c r="D230" s="339">
        <f ca="1">IFERROR(__xludf.DUMMYFUNCTION("""COMPUTED_VALUE"""),4200)</f>
        <v>4200</v>
      </c>
      <c r="E230" s="84" t="str">
        <f ca="1">IFERROR(__xludf.DUMMYFUNCTION("""COMPUTED_VALUE"""),"3777515948T20050430")</f>
        <v>3777515948T20050430</v>
      </c>
      <c r="F230" s="84">
        <f ca="1">IFERROR(__xludf.DUMMYFUNCTION("""COMPUTED_VALUE"""),1103125126)</f>
        <v>1103125126</v>
      </c>
      <c r="G230" s="83" t="str">
        <f ca="1">IFERROR(__xludf.DUMMYFUNCTION("""COMPUTED_VALUE"""),"Park Towers Tower I")</f>
        <v>Park Towers Tower I</v>
      </c>
      <c r="H230" s="84" t="str">
        <f ca="1">IFERROR(__xludf.DUMMYFUNCTION("""COMPUTED_VALUE"""),"栢景臺第１座")</f>
        <v>栢景臺第１座</v>
      </c>
      <c r="I230" s="84">
        <f ca="1">IFERROR(__xludf.DUMMYFUNCTION("""COMPUTED_VALUE"""),114.1914991)</f>
        <v>114.1914991</v>
      </c>
      <c r="J230" s="84">
        <f ca="1">IFERROR(__xludf.DUMMYFUNCTION("""COMPUTED_VALUE"""),22.28242876)</f>
        <v>22.282428759999998</v>
      </c>
      <c r="K230" s="88">
        <f ca="1">IFERROR(__xludf.DUMMYFUNCTION("""COMPUTED_VALUE"""),41.4)</f>
        <v>41.4</v>
      </c>
      <c r="L230" s="84" t="str">
        <f ca="1">IFERROR(__xludf.DUMMYFUNCTION("""COMPUTED_VALUE"""),"p")</f>
        <v>p</v>
      </c>
      <c r="M230" s="88">
        <f ca="1">IFERROR(__xludf.DUMMYFUNCTION("""COMPUTED_VALUE"""),155.9)</f>
        <v>155.9</v>
      </c>
      <c r="N230" s="84" t="str">
        <f ca="1">IFERROR(__xludf.DUMMYFUNCTION("""COMPUTED_VALUE"""),"p")</f>
        <v>p</v>
      </c>
      <c r="O230" s="88">
        <f ca="1">IFERROR(__xludf.DUMMYFUNCTION("""COMPUTED_VALUE"""),114.5)</f>
        <v>114.5</v>
      </c>
      <c r="P230" s="85"/>
      <c r="Q230" s="75" t="b">
        <f ca="1">IFERROR(__xludf.DUMMYFUNCTION("""COMPUTED_VALUE"""),FALSE)</f>
        <v>0</v>
      </c>
      <c r="R230" s="75" t="b">
        <f ca="1">IFERROR(__xludf.DUMMYFUNCTION("""COMPUTED_VALUE"""),FALSE)</f>
        <v>0</v>
      </c>
      <c r="S230" s="75" t="b">
        <f ca="1">IFERROR(__xludf.DUMMYFUNCTION("""COMPUTED_VALUE"""),FALSE)</f>
        <v>0</v>
      </c>
      <c r="T230" s="75" t="b">
        <f ca="1">IFERROR(__xludf.DUMMYFUNCTION("""COMPUTED_VALUE"""),FALSE)</f>
        <v>0</v>
      </c>
      <c r="U230" s="86">
        <f ca="1">IFERROR(__xludf.DUMMYFUNCTION("""COMPUTED_VALUE"""),49)</f>
        <v>49</v>
      </c>
      <c r="V230" s="84">
        <f ca="1">IFERROR(__xludf.DUMMYFUNCTION("""COMPUTED_VALUE"""),1)</f>
        <v>1</v>
      </c>
      <c r="W230" s="87">
        <f ca="1">IFERROR(__xludf.DUMMYFUNCTION("""COMPUTED_VALUE"""),180)</f>
        <v>180</v>
      </c>
      <c r="X230" s="84">
        <f ca="1">IFERROR(__xludf.DUMMYFUNCTION("""COMPUTED_VALUE"""),1989)</f>
        <v>1989</v>
      </c>
      <c r="Y230" s="84" t="str">
        <f ca="1">IFERROR(__xludf.DUMMYFUNCTION("""COMPUTED_VALUE"""),"BMIS_auto")</f>
        <v>BMIS_auto</v>
      </c>
      <c r="Z230" s="66" t="s">
        <v>2080</v>
      </c>
    </row>
    <row r="231" spans="1:26" ht="15.75" customHeight="1">
      <c r="A231" s="83" t="str">
        <f ca="1">IFERROR(__xludf.DUMMYFUNCTION("""COMPUTED_VALUE"""),"N13NE")</f>
        <v>N13NE</v>
      </c>
      <c r="B231" s="84">
        <f ca="1">IFERROR(__xludf.DUMMYFUNCTION("""COMPUTED_VALUE"""),13)</f>
        <v>13</v>
      </c>
      <c r="C231" s="84" t="str">
        <f ca="1">IFERROR(__xludf.DUMMYFUNCTION("""COMPUTED_VALUE"""),"NE")</f>
        <v>NE</v>
      </c>
      <c r="D231" s="339">
        <f ca="1">IFERROR(__xludf.DUMMYFUNCTION("""COMPUTED_VALUE"""),4400)</f>
        <v>4400</v>
      </c>
      <c r="E231" s="84" t="str">
        <f ca="1">IFERROR(__xludf.DUMMYFUNCTION("""COMPUTED_VALUE"""),"3553219969T20050430")</f>
        <v>3553219969T20050430</v>
      </c>
      <c r="F231" s="84">
        <f ca="1">IFERROR(__xludf.DUMMYFUNCTION("""COMPUTED_VALUE"""),1108235355)</f>
        <v>1108235355</v>
      </c>
      <c r="G231" s="83" t="str">
        <f ca="1">IFERROR(__xludf.DUMMYFUNCTION("""COMPUTED_VALUE"""),"Rex Building")</f>
        <v>Rex Building</v>
      </c>
      <c r="H231" s="84" t="str">
        <f ca="1">IFERROR(__xludf.DUMMYFUNCTION("""COMPUTED_VALUE"""),"皇上皇大廈")</f>
        <v>皇上皇大廈</v>
      </c>
      <c r="I231" s="84">
        <f ca="1">IFERROR(__xludf.DUMMYFUNCTION("""COMPUTED_VALUE"""),114.1697238)</f>
        <v>114.1697238</v>
      </c>
      <c r="J231" s="84">
        <f ca="1">IFERROR(__xludf.DUMMYFUNCTION("""COMPUTED_VALUE"""),22.31873573)</f>
        <v>22.31873573</v>
      </c>
      <c r="K231" s="88">
        <f ca="1">IFERROR(__xludf.DUMMYFUNCTION("""COMPUTED_VALUE"""),5)</f>
        <v>5</v>
      </c>
      <c r="L231" s="84" t="str">
        <f ca="1">IFERROR(__xludf.DUMMYFUNCTION("""COMPUTED_VALUE"""),"e")</f>
        <v>e</v>
      </c>
      <c r="M231" s="88">
        <f ca="1">IFERROR(__xludf.DUMMYFUNCTION("""COMPUTED_VALUE"""),56.900002)</f>
        <v>56.900002000000001</v>
      </c>
      <c r="N231" s="84" t="str">
        <f ca="1">IFERROR(__xludf.DUMMYFUNCTION("""COMPUTED_VALUE"""),"p")</f>
        <v>p</v>
      </c>
      <c r="O231" s="88">
        <f ca="1">IFERROR(__xludf.DUMMYFUNCTION("""COMPUTED_VALUE"""),51.900002)</f>
        <v>51.900002000000001</v>
      </c>
      <c r="P231" s="85"/>
      <c r="Q231" s="75" t="b">
        <f ca="1">IFERROR(__xludf.DUMMYFUNCTION("""COMPUTED_VALUE"""),FALSE)</f>
        <v>0</v>
      </c>
      <c r="R231" s="75" t="b">
        <f ca="1">IFERROR(__xludf.DUMMYFUNCTION("""COMPUTED_VALUE"""),FALSE)</f>
        <v>0</v>
      </c>
      <c r="S231" s="75" t="b">
        <f ca="1">IFERROR(__xludf.DUMMYFUNCTION("""COMPUTED_VALUE"""),FALSE)</f>
        <v>0</v>
      </c>
      <c r="T231" s="75"/>
      <c r="U231" s="86">
        <f ca="1">IFERROR(__xludf.DUMMYFUNCTION("""COMPUTED_VALUE"""),16)</f>
        <v>16</v>
      </c>
      <c r="V231" s="84">
        <f ca="1">IFERROR(__xludf.DUMMYFUNCTION("""COMPUTED_VALUE"""),0)</f>
        <v>0</v>
      </c>
      <c r="W231" s="87">
        <f ca="1">IFERROR(__xludf.DUMMYFUNCTION("""COMPUTED_VALUE"""),53)</f>
        <v>53</v>
      </c>
      <c r="X231" s="84">
        <f ca="1">IFERROR(__xludf.DUMMYFUNCTION("""COMPUTED_VALUE"""),1963)</f>
        <v>1963</v>
      </c>
      <c r="Y231" s="84" t="str">
        <f ca="1">IFERROR(__xludf.DUMMYFUNCTION("""COMPUTED_VALUE"""),"BMIS_auto")</f>
        <v>BMIS_auto</v>
      </c>
      <c r="Z231" s="66" t="s">
        <v>2082</v>
      </c>
    </row>
    <row r="232" spans="1:26" ht="15.75" customHeight="1">
      <c r="A232" s="83" t="str">
        <f ca="1">IFERROR(__xludf.DUMMYFUNCTION("""COMPUTED_VALUE"""),"N13SE")</f>
        <v>N13SE</v>
      </c>
      <c r="B232" s="84">
        <f ca="1">IFERROR(__xludf.DUMMYFUNCTION("""COMPUTED_VALUE"""),13)</f>
        <v>13</v>
      </c>
      <c r="C232" s="84" t="str">
        <f ca="1">IFERROR(__xludf.DUMMYFUNCTION("""COMPUTED_VALUE"""),"SE")</f>
        <v>SE</v>
      </c>
      <c r="D232" s="339">
        <f ca="1">IFERROR(__xludf.DUMMYFUNCTION("""COMPUTED_VALUE"""),4400)</f>
        <v>4400</v>
      </c>
      <c r="E232" s="84" t="str">
        <f ca="1">IFERROR(__xludf.DUMMYFUNCTION("""COMPUTED_VALUE"""),"3553219960T20050430")</f>
        <v>3553219960T20050430</v>
      </c>
      <c r="F232" s="84">
        <f ca="1">IFERROR(__xludf.DUMMYFUNCTION("""COMPUTED_VALUE"""),1108235445)</f>
        <v>1108235445</v>
      </c>
      <c r="G232" s="83" t="str">
        <f ca="1">IFERROR(__xludf.DUMMYFUNCTION("""COMPUTED_VALUE"""),"Toa Tak Building")</f>
        <v>Toa Tak Building</v>
      </c>
      <c r="H232" s="84" t="str">
        <f ca="1">IFERROR(__xludf.DUMMYFUNCTION("""COMPUTED_VALUE"""),"陶德大廈")</f>
        <v>陶德大廈</v>
      </c>
      <c r="I232" s="84">
        <f ca="1">IFERROR(__xludf.DUMMYFUNCTION("""COMPUTED_VALUE"""),114.1697446)</f>
        <v>114.1697446</v>
      </c>
      <c r="J232" s="84">
        <f ca="1">IFERROR(__xludf.DUMMYFUNCTION("""COMPUTED_VALUE"""),22.31862574)</f>
        <v>22.318625740000002</v>
      </c>
      <c r="K232" s="88">
        <f ca="1">IFERROR(__xludf.DUMMYFUNCTION("""COMPUTED_VALUE"""),4.9)</f>
        <v>4.9000000000000004</v>
      </c>
      <c r="L232" s="84" t="str">
        <f ca="1">IFERROR(__xludf.DUMMYFUNCTION("""COMPUTED_VALUE"""),"e")</f>
        <v>e</v>
      </c>
      <c r="M232" s="88">
        <f ca="1">IFERROR(__xludf.DUMMYFUNCTION("""COMPUTED_VALUE"""),56.200001)</f>
        <v>56.200001</v>
      </c>
      <c r="N232" s="84" t="str">
        <f ca="1">IFERROR(__xludf.DUMMYFUNCTION("""COMPUTED_VALUE"""),"p")</f>
        <v>p</v>
      </c>
      <c r="O232" s="88">
        <f ca="1">IFERROR(__xludf.DUMMYFUNCTION("""COMPUTED_VALUE"""),51.300001)</f>
        <v>51.300001000000002</v>
      </c>
      <c r="P232" s="85"/>
      <c r="Q232" s="75" t="b">
        <f ca="1">IFERROR(__xludf.DUMMYFUNCTION("""COMPUTED_VALUE"""),FALSE)</f>
        <v>0</v>
      </c>
      <c r="R232" s="75" t="b">
        <f ca="1">IFERROR(__xludf.DUMMYFUNCTION("""COMPUTED_VALUE"""),FALSE)</f>
        <v>0</v>
      </c>
      <c r="S232" s="75" t="b">
        <f ca="1">IFERROR(__xludf.DUMMYFUNCTION("""COMPUTED_VALUE"""),FALSE)</f>
        <v>0</v>
      </c>
      <c r="T232" s="75"/>
      <c r="U232" s="86">
        <f ca="1">IFERROR(__xludf.DUMMYFUNCTION("""COMPUTED_VALUE"""),16)</f>
        <v>16</v>
      </c>
      <c r="V232" s="84">
        <f ca="1">IFERROR(__xludf.DUMMYFUNCTION("""COMPUTED_VALUE"""),0)</f>
        <v>0</v>
      </c>
      <c r="W232" s="87">
        <f ca="1">IFERROR(__xludf.DUMMYFUNCTION("""COMPUTED_VALUE"""),16)</f>
        <v>16</v>
      </c>
      <c r="X232" s="84">
        <f ca="1">IFERROR(__xludf.DUMMYFUNCTION("""COMPUTED_VALUE"""),1967)</f>
        <v>1967</v>
      </c>
      <c r="Y232" s="84" t="str">
        <f ca="1">IFERROR(__xludf.DUMMYFUNCTION("""COMPUTED_VALUE"""),"BMIS_auto")</f>
        <v>BMIS_auto</v>
      </c>
      <c r="Z232" s="66" t="s">
        <v>2084</v>
      </c>
    </row>
    <row r="233" spans="1:26" ht="15.75" customHeight="1">
      <c r="A233" s="83" t="str">
        <f ca="1">IFERROR(__xludf.DUMMYFUNCTION("""COMPUTED_VALUE"""),"N13SW")</f>
        <v>N13SW</v>
      </c>
      <c r="B233" s="84">
        <f ca="1">IFERROR(__xludf.DUMMYFUNCTION("""COMPUTED_VALUE"""),13)</f>
        <v>13</v>
      </c>
      <c r="C233" s="84" t="str">
        <f ca="1">IFERROR(__xludf.DUMMYFUNCTION("""COMPUTED_VALUE"""),"SW")</f>
        <v>SW</v>
      </c>
      <c r="D233" s="339">
        <f ca="1">IFERROR(__xludf.DUMMYFUNCTION("""COMPUTED_VALUE"""),4400)</f>
        <v>4400</v>
      </c>
      <c r="E233" s="84" t="str">
        <f ca="1">IFERROR(__xludf.DUMMYFUNCTION("""COMPUTED_VALUE"""),"3548619945T20050430")</f>
        <v>3548619945T20050430</v>
      </c>
      <c r="F233" s="84">
        <f ca="1">IFERROR(__xludf.DUMMYFUNCTION("""COMPUTED_VALUE"""),1108235450)</f>
        <v>1108235450</v>
      </c>
      <c r="G233" s="83" t="str">
        <f ca="1">IFERROR(__xludf.DUMMYFUNCTION("""COMPUTED_VALUE"""),"Wu Sang House")</f>
        <v>Wu Sang House</v>
      </c>
      <c r="H233" s="84" t="str">
        <f ca="1">IFERROR(__xludf.DUMMYFUNCTION("""COMPUTED_VALUE"""),"胡社生行")</f>
        <v>胡社生行</v>
      </c>
      <c r="I233" s="84">
        <f ca="1">IFERROR(__xludf.DUMMYFUNCTION("""COMPUTED_VALUE"""),114.1692747)</f>
        <v>114.1692747</v>
      </c>
      <c r="J233" s="84">
        <f ca="1">IFERROR(__xludf.DUMMYFUNCTION("""COMPUTED_VALUE"""),22.31850095)</f>
        <v>22.318500950000001</v>
      </c>
      <c r="K233" s="88">
        <f ca="1">IFERROR(__xludf.DUMMYFUNCTION("""COMPUTED_VALUE"""),32.799999)</f>
        <v>32.799999</v>
      </c>
      <c r="L233" s="84" t="str">
        <f ca="1">IFERROR(__xludf.DUMMYFUNCTION("""COMPUTED_VALUE"""),"e")</f>
        <v>e</v>
      </c>
      <c r="M233" s="88">
        <f ca="1">IFERROR(__xludf.DUMMYFUNCTION("""COMPUTED_VALUE"""),91.099998)</f>
        <v>91.099997999999999</v>
      </c>
      <c r="N233" s="84" t="str">
        <f ca="1">IFERROR(__xludf.DUMMYFUNCTION("""COMPUTED_VALUE"""),"3")</f>
        <v>3</v>
      </c>
      <c r="O233" s="88">
        <f ca="1">IFERROR(__xludf.DUMMYFUNCTION("""COMPUTED_VALUE"""),58.299999)</f>
        <v>58.299999</v>
      </c>
      <c r="P233" s="85"/>
      <c r="Q233" s="75" t="b">
        <f ca="1">IFERROR(__xludf.DUMMYFUNCTION("""COMPUTED_VALUE"""),FALSE)</f>
        <v>0</v>
      </c>
      <c r="R233" s="75" t="b">
        <f ca="1">IFERROR(__xludf.DUMMYFUNCTION("""COMPUTED_VALUE"""),FALSE)</f>
        <v>0</v>
      </c>
      <c r="S233" s="75" t="b">
        <f ca="1">IFERROR(__xludf.DUMMYFUNCTION("""COMPUTED_VALUE"""),FALSE)</f>
        <v>0</v>
      </c>
      <c r="T233" s="75"/>
      <c r="U233" s="86">
        <f ca="1">IFERROR(__xludf.DUMMYFUNCTION("""COMPUTED_VALUE"""),26)</f>
        <v>26</v>
      </c>
      <c r="V233" s="84">
        <f ca="1">IFERROR(__xludf.DUMMYFUNCTION("""COMPUTED_VALUE"""),0)</f>
        <v>0</v>
      </c>
      <c r="W233" s="87">
        <f ca="1">IFERROR(__xludf.DUMMYFUNCTION("""COMPUTED_VALUE"""),312)</f>
        <v>312</v>
      </c>
      <c r="X233" s="84">
        <f ca="1">IFERROR(__xludf.DUMMYFUNCTION("""COMPUTED_VALUE"""),1966)</f>
        <v>1966</v>
      </c>
      <c r="Y233" s="84" t="str">
        <f ca="1">IFERROR(__xludf.DUMMYFUNCTION("""COMPUTED_VALUE"""),"BMIS")</f>
        <v>BMIS</v>
      </c>
      <c r="Z233" s="66" t="s">
        <v>2086</v>
      </c>
    </row>
    <row r="234" spans="1:26" ht="15.75" customHeight="1">
      <c r="A234" s="83" t="str">
        <f ca="1">IFERROR(__xludf.DUMMYFUNCTION("""COMPUTED_VALUE"""),"N13NW")</f>
        <v>N13NW</v>
      </c>
      <c r="B234" s="84">
        <f ca="1">IFERROR(__xludf.DUMMYFUNCTION("""COMPUTED_VALUE"""),13)</f>
        <v>13</v>
      </c>
      <c r="C234" s="84" t="str">
        <f ca="1">IFERROR(__xludf.DUMMYFUNCTION("""COMPUTED_VALUE"""),"NW")</f>
        <v>NW</v>
      </c>
      <c r="D234" s="339">
        <f ca="1">IFERROR(__xludf.DUMMYFUNCTION("""COMPUTED_VALUE"""),4400)</f>
        <v>4400</v>
      </c>
      <c r="E234" s="84" t="str">
        <f ca="1">IFERROR(__xludf.DUMMYFUNCTION("""COMPUTED_VALUE"""),"3547619988P20060311")</f>
        <v>3547619988P20060311</v>
      </c>
      <c r="F234" s="84">
        <f ca="1">IFERROR(__xludf.DUMMYFUNCTION("""COMPUTED_VALUE"""),1108246338)</f>
        <v>1108246338</v>
      </c>
      <c r="G234" s="83" t="str">
        <f ca="1">IFERROR(__xludf.DUMMYFUNCTION("""COMPUTED_VALUE"""),"HSBC Building Mongkok")</f>
        <v>HSBC Building Mongkok</v>
      </c>
      <c r="H234" s="84"/>
      <c r="I234" s="84">
        <f ca="1">IFERROR(__xludf.DUMMYFUNCTION("""COMPUTED_VALUE"""),114.1691885)</f>
        <v>114.1691885</v>
      </c>
      <c r="J234" s="84">
        <f ca="1">IFERROR(__xludf.DUMMYFUNCTION("""COMPUTED_VALUE"""),22.3188974)</f>
        <v>22.318897400000001</v>
      </c>
      <c r="K234" s="88">
        <f ca="1">IFERROR(__xludf.DUMMYFUNCTION("""COMPUTED_VALUE"""),4.6)</f>
        <v>4.5999999999999996</v>
      </c>
      <c r="L234" s="84" t="str">
        <f ca="1">IFERROR(__xludf.DUMMYFUNCTION("""COMPUTED_VALUE"""),"l")</f>
        <v>l</v>
      </c>
      <c r="M234" s="88">
        <f ca="1">IFERROR(__xludf.DUMMYFUNCTION("""COMPUTED_VALUE"""),31.6)</f>
        <v>31.6</v>
      </c>
      <c r="N234" s="84" t="str">
        <f ca="1">IFERROR(__xludf.DUMMYFUNCTION("""COMPUTED_VALUE"""),"p")</f>
        <v>p</v>
      </c>
      <c r="O234" s="88">
        <f ca="1">IFERROR(__xludf.DUMMYFUNCTION("""COMPUTED_VALUE"""),27)</f>
        <v>27</v>
      </c>
      <c r="P234" s="85"/>
      <c r="Q234" s="75" t="b">
        <f ca="1">IFERROR(__xludf.DUMMYFUNCTION("""COMPUTED_VALUE"""),FALSE)</f>
        <v>0</v>
      </c>
      <c r="R234" s="75" t="b">
        <f ca="1">IFERROR(__xludf.DUMMYFUNCTION("""COMPUTED_VALUE"""),FALSE)</f>
        <v>0</v>
      </c>
      <c r="S234" s="75" t="b">
        <f ca="1">IFERROR(__xludf.DUMMYFUNCTION("""COMPUTED_VALUE"""),FALSE)</f>
        <v>0</v>
      </c>
      <c r="T234" s="75"/>
      <c r="U234" s="86">
        <f ca="1">IFERROR(__xludf.DUMMYFUNCTION("""COMPUTED_VALUE"""),17)</f>
        <v>17</v>
      </c>
      <c r="V234" s="84"/>
      <c r="W234" s="87"/>
      <c r="X234" s="84">
        <f ca="1">IFERROR(__xludf.DUMMYFUNCTION("""COMPUTED_VALUE"""),1969)</f>
        <v>1969</v>
      </c>
      <c r="Y234" s="84" t="str">
        <f ca="1">IFERROR(__xludf.DUMMYFUNCTION("""COMPUTED_VALUE"""),"Google Earth+BMIS")</f>
        <v>Google Earth+BMIS</v>
      </c>
      <c r="Z234" s="66" t="s">
        <v>2088</v>
      </c>
    </row>
    <row r="235" spans="1:26" ht="15.75" customHeight="1">
      <c r="A235" s="83" t="str">
        <f ca="1">IFERROR(__xludf.DUMMYFUNCTION("""COMPUTED_VALUE"""),"E21NE")</f>
        <v>E21NE</v>
      </c>
      <c r="B235" s="84">
        <f ca="1">IFERROR(__xludf.DUMMYFUNCTION("""COMPUTED_VALUE"""),21)</f>
        <v>21</v>
      </c>
      <c r="C235" s="84" t="str">
        <f ca="1">IFERROR(__xludf.DUMMYFUNCTION("""COMPUTED_VALUE"""),"NE")</f>
        <v>NE</v>
      </c>
      <c r="D235" s="339">
        <f ca="1">IFERROR(__xludf.DUMMYFUNCTION("""COMPUTED_VALUE"""),4400)</f>
        <v>4400</v>
      </c>
      <c r="E235" s="84" t="str">
        <f ca="1">IFERROR(__xludf.DUMMYFUNCTION("""COMPUTED_VALUE"""),"3791516043T20050601")</f>
        <v>3791516043T20050601</v>
      </c>
      <c r="F235" s="84">
        <f ca="1">IFERROR(__xludf.DUMMYFUNCTION("""COMPUTED_VALUE"""),1103124444)</f>
        <v>1103124444</v>
      </c>
      <c r="G235" s="83" t="str">
        <f ca="1">IFERROR(__xludf.DUMMYFUNCTION("""COMPUTED_VALUE"""),"L'hotel Causeway Bay Harbour View Hong Kong")</f>
        <v>L'hotel Causeway Bay Harbour View Hong Kong</v>
      </c>
      <c r="H235" s="84" t="str">
        <f ca="1">IFERROR(__xludf.DUMMYFUNCTION("""COMPUTED_VALUE"""),"銅鑼灣如心酒店")</f>
        <v>銅鑼灣如心酒店</v>
      </c>
      <c r="I235" s="84">
        <f ca="1">IFERROR(__xludf.DUMMYFUNCTION("""COMPUTED_VALUE"""),114.1928639)</f>
        <v>114.19286390000001</v>
      </c>
      <c r="J235" s="84">
        <f ca="1">IFERROR(__xludf.DUMMYFUNCTION("""COMPUTED_VALUE"""),22.28326376)</f>
        <v>22.283263760000001</v>
      </c>
      <c r="K235" s="88">
        <f ca="1">IFERROR(__xludf.DUMMYFUNCTION("""COMPUTED_VALUE"""),5.9)</f>
        <v>5.9</v>
      </c>
      <c r="L235" s="84" t="str">
        <f ca="1">IFERROR(__xludf.DUMMYFUNCTION("""COMPUTED_VALUE"""),"e")</f>
        <v>e</v>
      </c>
      <c r="M235" s="88">
        <f ca="1">IFERROR(__xludf.DUMMYFUNCTION("""COMPUTED_VALUE"""),136.6)</f>
        <v>136.6</v>
      </c>
      <c r="N235" s="84" t="str">
        <f ca="1">IFERROR(__xludf.DUMMYFUNCTION("""COMPUTED_VALUE"""),"e")</f>
        <v>e</v>
      </c>
      <c r="O235" s="88">
        <f ca="1">IFERROR(__xludf.DUMMYFUNCTION("""COMPUTED_VALUE"""),130.7)</f>
        <v>130.69999999999999</v>
      </c>
      <c r="P235" s="85"/>
      <c r="Q235" s="75" t="b">
        <f ca="1">IFERROR(__xludf.DUMMYFUNCTION("""COMPUTED_VALUE"""),FALSE)</f>
        <v>0</v>
      </c>
      <c r="R235" s="75" t="b">
        <f ca="1">IFERROR(__xludf.DUMMYFUNCTION("""COMPUTED_VALUE"""),FALSE)</f>
        <v>0</v>
      </c>
      <c r="S235" s="75" t="b">
        <f ca="1">IFERROR(__xludf.DUMMYFUNCTION("""COMPUTED_VALUE"""),FALSE)</f>
        <v>0</v>
      </c>
      <c r="T235" s="75" t="b">
        <f ca="1">IFERROR(__xludf.DUMMYFUNCTION("""COMPUTED_VALUE"""),FALSE)</f>
        <v>0</v>
      </c>
      <c r="U235" s="86">
        <f ca="1">IFERROR(__xludf.DUMMYFUNCTION("""COMPUTED_VALUE"""),40)</f>
        <v>40</v>
      </c>
      <c r="V235" s="84"/>
      <c r="W235" s="87">
        <f ca="1">IFERROR(__xludf.DUMMYFUNCTION("""COMPUTED_VALUE"""),275)</f>
        <v>275</v>
      </c>
      <c r="X235" s="84"/>
      <c r="Y235" s="338" t="str">
        <f ca="1">IFERROR(__xludf.DUMMYFUNCTION("""COMPUTED_VALUE"""),"https://partnernet.hktb.com/en/e_marketplace/company_directory/index.html?companyID=961&amp;accordionDefault=venue&amp;viewMode=Details")</f>
        <v>https://partnernet.hktb.com/en/e_marketplace/company_directory/index.html?companyID=961&amp;accordionDefault=venue&amp;viewMode=Details</v>
      </c>
      <c r="Z235" s="66" t="s">
        <v>2090</v>
      </c>
    </row>
    <row r="236" spans="1:26" ht="15.75" customHeight="1">
      <c r="A236" s="83" t="str">
        <f ca="1">IFERROR(__xludf.DUMMYFUNCTION("""COMPUTED_VALUE"""),"E21SE")</f>
        <v>E21SE</v>
      </c>
      <c r="B236" s="84">
        <f ca="1">IFERROR(__xludf.DUMMYFUNCTION("""COMPUTED_VALUE"""),21)</f>
        <v>21</v>
      </c>
      <c r="C236" s="84" t="str">
        <f ca="1">IFERROR(__xludf.DUMMYFUNCTION("""COMPUTED_VALUE"""),"SE")</f>
        <v>SE</v>
      </c>
      <c r="D236" s="339">
        <f ca="1">IFERROR(__xludf.DUMMYFUNCTION("""COMPUTED_VALUE"""),4400)</f>
        <v>4400</v>
      </c>
      <c r="E236" s="84" t="str">
        <f ca="1">IFERROR(__xludf.DUMMYFUNCTION("""COMPUTED_VALUE"""),"3791615984T20050430")</f>
        <v>3791615984T20050430</v>
      </c>
      <c r="F236" s="84">
        <f ca="1">IFERROR(__xludf.DUMMYFUNCTION("""COMPUTED_VALUE"""),1103124762)</f>
        <v>1103124762</v>
      </c>
      <c r="G236" s="83" t="str">
        <f ca="1">IFERROR(__xludf.DUMMYFUNCTION("""COMPUTED_VALUE"""),"Kiu Hing Mansion")</f>
        <v>Kiu Hing Mansion</v>
      </c>
      <c r="H236" s="84" t="str">
        <f ca="1">IFERROR(__xludf.DUMMYFUNCTION("""COMPUTED_VALUE"""),"僑興大廈")</f>
        <v>僑興大廈</v>
      </c>
      <c r="I236" s="84">
        <f ca="1">IFERROR(__xludf.DUMMYFUNCTION("""COMPUTED_VALUE"""),114.1926816)</f>
        <v>114.1926816</v>
      </c>
      <c r="J236" s="84">
        <f ca="1">IFERROR(__xludf.DUMMYFUNCTION("""COMPUTED_VALUE"""),22.28279895)</f>
        <v>22.28279895</v>
      </c>
      <c r="K236" s="88">
        <f ca="1">IFERROR(__xludf.DUMMYFUNCTION("""COMPUTED_VALUE"""),13.9)</f>
        <v>13.9</v>
      </c>
      <c r="L236" s="84" t="str">
        <f ca="1">IFERROR(__xludf.DUMMYFUNCTION("""COMPUTED_VALUE"""),"p")</f>
        <v>p</v>
      </c>
      <c r="M236" s="88">
        <f ca="1">IFERROR(__xludf.DUMMYFUNCTION("""COMPUTED_VALUE"""),83.6)</f>
        <v>83.6</v>
      </c>
      <c r="N236" s="84" t="str">
        <f ca="1">IFERROR(__xludf.DUMMYFUNCTION("""COMPUTED_VALUE"""),"p")</f>
        <v>p</v>
      </c>
      <c r="O236" s="88">
        <f ca="1">IFERROR(__xludf.DUMMYFUNCTION("""COMPUTED_VALUE"""),69.7)</f>
        <v>69.7</v>
      </c>
      <c r="P236" s="85"/>
      <c r="Q236" s="75" t="b">
        <f ca="1">IFERROR(__xludf.DUMMYFUNCTION("""COMPUTED_VALUE"""),FALSE)</f>
        <v>0</v>
      </c>
      <c r="R236" s="75" t="b">
        <f ca="1">IFERROR(__xludf.DUMMYFUNCTION("""COMPUTED_VALUE"""),FALSE)</f>
        <v>0</v>
      </c>
      <c r="S236" s="75" t="b">
        <f ca="1">IFERROR(__xludf.DUMMYFUNCTION("""COMPUTED_VALUE"""),FALSE)</f>
        <v>0</v>
      </c>
      <c r="T236" s="75" t="b">
        <f ca="1">IFERROR(__xludf.DUMMYFUNCTION("""COMPUTED_VALUE"""),FALSE)</f>
        <v>0</v>
      </c>
      <c r="U236" s="86">
        <f ca="1">IFERROR(__xludf.DUMMYFUNCTION("""COMPUTED_VALUE"""),26)</f>
        <v>26</v>
      </c>
      <c r="V236" s="84">
        <f ca="1">IFERROR(__xludf.DUMMYFUNCTION("""COMPUTED_VALUE"""),0)</f>
        <v>0</v>
      </c>
      <c r="W236" s="87">
        <f ca="1">IFERROR(__xludf.DUMMYFUNCTION("""COMPUTED_VALUE"""),382)</f>
        <v>382</v>
      </c>
      <c r="X236" s="84">
        <f ca="1">IFERROR(__xludf.DUMMYFUNCTION("""COMPUTED_VALUE"""),1966)</f>
        <v>1966</v>
      </c>
      <c r="Y236" s="84" t="str">
        <f ca="1">IFERROR(__xludf.DUMMYFUNCTION("""COMPUTED_VALUE"""),"BMIS_auto")</f>
        <v>BMIS_auto</v>
      </c>
      <c r="Z236" s="66" t="s">
        <v>2092</v>
      </c>
    </row>
    <row r="237" spans="1:26" ht="15.75" customHeight="1">
      <c r="A237" s="83" t="str">
        <f ca="1">IFERROR(__xludf.DUMMYFUNCTION("""COMPUTED_VALUE"""),"E21SW")</f>
        <v>E21SW</v>
      </c>
      <c r="B237" s="84">
        <f ca="1">IFERROR(__xludf.DUMMYFUNCTION("""COMPUTED_VALUE"""),21)</f>
        <v>21</v>
      </c>
      <c r="C237" s="84" t="str">
        <f ca="1">IFERROR(__xludf.DUMMYFUNCTION("""COMPUTED_VALUE"""),"SW")</f>
        <v>SW</v>
      </c>
      <c r="D237" s="339">
        <f ca="1">IFERROR(__xludf.DUMMYFUNCTION("""COMPUTED_VALUE"""),4400)</f>
        <v>4400</v>
      </c>
      <c r="E237" s="84" t="str">
        <f ca="1">IFERROR(__xludf.DUMMYFUNCTION("""COMPUTED_VALUE"""),"3781115982T20050430")</f>
        <v>3781115982T20050430</v>
      </c>
      <c r="F237" s="84">
        <f ca="1">IFERROR(__xludf.DUMMYFUNCTION("""COMPUTED_VALUE"""),1103124878)</f>
        <v>1103124878</v>
      </c>
      <c r="G237" s="83" t="str">
        <f ca="1">IFERROR(__xludf.DUMMYFUNCTION("""COMPUTED_VALUE"""),"Park Towers Tower II")</f>
        <v>Park Towers Tower II</v>
      </c>
      <c r="H237" s="84" t="str">
        <f ca="1">IFERROR(__xludf.DUMMYFUNCTION("""COMPUTED_VALUE"""),"栢景臺第２座")</f>
        <v>栢景臺第２座</v>
      </c>
      <c r="I237" s="84">
        <f ca="1">IFERROR(__xludf.DUMMYFUNCTION("""COMPUTED_VALUE"""),114.191851)</f>
        <v>114.191851</v>
      </c>
      <c r="J237" s="84">
        <f ca="1">IFERROR(__xludf.DUMMYFUNCTION("""COMPUTED_VALUE"""),22.28271654)</f>
        <v>22.282716539999999</v>
      </c>
      <c r="K237" s="88">
        <f ca="1">IFERROR(__xludf.DUMMYFUNCTION("""COMPUTED_VALUE"""),41.9)</f>
        <v>41.9</v>
      </c>
      <c r="L237" s="84" t="str">
        <f ca="1">IFERROR(__xludf.DUMMYFUNCTION("""COMPUTED_VALUE"""),"p")</f>
        <v>p</v>
      </c>
      <c r="M237" s="88">
        <f ca="1">IFERROR(__xludf.DUMMYFUNCTION("""COMPUTED_VALUE"""),123.9)</f>
        <v>123.9</v>
      </c>
      <c r="N237" s="84" t="str">
        <f ca="1">IFERROR(__xludf.DUMMYFUNCTION("""COMPUTED_VALUE"""),"3")</f>
        <v>3</v>
      </c>
      <c r="O237" s="88">
        <f ca="1">IFERROR(__xludf.DUMMYFUNCTION("""COMPUTED_VALUE"""),82)</f>
        <v>82</v>
      </c>
      <c r="P237" s="85"/>
      <c r="Q237" s="75" t="b">
        <f ca="1">IFERROR(__xludf.DUMMYFUNCTION("""COMPUTED_VALUE"""),FALSE)</f>
        <v>0</v>
      </c>
      <c r="R237" s="75" t="b">
        <f ca="1">IFERROR(__xludf.DUMMYFUNCTION("""COMPUTED_VALUE"""),FALSE)</f>
        <v>0</v>
      </c>
      <c r="S237" s="75" t="b">
        <f ca="1">IFERROR(__xludf.DUMMYFUNCTION("""COMPUTED_VALUE"""),FALSE)</f>
        <v>0</v>
      </c>
      <c r="T237" s="75" t="b">
        <f ca="1">IFERROR(__xludf.DUMMYFUNCTION("""COMPUTED_VALUE"""),FALSE)</f>
        <v>0</v>
      </c>
      <c r="U237" s="86">
        <f ca="1">IFERROR(__xludf.DUMMYFUNCTION("""COMPUTED_VALUE"""),30)</f>
        <v>30</v>
      </c>
      <c r="V237" s="84">
        <f ca="1">IFERROR(__xludf.DUMMYFUNCTION("""COMPUTED_VALUE"""),1)</f>
        <v>1</v>
      </c>
      <c r="W237" s="87">
        <f ca="1">IFERROR(__xludf.DUMMYFUNCTION("""COMPUTED_VALUE"""),180)</f>
        <v>180</v>
      </c>
      <c r="X237" s="84">
        <f ca="1">IFERROR(__xludf.DUMMYFUNCTION("""COMPUTED_VALUE"""),1989)</f>
        <v>1989</v>
      </c>
      <c r="Y237" s="338" t="str">
        <f ca="1">IFERROR(__xludf.DUMMYFUNCTION("""COMPUTED_VALUE"""),"https://www.executivehomeshk.com/buildings/north-point/park-towers#:~:text=It%20has%20313%20apartments.,are%20upto%202463%20sf%20saleable.")</f>
        <v>https://www.executivehomeshk.com/buildings/north-point/park-towers#:~:text=It%20has%20313%20apartments.,are%20upto%202463%20sf%20saleable.</v>
      </c>
      <c r="Z237" s="66" t="s">
        <v>2080</v>
      </c>
    </row>
    <row r="238" spans="1:26" ht="15.75" customHeight="1">
      <c r="A238" s="83" t="str">
        <f ca="1">IFERROR(__xludf.DUMMYFUNCTION("""COMPUTED_VALUE"""),"E21NW")</f>
        <v>E21NW</v>
      </c>
      <c r="B238" s="84">
        <f ca="1">IFERROR(__xludf.DUMMYFUNCTION("""COMPUTED_VALUE"""),21)</f>
        <v>21</v>
      </c>
      <c r="C238" s="84" t="str">
        <f ca="1">IFERROR(__xludf.DUMMYFUNCTION("""COMPUTED_VALUE"""),"NW")</f>
        <v>NW</v>
      </c>
      <c r="D238" s="339">
        <f ca="1">IFERROR(__xludf.DUMMYFUNCTION("""COMPUTED_VALUE"""),4400)</f>
        <v>4400</v>
      </c>
      <c r="E238" s="84" t="str">
        <f ca="1">IFERROR(__xludf.DUMMYFUNCTION("""COMPUTED_VALUE"""),"3784316037T20050430")</f>
        <v>3784316037T20050430</v>
      </c>
      <c r="F238" s="84">
        <f ca="1">IFERROR(__xludf.DUMMYFUNCTION("""COMPUTED_VALUE"""),1103124522)</f>
        <v>1103124522</v>
      </c>
      <c r="G238" s="83" t="str">
        <f ca="1">IFERROR(__xludf.DUMMYFUNCTION("""COMPUTED_VALUE"""),"Park View Mansion")</f>
        <v>Park View Mansion</v>
      </c>
      <c r="H238" s="84" t="str">
        <f ca="1">IFERROR(__xludf.DUMMYFUNCTION("""COMPUTED_VALUE"""),"雅景樓")</f>
        <v>雅景樓</v>
      </c>
      <c r="I238" s="84">
        <f ca="1">IFERROR(__xludf.DUMMYFUNCTION("""COMPUTED_VALUE"""),114.1921628)</f>
        <v>114.19216280000001</v>
      </c>
      <c r="J238" s="84">
        <f ca="1">IFERROR(__xludf.DUMMYFUNCTION("""COMPUTED_VALUE"""),22.28320283)</f>
        <v>22.28320283</v>
      </c>
      <c r="K238" s="88">
        <f ca="1">IFERROR(__xludf.DUMMYFUNCTION("""COMPUTED_VALUE"""),13.8)</f>
        <v>13.8</v>
      </c>
      <c r="L238" s="84" t="str">
        <f ca="1">IFERROR(__xludf.DUMMYFUNCTION("""COMPUTED_VALUE"""),"p")</f>
        <v>p</v>
      </c>
      <c r="M238" s="88">
        <f ca="1">IFERROR(__xludf.DUMMYFUNCTION("""COMPUTED_VALUE"""),77.5)</f>
        <v>77.5</v>
      </c>
      <c r="N238" s="84" t="str">
        <f ca="1">IFERROR(__xludf.DUMMYFUNCTION("""COMPUTED_VALUE"""),"3")</f>
        <v>3</v>
      </c>
      <c r="O238" s="88">
        <f ca="1">IFERROR(__xludf.DUMMYFUNCTION("""COMPUTED_VALUE"""),63.7)</f>
        <v>63.7</v>
      </c>
      <c r="P238" s="85"/>
      <c r="Q238" s="75" t="b">
        <f ca="1">IFERROR(__xludf.DUMMYFUNCTION("""COMPUTED_VALUE"""),FALSE)</f>
        <v>0</v>
      </c>
      <c r="R238" s="75" t="b">
        <f ca="1">IFERROR(__xludf.DUMMYFUNCTION("""COMPUTED_VALUE"""),FALSE)</f>
        <v>0</v>
      </c>
      <c r="S238" s="75" t="b">
        <f ca="1">IFERROR(__xludf.DUMMYFUNCTION("""COMPUTED_VALUE"""),FALSE)</f>
        <v>0</v>
      </c>
      <c r="T238" s="75" t="b">
        <f ca="1">IFERROR(__xludf.DUMMYFUNCTION("""COMPUTED_VALUE"""),FALSE)</f>
        <v>0</v>
      </c>
      <c r="U238" s="86">
        <f ca="1">IFERROR(__xludf.DUMMYFUNCTION("""COMPUTED_VALUE"""),23)</f>
        <v>23</v>
      </c>
      <c r="V238" s="84">
        <f ca="1">IFERROR(__xludf.DUMMYFUNCTION("""COMPUTED_VALUE"""),0)</f>
        <v>0</v>
      </c>
      <c r="W238" s="87">
        <f ca="1">IFERROR(__xludf.DUMMYFUNCTION("""COMPUTED_VALUE"""),50)</f>
        <v>50</v>
      </c>
      <c r="X238" s="84">
        <f ca="1">IFERROR(__xludf.DUMMYFUNCTION("""COMPUTED_VALUE"""),1974)</f>
        <v>1974</v>
      </c>
      <c r="Y238" s="84" t="str">
        <f ca="1">IFERROR(__xludf.DUMMYFUNCTION("""COMPUTED_VALUE"""),"BMIS_auto")</f>
        <v>BMIS_auto</v>
      </c>
      <c r="Z238" s="66" t="s">
        <v>2095</v>
      </c>
    </row>
    <row r="239" spans="1:26" ht="15.75" customHeight="1">
      <c r="A239" s="83" t="str">
        <f ca="1">IFERROR(__xludf.DUMMYFUNCTION("""COMPUTED_VALUE"""),"N14NE")</f>
        <v>N14NE</v>
      </c>
      <c r="B239" s="84">
        <f ca="1">IFERROR(__xludf.DUMMYFUNCTION("""COMPUTED_VALUE"""),14)</f>
        <v>14</v>
      </c>
      <c r="C239" s="84" t="str">
        <f ca="1">IFERROR(__xludf.DUMMYFUNCTION("""COMPUTED_VALUE"""),"NE")</f>
        <v>NE</v>
      </c>
      <c r="D239" s="339">
        <f ca="1">IFERROR(__xludf.DUMMYFUNCTION("""COMPUTED_VALUE"""),4600)</f>
        <v>4600</v>
      </c>
      <c r="E239" s="84" t="str">
        <f ca="1">IFERROR(__xludf.DUMMYFUNCTION("""COMPUTED_VALUE"""),"3550420171T20050430")</f>
        <v>3550420171T20050430</v>
      </c>
      <c r="F239" s="84">
        <f ca="1">IFERROR(__xludf.DUMMYFUNCTION("""COMPUTED_VALUE"""),1108233780)</f>
        <v>1108233780</v>
      </c>
      <c r="G239" s="83" t="str">
        <f ca="1">IFERROR(__xludf.DUMMYFUNCTION("""COMPUTED_VALUE"""),"T.O.P This is our place")</f>
        <v>T.O.P This is our place</v>
      </c>
      <c r="H239" s="84"/>
      <c r="I239" s="84">
        <f ca="1">IFERROR(__xludf.DUMMYFUNCTION("""COMPUTED_VALUE"""),114.169452)</f>
        <v>114.16945200000001</v>
      </c>
      <c r="J239" s="84">
        <f ca="1">IFERROR(__xludf.DUMMYFUNCTION("""COMPUTED_VALUE"""),22.32058005)</f>
        <v>22.32058005</v>
      </c>
      <c r="K239" s="88">
        <f ca="1">IFERROR(__xludf.DUMMYFUNCTION("""COMPUTED_VALUE"""),21.700001)</f>
        <v>21.700001</v>
      </c>
      <c r="L239" s="84" t="str">
        <f ca="1">IFERROR(__xludf.DUMMYFUNCTION("""COMPUTED_VALUE"""),"e")</f>
        <v>e</v>
      </c>
      <c r="M239" s="88">
        <f ca="1">IFERROR(__xludf.DUMMYFUNCTION("""COMPUTED_VALUE"""),75.699997)</f>
        <v>75.699996999999996</v>
      </c>
      <c r="N239" s="84" t="str">
        <f ca="1">IFERROR(__xludf.DUMMYFUNCTION("""COMPUTED_VALUE"""),"3")</f>
        <v>3</v>
      </c>
      <c r="O239" s="88">
        <f ca="1">IFERROR(__xludf.DUMMYFUNCTION("""COMPUTED_VALUE"""),53.999996)</f>
        <v>53.999996000000003</v>
      </c>
      <c r="P239" s="85"/>
      <c r="Q239" s="75" t="b">
        <f ca="1">IFERROR(__xludf.DUMMYFUNCTION("""COMPUTED_VALUE"""),FALSE)</f>
        <v>0</v>
      </c>
      <c r="R239" s="75" t="b">
        <f ca="1">IFERROR(__xludf.DUMMYFUNCTION("""COMPUTED_VALUE"""),FALSE)</f>
        <v>0</v>
      </c>
      <c r="S239" s="75" t="b">
        <f ca="1">IFERROR(__xludf.DUMMYFUNCTION("""COMPUTED_VALUE"""),FALSE)</f>
        <v>0</v>
      </c>
      <c r="T239" s="75"/>
      <c r="U239" s="86">
        <f ca="1">IFERROR(__xludf.DUMMYFUNCTION("""COMPUTED_VALUE"""),23)</f>
        <v>23</v>
      </c>
      <c r="V239" s="84">
        <f ca="1">IFERROR(__xludf.DUMMYFUNCTION("""COMPUTED_VALUE"""),1)</f>
        <v>1</v>
      </c>
      <c r="W239" s="87">
        <f ca="1">IFERROR(__xludf.DUMMYFUNCTION("""COMPUTED_VALUE"""),110)</f>
        <v>110</v>
      </c>
      <c r="X239" s="84">
        <f ca="1">IFERROR(__xludf.DUMMYFUNCTION("""COMPUTED_VALUE"""),1984)</f>
        <v>1984</v>
      </c>
      <c r="Y239" s="84" t="str">
        <f ca="1">IFERROR(__xludf.DUMMYFUNCTION("""COMPUTED_VALUE"""),"BMIS_auto")</f>
        <v>BMIS_auto</v>
      </c>
      <c r="Z239" s="66" t="s">
        <v>2097</v>
      </c>
    </row>
    <row r="240" spans="1:26" ht="15.75" customHeight="1">
      <c r="A240" s="83" t="str">
        <f ca="1">IFERROR(__xludf.DUMMYFUNCTION("""COMPUTED_VALUE"""),"N14SE")</f>
        <v>N14SE</v>
      </c>
      <c r="B240" s="84">
        <f ca="1">IFERROR(__xludf.DUMMYFUNCTION("""COMPUTED_VALUE"""),14)</f>
        <v>14</v>
      </c>
      <c r="C240" s="84" t="str">
        <f ca="1">IFERROR(__xludf.DUMMYFUNCTION("""COMPUTED_VALUE"""),"SE")</f>
        <v>SE</v>
      </c>
      <c r="D240" s="339">
        <f ca="1">IFERROR(__xludf.DUMMYFUNCTION("""COMPUTED_VALUE"""),4600)</f>
        <v>4600</v>
      </c>
      <c r="E240" s="84" t="str">
        <f ca="1">IFERROR(__xludf.DUMMYFUNCTION("""COMPUTED_VALUE"""),"3552120107P20060311")</f>
        <v>3552120107P20060311</v>
      </c>
      <c r="F240" s="84">
        <f ca="1">IFERROR(__xludf.DUMMYFUNCTION("""COMPUTED_VALUE"""),1108246239)</f>
        <v>1108246239</v>
      </c>
      <c r="G240" s="83" t="str">
        <f ca="1">IFERROR(__xludf.DUMMYFUNCTION("""COMPUTED_VALUE"""),"Argyle Centre Phase 1")</f>
        <v>Argyle Centre Phase 1</v>
      </c>
      <c r="H240" s="84"/>
      <c r="I240" s="84">
        <f ca="1">IFERROR(__xludf.DUMMYFUNCTION("""COMPUTED_VALUE"""),114.1696267)</f>
        <v>114.16962669999999</v>
      </c>
      <c r="J240" s="84">
        <f ca="1">IFERROR(__xludf.DUMMYFUNCTION("""COMPUTED_VALUE"""),22.31997164)</f>
        <v>22.319971639999999</v>
      </c>
      <c r="K240" s="88">
        <f ca="1">IFERROR(__xludf.DUMMYFUNCTION("""COMPUTED_VALUE"""),4.7)</f>
        <v>4.7</v>
      </c>
      <c r="L240" s="84" t="str">
        <f ca="1">IFERROR(__xludf.DUMMYFUNCTION("""COMPUTED_VALUE"""),"l")</f>
        <v>l</v>
      </c>
      <c r="M240" s="88">
        <f ca="1">IFERROR(__xludf.DUMMYFUNCTION("""COMPUTED_VALUE"""),20.5)</f>
        <v>20.5</v>
      </c>
      <c r="N240" s="84" t="str">
        <f ca="1">IFERROR(__xludf.DUMMYFUNCTION("""COMPUTED_VALUE"""),"p")</f>
        <v>p</v>
      </c>
      <c r="O240" s="88">
        <f ca="1">IFERROR(__xludf.DUMMYFUNCTION("""COMPUTED_VALUE"""),72.6)</f>
        <v>72.599999999999994</v>
      </c>
      <c r="P240" s="85"/>
      <c r="Q240" s="75" t="b">
        <f ca="1">IFERROR(__xludf.DUMMYFUNCTION("""COMPUTED_VALUE"""),FALSE)</f>
        <v>0</v>
      </c>
      <c r="R240" s="75" t="b">
        <f ca="1">IFERROR(__xludf.DUMMYFUNCTION("""COMPUTED_VALUE"""),FALSE)</f>
        <v>0</v>
      </c>
      <c r="S240" s="75" t="b">
        <f ca="1">IFERROR(__xludf.DUMMYFUNCTION("""COMPUTED_VALUE"""),FALSE)</f>
        <v>0</v>
      </c>
      <c r="T240" s="75"/>
      <c r="U240" s="86">
        <f ca="1">IFERROR(__xludf.DUMMYFUNCTION("""COMPUTED_VALUE"""),23)</f>
        <v>23</v>
      </c>
      <c r="V240" s="84">
        <f ca="1">IFERROR(__xludf.DUMMYFUNCTION("""COMPUTED_VALUE"""),1)</f>
        <v>1</v>
      </c>
      <c r="W240" s="87">
        <f ca="1">IFERROR(__xludf.DUMMYFUNCTION("""COMPUTED_VALUE"""),110)</f>
        <v>110</v>
      </c>
      <c r="X240" s="84">
        <f ca="1">IFERROR(__xludf.DUMMYFUNCTION("""COMPUTED_VALUE"""),1984)</f>
        <v>1984</v>
      </c>
      <c r="Y240" s="84" t="str">
        <f ca="1">IFERROR(__xludf.DUMMYFUNCTION("""COMPUTED_VALUE"""),"BMIS_auto")</f>
        <v>BMIS_auto</v>
      </c>
      <c r="Z240" s="66" t="s">
        <v>2099</v>
      </c>
    </row>
    <row r="241" spans="1:26" ht="15.75" customHeight="1">
      <c r="A241" s="83" t="str">
        <f ca="1">IFERROR(__xludf.DUMMYFUNCTION("""COMPUTED_VALUE"""),"N14SW")</f>
        <v>N14SW</v>
      </c>
      <c r="B241" s="84">
        <f ca="1">IFERROR(__xludf.DUMMYFUNCTION("""COMPUTED_VALUE"""),14)</f>
        <v>14</v>
      </c>
      <c r="C241" s="84" t="str">
        <f ca="1">IFERROR(__xludf.DUMMYFUNCTION("""COMPUTED_VALUE"""),"SW")</f>
        <v>SW</v>
      </c>
      <c r="D241" s="339">
        <f ca="1">IFERROR(__xludf.DUMMYFUNCTION("""COMPUTED_VALUE"""),4600)</f>
        <v>4600</v>
      </c>
      <c r="E241" s="84" t="str">
        <f ca="1">IFERROR(__xludf.DUMMYFUNCTION("""COMPUTED_VALUE"""),"3544720145T20131018")</f>
        <v>3544720145T20131018</v>
      </c>
      <c r="F241" s="84">
        <f ca="1">IFERROR(__xludf.DUMMYFUNCTION("""COMPUTED_VALUE"""),1810106386)</f>
        <v>1810106386</v>
      </c>
      <c r="G241" s="83" t="str">
        <f ca="1">IFERROR(__xludf.DUMMYFUNCTION("""COMPUTED_VALUE"""),"Le Diamant")</f>
        <v>Le Diamant</v>
      </c>
      <c r="H241" s="84" t="str">
        <f ca="1">IFERROR(__xludf.DUMMYFUNCTION("""COMPUTED_VALUE"""),"金鑽璽")</f>
        <v>金鑽璽</v>
      </c>
      <c r="I241" s="84">
        <f ca="1">IFERROR(__xludf.DUMMYFUNCTION("""COMPUTED_VALUE"""),114.1688979)</f>
        <v>114.1688979</v>
      </c>
      <c r="J241" s="84">
        <f ca="1">IFERROR(__xludf.DUMMYFUNCTION("""COMPUTED_VALUE"""),22.32032038)</f>
        <v>22.320320379999998</v>
      </c>
      <c r="K241" s="88">
        <f ca="1">IFERROR(__xludf.DUMMYFUNCTION("""COMPUTED_VALUE"""),37.099998)</f>
        <v>37.099997999999999</v>
      </c>
      <c r="L241" s="84" t="str">
        <f ca="1">IFERROR(__xludf.DUMMYFUNCTION("""COMPUTED_VALUE"""),"b")</f>
        <v>b</v>
      </c>
      <c r="M241" s="88">
        <f ca="1">IFERROR(__xludf.DUMMYFUNCTION("""COMPUTED_VALUE"""),96.900002)</f>
        <v>96.900002000000001</v>
      </c>
      <c r="N241" s="84" t="str">
        <f ca="1">IFERROR(__xludf.DUMMYFUNCTION("""COMPUTED_VALUE"""),"g")</f>
        <v>g</v>
      </c>
      <c r="O241" s="88">
        <f ca="1">IFERROR(__xludf.DUMMYFUNCTION("""COMPUTED_VALUE"""),59.800004)</f>
        <v>59.800004000000001</v>
      </c>
      <c r="P241" s="85"/>
      <c r="Q241" s="75" t="b">
        <f ca="1">IFERROR(__xludf.DUMMYFUNCTION("""COMPUTED_VALUE"""),FALSE)</f>
        <v>0</v>
      </c>
      <c r="R241" s="75" t="b">
        <f ca="1">IFERROR(__xludf.DUMMYFUNCTION("""COMPUTED_VALUE"""),FALSE)</f>
        <v>0</v>
      </c>
      <c r="S241" s="75" t="b">
        <f ca="1">IFERROR(__xludf.DUMMYFUNCTION("""COMPUTED_VALUE"""),FALSE)</f>
        <v>0</v>
      </c>
      <c r="T241" s="75"/>
      <c r="U241" s="86">
        <f ca="1">IFERROR(__xludf.DUMMYFUNCTION("""COMPUTED_VALUE"""),20)</f>
        <v>20</v>
      </c>
      <c r="V241" s="84">
        <f ca="1">IFERROR(__xludf.DUMMYFUNCTION("""COMPUTED_VALUE"""),0)</f>
        <v>0</v>
      </c>
      <c r="W241" s="87">
        <f ca="1">IFERROR(__xludf.DUMMYFUNCTION("""COMPUTED_VALUE"""),21)</f>
        <v>21</v>
      </c>
      <c r="X241" s="84">
        <f ca="1">IFERROR(__xludf.DUMMYFUNCTION("""COMPUTED_VALUE"""),1958)</f>
        <v>1958</v>
      </c>
      <c r="Y241" s="84" t="str">
        <f ca="1">IFERROR(__xludf.DUMMYFUNCTION("""COMPUTED_VALUE"""),"BMIS_auto")</f>
        <v>BMIS_auto</v>
      </c>
      <c r="Z241" s="66" t="s">
        <v>2101</v>
      </c>
    </row>
    <row r="242" spans="1:26" ht="15.75" customHeight="1">
      <c r="A242" s="83" t="str">
        <f ca="1">IFERROR(__xludf.DUMMYFUNCTION("""COMPUTED_VALUE"""),"N14NW")</f>
        <v>N14NW</v>
      </c>
      <c r="B242" s="84">
        <f ca="1">IFERROR(__xludf.DUMMYFUNCTION("""COMPUTED_VALUE"""),14)</f>
        <v>14</v>
      </c>
      <c r="C242" s="84" t="str">
        <f ca="1">IFERROR(__xludf.DUMMYFUNCTION("""COMPUTED_VALUE"""),"NW")</f>
        <v>NW</v>
      </c>
      <c r="D242" s="339">
        <f ca="1">IFERROR(__xludf.DUMMYFUNCTION("""COMPUTED_VALUE"""),4600)</f>
        <v>4600</v>
      </c>
      <c r="E242" s="84" t="str">
        <f ca="1">IFERROR(__xludf.DUMMYFUNCTION("""COMPUTED_VALUE"""),"3544320159T20050430")</f>
        <v>3544320159T20050430</v>
      </c>
      <c r="F242" s="84">
        <f ca="1">IFERROR(__xludf.DUMMYFUNCTION("""COMPUTED_VALUE"""),1108233928)</f>
        <v>1108233928</v>
      </c>
      <c r="G242" s="83" t="str">
        <f ca="1">IFERROR(__xludf.DUMMYFUNCTION("""COMPUTED_VALUE"""),"Silvercorp Intl Tower")</f>
        <v>Silvercorp Intl Tower</v>
      </c>
      <c r="H242" s="84" t="str">
        <f ca="1">IFERROR(__xludf.DUMMYFUNCTION("""COMPUTED_VALUE"""),"銀高國際大廈")</f>
        <v>銀高國際大廈</v>
      </c>
      <c r="I242" s="84">
        <f ca="1">IFERROR(__xludf.DUMMYFUNCTION("""COMPUTED_VALUE"""),114.1688884)</f>
        <v>114.1688884</v>
      </c>
      <c r="J242" s="84">
        <f ca="1">IFERROR(__xludf.DUMMYFUNCTION("""COMPUTED_VALUE"""),22.32040137)</f>
        <v>22.320401369999999</v>
      </c>
      <c r="K242" s="88">
        <f ca="1">IFERROR(__xludf.DUMMYFUNCTION("""COMPUTED_VALUE"""),19.9)</f>
        <v>19.899999999999999</v>
      </c>
      <c r="L242" s="84" t="str">
        <f ca="1">IFERROR(__xludf.DUMMYFUNCTION("""COMPUTED_VALUE"""),"e")</f>
        <v>e</v>
      </c>
      <c r="M242" s="88">
        <f ca="1">IFERROR(__xludf.DUMMYFUNCTION("""COMPUTED_VALUE"""),83.800003)</f>
        <v>83.800003000000004</v>
      </c>
      <c r="N242" s="84" t="str">
        <f ca="1">IFERROR(__xludf.DUMMYFUNCTION("""COMPUTED_VALUE"""),"3")</f>
        <v>3</v>
      </c>
      <c r="O242" s="88">
        <f ca="1">IFERROR(__xludf.DUMMYFUNCTION("""COMPUTED_VALUE"""),63.900003)</f>
        <v>63.900002999999998</v>
      </c>
      <c r="P242" s="85"/>
      <c r="Q242" s="75" t="b">
        <f ca="1">IFERROR(__xludf.DUMMYFUNCTION("""COMPUTED_VALUE"""),FALSE)</f>
        <v>0</v>
      </c>
      <c r="R242" s="75" t="b">
        <f ca="1">IFERROR(__xludf.DUMMYFUNCTION("""COMPUTED_VALUE"""),FALSE)</f>
        <v>0</v>
      </c>
      <c r="S242" s="75" t="b">
        <f ca="1">IFERROR(__xludf.DUMMYFUNCTION("""COMPUTED_VALUE"""),FALSE)</f>
        <v>0</v>
      </c>
      <c r="T242" s="75"/>
      <c r="U242" s="86">
        <f ca="1">IFERROR(__xludf.DUMMYFUNCTION("""COMPUTED_VALUE"""),26)</f>
        <v>26</v>
      </c>
      <c r="V242" s="84">
        <f ca="1">IFERROR(__xludf.DUMMYFUNCTION("""COMPUTED_VALUE"""),1)</f>
        <v>1</v>
      </c>
      <c r="W242" s="87">
        <f ca="1">IFERROR(__xludf.DUMMYFUNCTION("""COMPUTED_VALUE"""),69)</f>
        <v>69</v>
      </c>
      <c r="X242" s="84">
        <f ca="1">IFERROR(__xludf.DUMMYFUNCTION("""COMPUTED_VALUE"""),1994)</f>
        <v>1994</v>
      </c>
      <c r="Y242" s="84" t="str">
        <f ca="1">IFERROR(__xludf.DUMMYFUNCTION("""COMPUTED_VALUE"""),"BMIS_auto")</f>
        <v>BMIS_auto</v>
      </c>
      <c r="Z242" s="66" t="s">
        <v>2103</v>
      </c>
    </row>
    <row r="243" spans="1:26" ht="15.75" customHeight="1">
      <c r="A243" s="83" t="str">
        <f ca="1">IFERROR(__xludf.DUMMYFUNCTION("""COMPUTED_VALUE"""),"E22NE")</f>
        <v>E22NE</v>
      </c>
      <c r="B243" s="84">
        <f ca="1">IFERROR(__xludf.DUMMYFUNCTION("""COMPUTED_VALUE"""),22)</f>
        <v>22</v>
      </c>
      <c r="C243" s="84" t="str">
        <f ca="1">IFERROR(__xludf.DUMMYFUNCTION("""COMPUTED_VALUE"""),"NE")</f>
        <v>NE</v>
      </c>
      <c r="D243" s="339">
        <f ca="1">IFERROR(__xludf.DUMMYFUNCTION("""COMPUTED_VALUE"""),4600)</f>
        <v>4600</v>
      </c>
      <c r="E243" s="84" t="str">
        <f ca="1">IFERROR(__xludf.DUMMYFUNCTION("""COMPUTED_VALUE"""),"3795916263T20050430")</f>
        <v>3795916263T20050430</v>
      </c>
      <c r="F243" s="84">
        <f ca="1">IFERROR(__xludf.DUMMYFUNCTION("""COMPUTED_VALUE"""),1103122595)</f>
        <v>1103122595</v>
      </c>
      <c r="G243" s="83" t="str">
        <f ca="1">IFERROR(__xludf.DUMMYFUNCTION("""COMPUTED_VALUE"""),"Belilios Public School")</f>
        <v>Belilios Public School</v>
      </c>
      <c r="H243" s="84" t="str">
        <f ca="1">IFERROR(__xludf.DUMMYFUNCTION("""COMPUTED_VALUE"""),"庇理羅士女子中學")</f>
        <v>庇理羅士女子中學</v>
      </c>
      <c r="I243" s="84">
        <f ca="1">IFERROR(__xludf.DUMMYFUNCTION("""COMPUTED_VALUE"""),114.193305)</f>
        <v>114.193305</v>
      </c>
      <c r="J243" s="84">
        <f ca="1">IFERROR(__xludf.DUMMYFUNCTION("""COMPUTED_VALUE"""),22.2853423)</f>
        <v>22.2853423</v>
      </c>
      <c r="K243" s="88">
        <f ca="1">IFERROR(__xludf.DUMMYFUNCTION("""COMPUTED_VALUE"""),8.2)</f>
        <v>8.1999999999999993</v>
      </c>
      <c r="L243" s="84" t="str">
        <f ca="1">IFERROR(__xludf.DUMMYFUNCTION("""COMPUTED_VALUE"""),"es")</f>
        <v>es</v>
      </c>
      <c r="M243" s="88">
        <f ca="1">IFERROR(__xludf.DUMMYFUNCTION("""COMPUTED_VALUE"""),50)</f>
        <v>50</v>
      </c>
      <c r="N243" s="84" t="str">
        <f ca="1">IFERROR(__xludf.DUMMYFUNCTION("""COMPUTED_VALUE"""),"3")</f>
        <v>3</v>
      </c>
      <c r="O243" s="88">
        <f ca="1">IFERROR(__xludf.DUMMYFUNCTION("""COMPUTED_VALUE"""),41.8)</f>
        <v>41.8</v>
      </c>
      <c r="P243" s="85" t="str">
        <f ca="1">IFERROR(__xludf.DUMMYFUNCTION("""COMPUTED_VALUE"""),"school ")</f>
        <v xml:space="preserve">school </v>
      </c>
      <c r="Q243" s="75" t="b">
        <f ca="1">IFERROR(__xludf.DUMMYFUNCTION("""COMPUTED_VALUE"""),FALSE)</f>
        <v>0</v>
      </c>
      <c r="R243" s="75" t="b">
        <f ca="1">IFERROR(__xludf.DUMMYFUNCTION("""COMPUTED_VALUE"""),TRUE)</f>
        <v>1</v>
      </c>
      <c r="S243" s="75" t="b">
        <f ca="1">IFERROR(__xludf.DUMMYFUNCTION("""COMPUTED_VALUE"""),FALSE)</f>
        <v>0</v>
      </c>
      <c r="T243" s="75" t="b">
        <f ca="1">IFERROR(__xludf.DUMMYFUNCTION("""COMPUTED_VALUE"""),TRUE)</f>
        <v>1</v>
      </c>
      <c r="U243" s="86">
        <f ca="1">IFERROR(__xludf.DUMMYFUNCTION("""COMPUTED_VALUE"""),6)</f>
        <v>6</v>
      </c>
      <c r="V243" s="84"/>
      <c r="W243" s="87"/>
      <c r="X243" s="84"/>
      <c r="Y243" s="84" t="str">
        <f ca="1">IFERROR(__xludf.DUMMYFUNCTION("""COMPUTED_VALUE"""),"Google Earth")</f>
        <v>Google Earth</v>
      </c>
      <c r="Z243" s="66" t="s">
        <v>2105</v>
      </c>
    </row>
    <row r="244" spans="1:26" ht="15.75" customHeight="1">
      <c r="A244" s="83" t="str">
        <f ca="1">IFERROR(__xludf.DUMMYFUNCTION("""COMPUTED_VALUE"""),"E22SE")</f>
        <v>E22SE</v>
      </c>
      <c r="B244" s="84">
        <f ca="1">IFERROR(__xludf.DUMMYFUNCTION("""COMPUTED_VALUE"""),22)</f>
        <v>22</v>
      </c>
      <c r="C244" s="84" t="str">
        <f ca="1">IFERROR(__xludf.DUMMYFUNCTION("""COMPUTED_VALUE"""),"SE")</f>
        <v>SE</v>
      </c>
      <c r="D244" s="339">
        <f ca="1">IFERROR(__xludf.DUMMYFUNCTION("""COMPUTED_VALUE"""),4600)</f>
        <v>4600</v>
      </c>
      <c r="E244" s="84" t="str">
        <f ca="1">IFERROR(__xludf.DUMMYFUNCTION("""COMPUTED_VALUE"""),"3794616181T20050430")</f>
        <v>3794616181T20050430</v>
      </c>
      <c r="F244" s="84">
        <f ca="1">IFERROR(__xludf.DUMMYFUNCTION("""COMPUTED_VALUE"""),1103123565)</f>
        <v>1103123565</v>
      </c>
      <c r="G244" s="83" t="str">
        <f ca="1">IFERROR(__xludf.DUMMYFUNCTION("""COMPUTED_VALUE"""),"King Yu Court")</f>
        <v>King Yu Court</v>
      </c>
      <c r="H244" s="84" t="str">
        <f ca="1">IFERROR(__xludf.DUMMYFUNCTION("""COMPUTED_VALUE"""),"景愉居")</f>
        <v>景愉居</v>
      </c>
      <c r="I244" s="84">
        <f ca="1">IFERROR(__xludf.DUMMYFUNCTION("""COMPUTED_VALUE"""),114.1931637)</f>
        <v>114.1931637</v>
      </c>
      <c r="J244" s="84">
        <f ca="1">IFERROR(__xludf.DUMMYFUNCTION("""COMPUTED_VALUE"""),22.28451952)</f>
        <v>22.28451952</v>
      </c>
      <c r="K244" s="88">
        <f ca="1">IFERROR(__xludf.DUMMYFUNCTION("""COMPUTED_VALUE"""),37.1)</f>
        <v>37.1</v>
      </c>
      <c r="L244" s="84" t="str">
        <f ca="1">IFERROR(__xludf.DUMMYFUNCTION("""COMPUTED_VALUE"""),"p")</f>
        <v>p</v>
      </c>
      <c r="M244" s="88">
        <f ca="1">IFERROR(__xludf.DUMMYFUNCTION("""COMPUTED_VALUE"""),124.2)</f>
        <v>124.2</v>
      </c>
      <c r="N244" s="84" t="str">
        <f ca="1">IFERROR(__xludf.DUMMYFUNCTION("""COMPUTED_VALUE"""),"p")</f>
        <v>p</v>
      </c>
      <c r="O244" s="88">
        <f ca="1">IFERROR(__xludf.DUMMYFUNCTION("""COMPUTED_VALUE"""),87.1)</f>
        <v>87.1</v>
      </c>
      <c r="P244" s="85"/>
      <c r="Q244" s="75" t="b">
        <f ca="1">IFERROR(__xludf.DUMMYFUNCTION("""COMPUTED_VALUE"""),FALSE)</f>
        <v>0</v>
      </c>
      <c r="R244" s="75" t="b">
        <f ca="1">IFERROR(__xludf.DUMMYFUNCTION("""COMPUTED_VALUE"""),FALSE)</f>
        <v>0</v>
      </c>
      <c r="S244" s="75" t="b">
        <f ca="1">IFERROR(__xludf.DUMMYFUNCTION("""COMPUTED_VALUE"""),FALSE)</f>
        <v>0</v>
      </c>
      <c r="T244" s="75" t="b">
        <f ca="1">IFERROR(__xludf.DUMMYFUNCTION("""COMPUTED_VALUE"""),FALSE)</f>
        <v>0</v>
      </c>
      <c r="U244" s="86">
        <f ca="1">IFERROR(__xludf.DUMMYFUNCTION("""COMPUTED_VALUE"""),32)</f>
        <v>32</v>
      </c>
      <c r="V244" s="84"/>
      <c r="W244" s="87">
        <f ca="1">IFERROR(__xludf.DUMMYFUNCTION("""COMPUTED_VALUE"""),128)</f>
        <v>128</v>
      </c>
      <c r="X244" s="84">
        <f ca="1">IFERROR(__xludf.DUMMYFUNCTION("""COMPUTED_VALUE"""),2002)</f>
        <v>2002</v>
      </c>
      <c r="Y244" s="84" t="str">
        <f ca="1">IFERROR(__xludf.DUMMYFUNCTION("""COMPUTED_VALUE"""),"BMIS_auto")</f>
        <v>BMIS_auto</v>
      </c>
      <c r="Z244" s="66" t="s">
        <v>2107</v>
      </c>
    </row>
    <row r="245" spans="1:26" ht="15.75" customHeight="1">
      <c r="A245" s="83" t="str">
        <f ca="1">IFERROR(__xludf.DUMMYFUNCTION("""COMPUTED_VALUE"""),"E22SW")</f>
        <v>E22SW</v>
      </c>
      <c r="B245" s="84">
        <f ca="1">IFERROR(__xludf.DUMMYFUNCTION("""COMPUTED_VALUE"""),22)</f>
        <v>22</v>
      </c>
      <c r="C245" s="84" t="str">
        <f ca="1">IFERROR(__xludf.DUMMYFUNCTION("""COMPUTED_VALUE"""),"SW")</f>
        <v>SW</v>
      </c>
      <c r="D245" s="339">
        <f ca="1">IFERROR(__xludf.DUMMYFUNCTION("""COMPUTED_VALUE"""),4600)</f>
        <v>4600</v>
      </c>
      <c r="E245" s="84" t="str">
        <f ca="1">IFERROR(__xludf.DUMMYFUNCTION("""COMPUTED_VALUE"""),"3788916197T20050430")</f>
        <v>3788916197T20050430</v>
      </c>
      <c r="F245" s="84">
        <f ca="1">IFERROR(__xludf.DUMMYFUNCTION("""COMPUTED_VALUE"""),1103123519)</f>
        <v>1103123519</v>
      </c>
      <c r="G245" s="83" t="str">
        <f ca="1">IFERROR(__xludf.DUMMYFUNCTION("""COMPUTED_VALUE"""),"Wilson Court")</f>
        <v>Wilson Court</v>
      </c>
      <c r="H245" s="84" t="str">
        <f ca="1">IFERROR(__xludf.DUMMYFUNCTION("""COMPUTED_VALUE"""),"維順閣")</f>
        <v>維順閣</v>
      </c>
      <c r="I245" s="84">
        <f ca="1">IFERROR(__xludf.DUMMYFUNCTION("""COMPUTED_VALUE"""),114.1925643)</f>
        <v>114.1925643</v>
      </c>
      <c r="J245" s="84">
        <f ca="1">IFERROR(__xludf.DUMMYFUNCTION("""COMPUTED_VALUE"""),22.28465636)</f>
        <v>22.28465636</v>
      </c>
      <c r="K245" s="88">
        <f ca="1">IFERROR(__xludf.DUMMYFUNCTION("""COMPUTED_VALUE"""),18.4)</f>
        <v>18.399999999999999</v>
      </c>
      <c r="L245" s="84" t="str">
        <f ca="1">IFERROR(__xludf.DUMMYFUNCTION("""COMPUTED_VALUE"""),"e")</f>
        <v>e</v>
      </c>
      <c r="M245" s="88">
        <f ca="1">IFERROR(__xludf.DUMMYFUNCTION("""COMPUTED_VALUE"""),84.5)</f>
        <v>84.5</v>
      </c>
      <c r="N245" s="84" t="str">
        <f ca="1">IFERROR(__xludf.DUMMYFUNCTION("""COMPUTED_VALUE"""),"p")</f>
        <v>p</v>
      </c>
      <c r="O245" s="88">
        <f ca="1">IFERROR(__xludf.DUMMYFUNCTION("""COMPUTED_VALUE"""),66.1)</f>
        <v>66.099999999999994</v>
      </c>
      <c r="P245" s="85"/>
      <c r="Q245" s="75" t="b">
        <f ca="1">IFERROR(__xludf.DUMMYFUNCTION("""COMPUTED_VALUE"""),FALSE)</f>
        <v>0</v>
      </c>
      <c r="R245" s="75" t="b">
        <f ca="1">IFERROR(__xludf.DUMMYFUNCTION("""COMPUTED_VALUE"""),FALSE)</f>
        <v>0</v>
      </c>
      <c r="S245" s="75" t="b">
        <f ca="1">IFERROR(__xludf.DUMMYFUNCTION("""COMPUTED_VALUE"""),FALSE)</f>
        <v>0</v>
      </c>
      <c r="T245" s="75" t="b">
        <f ca="1">IFERROR(__xludf.DUMMYFUNCTION("""COMPUTED_VALUE"""),FALSE)</f>
        <v>0</v>
      </c>
      <c r="U245" s="86">
        <f ca="1">IFERROR(__xludf.DUMMYFUNCTION("""COMPUTED_VALUE"""),24)</f>
        <v>24</v>
      </c>
      <c r="V245" s="84"/>
      <c r="W245" s="87">
        <f ca="1">IFERROR(__xludf.DUMMYFUNCTION("""COMPUTED_VALUE"""),53)</f>
        <v>53</v>
      </c>
      <c r="X245" s="84">
        <f ca="1">IFERROR(__xludf.DUMMYFUNCTION("""COMPUTED_VALUE"""),1990)</f>
        <v>1990</v>
      </c>
      <c r="Y245" s="84" t="str">
        <f ca="1">IFERROR(__xludf.DUMMYFUNCTION("""COMPUTED_VALUE"""),"BMIS")</f>
        <v>BMIS</v>
      </c>
      <c r="Z245" s="66" t="s">
        <v>2109</v>
      </c>
    </row>
    <row r="246" spans="1:26" ht="15.75" customHeight="1">
      <c r="A246" s="83" t="str">
        <f ca="1">IFERROR(__xludf.DUMMYFUNCTION("""COMPUTED_VALUE"""),"E22NW")</f>
        <v>E22NW</v>
      </c>
      <c r="B246" s="84">
        <f ca="1">IFERROR(__xludf.DUMMYFUNCTION("""COMPUTED_VALUE"""),22)</f>
        <v>22</v>
      </c>
      <c r="C246" s="84" t="str">
        <f ca="1">IFERROR(__xludf.DUMMYFUNCTION("""COMPUTED_VALUE"""),"NW")</f>
        <v>NW</v>
      </c>
      <c r="D246" s="339">
        <f ca="1">IFERROR(__xludf.DUMMYFUNCTION("""COMPUTED_VALUE"""),4600)</f>
        <v>4600</v>
      </c>
      <c r="E246" s="84" t="str">
        <f ca="1">IFERROR(__xludf.DUMMYFUNCTION("""COMPUTED_VALUE"""),"3789816228T20050430")</f>
        <v>3789816228T20050430</v>
      </c>
      <c r="F246" s="84">
        <f ca="1">IFERROR(__xludf.DUMMYFUNCTION("""COMPUTED_VALUE"""),1103123250)</f>
        <v>1103123250</v>
      </c>
      <c r="G246" s="83" t="str">
        <f ca="1">IFERROR(__xludf.DUMMYFUNCTION("""COMPUTED_VALUE"""),"Sun Ying Mansion")</f>
        <v>Sun Ying Mansion</v>
      </c>
      <c r="H246" s="84" t="str">
        <f ca="1">IFERROR(__xludf.DUMMYFUNCTION("""COMPUTED_VALUE"""),"新英大廈")</f>
        <v>新英大廈</v>
      </c>
      <c r="I246" s="84">
        <f ca="1">IFERROR(__xludf.DUMMYFUNCTION("""COMPUTED_VALUE"""),114.192647)</f>
        <v>114.19264699999999</v>
      </c>
      <c r="J246" s="84">
        <f ca="1">IFERROR(__xludf.DUMMYFUNCTION("""COMPUTED_VALUE"""),22.28496189)</f>
        <v>22.284961890000002</v>
      </c>
      <c r="K246" s="88">
        <f ca="1">IFERROR(__xludf.DUMMYFUNCTION("""COMPUTED_VALUE"""),8.5)</f>
        <v>8.5</v>
      </c>
      <c r="L246" s="84" t="str">
        <f ca="1">IFERROR(__xludf.DUMMYFUNCTION("""COMPUTED_VALUE"""),"p")</f>
        <v>p</v>
      </c>
      <c r="M246" s="88">
        <f ca="1">IFERROR(__xludf.DUMMYFUNCTION("""COMPUTED_VALUE"""),71.2)</f>
        <v>71.2</v>
      </c>
      <c r="N246" s="84" t="str">
        <f ca="1">IFERROR(__xludf.DUMMYFUNCTION("""COMPUTED_VALUE"""),"3")</f>
        <v>3</v>
      </c>
      <c r="O246" s="88">
        <f ca="1">IFERROR(__xludf.DUMMYFUNCTION("""COMPUTED_VALUE"""),62.7)</f>
        <v>62.7</v>
      </c>
      <c r="P246" s="85"/>
      <c r="Q246" s="75" t="b">
        <f ca="1">IFERROR(__xludf.DUMMYFUNCTION("""COMPUTED_VALUE"""),FALSE)</f>
        <v>0</v>
      </c>
      <c r="R246" s="75" t="b">
        <f ca="1">IFERROR(__xludf.DUMMYFUNCTION("""COMPUTED_VALUE"""),FALSE)</f>
        <v>0</v>
      </c>
      <c r="S246" s="75" t="b">
        <f ca="1">IFERROR(__xludf.DUMMYFUNCTION("""COMPUTED_VALUE"""),FALSE)</f>
        <v>0</v>
      </c>
      <c r="T246" s="75" t="b">
        <f ca="1">IFERROR(__xludf.DUMMYFUNCTION("""COMPUTED_VALUE"""),FALSE)</f>
        <v>0</v>
      </c>
      <c r="U246" s="86">
        <f ca="1">IFERROR(__xludf.DUMMYFUNCTION("""COMPUTED_VALUE"""),21)</f>
        <v>21</v>
      </c>
      <c r="V246" s="84">
        <f ca="1">IFERROR(__xludf.DUMMYFUNCTION("""COMPUTED_VALUE"""),0)</f>
        <v>0</v>
      </c>
      <c r="W246" s="87">
        <f ca="1">IFERROR(__xludf.DUMMYFUNCTION("""COMPUTED_VALUE"""),45)</f>
        <v>45</v>
      </c>
      <c r="X246" s="84">
        <f ca="1">IFERROR(__xludf.DUMMYFUNCTION("""COMPUTED_VALUE"""),1975)</f>
        <v>1975</v>
      </c>
      <c r="Y246" s="84" t="str">
        <f ca="1">IFERROR(__xludf.DUMMYFUNCTION("""COMPUTED_VALUE"""),"BMIS_auto")</f>
        <v>BMIS_auto</v>
      </c>
      <c r="Z246" s="66" t="s">
        <v>2111</v>
      </c>
    </row>
    <row r="247" spans="1:26" ht="15.75" customHeight="1">
      <c r="A247" s="83" t="str">
        <f ca="1">IFERROR(__xludf.DUMMYFUNCTION("""COMPUTED_VALUE"""),"N15NE")</f>
        <v>N15NE</v>
      </c>
      <c r="B247" s="84">
        <f ca="1">IFERROR(__xludf.DUMMYFUNCTION("""COMPUTED_VALUE"""),15)</f>
        <v>15</v>
      </c>
      <c r="C247" s="84" t="str">
        <f ca="1">IFERROR(__xludf.DUMMYFUNCTION("""COMPUTED_VALUE"""),"NE")</f>
        <v>NE</v>
      </c>
      <c r="D247" s="339">
        <f ca="1">IFERROR(__xludf.DUMMYFUNCTION("""COMPUTED_VALUE"""),4800)</f>
        <v>4800</v>
      </c>
      <c r="E247" s="84" t="str">
        <f ca="1">IFERROR(__xludf.DUMMYFUNCTION("""COMPUTED_VALUE"""),"3545920417T20050430")</f>
        <v>3545920417T20050430</v>
      </c>
      <c r="F247" s="84">
        <f ca="1">IFERROR(__xludf.DUMMYFUNCTION("""COMPUTED_VALUE"""),1108232023)</f>
        <v>1108232023</v>
      </c>
      <c r="G247" s="83" t="str">
        <f ca="1">IFERROR(__xludf.DUMMYFUNCTION("""COMPUTED_VALUE"""),"Pioneer Centre")</f>
        <v>Pioneer Centre</v>
      </c>
      <c r="H247" s="84" t="str">
        <f ca="1">IFERROR(__xludf.DUMMYFUNCTION("""COMPUTED_VALUE"""),"始創中心")</f>
        <v>始創中心</v>
      </c>
      <c r="I247" s="84">
        <f ca="1">IFERROR(__xludf.DUMMYFUNCTION("""COMPUTED_VALUE"""),114.1690485)</f>
        <v>114.1690485</v>
      </c>
      <c r="J247" s="84">
        <f ca="1">IFERROR(__xludf.DUMMYFUNCTION("""COMPUTED_VALUE"""),22.32255841)</f>
        <v>22.322558409999999</v>
      </c>
      <c r="K247" s="88">
        <f ca="1">IFERROR(__xludf.DUMMYFUNCTION("""COMPUTED_VALUE"""),20.700001)</f>
        <v>20.700001</v>
      </c>
      <c r="L247" s="84" t="str">
        <f ca="1">IFERROR(__xludf.DUMMYFUNCTION("""COMPUTED_VALUE"""),"e")</f>
        <v>e</v>
      </c>
      <c r="M247" s="88">
        <f ca="1">IFERROR(__xludf.DUMMYFUNCTION("""COMPUTED_VALUE"""),92)</f>
        <v>92</v>
      </c>
      <c r="N247" s="84" t="str">
        <f ca="1">IFERROR(__xludf.DUMMYFUNCTION("""COMPUTED_VALUE"""),"p")</f>
        <v>p</v>
      </c>
      <c r="O247" s="88">
        <f ca="1">IFERROR(__xludf.DUMMYFUNCTION("""COMPUTED_VALUE"""),71.299999)</f>
        <v>71.299999</v>
      </c>
      <c r="P247" s="85"/>
      <c r="Q247" s="75" t="b">
        <f ca="1">IFERROR(__xludf.DUMMYFUNCTION("""COMPUTED_VALUE"""),FALSE)</f>
        <v>0</v>
      </c>
      <c r="R247" s="75" t="b">
        <f ca="1">IFERROR(__xludf.DUMMYFUNCTION("""COMPUTED_VALUE"""),FALSE)</f>
        <v>0</v>
      </c>
      <c r="S247" s="75" t="b">
        <f ca="1">IFERROR(__xludf.DUMMYFUNCTION("""COMPUTED_VALUE"""),FALSE)</f>
        <v>0</v>
      </c>
      <c r="T247" s="75"/>
      <c r="U247" s="86">
        <f ca="1">IFERROR(__xludf.DUMMYFUNCTION("""COMPUTED_VALUE"""),25)</f>
        <v>25</v>
      </c>
      <c r="V247" s="84"/>
      <c r="W247" s="87"/>
      <c r="X247" s="84">
        <f ca="1">IFERROR(__xludf.DUMMYFUNCTION("""COMPUTED_VALUE"""),1995)</f>
        <v>1995</v>
      </c>
      <c r="Y247" s="84" t="str">
        <f ca="1">IFERROR(__xludf.DUMMYFUNCTION("""COMPUTED_VALUE"""),"Google Earth+BMIS")</f>
        <v>Google Earth+BMIS</v>
      </c>
      <c r="Z247" s="66" t="s">
        <v>2113</v>
      </c>
    </row>
    <row r="248" spans="1:26" ht="15.75" customHeight="1">
      <c r="A248" s="83" t="str">
        <f ca="1">IFERROR(__xludf.DUMMYFUNCTION("""COMPUTED_VALUE"""),"N15SE")</f>
        <v>N15SE</v>
      </c>
      <c r="B248" s="84">
        <f ca="1">IFERROR(__xludf.DUMMYFUNCTION("""COMPUTED_VALUE"""),15)</f>
        <v>15</v>
      </c>
      <c r="C248" s="84" t="str">
        <f ca="1">IFERROR(__xludf.DUMMYFUNCTION("""COMPUTED_VALUE"""),"SE")</f>
        <v>SE</v>
      </c>
      <c r="D248" s="339">
        <f ca="1">IFERROR(__xludf.DUMMYFUNCTION("""COMPUTED_VALUE"""),4800)</f>
        <v>4800</v>
      </c>
      <c r="E248" s="84" t="str">
        <f ca="1">IFERROR(__xludf.DUMMYFUNCTION("""COMPUTED_VALUE"""),"3546120325T20050430")</f>
        <v>3546120325T20050430</v>
      </c>
      <c r="F248" s="84">
        <f ca="1">IFERROR(__xludf.DUMMYFUNCTION("""COMPUTED_VALUE"""),1108232710)</f>
        <v>1108232710</v>
      </c>
      <c r="G248" s="83" t="str">
        <f ca="1">IFERROR(__xludf.DUMMYFUNCTION("""COMPUTED_VALUE"""),"Mascot House")</f>
        <v>Mascot House</v>
      </c>
      <c r="H248" s="84" t="str">
        <f ca="1">IFERROR(__xludf.DUMMYFUNCTION("""COMPUTED_VALUE"""),"有成大廈")</f>
        <v>有成大廈</v>
      </c>
      <c r="I248" s="84">
        <f ca="1">IFERROR(__xludf.DUMMYFUNCTION("""COMPUTED_VALUE"""),114.1690585)</f>
        <v>114.16905850000001</v>
      </c>
      <c r="J248" s="84">
        <f ca="1">IFERROR(__xludf.DUMMYFUNCTION("""COMPUTED_VALUE"""),22.32192405)</f>
        <v>22.32192405</v>
      </c>
      <c r="K248" s="88">
        <f ca="1">IFERROR(__xludf.DUMMYFUNCTION("""COMPUTED_VALUE"""),5.4)</f>
        <v>5.4</v>
      </c>
      <c r="L248" s="84" t="str">
        <f ca="1">IFERROR(__xludf.DUMMYFUNCTION("""COMPUTED_VALUE"""),"e")</f>
        <v>e</v>
      </c>
      <c r="M248" s="88">
        <f ca="1">IFERROR(__xludf.DUMMYFUNCTION("""COMPUTED_VALUE"""),58)</f>
        <v>58</v>
      </c>
      <c r="N248" s="84" t="str">
        <f ca="1">IFERROR(__xludf.DUMMYFUNCTION("""COMPUTED_VALUE"""),"3")</f>
        <v>3</v>
      </c>
      <c r="O248" s="88">
        <f ca="1">IFERROR(__xludf.DUMMYFUNCTION("""COMPUTED_VALUE"""),52.6)</f>
        <v>52.6</v>
      </c>
      <c r="P248" s="85"/>
      <c r="Q248" s="75" t="b">
        <f ca="1">IFERROR(__xludf.DUMMYFUNCTION("""COMPUTED_VALUE"""),FALSE)</f>
        <v>0</v>
      </c>
      <c r="R248" s="75" t="b">
        <f ca="1">IFERROR(__xludf.DUMMYFUNCTION("""COMPUTED_VALUE"""),FALSE)</f>
        <v>0</v>
      </c>
      <c r="S248" s="75" t="b">
        <f ca="1">IFERROR(__xludf.DUMMYFUNCTION("""COMPUTED_VALUE"""),FALSE)</f>
        <v>0</v>
      </c>
      <c r="T248" s="75"/>
      <c r="U248" s="86">
        <f ca="1">IFERROR(__xludf.DUMMYFUNCTION("""COMPUTED_VALUE"""),17)</f>
        <v>17</v>
      </c>
      <c r="V248" s="84">
        <f ca="1">IFERROR(__xludf.DUMMYFUNCTION("""COMPUTED_VALUE"""),0)</f>
        <v>0</v>
      </c>
      <c r="W248" s="87">
        <f ca="1">IFERROR(__xludf.DUMMYFUNCTION("""COMPUTED_VALUE"""),62)</f>
        <v>62</v>
      </c>
      <c r="X248" s="84">
        <f ca="1">IFERROR(__xludf.DUMMYFUNCTION("""COMPUTED_VALUE"""),1963)</f>
        <v>1963</v>
      </c>
      <c r="Y248" s="84" t="str">
        <f ca="1">IFERROR(__xludf.DUMMYFUNCTION("""COMPUTED_VALUE"""),"BMIS_auto")</f>
        <v>BMIS_auto</v>
      </c>
      <c r="Z248" s="66" t="s">
        <v>2115</v>
      </c>
    </row>
    <row r="249" spans="1:26" ht="15.75" customHeight="1">
      <c r="A249" s="83" t="str">
        <f ca="1">IFERROR(__xludf.DUMMYFUNCTION("""COMPUTED_VALUE"""),"N15SW")</f>
        <v>N15SW</v>
      </c>
      <c r="B249" s="84">
        <f ca="1">IFERROR(__xludf.DUMMYFUNCTION("""COMPUTED_VALUE"""),15)</f>
        <v>15</v>
      </c>
      <c r="C249" s="84" t="str">
        <f ca="1">IFERROR(__xludf.DUMMYFUNCTION("""COMPUTED_VALUE"""),"SW")</f>
        <v>SW</v>
      </c>
      <c r="D249" s="339">
        <f ca="1">IFERROR(__xludf.DUMMYFUNCTION("""COMPUTED_VALUE"""),4800)</f>
        <v>4800</v>
      </c>
      <c r="E249" s="84" t="str">
        <f ca="1">IFERROR(__xludf.DUMMYFUNCTION("""COMPUTED_VALUE"""),"3542220305T20050430")</f>
        <v>3542220305T20050430</v>
      </c>
      <c r="F249" s="84">
        <f ca="1">IFERROR(__xludf.DUMMYFUNCTION("""COMPUTED_VALUE"""),1108232776)</f>
        <v>1108232776</v>
      </c>
      <c r="G249" s="83" t="str">
        <f ca="1">IFERROR(__xludf.DUMMYFUNCTION("""COMPUTED_VALUE"""),"Kingland Apartments")</f>
        <v>Kingland Apartments</v>
      </c>
      <c r="H249" s="84" t="str">
        <f ca="1">IFERROR(__xludf.DUMMYFUNCTION("""COMPUTED_VALUE"""),"金輪大廈")</f>
        <v>金輪大廈</v>
      </c>
      <c r="I249" s="84">
        <f ca="1">IFERROR(__xludf.DUMMYFUNCTION("""COMPUTED_VALUE"""),114.1686103)</f>
        <v>114.1686103</v>
      </c>
      <c r="J249" s="84">
        <f ca="1">IFERROR(__xludf.DUMMYFUNCTION("""COMPUTED_VALUE"""),22.32176889)</f>
        <v>22.321768890000001</v>
      </c>
      <c r="K249" s="88">
        <f ca="1">IFERROR(__xludf.DUMMYFUNCTION("""COMPUTED_VALUE"""),4.8)</f>
        <v>4.8</v>
      </c>
      <c r="L249" s="84" t="str">
        <f ca="1">IFERROR(__xludf.DUMMYFUNCTION("""COMPUTED_VALUE"""),"e")</f>
        <v>e</v>
      </c>
      <c r="M249" s="88">
        <f ca="1">IFERROR(__xludf.DUMMYFUNCTION("""COMPUTED_VALUE"""),60.599998)</f>
        <v>60.599997999999999</v>
      </c>
      <c r="N249" s="84" t="str">
        <f ca="1">IFERROR(__xludf.DUMMYFUNCTION("""COMPUTED_VALUE"""),"p")</f>
        <v>p</v>
      </c>
      <c r="O249" s="88">
        <f ca="1">IFERROR(__xludf.DUMMYFUNCTION("""COMPUTED_VALUE"""),55.799998)</f>
        <v>55.799998000000002</v>
      </c>
      <c r="P249" s="85"/>
      <c r="Q249" s="75" t="b">
        <f ca="1">IFERROR(__xludf.DUMMYFUNCTION("""COMPUTED_VALUE"""),FALSE)</f>
        <v>0</v>
      </c>
      <c r="R249" s="75" t="b">
        <f ca="1">IFERROR(__xludf.DUMMYFUNCTION("""COMPUTED_VALUE"""),FALSE)</f>
        <v>0</v>
      </c>
      <c r="S249" s="75" t="b">
        <f ca="1">IFERROR(__xludf.DUMMYFUNCTION("""COMPUTED_VALUE"""),FALSE)</f>
        <v>0</v>
      </c>
      <c r="T249" s="75"/>
      <c r="U249" s="86">
        <f ca="1">IFERROR(__xludf.DUMMYFUNCTION("""COMPUTED_VALUE"""),17)</f>
        <v>17</v>
      </c>
      <c r="V249" s="84">
        <f ca="1">IFERROR(__xludf.DUMMYFUNCTION("""COMPUTED_VALUE"""),0)</f>
        <v>0</v>
      </c>
      <c r="W249" s="87">
        <f ca="1">IFERROR(__xludf.DUMMYFUNCTION("""COMPUTED_VALUE"""),147)</f>
        <v>147</v>
      </c>
      <c r="X249" s="84">
        <f ca="1">IFERROR(__xludf.DUMMYFUNCTION("""COMPUTED_VALUE"""),1958)</f>
        <v>1958</v>
      </c>
      <c r="Y249" s="84" t="str">
        <f ca="1">IFERROR(__xludf.DUMMYFUNCTION("""COMPUTED_VALUE"""),"BMIS_auto")</f>
        <v>BMIS_auto</v>
      </c>
      <c r="Z249" s="66" t="s">
        <v>2117</v>
      </c>
    </row>
    <row r="250" spans="1:26" ht="15.75" customHeight="1">
      <c r="A250" s="83" t="str">
        <f ca="1">IFERROR(__xludf.DUMMYFUNCTION("""COMPUTED_VALUE"""),"N15NW")</f>
        <v>N15NW</v>
      </c>
      <c r="B250" s="84">
        <f ca="1">IFERROR(__xludf.DUMMYFUNCTION("""COMPUTED_VALUE"""),15)</f>
        <v>15</v>
      </c>
      <c r="C250" s="84" t="str">
        <f ca="1">IFERROR(__xludf.DUMMYFUNCTION("""COMPUTED_VALUE"""),"NW")</f>
        <v>NW</v>
      </c>
      <c r="D250" s="339">
        <f ca="1">IFERROR(__xludf.DUMMYFUNCTION("""COMPUTED_VALUE"""),4800)</f>
        <v>4800</v>
      </c>
      <c r="E250" s="84" t="str">
        <f ca="1">IFERROR(__xludf.DUMMYFUNCTION("""COMPUTED_VALUE"""),"3539720348T20050430")</f>
        <v>3539720348T20050430</v>
      </c>
      <c r="F250" s="84">
        <f ca="1">IFERROR(__xludf.DUMMYFUNCTION("""COMPUTED_VALUE"""),1109261336)</f>
        <v>1109261336</v>
      </c>
      <c r="G250" s="83" t="str">
        <f ca="1">IFERROR(__xludf.DUMMYFUNCTION("""COMPUTED_VALUE"""),"Carprio Mansion")</f>
        <v>Carprio Mansion</v>
      </c>
      <c r="H250" s="84" t="str">
        <f ca="1">IFERROR(__xludf.DUMMYFUNCTION("""COMPUTED_VALUE"""),"嘉業大廈")</f>
        <v>嘉業大廈</v>
      </c>
      <c r="I250" s="84">
        <f ca="1">IFERROR(__xludf.DUMMYFUNCTION("""COMPUTED_VALUE"""),114.1684319)</f>
        <v>114.1684319</v>
      </c>
      <c r="J250" s="84">
        <f ca="1">IFERROR(__xludf.DUMMYFUNCTION("""COMPUTED_VALUE"""),22.32214633)</f>
        <v>22.322146329999999</v>
      </c>
      <c r="K250" s="88">
        <f ca="1">IFERROR(__xludf.DUMMYFUNCTION("""COMPUTED_VALUE"""),13.9)</f>
        <v>13.9</v>
      </c>
      <c r="L250" s="84" t="str">
        <f ca="1">IFERROR(__xludf.DUMMYFUNCTION("""COMPUTED_VALUE"""),"e")</f>
        <v>e</v>
      </c>
      <c r="M250" s="88">
        <f ca="1">IFERROR(__xludf.DUMMYFUNCTION("""COMPUTED_VALUE"""),48.700001)</f>
        <v>48.700001</v>
      </c>
      <c r="N250" s="84" t="str">
        <f ca="1">IFERROR(__xludf.DUMMYFUNCTION("""COMPUTED_VALUE"""),"e")</f>
        <v>e</v>
      </c>
      <c r="O250" s="88">
        <f ca="1">IFERROR(__xludf.DUMMYFUNCTION("""COMPUTED_VALUE"""),34.800001)</f>
        <v>34.800001000000002</v>
      </c>
      <c r="P250" s="85"/>
      <c r="Q250" s="75" t="b">
        <f ca="1">IFERROR(__xludf.DUMMYFUNCTION("""COMPUTED_VALUE"""),FALSE)</f>
        <v>0</v>
      </c>
      <c r="R250" s="75" t="b">
        <f ca="1">IFERROR(__xludf.DUMMYFUNCTION("""COMPUTED_VALUE"""),FALSE)</f>
        <v>0</v>
      </c>
      <c r="S250" s="75" t="b">
        <f ca="1">IFERROR(__xludf.DUMMYFUNCTION("""COMPUTED_VALUE"""),FALSE)</f>
        <v>0</v>
      </c>
      <c r="T250" s="75"/>
      <c r="U250" s="86">
        <f ca="1">IFERROR(__xludf.DUMMYFUNCTION("""COMPUTED_VALUE"""),15)</f>
        <v>15</v>
      </c>
      <c r="V250" s="84">
        <f ca="1">IFERROR(__xludf.DUMMYFUNCTION("""COMPUTED_VALUE"""),0)</f>
        <v>0</v>
      </c>
      <c r="W250" s="87">
        <f ca="1">IFERROR(__xludf.DUMMYFUNCTION("""COMPUTED_VALUE"""),57)</f>
        <v>57</v>
      </c>
      <c r="X250" s="84">
        <f ca="1">IFERROR(__xludf.DUMMYFUNCTION("""COMPUTED_VALUE"""),1979)</f>
        <v>1979</v>
      </c>
      <c r="Y250" s="84" t="str">
        <f ca="1">IFERROR(__xludf.DUMMYFUNCTION("""COMPUTED_VALUE"""),"BMIS_auto")</f>
        <v>BMIS_auto</v>
      </c>
      <c r="Z250" s="66" t="s">
        <v>2119</v>
      </c>
    </row>
    <row r="251" spans="1:26" ht="15.75" customHeight="1">
      <c r="A251" s="83" t="str">
        <f ca="1">IFERROR(__xludf.DUMMYFUNCTION("""COMPUTED_VALUE"""),"E23NE")</f>
        <v>E23NE</v>
      </c>
      <c r="B251" s="84">
        <f ca="1">IFERROR(__xludf.DUMMYFUNCTION("""COMPUTED_VALUE"""),23)</f>
        <v>23</v>
      </c>
      <c r="C251" s="84" t="str">
        <f ca="1">IFERROR(__xludf.DUMMYFUNCTION("""COMPUTED_VALUE"""),"NE")</f>
        <v>NE</v>
      </c>
      <c r="D251" s="339">
        <f ca="1">IFERROR(__xludf.DUMMYFUNCTION("""COMPUTED_VALUE"""),4800)</f>
        <v>4800</v>
      </c>
      <c r="E251" s="84"/>
      <c r="F251" s="84"/>
      <c r="G251" s="83" t="str">
        <f ca="1">IFERROR(__xludf.DUMMYFUNCTION("""COMPUTED_VALUE"""),"Comfort Terrace Rest Garden")</f>
        <v>Comfort Terrace Rest Garden</v>
      </c>
      <c r="H251" s="84"/>
      <c r="I251" s="84"/>
      <c r="J251" s="84"/>
      <c r="K251" s="88"/>
      <c r="L251" s="84"/>
      <c r="M251" s="88"/>
      <c r="N251" s="84"/>
      <c r="O251" s="88"/>
      <c r="P251" s="85" t="str">
        <f ca="1">IFERROR(__xludf.DUMMYFUNCTION("""COMPUTED_VALUE"""),"no building ")</f>
        <v xml:space="preserve">no building </v>
      </c>
      <c r="Q251" s="75" t="b">
        <f ca="1">IFERROR(__xludf.DUMMYFUNCTION("""COMPUTED_VALUE"""),TRUE)</f>
        <v>1</v>
      </c>
      <c r="R251" s="75" t="b">
        <f ca="1">IFERROR(__xludf.DUMMYFUNCTION("""COMPUTED_VALUE"""),TRUE)</f>
        <v>1</v>
      </c>
      <c r="S251" s="75" t="b">
        <f ca="1">IFERROR(__xludf.DUMMYFUNCTION("""COMPUTED_VALUE"""),FALSE)</f>
        <v>0</v>
      </c>
      <c r="T251" s="75" t="b">
        <f ca="1">IFERROR(__xludf.DUMMYFUNCTION("""COMPUTED_VALUE"""),FALSE)</f>
        <v>0</v>
      </c>
      <c r="U251" s="86"/>
      <c r="V251" s="84"/>
      <c r="W251" s="87"/>
      <c r="X251" s="84"/>
      <c r="Y251" s="84"/>
      <c r="Z251" s="66" t="s">
        <v>556</v>
      </c>
    </row>
    <row r="252" spans="1:26" ht="15.75" customHeight="1">
      <c r="A252" s="83" t="str">
        <f ca="1">IFERROR(__xludf.DUMMYFUNCTION("""COMPUTED_VALUE"""),"E23SE")</f>
        <v>E23SE</v>
      </c>
      <c r="B252" s="84">
        <f ca="1">IFERROR(__xludf.DUMMYFUNCTION("""COMPUTED_VALUE"""),23)</f>
        <v>23</v>
      </c>
      <c r="C252" s="84" t="str">
        <f ca="1">IFERROR(__xludf.DUMMYFUNCTION("""COMPUTED_VALUE"""),"SE")</f>
        <v>SE</v>
      </c>
      <c r="D252" s="339">
        <f ca="1">IFERROR(__xludf.DUMMYFUNCTION("""COMPUTED_VALUE"""),4800)</f>
        <v>4800</v>
      </c>
      <c r="E252" s="84" t="str">
        <f ca="1">IFERROR(__xludf.DUMMYFUNCTION("""COMPUTED_VALUE"""),"3794516399T20050430")</f>
        <v>3794516399T20050430</v>
      </c>
      <c r="F252" s="84">
        <f ca="1">IFERROR(__xludf.DUMMYFUNCTION("""COMPUTED_VALUE"""),1103121981)</f>
        <v>1103121981</v>
      </c>
      <c r="G252" s="83" t="str">
        <f ca="1">IFERROR(__xludf.DUMMYFUNCTION("""COMPUTED_VALUE"""),"Comfort Gardens")</f>
        <v>Comfort Gardens</v>
      </c>
      <c r="H252" s="84"/>
      <c r="I252" s="84">
        <f ca="1">IFERROR(__xludf.DUMMYFUNCTION("""COMPUTED_VALUE"""),114.1931619)</f>
        <v>114.19316190000001</v>
      </c>
      <c r="J252" s="84">
        <f ca="1">IFERROR(__xludf.DUMMYFUNCTION("""COMPUTED_VALUE"""),22.28650179)</f>
        <v>22.286501789999999</v>
      </c>
      <c r="K252" s="88">
        <f ca="1">IFERROR(__xludf.DUMMYFUNCTION("""COMPUTED_VALUE"""),7.4)</f>
        <v>7.4</v>
      </c>
      <c r="L252" s="84" t="str">
        <f ca="1">IFERROR(__xludf.DUMMYFUNCTION("""COMPUTED_VALUE"""),"l")</f>
        <v>l</v>
      </c>
      <c r="M252" s="88">
        <f ca="1">IFERROR(__xludf.DUMMYFUNCTION("""COMPUTED_VALUE"""),92.3)</f>
        <v>92.3</v>
      </c>
      <c r="N252" s="84" t="str">
        <f ca="1">IFERROR(__xludf.DUMMYFUNCTION("""COMPUTED_VALUE"""),"p")</f>
        <v>p</v>
      </c>
      <c r="O252" s="88">
        <f ca="1">IFERROR(__xludf.DUMMYFUNCTION("""COMPUTED_VALUE"""),84.9)</f>
        <v>84.9</v>
      </c>
      <c r="P252" s="85"/>
      <c r="Q252" s="75" t="b">
        <f ca="1">IFERROR(__xludf.DUMMYFUNCTION("""COMPUTED_VALUE"""),FALSE)</f>
        <v>0</v>
      </c>
      <c r="R252" s="75" t="b">
        <f ca="1">IFERROR(__xludf.DUMMYFUNCTION("""COMPUTED_VALUE"""),FALSE)</f>
        <v>0</v>
      </c>
      <c r="S252" s="75" t="b">
        <f ca="1">IFERROR(__xludf.DUMMYFUNCTION("""COMPUTED_VALUE"""),FALSE)</f>
        <v>0</v>
      </c>
      <c r="T252" s="75" t="b">
        <f ca="1">IFERROR(__xludf.DUMMYFUNCTION("""COMPUTED_VALUE"""),FALSE)</f>
        <v>0</v>
      </c>
      <c r="U252" s="86">
        <f ca="1">IFERROR(__xludf.DUMMYFUNCTION("""COMPUTED_VALUE"""),26)</f>
        <v>26</v>
      </c>
      <c r="V252" s="84"/>
      <c r="W252" s="87">
        <f ca="1">IFERROR(__xludf.DUMMYFUNCTION("""COMPUTED_VALUE"""),93)</f>
        <v>93</v>
      </c>
      <c r="X252" s="84">
        <f ca="1">IFERROR(__xludf.DUMMYFUNCTION("""COMPUTED_VALUE"""),1979)</f>
        <v>1979</v>
      </c>
      <c r="Y252" s="84" t="str">
        <f ca="1">IFERROR(__xludf.DUMMYFUNCTION("""COMPUTED_VALUE"""),"BMIS_auto")</f>
        <v>BMIS_auto</v>
      </c>
      <c r="Z252" s="66" t="s">
        <v>2122</v>
      </c>
    </row>
    <row r="253" spans="1:26" ht="15.75" customHeight="1">
      <c r="A253" s="83" t="str">
        <f ca="1">IFERROR(__xludf.DUMMYFUNCTION("""COMPUTED_VALUE"""),"E23SW")</f>
        <v>E23SW</v>
      </c>
      <c r="B253" s="84">
        <f ca="1">IFERROR(__xludf.DUMMYFUNCTION("""COMPUTED_VALUE"""),23)</f>
        <v>23</v>
      </c>
      <c r="C253" s="84" t="str">
        <f ca="1">IFERROR(__xludf.DUMMYFUNCTION("""COMPUTED_VALUE"""),"SW")</f>
        <v>SW</v>
      </c>
      <c r="D253" s="339">
        <f ca="1">IFERROR(__xludf.DUMMYFUNCTION("""COMPUTED_VALUE"""),4800)</f>
        <v>4800</v>
      </c>
      <c r="E253" s="84" t="str">
        <f ca="1">IFERROR(__xludf.DUMMYFUNCTION("""COMPUTED_VALUE"""),"3789916406T20050430")</f>
        <v>3789916406T20050430</v>
      </c>
      <c r="F253" s="84">
        <f ca="1">IFERROR(__xludf.DUMMYFUNCTION("""COMPUTED_VALUE"""),1103121975)</f>
        <v>1103121975</v>
      </c>
      <c r="G253" s="83" t="str">
        <f ca="1">IFERROR(__xludf.DUMMYFUNCTION("""COMPUTED_VALUE"""),"Kwai Hung Holdings Centre")</f>
        <v>Kwai Hung Holdings Centre</v>
      </c>
      <c r="H253" s="84" t="str">
        <f ca="1">IFERROR(__xludf.DUMMYFUNCTION("""COMPUTED_VALUE"""),"桂洪集團中心")</f>
        <v>桂洪集團中心</v>
      </c>
      <c r="I253" s="84">
        <f ca="1">IFERROR(__xludf.DUMMYFUNCTION("""COMPUTED_VALUE"""),114.1927075)</f>
        <v>114.1927075</v>
      </c>
      <c r="J253" s="84">
        <f ca="1">IFERROR(__xludf.DUMMYFUNCTION("""COMPUTED_VALUE"""),22.28654597)</f>
        <v>22.286545969999999</v>
      </c>
      <c r="K253" s="88">
        <f ca="1">IFERROR(__xludf.DUMMYFUNCTION("""COMPUTED_VALUE"""),6.5)</f>
        <v>6.5</v>
      </c>
      <c r="L253" s="84" t="str">
        <f ca="1">IFERROR(__xludf.DUMMYFUNCTION("""COMPUTED_VALUE"""),"p")</f>
        <v>p</v>
      </c>
      <c r="M253" s="88">
        <f ca="1">IFERROR(__xludf.DUMMYFUNCTION("""COMPUTED_VALUE"""),102.4)</f>
        <v>102.4</v>
      </c>
      <c r="N253" s="84" t="str">
        <f ca="1">IFERROR(__xludf.DUMMYFUNCTION("""COMPUTED_VALUE"""),"p")</f>
        <v>p</v>
      </c>
      <c r="O253" s="88">
        <f ca="1">IFERROR(__xludf.DUMMYFUNCTION("""COMPUTED_VALUE"""),95.9)</f>
        <v>95.9</v>
      </c>
      <c r="P253" s="85"/>
      <c r="Q253" s="75" t="b">
        <f ca="1">IFERROR(__xludf.DUMMYFUNCTION("""COMPUTED_VALUE"""),FALSE)</f>
        <v>0</v>
      </c>
      <c r="R253" s="75" t="b">
        <f ca="1">IFERROR(__xludf.DUMMYFUNCTION("""COMPUTED_VALUE"""),FALSE)</f>
        <v>0</v>
      </c>
      <c r="S253" s="75" t="b">
        <f ca="1">IFERROR(__xludf.DUMMYFUNCTION("""COMPUTED_VALUE"""),FALSE)</f>
        <v>0</v>
      </c>
      <c r="T253" s="75" t="b">
        <f ca="1">IFERROR(__xludf.DUMMYFUNCTION("""COMPUTED_VALUE"""),FALSE)</f>
        <v>0</v>
      </c>
      <c r="U253" s="86">
        <f ca="1">IFERROR(__xludf.DUMMYFUNCTION("""COMPUTED_VALUE"""),29)</f>
        <v>29</v>
      </c>
      <c r="V253" s="84">
        <f ca="1">IFERROR(__xludf.DUMMYFUNCTION("""COMPUTED_VALUE"""),0)</f>
        <v>0</v>
      </c>
      <c r="W253" s="87">
        <f ca="1">IFERROR(__xludf.DUMMYFUNCTION("""COMPUTED_VALUE"""),116)</f>
        <v>116</v>
      </c>
      <c r="X253" s="84">
        <f ca="1">IFERROR(__xludf.DUMMYFUNCTION("""COMPUTED_VALUE"""),1997)</f>
        <v>1997</v>
      </c>
      <c r="Y253" s="84" t="str">
        <f ca="1">IFERROR(__xludf.DUMMYFUNCTION("""COMPUTED_VALUE"""),"BMIS_auto")</f>
        <v>BMIS_auto</v>
      </c>
      <c r="Z253" s="66" t="s">
        <v>2124</v>
      </c>
    </row>
    <row r="254" spans="1:26" ht="15.75" customHeight="1">
      <c r="A254" s="83" t="str">
        <f ca="1">IFERROR(__xludf.DUMMYFUNCTION("""COMPUTED_VALUE"""),"E23NW")</f>
        <v>E23NW</v>
      </c>
      <c r="B254" s="84">
        <f ca="1">IFERROR(__xludf.DUMMYFUNCTION("""COMPUTED_VALUE"""),23)</f>
        <v>23</v>
      </c>
      <c r="C254" s="84" t="str">
        <f ca="1">IFERROR(__xludf.DUMMYFUNCTION("""COMPUTED_VALUE"""),"NW")</f>
        <v>NW</v>
      </c>
      <c r="D254" s="339">
        <f ca="1">IFERROR(__xludf.DUMMYFUNCTION("""COMPUTED_VALUE"""),4800)</f>
        <v>4800</v>
      </c>
      <c r="E254" s="84" t="str">
        <f ca="1">IFERROR(__xludf.DUMMYFUNCTION("""COMPUTED_VALUE"""),"3789516432T20050430")</f>
        <v>3789516432T20050430</v>
      </c>
      <c r="F254" s="84">
        <f ca="1">IFERROR(__xludf.DUMMYFUNCTION("""COMPUTED_VALUE"""),1103121811)</f>
        <v>1103121811</v>
      </c>
      <c r="G254" s="83" t="str">
        <f ca="1">IFERROR(__xludf.DUMMYFUNCTION("""COMPUTED_VALUE"""),"Kin Ga Building")</f>
        <v>Kin Ga Building</v>
      </c>
      <c r="H254" s="84" t="str">
        <f ca="1">IFERROR(__xludf.DUMMYFUNCTION("""COMPUTED_VALUE"""),"建基大廈")</f>
        <v>建基大廈</v>
      </c>
      <c r="I254" s="84">
        <f ca="1">IFERROR(__xludf.DUMMYFUNCTION("""COMPUTED_VALUE"""),114.1926494)</f>
        <v>114.19264939999999</v>
      </c>
      <c r="J254" s="84">
        <f ca="1">IFERROR(__xludf.DUMMYFUNCTION("""COMPUTED_VALUE"""),22.28678826)</f>
        <v>22.286788260000002</v>
      </c>
      <c r="K254" s="88">
        <f ca="1">IFERROR(__xludf.DUMMYFUNCTION("""COMPUTED_VALUE"""),6)</f>
        <v>6</v>
      </c>
      <c r="L254" s="84" t="str">
        <f ca="1">IFERROR(__xludf.DUMMYFUNCTION("""COMPUTED_VALUE"""),"p")</f>
        <v>p</v>
      </c>
      <c r="M254" s="88">
        <f ca="1">IFERROR(__xludf.DUMMYFUNCTION("""COMPUTED_VALUE"""),75.9)</f>
        <v>75.900000000000006</v>
      </c>
      <c r="N254" s="84" t="str">
        <f ca="1">IFERROR(__xludf.DUMMYFUNCTION("""COMPUTED_VALUE"""),"p")</f>
        <v>p</v>
      </c>
      <c r="O254" s="88">
        <f ca="1">IFERROR(__xludf.DUMMYFUNCTION("""COMPUTED_VALUE"""),69.9)</f>
        <v>69.900000000000006</v>
      </c>
      <c r="P254" s="85"/>
      <c r="Q254" s="75" t="b">
        <f ca="1">IFERROR(__xludf.DUMMYFUNCTION("""COMPUTED_VALUE"""),FALSE)</f>
        <v>0</v>
      </c>
      <c r="R254" s="75" t="b">
        <f ca="1">IFERROR(__xludf.DUMMYFUNCTION("""COMPUTED_VALUE"""),FALSE)</f>
        <v>0</v>
      </c>
      <c r="S254" s="75" t="b">
        <f ca="1">IFERROR(__xludf.DUMMYFUNCTION("""COMPUTED_VALUE"""),FALSE)</f>
        <v>0</v>
      </c>
      <c r="T254" s="75" t="b">
        <f ca="1">IFERROR(__xludf.DUMMYFUNCTION("""COMPUTED_VALUE"""),FALSE)</f>
        <v>0</v>
      </c>
      <c r="U254" s="86">
        <f ca="1">IFERROR(__xludf.DUMMYFUNCTION("""COMPUTED_VALUE"""),24)</f>
        <v>24</v>
      </c>
      <c r="V254" s="84">
        <f ca="1">IFERROR(__xludf.DUMMYFUNCTION("""COMPUTED_VALUE"""),0)</f>
        <v>0</v>
      </c>
      <c r="W254" s="87">
        <f ca="1">IFERROR(__xludf.DUMMYFUNCTION("""COMPUTED_VALUE"""),49)</f>
        <v>49</v>
      </c>
      <c r="X254" s="84">
        <f ca="1">IFERROR(__xludf.DUMMYFUNCTION("""COMPUTED_VALUE"""),1988)</f>
        <v>1988</v>
      </c>
      <c r="Y254" s="84" t="str">
        <f ca="1">IFERROR(__xludf.DUMMYFUNCTION("""COMPUTED_VALUE"""),"BMIS_auto")</f>
        <v>BMIS_auto</v>
      </c>
      <c r="Z254" s="66" t="s">
        <v>2126</v>
      </c>
    </row>
    <row r="255" spans="1:26" ht="15.75" customHeight="1">
      <c r="A255" s="83" t="str">
        <f ca="1">IFERROR(__xludf.DUMMYFUNCTION("""COMPUTED_VALUE"""),"N16NE")</f>
        <v>N16NE</v>
      </c>
      <c r="B255" s="84">
        <f ca="1">IFERROR(__xludf.DUMMYFUNCTION("""COMPUTED_VALUE"""),16)</f>
        <v>16</v>
      </c>
      <c r="C255" s="84" t="str">
        <f ca="1">IFERROR(__xludf.DUMMYFUNCTION("""COMPUTED_VALUE"""),"NE")</f>
        <v>NE</v>
      </c>
      <c r="D255" s="339">
        <f ca="1">IFERROR(__xludf.DUMMYFUNCTION("""COMPUTED_VALUE"""),5000)</f>
        <v>5000</v>
      </c>
      <c r="E255" s="84" t="str">
        <f ca="1">IFERROR(__xludf.DUMMYFUNCTION("""COMPUTED_VALUE"""),"3545020598T20050430")</f>
        <v>3545020598T20050430</v>
      </c>
      <c r="F255" s="84">
        <f ca="1">IFERROR(__xludf.DUMMYFUNCTION("""COMPUTED_VALUE"""),1108230953)</f>
        <v>1108230953</v>
      </c>
      <c r="G255" s="83" t="str">
        <f ca="1">IFERROR(__xludf.DUMMYFUNCTION("""COMPUTED_VALUE"""),"Mong Kok Police Station")</f>
        <v>Mong Kok Police Station</v>
      </c>
      <c r="H255" s="84" t="str">
        <f ca="1">IFERROR(__xludf.DUMMYFUNCTION("""COMPUTED_VALUE"""),"旺角警署")</f>
        <v>旺角警署</v>
      </c>
      <c r="I255" s="84">
        <f ca="1">IFERROR(__xludf.DUMMYFUNCTION("""COMPUTED_VALUE"""),114.1689185)</f>
        <v>114.1689185</v>
      </c>
      <c r="J255" s="84">
        <f ca="1">IFERROR(__xludf.DUMMYFUNCTION("""COMPUTED_VALUE"""),22.32441914)</f>
        <v>22.32441914</v>
      </c>
      <c r="K255" s="88">
        <f ca="1">IFERROR(__xludf.DUMMYFUNCTION("""COMPUTED_VALUE"""),5.3)</f>
        <v>5.3</v>
      </c>
      <c r="L255" s="84" t="str">
        <f ca="1">IFERROR(__xludf.DUMMYFUNCTION("""COMPUTED_VALUE"""),"l")</f>
        <v>l</v>
      </c>
      <c r="M255" s="88">
        <f ca="1">IFERROR(__xludf.DUMMYFUNCTION("""COMPUTED_VALUE"""),40.799999)</f>
        <v>40.799999</v>
      </c>
      <c r="N255" s="84" t="str">
        <f ca="1">IFERROR(__xludf.DUMMYFUNCTION("""COMPUTED_VALUE"""),"3")</f>
        <v>3</v>
      </c>
      <c r="O255" s="88">
        <f ca="1">IFERROR(__xludf.DUMMYFUNCTION("""COMPUTED_VALUE"""),35.499999)</f>
        <v>35.499999000000003</v>
      </c>
      <c r="P255" s="85" t="str">
        <f ca="1">IFERROR(__xludf.DUMMYFUNCTION("""COMPUTED_VALUE"""),"Government Building")</f>
        <v>Government Building</v>
      </c>
      <c r="Q255" s="75" t="b">
        <f ca="1">IFERROR(__xludf.DUMMYFUNCTION("""COMPUTED_VALUE"""),FALSE)</f>
        <v>0</v>
      </c>
      <c r="R255" s="75" t="b">
        <f ca="1">IFERROR(__xludf.DUMMYFUNCTION("""COMPUTED_VALUE"""),TRUE)</f>
        <v>1</v>
      </c>
      <c r="S255" s="75" t="b">
        <f ca="1">IFERROR(__xludf.DUMMYFUNCTION("""COMPUTED_VALUE"""),FALSE)</f>
        <v>0</v>
      </c>
      <c r="T255" s="75"/>
      <c r="U255" s="86">
        <f ca="1">IFERROR(__xludf.DUMMYFUNCTION("""COMPUTED_VALUE"""),10)</f>
        <v>10</v>
      </c>
      <c r="V255" s="84"/>
      <c r="W255" s="87"/>
      <c r="X255" s="84"/>
      <c r="Y255" s="84" t="str">
        <f ca="1">IFERROR(__xludf.DUMMYFUNCTION("""COMPUTED_VALUE"""),"Street View")</f>
        <v>Street View</v>
      </c>
      <c r="Z255" s="66" t="s">
        <v>2128</v>
      </c>
    </row>
    <row r="256" spans="1:26" ht="15.75" customHeight="1">
      <c r="A256" s="83" t="str">
        <f ca="1">IFERROR(__xludf.DUMMYFUNCTION("""COMPUTED_VALUE"""),"N16SE")</f>
        <v>N16SE</v>
      </c>
      <c r="B256" s="84">
        <f ca="1">IFERROR(__xludf.DUMMYFUNCTION("""COMPUTED_VALUE"""),16)</f>
        <v>16</v>
      </c>
      <c r="C256" s="84" t="str">
        <f ca="1">IFERROR(__xludf.DUMMYFUNCTION("""COMPUTED_VALUE"""),"SE")</f>
        <v>SE</v>
      </c>
      <c r="D256" s="339">
        <f ca="1">IFERROR(__xludf.DUMMYFUNCTION("""COMPUTED_VALUE"""),5000)</f>
        <v>5000</v>
      </c>
      <c r="E256" s="84" t="str">
        <f ca="1">IFERROR(__xludf.DUMMYFUNCTION("""COMPUTED_VALUE"""),"3536420523T20050430")</f>
        <v>3536420523T20050430</v>
      </c>
      <c r="F256" s="84">
        <f ca="1">IFERROR(__xludf.DUMMYFUNCTION("""COMPUTED_VALUE"""),1108231548)</f>
        <v>1108231548</v>
      </c>
      <c r="G256" s="83" t="str">
        <f ca="1">IFERROR(__xludf.DUMMYFUNCTION("""COMPUTED_VALUE"""),"Edward Mansion")</f>
        <v>Edward Mansion</v>
      </c>
      <c r="H256" s="84" t="str">
        <f ca="1">IFERROR(__xludf.DUMMYFUNCTION("""COMPUTED_VALUE"""),"長榮大廈")</f>
        <v>長榮大廈</v>
      </c>
      <c r="I256" s="84">
        <f ca="1">IFERROR(__xludf.DUMMYFUNCTION("""COMPUTED_VALUE"""),114.168095)</f>
        <v>114.16809499999999</v>
      </c>
      <c r="J256" s="84">
        <f ca="1">IFERROR(__xludf.DUMMYFUNCTION("""COMPUTED_VALUE"""),22.32372943)</f>
        <v>22.32372943</v>
      </c>
      <c r="K256" s="88">
        <f ca="1">IFERROR(__xludf.DUMMYFUNCTION("""COMPUTED_VALUE"""),5.3)</f>
        <v>5.3</v>
      </c>
      <c r="L256" s="84" t="str">
        <f ca="1">IFERROR(__xludf.DUMMYFUNCTION("""COMPUTED_VALUE"""),"t")</f>
        <v>t</v>
      </c>
      <c r="M256" s="88">
        <f ca="1">IFERROR(__xludf.DUMMYFUNCTION("""COMPUTED_VALUE"""),50)</f>
        <v>50</v>
      </c>
      <c r="N256" s="84" t="str">
        <f ca="1">IFERROR(__xludf.DUMMYFUNCTION("""COMPUTED_VALUE"""),"p")</f>
        <v>p</v>
      </c>
      <c r="O256" s="88">
        <f ca="1">IFERROR(__xludf.DUMMYFUNCTION("""COMPUTED_VALUE"""),44.7)</f>
        <v>44.7</v>
      </c>
      <c r="P256" s="85"/>
      <c r="Q256" s="75" t="b">
        <f ca="1">IFERROR(__xludf.DUMMYFUNCTION("""COMPUTED_VALUE"""),FALSE)</f>
        <v>0</v>
      </c>
      <c r="R256" s="75" t="b">
        <f ca="1">IFERROR(__xludf.DUMMYFUNCTION("""COMPUTED_VALUE"""),FALSE)</f>
        <v>0</v>
      </c>
      <c r="S256" s="75" t="b">
        <f ca="1">IFERROR(__xludf.DUMMYFUNCTION("""COMPUTED_VALUE"""),FALSE)</f>
        <v>0</v>
      </c>
      <c r="T256" s="75"/>
      <c r="U256" s="86">
        <f ca="1">IFERROR(__xludf.DUMMYFUNCTION("""COMPUTED_VALUE"""),15)</f>
        <v>15</v>
      </c>
      <c r="V256" s="84">
        <f ca="1">IFERROR(__xludf.DUMMYFUNCTION("""COMPUTED_VALUE"""),0)</f>
        <v>0</v>
      </c>
      <c r="W256" s="87">
        <f ca="1">IFERROR(__xludf.DUMMYFUNCTION("""COMPUTED_VALUE"""),136)</f>
        <v>136</v>
      </c>
      <c r="X256" s="84">
        <f ca="1">IFERROR(__xludf.DUMMYFUNCTION("""COMPUTED_VALUE"""),1970)</f>
        <v>1970</v>
      </c>
      <c r="Y256" s="84" t="str">
        <f ca="1">IFERROR(__xludf.DUMMYFUNCTION("""COMPUTED_VALUE"""),"BMIS_auto")</f>
        <v>BMIS_auto</v>
      </c>
      <c r="Z256" s="66" t="s">
        <v>2130</v>
      </c>
    </row>
    <row r="257" spans="1:26" ht="15.75" customHeight="1">
      <c r="A257" s="83" t="str">
        <f ca="1">IFERROR(__xludf.DUMMYFUNCTION("""COMPUTED_VALUE"""),"N16SW")</f>
        <v>N16SW</v>
      </c>
      <c r="B257" s="84">
        <f ca="1">IFERROR(__xludf.DUMMYFUNCTION("""COMPUTED_VALUE"""),16)</f>
        <v>16</v>
      </c>
      <c r="C257" s="84" t="str">
        <f ca="1">IFERROR(__xludf.DUMMYFUNCTION("""COMPUTED_VALUE"""),"SW")</f>
        <v>SW</v>
      </c>
      <c r="D257" s="339">
        <f ca="1">IFERROR(__xludf.DUMMYFUNCTION("""COMPUTED_VALUE"""),5000)</f>
        <v>5000</v>
      </c>
      <c r="E257" s="84" t="str">
        <f ca="1">IFERROR(__xludf.DUMMYFUNCTION("""COMPUTED_VALUE"""),"3543820538T20050430")</f>
        <v>3543820538T20050430</v>
      </c>
      <c r="F257" s="84">
        <f ca="1">IFERROR(__xludf.DUMMYFUNCTION("""COMPUTED_VALUE"""),1108231496)</f>
        <v>1108231496</v>
      </c>
      <c r="G257" s="83" t="str">
        <f ca="1">IFERROR(__xludf.DUMMYFUNCTION("""COMPUTED_VALUE"""),"Bijou Apartments")</f>
        <v>Bijou Apartments</v>
      </c>
      <c r="H257" s="84" t="str">
        <f ca="1">IFERROR(__xludf.DUMMYFUNCTION("""COMPUTED_VALUE"""),"別樹華軒")</f>
        <v>別樹華軒</v>
      </c>
      <c r="I257" s="84">
        <f ca="1">IFERROR(__xludf.DUMMYFUNCTION("""COMPUTED_VALUE"""),114.1687745)</f>
        <v>114.1687745</v>
      </c>
      <c r="J257" s="84">
        <f ca="1">IFERROR(__xludf.DUMMYFUNCTION("""COMPUTED_VALUE"""),22.32385622)</f>
        <v>22.32385622</v>
      </c>
      <c r="K257" s="88">
        <f ca="1">IFERROR(__xludf.DUMMYFUNCTION("""COMPUTED_VALUE"""),16.299999)</f>
        <v>16.299999</v>
      </c>
      <c r="L257" s="84" t="str">
        <f ca="1">IFERROR(__xludf.DUMMYFUNCTION("""COMPUTED_VALUE"""),"p")</f>
        <v>p</v>
      </c>
      <c r="M257" s="88">
        <f ca="1">IFERROR(__xludf.DUMMYFUNCTION("""COMPUTED_VALUE"""),99.599998)</f>
        <v>99.599997999999999</v>
      </c>
      <c r="N257" s="84" t="str">
        <f ca="1">IFERROR(__xludf.DUMMYFUNCTION("""COMPUTED_VALUE"""),"p")</f>
        <v>p</v>
      </c>
      <c r="O257" s="88">
        <f ca="1">IFERROR(__xludf.DUMMYFUNCTION("""COMPUTED_VALUE"""),83.299999)</f>
        <v>83.299999</v>
      </c>
      <c r="P257" s="85"/>
      <c r="Q257" s="75" t="b">
        <f ca="1">IFERROR(__xludf.DUMMYFUNCTION("""COMPUTED_VALUE"""),FALSE)</f>
        <v>0</v>
      </c>
      <c r="R257" s="75" t="b">
        <f ca="1">IFERROR(__xludf.DUMMYFUNCTION("""COMPUTED_VALUE"""),FALSE)</f>
        <v>0</v>
      </c>
      <c r="S257" s="75" t="b">
        <f ca="1">IFERROR(__xludf.DUMMYFUNCTION("""COMPUTED_VALUE"""),FALSE)</f>
        <v>0</v>
      </c>
      <c r="T257" s="75"/>
      <c r="U257" s="86">
        <f ca="1">IFERROR(__xludf.DUMMYFUNCTION("""COMPUTED_VALUE"""),28)</f>
        <v>28</v>
      </c>
      <c r="V257" s="84">
        <f ca="1">IFERROR(__xludf.DUMMYFUNCTION("""COMPUTED_VALUE"""),0)</f>
        <v>0</v>
      </c>
      <c r="W257" s="87">
        <f ca="1">IFERROR(__xludf.DUMMYFUNCTION("""COMPUTED_VALUE"""),186)</f>
        <v>186</v>
      </c>
      <c r="X257" s="84">
        <f ca="1">IFERROR(__xludf.DUMMYFUNCTION("""COMPUTED_VALUE"""),2003)</f>
        <v>2003</v>
      </c>
      <c r="Y257" s="84" t="str">
        <f ca="1">IFERROR(__xludf.DUMMYFUNCTION("""COMPUTED_VALUE"""),"BMIS_auto")</f>
        <v>BMIS_auto</v>
      </c>
      <c r="Z257" s="66" t="s">
        <v>2132</v>
      </c>
    </row>
    <row r="258" spans="1:26" ht="15.75" customHeight="1">
      <c r="A258" s="83" t="str">
        <f ca="1">IFERROR(__xludf.DUMMYFUNCTION("""COMPUTED_VALUE"""),"N16NW")</f>
        <v>N16NW</v>
      </c>
      <c r="B258" s="84">
        <f ca="1">IFERROR(__xludf.DUMMYFUNCTION("""COMPUTED_VALUE"""),16)</f>
        <v>16</v>
      </c>
      <c r="C258" s="84" t="str">
        <f ca="1">IFERROR(__xludf.DUMMYFUNCTION("""COMPUTED_VALUE"""),"NW")</f>
        <v>NW</v>
      </c>
      <c r="D258" s="339">
        <f ca="1">IFERROR(__xludf.DUMMYFUNCTION("""COMPUTED_VALUE"""),5000)</f>
        <v>5000</v>
      </c>
      <c r="E258" s="84" t="str">
        <f ca="1">IFERROR(__xludf.DUMMYFUNCTION("""COMPUTED_VALUE"""),"3536820574T20050430")</f>
        <v>3536820574T20050430</v>
      </c>
      <c r="F258" s="84">
        <f ca="1">IFERROR(__xludf.DUMMYFUNCTION("""COMPUTED_VALUE"""),1108231299)</f>
        <v>1108231299</v>
      </c>
      <c r="G258" s="83" t="str">
        <f ca="1">IFERROR(__xludf.DUMMYFUNCTION("""COMPUTED_VALUE"""),"Kwan Ngan House")</f>
        <v>Kwan Ngan House</v>
      </c>
      <c r="H258" s="84" t="str">
        <f ca="1">IFERROR(__xludf.DUMMYFUNCTION("""COMPUTED_VALUE"""),"冠顏樓")</f>
        <v>冠顏樓</v>
      </c>
      <c r="I258" s="84">
        <f ca="1">IFERROR(__xludf.DUMMYFUNCTION("""COMPUTED_VALUE"""),114.1681496)</f>
        <v>114.16814960000001</v>
      </c>
      <c r="J258" s="84">
        <f ca="1">IFERROR(__xludf.DUMMYFUNCTION("""COMPUTED_VALUE"""),22.32420912)</f>
        <v>22.324209119999999</v>
      </c>
      <c r="K258" s="88">
        <f ca="1">IFERROR(__xludf.DUMMYFUNCTION("""COMPUTED_VALUE"""),5.4)</f>
        <v>5.4</v>
      </c>
      <c r="L258" s="84" t="str">
        <f ca="1">IFERROR(__xludf.DUMMYFUNCTION("""COMPUTED_VALUE"""),"l")</f>
        <v>l</v>
      </c>
      <c r="M258" s="88">
        <f ca="1">IFERROR(__xludf.DUMMYFUNCTION("""COMPUTED_VALUE"""),48.599998)</f>
        <v>48.599997999999999</v>
      </c>
      <c r="N258" s="84" t="str">
        <f ca="1">IFERROR(__xludf.DUMMYFUNCTION("""COMPUTED_VALUE"""),"3")</f>
        <v>3</v>
      </c>
      <c r="O258" s="88">
        <f ca="1">IFERROR(__xludf.DUMMYFUNCTION("""COMPUTED_VALUE"""),43.199998)</f>
        <v>43.199998000000001</v>
      </c>
      <c r="P258" s="85"/>
      <c r="Q258" s="75" t="b">
        <f ca="1">IFERROR(__xludf.DUMMYFUNCTION("""COMPUTED_VALUE"""),FALSE)</f>
        <v>0</v>
      </c>
      <c r="R258" s="75" t="b">
        <f ca="1">IFERROR(__xludf.DUMMYFUNCTION("""COMPUTED_VALUE"""),FALSE)</f>
        <v>0</v>
      </c>
      <c r="S258" s="75" t="b">
        <f ca="1">IFERROR(__xludf.DUMMYFUNCTION("""COMPUTED_VALUE"""),FALSE)</f>
        <v>0</v>
      </c>
      <c r="T258" s="75"/>
      <c r="U258" s="86">
        <f ca="1">IFERROR(__xludf.DUMMYFUNCTION("""COMPUTED_VALUE"""),14)</f>
        <v>14</v>
      </c>
      <c r="V258" s="84">
        <f ca="1">IFERROR(__xludf.DUMMYFUNCTION("""COMPUTED_VALUE"""),0)</f>
        <v>0</v>
      </c>
      <c r="W258" s="87">
        <f ca="1">IFERROR(__xludf.DUMMYFUNCTION("""COMPUTED_VALUE"""),42)</f>
        <v>42</v>
      </c>
      <c r="X258" s="84">
        <f ca="1">IFERROR(__xludf.DUMMYFUNCTION("""COMPUTED_VALUE"""),1983)</f>
        <v>1983</v>
      </c>
      <c r="Y258" s="84" t="str">
        <f ca="1">IFERROR(__xludf.DUMMYFUNCTION("""COMPUTED_VALUE"""),"BMIS")</f>
        <v>BMIS</v>
      </c>
      <c r="Z258" s="66" t="s">
        <v>2134</v>
      </c>
    </row>
    <row r="259" spans="1:26" ht="15.75" customHeight="1">
      <c r="A259" s="83" t="str">
        <f ca="1">IFERROR(__xludf.DUMMYFUNCTION("""COMPUTED_VALUE"""),"E24NE")</f>
        <v>E24NE</v>
      </c>
      <c r="B259" s="84">
        <f ca="1">IFERROR(__xludf.DUMMYFUNCTION("""COMPUTED_VALUE"""),24)</f>
        <v>24</v>
      </c>
      <c r="C259" s="84" t="str">
        <f ca="1">IFERROR(__xludf.DUMMYFUNCTION("""COMPUTED_VALUE"""),"NE")</f>
        <v>NE</v>
      </c>
      <c r="D259" s="339">
        <f ca="1">IFERROR(__xludf.DUMMYFUNCTION("""COMPUTED_VALUE"""),5000)</f>
        <v>5000</v>
      </c>
      <c r="E259" s="84" t="str">
        <f ca="1">IFERROR(__xludf.DUMMYFUNCTION("""COMPUTED_VALUE"""),"3804616611T20050430")</f>
        <v>3804616611T20050430</v>
      </c>
      <c r="F259" s="84">
        <f ca="1">IFERROR(__xludf.DUMMYFUNCTION("""COMPUTED_VALUE"""),1103120818)</f>
        <v>1103120818</v>
      </c>
      <c r="G259" s="83" t="str">
        <f ca="1">IFERROR(__xludf.DUMMYFUNCTION("""COMPUTED_VALUE"""),"Fortress Metro Tower Block D")</f>
        <v>Fortress Metro Tower Block D</v>
      </c>
      <c r="H259" s="84" t="str">
        <f ca="1">IFERROR(__xludf.DUMMYFUNCTION("""COMPUTED_VALUE"""),"康澤花園Ｄ座")</f>
        <v>康澤花園Ｄ座</v>
      </c>
      <c r="I259" s="84">
        <f ca="1">IFERROR(__xludf.DUMMYFUNCTION("""COMPUTED_VALUE"""),114.1941391)</f>
        <v>114.1941391</v>
      </c>
      <c r="J259" s="84">
        <f ca="1">IFERROR(__xludf.DUMMYFUNCTION("""COMPUTED_VALUE"""),22.28840514)</f>
        <v>22.288405139999998</v>
      </c>
      <c r="K259" s="88">
        <f ca="1">IFERROR(__xludf.DUMMYFUNCTION("""COMPUTED_VALUE"""),6.7)</f>
        <v>6.7</v>
      </c>
      <c r="L259" s="84" t="str">
        <f ca="1">IFERROR(__xludf.DUMMYFUNCTION("""COMPUTED_VALUE"""),"es")</f>
        <v>es</v>
      </c>
      <c r="M259" s="88">
        <f ca="1">IFERROR(__xludf.DUMMYFUNCTION("""COMPUTED_VALUE"""),126.8)</f>
        <v>126.8</v>
      </c>
      <c r="N259" s="84" t="str">
        <f ca="1">IFERROR(__xludf.DUMMYFUNCTION("""COMPUTED_VALUE"""),"3")</f>
        <v>3</v>
      </c>
      <c r="O259" s="88">
        <f ca="1">IFERROR(__xludf.DUMMYFUNCTION("""COMPUTED_VALUE"""),120.1)</f>
        <v>120.1</v>
      </c>
      <c r="P259" s="85"/>
      <c r="Q259" s="75" t="b">
        <f ca="1">IFERROR(__xludf.DUMMYFUNCTION("""COMPUTED_VALUE"""),FALSE)</f>
        <v>0</v>
      </c>
      <c r="R259" s="75" t="b">
        <f ca="1">IFERROR(__xludf.DUMMYFUNCTION("""COMPUTED_VALUE"""),FALSE)</f>
        <v>0</v>
      </c>
      <c r="S259" s="75" t="b">
        <f ca="1">IFERROR(__xludf.DUMMYFUNCTION("""COMPUTED_VALUE"""),FALSE)</f>
        <v>0</v>
      </c>
      <c r="T259" s="75" t="b">
        <f ca="1">IFERROR(__xludf.DUMMYFUNCTION("""COMPUTED_VALUE"""),FALSE)</f>
        <v>0</v>
      </c>
      <c r="U259" s="86">
        <f ca="1">IFERROR(__xludf.DUMMYFUNCTION("""COMPUTED_VALUE"""),36)</f>
        <v>36</v>
      </c>
      <c r="V259" s="84">
        <f ca="1">IFERROR(__xludf.DUMMYFUNCTION("""COMPUTED_VALUE"""),0)</f>
        <v>0</v>
      </c>
      <c r="W259" s="87">
        <f ca="1">IFERROR(__xludf.DUMMYFUNCTION("""COMPUTED_VALUE"""),194)</f>
        <v>194</v>
      </c>
      <c r="X259" s="84">
        <f ca="1">IFERROR(__xludf.DUMMYFUNCTION("""COMPUTED_VALUE"""),1987)</f>
        <v>1987</v>
      </c>
      <c r="Y259" s="84" t="str">
        <f ca="1">IFERROR(__xludf.DUMMYFUNCTION("""COMPUTED_VALUE"""),"BMIS_auto")</f>
        <v>BMIS_auto</v>
      </c>
      <c r="Z259" s="66" t="s">
        <v>2136</v>
      </c>
    </row>
    <row r="260" spans="1:26" ht="15.75" customHeight="1">
      <c r="A260" s="83" t="str">
        <f ca="1">IFERROR(__xludf.DUMMYFUNCTION("""COMPUTED_VALUE"""),"E24SE")</f>
        <v>E24SE</v>
      </c>
      <c r="B260" s="84">
        <f ca="1">IFERROR(__xludf.DUMMYFUNCTION("""COMPUTED_VALUE"""),24)</f>
        <v>24</v>
      </c>
      <c r="C260" s="84" t="str">
        <f ca="1">IFERROR(__xludf.DUMMYFUNCTION("""COMPUTED_VALUE"""),"SE")</f>
        <v>SE</v>
      </c>
      <c r="D260" s="339">
        <f ca="1">IFERROR(__xludf.DUMMYFUNCTION("""COMPUTED_VALUE"""),5000)</f>
        <v>5000</v>
      </c>
      <c r="E260" s="84" t="str">
        <f ca="1">IFERROR(__xludf.DUMMYFUNCTION("""COMPUTED_VALUE"""),"3801716575T20050430")</f>
        <v>3801716575T20050430</v>
      </c>
      <c r="F260" s="84">
        <f ca="1">IFERROR(__xludf.DUMMYFUNCTION("""COMPUTED_VALUE"""),1103120938)</f>
        <v>1103120938</v>
      </c>
      <c r="G260" s="83" t="str">
        <f ca="1">IFERROR(__xludf.DUMMYFUNCTION("""COMPUTED_VALUE"""),"Fortress Metro Tower Block A")</f>
        <v>Fortress Metro Tower Block A</v>
      </c>
      <c r="H260" s="84" t="str">
        <f ca="1">IFERROR(__xludf.DUMMYFUNCTION("""COMPUTED_VALUE"""),"康澤花園Ａ座")</f>
        <v>康澤花園Ａ座</v>
      </c>
      <c r="I260" s="84">
        <f ca="1">IFERROR(__xludf.DUMMYFUNCTION("""COMPUTED_VALUE"""),114.1938284)</f>
        <v>114.1938284</v>
      </c>
      <c r="J260" s="84">
        <f ca="1">IFERROR(__xludf.DUMMYFUNCTION("""COMPUTED_VALUE"""),22.2880551)</f>
        <v>22.288055100000001</v>
      </c>
      <c r="K260" s="88">
        <f ca="1">IFERROR(__xludf.DUMMYFUNCTION("""COMPUTED_VALUE"""),6.7)</f>
        <v>6.7</v>
      </c>
      <c r="L260" s="84" t="str">
        <f ca="1">IFERROR(__xludf.DUMMYFUNCTION("""COMPUTED_VALUE"""),"es")</f>
        <v>es</v>
      </c>
      <c r="M260" s="88">
        <f ca="1">IFERROR(__xludf.DUMMYFUNCTION("""COMPUTED_VALUE"""),126.7)</f>
        <v>126.7</v>
      </c>
      <c r="N260" s="84" t="str">
        <f ca="1">IFERROR(__xludf.DUMMYFUNCTION("""COMPUTED_VALUE"""),"p")</f>
        <v>p</v>
      </c>
      <c r="O260" s="88">
        <f ca="1">IFERROR(__xludf.DUMMYFUNCTION("""COMPUTED_VALUE"""),120)</f>
        <v>120</v>
      </c>
      <c r="P260" s="85"/>
      <c r="Q260" s="75" t="b">
        <f ca="1">IFERROR(__xludf.DUMMYFUNCTION("""COMPUTED_VALUE"""),FALSE)</f>
        <v>0</v>
      </c>
      <c r="R260" s="75" t="b">
        <f ca="1">IFERROR(__xludf.DUMMYFUNCTION("""COMPUTED_VALUE"""),FALSE)</f>
        <v>0</v>
      </c>
      <c r="S260" s="75" t="b">
        <f ca="1">IFERROR(__xludf.DUMMYFUNCTION("""COMPUTED_VALUE"""),FALSE)</f>
        <v>0</v>
      </c>
      <c r="T260" s="75" t="b">
        <f ca="1">IFERROR(__xludf.DUMMYFUNCTION("""COMPUTED_VALUE"""),FALSE)</f>
        <v>0</v>
      </c>
      <c r="U260" s="86">
        <f ca="1">IFERROR(__xludf.DUMMYFUNCTION("""COMPUTED_VALUE"""),36)</f>
        <v>36</v>
      </c>
      <c r="V260" s="84">
        <f ca="1">IFERROR(__xludf.DUMMYFUNCTION("""COMPUTED_VALUE"""),0)</f>
        <v>0</v>
      </c>
      <c r="W260" s="87">
        <f ca="1">IFERROR(__xludf.DUMMYFUNCTION("""COMPUTED_VALUE"""),193)</f>
        <v>193</v>
      </c>
      <c r="X260" s="84">
        <f ca="1">IFERROR(__xludf.DUMMYFUNCTION("""COMPUTED_VALUE"""),1987)</f>
        <v>1987</v>
      </c>
      <c r="Y260" s="84" t="str">
        <f ca="1">IFERROR(__xludf.DUMMYFUNCTION("""COMPUTED_VALUE"""),"BMIS_auto")</f>
        <v>BMIS_auto</v>
      </c>
      <c r="Z260" s="66" t="s">
        <v>2136</v>
      </c>
    </row>
    <row r="261" spans="1:26" ht="15.75" customHeight="1">
      <c r="A261" s="83" t="str">
        <f ca="1">IFERROR(__xludf.DUMMYFUNCTION("""COMPUTED_VALUE"""),"E24SW")</f>
        <v>E24SW</v>
      </c>
      <c r="B261" s="84">
        <f ca="1">IFERROR(__xludf.DUMMYFUNCTION("""COMPUTED_VALUE"""),24)</f>
        <v>24</v>
      </c>
      <c r="C261" s="84" t="str">
        <f ca="1">IFERROR(__xludf.DUMMYFUNCTION("""COMPUTED_VALUE"""),"SW")</f>
        <v>SW</v>
      </c>
      <c r="D261" s="339">
        <f ca="1">IFERROR(__xludf.DUMMYFUNCTION("""COMPUTED_VALUE"""),5000)</f>
        <v>5000</v>
      </c>
      <c r="E261" s="84" t="str">
        <f ca="1">IFERROR(__xludf.DUMMYFUNCTION("""COMPUTED_VALUE"""),"3796816610T20050430")</f>
        <v>3796816610T20050430</v>
      </c>
      <c r="F261" s="84">
        <f ca="1">IFERROR(__xludf.DUMMYFUNCTION("""COMPUTED_VALUE"""),1103120830)</f>
        <v>1103120830</v>
      </c>
      <c r="G261" s="83" t="str">
        <f ca="1">IFERROR(__xludf.DUMMYFUNCTION("""COMPUTED_VALUE"""),"Ying Wong House")</f>
        <v>Ying Wong House</v>
      </c>
      <c r="H261" s="84" t="str">
        <f ca="1">IFERROR(__xludf.DUMMYFUNCTION("""COMPUTED_VALUE"""),"英皇大廈")</f>
        <v>英皇大廈</v>
      </c>
      <c r="I261" s="84">
        <f ca="1">IFERROR(__xludf.DUMMYFUNCTION("""COMPUTED_VALUE"""),114.1933551)</f>
        <v>114.19335510000001</v>
      </c>
      <c r="J261" s="84">
        <f ca="1">IFERROR(__xludf.DUMMYFUNCTION("""COMPUTED_VALUE"""),22.28842144)</f>
        <v>22.28842144</v>
      </c>
      <c r="K261" s="88">
        <f ca="1">IFERROR(__xludf.DUMMYFUNCTION("""COMPUTED_VALUE"""),5.2)</f>
        <v>5.2</v>
      </c>
      <c r="L261" s="84" t="str">
        <f ca="1">IFERROR(__xludf.DUMMYFUNCTION("""COMPUTED_VALUE"""),"p")</f>
        <v>p</v>
      </c>
      <c r="M261" s="88">
        <f ca="1">IFERROR(__xludf.DUMMYFUNCTION("""COMPUTED_VALUE"""),45.6)</f>
        <v>45.6</v>
      </c>
      <c r="N261" s="84" t="str">
        <f ca="1">IFERROR(__xludf.DUMMYFUNCTION("""COMPUTED_VALUE"""),"p")</f>
        <v>p</v>
      </c>
      <c r="O261" s="88">
        <f ca="1">IFERROR(__xludf.DUMMYFUNCTION("""COMPUTED_VALUE"""),40.4)</f>
        <v>40.4</v>
      </c>
      <c r="P261" s="85"/>
      <c r="Q261" s="75" t="b">
        <f ca="1">IFERROR(__xludf.DUMMYFUNCTION("""COMPUTED_VALUE"""),FALSE)</f>
        <v>0</v>
      </c>
      <c r="R261" s="75" t="b">
        <f ca="1">IFERROR(__xludf.DUMMYFUNCTION("""COMPUTED_VALUE"""),FALSE)</f>
        <v>0</v>
      </c>
      <c r="S261" s="75" t="b">
        <f ca="1">IFERROR(__xludf.DUMMYFUNCTION("""COMPUTED_VALUE"""),FALSE)</f>
        <v>0</v>
      </c>
      <c r="T261" s="75" t="b">
        <f ca="1">IFERROR(__xludf.DUMMYFUNCTION("""COMPUTED_VALUE"""),FALSE)</f>
        <v>0</v>
      </c>
      <c r="U261" s="86">
        <f ca="1">IFERROR(__xludf.DUMMYFUNCTION("""COMPUTED_VALUE"""),12)</f>
        <v>12</v>
      </c>
      <c r="V261" s="84">
        <f ca="1">IFERROR(__xludf.DUMMYFUNCTION("""COMPUTED_VALUE"""),0)</f>
        <v>0</v>
      </c>
      <c r="W261" s="87">
        <f ca="1">IFERROR(__xludf.DUMMYFUNCTION("""COMPUTED_VALUE"""),45)</f>
        <v>45</v>
      </c>
      <c r="X261" s="84">
        <f ca="1">IFERROR(__xludf.DUMMYFUNCTION("""COMPUTED_VALUE"""),1967)</f>
        <v>1967</v>
      </c>
      <c r="Y261" s="84" t="str">
        <f ca="1">IFERROR(__xludf.DUMMYFUNCTION("""COMPUTED_VALUE"""),"BMIS_auto")</f>
        <v>BMIS_auto</v>
      </c>
      <c r="Z261" s="66" t="s">
        <v>2139</v>
      </c>
    </row>
    <row r="262" spans="1:26" ht="15.75" customHeight="1">
      <c r="A262" s="83" t="str">
        <f ca="1">IFERROR(__xludf.DUMMYFUNCTION("""COMPUTED_VALUE"""),"E24NW")</f>
        <v>E24NW</v>
      </c>
      <c r="B262" s="84">
        <f ca="1">IFERROR(__xludf.DUMMYFUNCTION("""COMPUTED_VALUE"""),24)</f>
        <v>24</v>
      </c>
      <c r="C262" s="84" t="str">
        <f ca="1">IFERROR(__xludf.DUMMYFUNCTION("""COMPUTED_VALUE"""),"NW")</f>
        <v>NW</v>
      </c>
      <c r="D262" s="339">
        <f ca="1">IFERROR(__xludf.DUMMYFUNCTION("""COMPUTED_VALUE"""),5000)</f>
        <v>5000</v>
      </c>
      <c r="E262" s="84" t="str">
        <f ca="1">IFERROR(__xludf.DUMMYFUNCTION("""COMPUTED_VALUE"""),"3798516640T20050430")</f>
        <v>3798516640T20050430</v>
      </c>
      <c r="F262" s="84">
        <f ca="1">IFERROR(__xludf.DUMMYFUNCTION("""COMPUTED_VALUE"""),1103120777)</f>
        <v>1103120777</v>
      </c>
      <c r="G262" s="83" t="str">
        <f ca="1">IFERROR(__xludf.DUMMYFUNCTION("""COMPUTED_VALUE"""),"Chung Nam Mansion")</f>
        <v>Chung Nam Mansion</v>
      </c>
      <c r="H262" s="84" t="str">
        <f ca="1">IFERROR(__xludf.DUMMYFUNCTION("""COMPUTED_VALUE"""),"中南大廈")</f>
        <v>中南大廈</v>
      </c>
      <c r="I262" s="84">
        <f ca="1">IFERROR(__xludf.DUMMYFUNCTION("""COMPUTED_VALUE"""),114.1935827)</f>
        <v>114.19358269999999</v>
      </c>
      <c r="J262" s="84">
        <f ca="1">IFERROR(__xludf.DUMMYFUNCTION("""COMPUTED_VALUE"""),22.28869566)</f>
        <v>22.288695659999998</v>
      </c>
      <c r="K262" s="88">
        <f ca="1">IFERROR(__xludf.DUMMYFUNCTION("""COMPUTED_VALUE"""),5.2)</f>
        <v>5.2</v>
      </c>
      <c r="L262" s="84" t="str">
        <f ca="1">IFERROR(__xludf.DUMMYFUNCTION("""COMPUTED_VALUE"""),"p")</f>
        <v>p</v>
      </c>
      <c r="M262" s="88">
        <f ca="1">IFERROR(__xludf.DUMMYFUNCTION("""COMPUTED_VALUE"""),61.5)</f>
        <v>61.5</v>
      </c>
      <c r="N262" s="84" t="str">
        <f ca="1">IFERROR(__xludf.DUMMYFUNCTION("""COMPUTED_VALUE"""),"3")</f>
        <v>3</v>
      </c>
      <c r="O262" s="88">
        <f ca="1">IFERROR(__xludf.DUMMYFUNCTION("""COMPUTED_VALUE"""),56.3)</f>
        <v>56.3</v>
      </c>
      <c r="P262" s="85"/>
      <c r="Q262" s="75" t="b">
        <f ca="1">IFERROR(__xludf.DUMMYFUNCTION("""COMPUTED_VALUE"""),FALSE)</f>
        <v>0</v>
      </c>
      <c r="R262" s="75" t="b">
        <f ca="1">IFERROR(__xludf.DUMMYFUNCTION("""COMPUTED_VALUE"""),FALSE)</f>
        <v>0</v>
      </c>
      <c r="S262" s="75" t="b">
        <f ca="1">IFERROR(__xludf.DUMMYFUNCTION("""COMPUTED_VALUE"""),FALSE)</f>
        <v>0</v>
      </c>
      <c r="T262" s="75" t="b">
        <f ca="1">IFERROR(__xludf.DUMMYFUNCTION("""COMPUTED_VALUE"""),FALSE)</f>
        <v>0</v>
      </c>
      <c r="U262" s="86">
        <f ca="1">IFERROR(__xludf.DUMMYFUNCTION("""COMPUTED_VALUE"""),19)</f>
        <v>19</v>
      </c>
      <c r="V262" s="84"/>
      <c r="W262" s="87">
        <f ca="1">IFERROR(__xludf.DUMMYFUNCTION("""COMPUTED_VALUE"""),91)</f>
        <v>91</v>
      </c>
      <c r="X262" s="84">
        <f ca="1">IFERROR(__xludf.DUMMYFUNCTION("""COMPUTED_VALUE"""),1966)</f>
        <v>1966</v>
      </c>
      <c r="Y262" s="84" t="str">
        <f ca="1">IFERROR(__xludf.DUMMYFUNCTION("""COMPUTED_VALUE"""),"BMIS_auto")</f>
        <v>BMIS_auto</v>
      </c>
      <c r="Z262" s="66" t="s">
        <v>2141</v>
      </c>
    </row>
    <row r="263" spans="1:26" ht="15.75" customHeight="1">
      <c r="A263" s="83" t="str">
        <f ca="1">IFERROR(__xludf.DUMMYFUNCTION("""COMPUTED_VALUE"""),"N17NE")</f>
        <v>N17NE</v>
      </c>
      <c r="B263" s="84">
        <f ca="1">IFERROR(__xludf.DUMMYFUNCTION("""COMPUTED_VALUE"""),17)</f>
        <v>17</v>
      </c>
      <c r="C263" s="84" t="str">
        <f ca="1">IFERROR(__xludf.DUMMYFUNCTION("""COMPUTED_VALUE"""),"NE")</f>
        <v>NE</v>
      </c>
      <c r="D263" s="339">
        <f ca="1">IFERROR(__xludf.DUMMYFUNCTION("""COMPUTED_VALUE"""),5200)</f>
        <v>5200</v>
      </c>
      <c r="E263" s="84" t="str">
        <f ca="1">IFERROR(__xludf.DUMMYFUNCTION("""COMPUTED_VALUE"""),"3538020752T20050430")</f>
        <v>3538020752T20050430</v>
      </c>
      <c r="F263" s="84">
        <f ca="1">IFERROR(__xludf.DUMMYFUNCTION("""COMPUTED_VALUE"""),1108230402)</f>
        <v>1108230402</v>
      </c>
      <c r="G263" s="83" t="str">
        <f ca="1">IFERROR(__xludf.DUMMYFUNCTION("""COMPUTED_VALUE"""),"Prosperity Commercial Building")</f>
        <v>Prosperity Commercial Building</v>
      </c>
      <c r="H263" s="84" t="str">
        <f ca="1">IFERROR(__xludf.DUMMYFUNCTION("""COMPUTED_VALUE"""),"中興商業大廈")</f>
        <v>中興商業大廈</v>
      </c>
      <c r="I263" s="84">
        <f ca="1">IFERROR(__xludf.DUMMYFUNCTION("""COMPUTED_VALUE"""),114.1682647)</f>
        <v>114.16826469999999</v>
      </c>
      <c r="J263" s="84">
        <f ca="1">IFERROR(__xludf.DUMMYFUNCTION("""COMPUTED_VALUE"""),22.32580155)</f>
        <v>22.325801550000001</v>
      </c>
      <c r="K263" s="88">
        <f ca="1">IFERROR(__xludf.DUMMYFUNCTION("""COMPUTED_VALUE"""),5.5)</f>
        <v>5.5</v>
      </c>
      <c r="L263" s="84" t="str">
        <f ca="1">IFERROR(__xludf.DUMMYFUNCTION("""COMPUTED_VALUE"""),"t")</f>
        <v>t</v>
      </c>
      <c r="M263" s="88">
        <f ca="1">IFERROR(__xludf.DUMMYFUNCTION("""COMPUTED_VALUE"""),48.5)</f>
        <v>48.5</v>
      </c>
      <c r="N263" s="84" t="str">
        <f ca="1">IFERROR(__xludf.DUMMYFUNCTION("""COMPUTED_VALUE"""),"e")</f>
        <v>e</v>
      </c>
      <c r="O263" s="88">
        <f ca="1">IFERROR(__xludf.DUMMYFUNCTION("""COMPUTED_VALUE"""),43)</f>
        <v>43</v>
      </c>
      <c r="P263" s="85"/>
      <c r="Q263" s="75" t="b">
        <f ca="1">IFERROR(__xludf.DUMMYFUNCTION("""COMPUTED_VALUE"""),FALSE)</f>
        <v>0</v>
      </c>
      <c r="R263" s="75" t="b">
        <f ca="1">IFERROR(__xludf.DUMMYFUNCTION("""COMPUTED_VALUE"""),FALSE)</f>
        <v>0</v>
      </c>
      <c r="S263" s="75" t="b">
        <f ca="1">IFERROR(__xludf.DUMMYFUNCTION("""COMPUTED_VALUE"""),FALSE)</f>
        <v>0</v>
      </c>
      <c r="T263" s="75"/>
      <c r="U263" s="86">
        <f ca="1">IFERROR(__xludf.DUMMYFUNCTION("""COMPUTED_VALUE"""),23)</f>
        <v>23</v>
      </c>
      <c r="V263" s="84">
        <f ca="1">IFERROR(__xludf.DUMMYFUNCTION("""COMPUTED_VALUE"""),0)</f>
        <v>0</v>
      </c>
      <c r="W263" s="87">
        <f ca="1">IFERROR(__xludf.DUMMYFUNCTION("""COMPUTED_VALUE"""),30)</f>
        <v>30</v>
      </c>
      <c r="X263" s="84">
        <f ca="1">IFERROR(__xludf.DUMMYFUNCTION("""COMPUTED_VALUE"""),1994)</f>
        <v>1994</v>
      </c>
      <c r="Y263" s="84" t="str">
        <f ca="1">IFERROR(__xludf.DUMMYFUNCTION("""COMPUTED_VALUE"""),"BMIS_auto")</f>
        <v>BMIS_auto</v>
      </c>
      <c r="Z263" s="66" t="s">
        <v>2143</v>
      </c>
    </row>
    <row r="264" spans="1:26" ht="15.75" customHeight="1">
      <c r="A264" s="83" t="str">
        <f ca="1">IFERROR(__xludf.DUMMYFUNCTION("""COMPUTED_VALUE"""),"N17SE")</f>
        <v>N17SE</v>
      </c>
      <c r="B264" s="84">
        <f ca="1">IFERROR(__xludf.DUMMYFUNCTION("""COMPUTED_VALUE"""),17)</f>
        <v>17</v>
      </c>
      <c r="C264" s="84" t="str">
        <f ca="1">IFERROR(__xludf.DUMMYFUNCTION("""COMPUTED_VALUE"""),"SE")</f>
        <v>SE</v>
      </c>
      <c r="D264" s="339">
        <f ca="1">IFERROR(__xludf.DUMMYFUNCTION("""COMPUTED_VALUE"""),5200)</f>
        <v>5200</v>
      </c>
      <c r="E264" s="84" t="str">
        <f ca="1">IFERROR(__xludf.DUMMYFUNCTION("""COMPUTED_VALUE"""),"3538120743T20050430")</f>
        <v>3538120743T20050430</v>
      </c>
      <c r="F264" s="84">
        <f ca="1">IFERROR(__xludf.DUMMYFUNCTION("""COMPUTED_VALUE"""),1108230452)</f>
        <v>1108230452</v>
      </c>
      <c r="G264" s="83" t="str">
        <f ca="1">IFERROR(__xludf.DUMMYFUNCTION("""COMPUTED_VALUE"""),"Tai Sang Bank Building")</f>
        <v>Tai Sang Bank Building</v>
      </c>
      <c r="H264" s="84" t="str">
        <f ca="1">IFERROR(__xludf.DUMMYFUNCTION("""COMPUTED_VALUE"""),"大生銀行大廈")</f>
        <v>大生銀行大廈</v>
      </c>
      <c r="I264" s="84">
        <f ca="1">IFERROR(__xludf.DUMMYFUNCTION("""COMPUTED_VALUE"""),114.1682715)</f>
        <v>114.1682715</v>
      </c>
      <c r="J264" s="84">
        <f ca="1">IFERROR(__xludf.DUMMYFUNCTION("""COMPUTED_VALUE"""),22.32573051)</f>
        <v>22.32573051</v>
      </c>
      <c r="K264" s="88">
        <f ca="1">IFERROR(__xludf.DUMMYFUNCTION("""COMPUTED_VALUE"""),5.5)</f>
        <v>5.5</v>
      </c>
      <c r="L264" s="84" t="str">
        <f ca="1">IFERROR(__xludf.DUMMYFUNCTION("""COMPUTED_VALUE"""),"t")</f>
        <v>t</v>
      </c>
      <c r="M264" s="88">
        <f ca="1">IFERROR(__xludf.DUMMYFUNCTION("""COMPUTED_VALUE"""),51.400002)</f>
        <v>51.400002000000001</v>
      </c>
      <c r="N264" s="84" t="str">
        <f ca="1">IFERROR(__xludf.DUMMYFUNCTION("""COMPUTED_VALUE"""),"3")</f>
        <v>3</v>
      </c>
      <c r="O264" s="88">
        <f ca="1">IFERROR(__xludf.DUMMYFUNCTION("""COMPUTED_VALUE"""),45.900002)</f>
        <v>45.900002000000001</v>
      </c>
      <c r="P264" s="85"/>
      <c r="Q264" s="75" t="b">
        <f ca="1">IFERROR(__xludf.DUMMYFUNCTION("""COMPUTED_VALUE"""),FALSE)</f>
        <v>0</v>
      </c>
      <c r="R264" s="75" t="b">
        <f ca="1">IFERROR(__xludf.DUMMYFUNCTION("""COMPUTED_VALUE"""),FALSE)</f>
        <v>0</v>
      </c>
      <c r="S264" s="75" t="b">
        <f ca="1">IFERROR(__xludf.DUMMYFUNCTION("""COMPUTED_VALUE"""),FALSE)</f>
        <v>0</v>
      </c>
      <c r="T264" s="75"/>
      <c r="U264" s="86">
        <f ca="1">IFERROR(__xludf.DUMMYFUNCTION("""COMPUTED_VALUE"""),15)</f>
        <v>15</v>
      </c>
      <c r="V264" s="84">
        <f ca="1">IFERROR(__xludf.DUMMYFUNCTION("""COMPUTED_VALUE"""),0)</f>
        <v>0</v>
      </c>
      <c r="W264" s="87">
        <f ca="1">IFERROR(__xludf.DUMMYFUNCTION("""COMPUTED_VALUE"""),15)</f>
        <v>15</v>
      </c>
      <c r="X264" s="84">
        <f ca="1">IFERROR(__xludf.DUMMYFUNCTION("""COMPUTED_VALUE"""),1981)</f>
        <v>1981</v>
      </c>
      <c r="Y264" s="84" t="str">
        <f ca="1">IFERROR(__xludf.DUMMYFUNCTION("""COMPUTED_VALUE"""),"BMIS_auto")</f>
        <v>BMIS_auto</v>
      </c>
      <c r="Z264" s="66" t="s">
        <v>2145</v>
      </c>
    </row>
    <row r="265" spans="1:26" ht="15.75" customHeight="1">
      <c r="A265" s="83" t="str">
        <f ca="1">IFERROR(__xludf.DUMMYFUNCTION("""COMPUTED_VALUE"""),"N17SW")</f>
        <v>N17SW</v>
      </c>
      <c r="B265" s="84">
        <f ca="1">IFERROR(__xludf.DUMMYFUNCTION("""COMPUTED_VALUE"""),17)</f>
        <v>17</v>
      </c>
      <c r="C265" s="84" t="str">
        <f ca="1">IFERROR(__xludf.DUMMYFUNCTION("""COMPUTED_VALUE"""),"SW")</f>
        <v>SW</v>
      </c>
      <c r="D265" s="339">
        <f ca="1">IFERROR(__xludf.DUMMYFUNCTION("""COMPUTED_VALUE"""),5200)</f>
        <v>5200</v>
      </c>
      <c r="E265" s="84" t="str">
        <f ca="1">IFERROR(__xludf.DUMMYFUNCTION("""COMPUTED_VALUE"""),"3533920737T20050430")</f>
        <v>3533920737T20050430</v>
      </c>
      <c r="F265" s="84">
        <f ca="1">IFERROR(__xludf.DUMMYFUNCTION("""COMPUTED_VALUE"""),1108230503)</f>
        <v>1108230503</v>
      </c>
      <c r="G265" s="83" t="str">
        <f ca="1">IFERROR(__xludf.DUMMYFUNCTION("""COMPUTED_VALUE"""),"Amber House")</f>
        <v>Amber House</v>
      </c>
      <c r="H265" s="84" t="str">
        <f ca="1">IFERROR(__xludf.DUMMYFUNCTION("""COMPUTED_VALUE"""),"安寶樓")</f>
        <v>安寶樓</v>
      </c>
      <c r="I265" s="84">
        <f ca="1">IFERROR(__xludf.DUMMYFUNCTION("""COMPUTED_VALUE"""),114.1678362)</f>
        <v>114.1678362</v>
      </c>
      <c r="J265" s="84">
        <f ca="1">IFERROR(__xludf.DUMMYFUNCTION("""COMPUTED_VALUE"""),22.32554891)</f>
        <v>22.325548909999998</v>
      </c>
      <c r="K265" s="88">
        <f ca="1">IFERROR(__xludf.DUMMYFUNCTION("""COMPUTED_VALUE"""),17.799999)</f>
        <v>17.799999</v>
      </c>
      <c r="L265" s="84" t="str">
        <f ca="1">IFERROR(__xludf.DUMMYFUNCTION("""COMPUTED_VALUE"""),"p")</f>
        <v>p</v>
      </c>
      <c r="M265" s="88">
        <f ca="1">IFERROR(__xludf.DUMMYFUNCTION("""COMPUTED_VALUE"""),51.5)</f>
        <v>51.5</v>
      </c>
      <c r="N265" s="84" t="str">
        <f ca="1">IFERROR(__xludf.DUMMYFUNCTION("""COMPUTED_VALUE"""),"3")</f>
        <v>3</v>
      </c>
      <c r="O265" s="88">
        <f ca="1">IFERROR(__xludf.DUMMYFUNCTION("""COMPUTED_VALUE"""),33.700001)</f>
        <v>33.700001</v>
      </c>
      <c r="P265" s="85"/>
      <c r="Q265" s="75" t="b">
        <f ca="1">IFERROR(__xludf.DUMMYFUNCTION("""COMPUTED_VALUE"""),FALSE)</f>
        <v>0</v>
      </c>
      <c r="R265" s="75" t="b">
        <f ca="1">IFERROR(__xludf.DUMMYFUNCTION("""COMPUTED_VALUE"""),FALSE)</f>
        <v>0</v>
      </c>
      <c r="S265" s="75" t="b">
        <f ca="1">IFERROR(__xludf.DUMMYFUNCTION("""COMPUTED_VALUE"""),FALSE)</f>
        <v>0</v>
      </c>
      <c r="T265" s="75"/>
      <c r="U265" s="86">
        <f ca="1">IFERROR(__xludf.DUMMYFUNCTION("""COMPUTED_VALUE"""),13)</f>
        <v>13</v>
      </c>
      <c r="V265" s="84">
        <f ca="1">IFERROR(__xludf.DUMMYFUNCTION("""COMPUTED_VALUE"""),0)</f>
        <v>0</v>
      </c>
      <c r="W265" s="87">
        <f ca="1">IFERROR(__xludf.DUMMYFUNCTION("""COMPUTED_VALUE"""),47)</f>
        <v>47</v>
      </c>
      <c r="X265" s="84">
        <f ca="1">IFERROR(__xludf.DUMMYFUNCTION("""COMPUTED_VALUE"""),1978)</f>
        <v>1978</v>
      </c>
      <c r="Y265" s="84" t="str">
        <f ca="1">IFERROR(__xludf.DUMMYFUNCTION("""COMPUTED_VALUE"""),"BMIS")</f>
        <v>BMIS</v>
      </c>
      <c r="Z265" s="66" t="s">
        <v>2147</v>
      </c>
    </row>
    <row r="266" spans="1:26" ht="15.75" customHeight="1">
      <c r="A266" s="83" t="str">
        <f ca="1">IFERROR(__xludf.DUMMYFUNCTION("""COMPUTED_VALUE"""),"N17NW")</f>
        <v>N17NW</v>
      </c>
      <c r="B266" s="84">
        <f ca="1">IFERROR(__xludf.DUMMYFUNCTION("""COMPUTED_VALUE"""),17)</f>
        <v>17</v>
      </c>
      <c r="C266" s="84" t="str">
        <f ca="1">IFERROR(__xludf.DUMMYFUNCTION("""COMPUTED_VALUE"""),"NW")</f>
        <v>NW</v>
      </c>
      <c r="D266" s="339">
        <f ca="1">IFERROR(__xludf.DUMMYFUNCTION("""COMPUTED_VALUE"""),5200)</f>
        <v>5200</v>
      </c>
      <c r="E266" s="84" t="str">
        <f ca="1">IFERROR(__xludf.DUMMYFUNCTION("""COMPUTED_VALUE"""),"3533220748T20050430")</f>
        <v>3533220748T20050430</v>
      </c>
      <c r="F266" s="84">
        <f ca="1">IFERROR(__xludf.DUMMYFUNCTION("""COMPUTED_VALUE"""),1108230410)</f>
        <v>1108230410</v>
      </c>
      <c r="G266" s="83" t="str">
        <f ca="1">IFERROR(__xludf.DUMMYFUNCTION("""COMPUTED_VALUE"""),"Lee Tat Building")</f>
        <v>Lee Tat Building</v>
      </c>
      <c r="H266" s="84" t="str">
        <f ca="1">IFERROR(__xludf.DUMMYFUNCTION("""COMPUTED_VALUE"""),"利達大樓")</f>
        <v>利達大樓</v>
      </c>
      <c r="I266" s="84">
        <f ca="1">IFERROR(__xludf.DUMMYFUNCTION("""COMPUTED_VALUE"""),114.1678002)</f>
        <v>114.1678002</v>
      </c>
      <c r="J266" s="84">
        <f ca="1">IFERROR(__xludf.DUMMYFUNCTION("""COMPUTED_VALUE"""),22.32576328)</f>
        <v>22.32576328</v>
      </c>
      <c r="K266" s="88">
        <f ca="1">IFERROR(__xludf.DUMMYFUNCTION("""COMPUTED_VALUE"""),5.3)</f>
        <v>5.3</v>
      </c>
      <c r="L266" s="84" t="str">
        <f ca="1">IFERROR(__xludf.DUMMYFUNCTION("""COMPUTED_VALUE"""),"t")</f>
        <v>t</v>
      </c>
      <c r="M266" s="88">
        <f ca="1">IFERROR(__xludf.DUMMYFUNCTION("""COMPUTED_VALUE"""),48.900002)</f>
        <v>48.900002000000001</v>
      </c>
      <c r="N266" s="84" t="str">
        <f ca="1">IFERROR(__xludf.DUMMYFUNCTION("""COMPUTED_VALUE"""),"3")</f>
        <v>3</v>
      </c>
      <c r="O266" s="88">
        <f ca="1">IFERROR(__xludf.DUMMYFUNCTION("""COMPUTED_VALUE"""),43.600002)</f>
        <v>43.600002000000003</v>
      </c>
      <c r="P266" s="85"/>
      <c r="Q266" s="75" t="b">
        <f ca="1">IFERROR(__xludf.DUMMYFUNCTION("""COMPUTED_VALUE"""),FALSE)</f>
        <v>0</v>
      </c>
      <c r="R266" s="75" t="b">
        <f ca="1">IFERROR(__xludf.DUMMYFUNCTION("""COMPUTED_VALUE"""),FALSE)</f>
        <v>0</v>
      </c>
      <c r="S266" s="75" t="b">
        <f ca="1">IFERROR(__xludf.DUMMYFUNCTION("""COMPUTED_VALUE"""),FALSE)</f>
        <v>0</v>
      </c>
      <c r="T266" s="75"/>
      <c r="U266" s="86">
        <f ca="1">IFERROR(__xludf.DUMMYFUNCTION("""COMPUTED_VALUE"""),14)</f>
        <v>14</v>
      </c>
      <c r="V266" s="84">
        <f ca="1">IFERROR(__xludf.DUMMYFUNCTION("""COMPUTED_VALUE"""),0)</f>
        <v>0</v>
      </c>
      <c r="W266" s="87">
        <f ca="1">IFERROR(__xludf.DUMMYFUNCTION("""COMPUTED_VALUE"""),56)</f>
        <v>56</v>
      </c>
      <c r="X266" s="84">
        <f ca="1">IFERROR(__xludf.DUMMYFUNCTION("""COMPUTED_VALUE"""),1963)</f>
        <v>1963</v>
      </c>
      <c r="Y266" s="84" t="str">
        <f ca="1">IFERROR(__xludf.DUMMYFUNCTION("""COMPUTED_VALUE"""),"BMIS_auto")</f>
        <v>BMIS_auto</v>
      </c>
      <c r="Z266" s="66" t="s">
        <v>2149</v>
      </c>
    </row>
    <row r="267" spans="1:26" ht="15.75" customHeight="1">
      <c r="A267" s="83" t="str">
        <f ca="1">IFERROR(__xludf.DUMMYFUNCTION("""COMPUTED_VALUE"""),"E25NE")</f>
        <v>E25NE</v>
      </c>
      <c r="B267" s="84">
        <f ca="1">IFERROR(__xludf.DUMMYFUNCTION("""COMPUTED_VALUE"""),25)</f>
        <v>25</v>
      </c>
      <c r="C267" s="84" t="str">
        <f ca="1">IFERROR(__xludf.DUMMYFUNCTION("""COMPUTED_VALUE"""),"NE")</f>
        <v>NE</v>
      </c>
      <c r="D267" s="339">
        <f ca="1">IFERROR(__xludf.DUMMYFUNCTION("""COMPUTED_VALUE"""),5200)</f>
        <v>5200</v>
      </c>
      <c r="E267" s="84" t="str">
        <f ca="1">IFERROR(__xludf.DUMMYFUNCTION("""COMPUTED_VALUE"""),"3815116758T20050430")</f>
        <v>3815116758T20050430</v>
      </c>
      <c r="F267" s="84">
        <f ca="1">IFERROR(__xludf.DUMMYFUNCTION("""COMPUTED_VALUE"""),1103120497)</f>
        <v>1103120497</v>
      </c>
      <c r="G267" s="83" t="str">
        <f ca="1">IFERROR(__xludf.DUMMYFUNCTION("""COMPUTED_VALUE"""),"North Point Centre Block A")</f>
        <v>North Point Centre Block A</v>
      </c>
      <c r="H267" s="84" t="str">
        <f ca="1">IFERROR(__xludf.DUMMYFUNCTION("""COMPUTED_VALUE"""),"北角中心大廈Ａ座")</f>
        <v>北角中心大廈Ａ座</v>
      </c>
      <c r="I267" s="84">
        <f ca="1">IFERROR(__xludf.DUMMYFUNCTION("""COMPUTED_VALUE"""),114.1951709)</f>
        <v>114.19517089999999</v>
      </c>
      <c r="J267" s="84">
        <f ca="1">IFERROR(__xludf.DUMMYFUNCTION("""COMPUTED_VALUE"""),22.28973835)</f>
        <v>22.28973835</v>
      </c>
      <c r="K267" s="88">
        <f ca="1">IFERROR(__xludf.DUMMYFUNCTION("""COMPUTED_VALUE"""),5.2)</f>
        <v>5.2</v>
      </c>
      <c r="L267" s="84" t="str">
        <f ca="1">IFERROR(__xludf.DUMMYFUNCTION("""COMPUTED_VALUE"""),"l")</f>
        <v>l</v>
      </c>
      <c r="M267" s="88">
        <f ca="1">IFERROR(__xludf.DUMMYFUNCTION("""COMPUTED_VALUE"""),85.3)</f>
        <v>85.3</v>
      </c>
      <c r="N267" s="84" t="str">
        <f ca="1">IFERROR(__xludf.DUMMYFUNCTION("""COMPUTED_VALUE"""),"p")</f>
        <v>p</v>
      </c>
      <c r="O267" s="88">
        <f ca="1">IFERROR(__xludf.DUMMYFUNCTION("""COMPUTED_VALUE"""),80.1)</f>
        <v>80.099999999999994</v>
      </c>
      <c r="P267" s="85"/>
      <c r="Q267" s="75" t="b">
        <f ca="1">IFERROR(__xludf.DUMMYFUNCTION("""COMPUTED_VALUE"""),FALSE)</f>
        <v>0</v>
      </c>
      <c r="R267" s="75" t="b">
        <f ca="1">IFERROR(__xludf.DUMMYFUNCTION("""COMPUTED_VALUE"""),FALSE)</f>
        <v>0</v>
      </c>
      <c r="S267" s="75" t="b">
        <f ca="1">IFERROR(__xludf.DUMMYFUNCTION("""COMPUTED_VALUE"""),FALSE)</f>
        <v>0</v>
      </c>
      <c r="T267" s="75" t="b">
        <f ca="1">IFERROR(__xludf.DUMMYFUNCTION("""COMPUTED_VALUE"""),FALSE)</f>
        <v>0</v>
      </c>
      <c r="U267" s="86">
        <f ca="1">IFERROR(__xludf.DUMMYFUNCTION("""COMPUTED_VALUE"""),27)</f>
        <v>27</v>
      </c>
      <c r="V267" s="84"/>
      <c r="W267" s="87">
        <f ca="1">IFERROR(__xludf.DUMMYFUNCTION("""COMPUTED_VALUE"""),264)</f>
        <v>264</v>
      </c>
      <c r="X267" s="84">
        <f ca="1">IFERROR(__xludf.DUMMYFUNCTION("""COMPUTED_VALUE"""),1974)</f>
        <v>1974</v>
      </c>
      <c r="Y267" s="84" t="str">
        <f ca="1">IFERROR(__xludf.DUMMYFUNCTION("""COMPUTED_VALUE"""),"BMIS")</f>
        <v>BMIS</v>
      </c>
      <c r="Z267" s="66" t="s">
        <v>2151</v>
      </c>
    </row>
    <row r="268" spans="1:26" ht="15.75" customHeight="1">
      <c r="A268" s="83" t="str">
        <f ca="1">IFERROR(__xludf.DUMMYFUNCTION("""COMPUTED_VALUE"""),"E25SE")</f>
        <v>E25SE</v>
      </c>
      <c r="B268" s="84">
        <f ca="1">IFERROR(__xludf.DUMMYFUNCTION("""COMPUTED_VALUE"""),25)</f>
        <v>25</v>
      </c>
      <c r="C268" s="84" t="str">
        <f ca="1">IFERROR(__xludf.DUMMYFUNCTION("""COMPUTED_VALUE"""),"SE")</f>
        <v>SE</v>
      </c>
      <c r="D268" s="339">
        <f ca="1">IFERROR(__xludf.DUMMYFUNCTION("""COMPUTED_VALUE"""),5200)</f>
        <v>5200</v>
      </c>
      <c r="E268" s="84" t="str">
        <f ca="1">IFERROR(__xludf.DUMMYFUNCTION("""COMPUTED_VALUE"""),"3813016736T20050430")</f>
        <v>3813016736T20050430</v>
      </c>
      <c r="F268" s="84">
        <f ca="1">IFERROR(__xludf.DUMMYFUNCTION("""COMPUTED_VALUE"""),1103120557)</f>
        <v>1103120557</v>
      </c>
      <c r="G268" s="83" t="str">
        <f ca="1">IFERROR(__xludf.DUMMYFUNCTION("""COMPUTED_VALUE"""),"North Point Centre Block B")</f>
        <v>North Point Centre Block B</v>
      </c>
      <c r="H268" s="84" t="str">
        <f ca="1">IFERROR(__xludf.DUMMYFUNCTION("""COMPUTED_VALUE"""),"北角中心大廈Ｂ座")</f>
        <v>北角中心大廈Ｂ座</v>
      </c>
      <c r="I268" s="84">
        <f ca="1">IFERROR(__xludf.DUMMYFUNCTION("""COMPUTED_VALUE"""),114.19496)</f>
        <v>114.19495999999999</v>
      </c>
      <c r="J268" s="84">
        <f ca="1">IFERROR(__xludf.DUMMYFUNCTION("""COMPUTED_VALUE"""),22.28950145)</f>
        <v>22.289501449999999</v>
      </c>
      <c r="K268" s="88">
        <f ca="1">IFERROR(__xludf.DUMMYFUNCTION("""COMPUTED_VALUE"""),5.2)</f>
        <v>5.2</v>
      </c>
      <c r="L268" s="84" t="str">
        <f ca="1">IFERROR(__xludf.DUMMYFUNCTION("""COMPUTED_VALUE"""),"l")</f>
        <v>l</v>
      </c>
      <c r="M268" s="88">
        <f ca="1">IFERROR(__xludf.DUMMYFUNCTION("""COMPUTED_VALUE"""),88.2)</f>
        <v>88.2</v>
      </c>
      <c r="N268" s="84" t="str">
        <f ca="1">IFERROR(__xludf.DUMMYFUNCTION("""COMPUTED_VALUE"""),"3")</f>
        <v>3</v>
      </c>
      <c r="O268" s="88">
        <f ca="1">IFERROR(__xludf.DUMMYFUNCTION("""COMPUTED_VALUE"""),83)</f>
        <v>83</v>
      </c>
      <c r="P268" s="85"/>
      <c r="Q268" s="75" t="b">
        <f ca="1">IFERROR(__xludf.DUMMYFUNCTION("""COMPUTED_VALUE"""),FALSE)</f>
        <v>0</v>
      </c>
      <c r="R268" s="75" t="b">
        <f ca="1">IFERROR(__xludf.DUMMYFUNCTION("""COMPUTED_VALUE"""),FALSE)</f>
        <v>0</v>
      </c>
      <c r="S268" s="75" t="b">
        <f ca="1">IFERROR(__xludf.DUMMYFUNCTION("""COMPUTED_VALUE"""),FALSE)</f>
        <v>0</v>
      </c>
      <c r="T268" s="75" t="b">
        <f ca="1">IFERROR(__xludf.DUMMYFUNCTION("""COMPUTED_VALUE"""),FALSE)</f>
        <v>0</v>
      </c>
      <c r="U268" s="86">
        <f ca="1">IFERROR(__xludf.DUMMYFUNCTION("""COMPUTED_VALUE"""),27)</f>
        <v>27</v>
      </c>
      <c r="V268" s="84"/>
      <c r="W268" s="87">
        <f ca="1">IFERROR(__xludf.DUMMYFUNCTION("""COMPUTED_VALUE"""),264)</f>
        <v>264</v>
      </c>
      <c r="X268" s="84">
        <f ca="1">IFERROR(__xludf.DUMMYFUNCTION("""COMPUTED_VALUE"""),1974)</f>
        <v>1974</v>
      </c>
      <c r="Y268" s="84" t="str">
        <f ca="1">IFERROR(__xludf.DUMMYFUNCTION("""COMPUTED_VALUE"""),"BMIS")</f>
        <v>BMIS</v>
      </c>
      <c r="Z268" s="66" t="s">
        <v>2153</v>
      </c>
    </row>
    <row r="269" spans="1:26" ht="15.75" customHeight="1">
      <c r="A269" s="83" t="str">
        <f ca="1">IFERROR(__xludf.DUMMYFUNCTION("""COMPUTED_VALUE"""),"E25SW")</f>
        <v>E25SW</v>
      </c>
      <c r="B269" s="84">
        <f ca="1">IFERROR(__xludf.DUMMYFUNCTION("""COMPUTED_VALUE"""),25)</f>
        <v>25</v>
      </c>
      <c r="C269" s="84" t="str">
        <f ca="1">IFERROR(__xludf.DUMMYFUNCTION("""COMPUTED_VALUE"""),"SW")</f>
        <v>SW</v>
      </c>
      <c r="D269" s="339">
        <f ca="1">IFERROR(__xludf.DUMMYFUNCTION("""COMPUTED_VALUE"""),5200)</f>
        <v>5200</v>
      </c>
      <c r="E269" s="84" t="str">
        <f ca="1">IFERROR(__xludf.DUMMYFUNCTION("""COMPUTED_VALUE"""),"3807316759T20050430")</f>
        <v>3807316759T20050430</v>
      </c>
      <c r="F269" s="84">
        <f ca="1">IFERROR(__xludf.DUMMYFUNCTION("""COMPUTED_VALUE"""),1103120445)</f>
        <v>1103120445</v>
      </c>
      <c r="G269" s="83" t="str">
        <f ca="1">IFERROR(__xludf.DUMMYFUNCTION("""COMPUTED_VALUE"""),"Olympia Plaza")</f>
        <v>Olympia Plaza</v>
      </c>
      <c r="H269" s="84" t="str">
        <f ca="1">IFERROR(__xludf.DUMMYFUNCTION("""COMPUTED_VALUE"""),"國都廣場")</f>
        <v>國都廣場</v>
      </c>
      <c r="I269" s="84">
        <f ca="1">IFERROR(__xludf.DUMMYFUNCTION("""COMPUTED_VALUE"""),114.1944777)</f>
        <v>114.19447769999999</v>
      </c>
      <c r="J269" s="84">
        <f ca="1">IFERROR(__xludf.DUMMYFUNCTION("""COMPUTED_VALUE"""),22.28983136)</f>
        <v>22.289831360000001</v>
      </c>
      <c r="K269" s="88">
        <f ca="1">IFERROR(__xludf.DUMMYFUNCTION("""COMPUTED_VALUE"""),4.5)</f>
        <v>4.5</v>
      </c>
      <c r="L269" s="84" t="str">
        <f ca="1">IFERROR(__xludf.DUMMYFUNCTION("""COMPUTED_VALUE"""),"p")</f>
        <v>p</v>
      </c>
      <c r="M269" s="88">
        <f ca="1">IFERROR(__xludf.DUMMYFUNCTION("""COMPUTED_VALUE"""),120.3)</f>
        <v>120.3</v>
      </c>
      <c r="N269" s="84" t="str">
        <f ca="1">IFERROR(__xludf.DUMMYFUNCTION("""COMPUTED_VALUE"""),"p")</f>
        <v>p</v>
      </c>
      <c r="O269" s="88">
        <f ca="1">IFERROR(__xludf.DUMMYFUNCTION("""COMPUTED_VALUE"""),115.8)</f>
        <v>115.8</v>
      </c>
      <c r="P269" s="85"/>
      <c r="Q269" s="75" t="b">
        <f ca="1">IFERROR(__xludf.DUMMYFUNCTION("""COMPUTED_VALUE"""),FALSE)</f>
        <v>0</v>
      </c>
      <c r="R269" s="75" t="b">
        <f ca="1">IFERROR(__xludf.DUMMYFUNCTION("""COMPUTED_VALUE"""),FALSE)</f>
        <v>0</v>
      </c>
      <c r="S269" s="75" t="b">
        <f ca="1">IFERROR(__xludf.DUMMYFUNCTION("""COMPUTED_VALUE"""),FALSE)</f>
        <v>0</v>
      </c>
      <c r="T269" s="75" t="b">
        <f ca="1">IFERROR(__xludf.DUMMYFUNCTION("""COMPUTED_VALUE"""),FALSE)</f>
        <v>0</v>
      </c>
      <c r="U269" s="86">
        <f ca="1">IFERROR(__xludf.DUMMYFUNCTION("""COMPUTED_VALUE"""),25)</f>
        <v>25</v>
      </c>
      <c r="V269" s="84">
        <f ca="1">IFERROR(__xludf.DUMMYFUNCTION("""COMPUTED_VALUE"""),0)</f>
        <v>0</v>
      </c>
      <c r="W269" s="87">
        <f ca="1">IFERROR(__xludf.DUMMYFUNCTION("""COMPUTED_VALUE"""),25)</f>
        <v>25</v>
      </c>
      <c r="X269" s="84">
        <f ca="1">IFERROR(__xludf.DUMMYFUNCTION("""COMPUTED_VALUE"""),1999)</f>
        <v>1999</v>
      </c>
      <c r="Y269" s="84" t="str">
        <f ca="1">IFERROR(__xludf.DUMMYFUNCTION("""COMPUTED_VALUE"""),"BMIS_auto")</f>
        <v>BMIS_auto</v>
      </c>
      <c r="Z269" s="66" t="s">
        <v>2155</v>
      </c>
    </row>
    <row r="270" spans="1:26" ht="15.75" customHeight="1">
      <c r="A270" s="83" t="str">
        <f ca="1">IFERROR(__xludf.DUMMYFUNCTION("""COMPUTED_VALUE"""),"E25NW")</f>
        <v>E25NW</v>
      </c>
      <c r="B270" s="84">
        <f ca="1">IFERROR(__xludf.DUMMYFUNCTION("""COMPUTED_VALUE"""),25)</f>
        <v>25</v>
      </c>
      <c r="C270" s="84" t="str">
        <f ca="1">IFERROR(__xludf.DUMMYFUNCTION("""COMPUTED_VALUE"""),"NW")</f>
        <v>NW</v>
      </c>
      <c r="D270" s="339">
        <f ca="1">IFERROR(__xludf.DUMMYFUNCTION("""COMPUTED_VALUE"""),5200)</f>
        <v>5200</v>
      </c>
      <c r="E270" s="84" t="str">
        <f ca="1">IFERROR(__xludf.DUMMYFUNCTION("""COMPUTED_VALUE"""),"3811216787T20050430")</f>
        <v>3811216787T20050430</v>
      </c>
      <c r="F270" s="84">
        <f ca="1">IFERROR(__xludf.DUMMYFUNCTION("""COMPUTED_VALUE"""),1103120388)</f>
        <v>1103120388</v>
      </c>
      <c r="G270" s="83" t="str">
        <f ca="1">IFERROR(__xludf.DUMMYFUNCTION("""COMPUTED_VALUE"""),"Southern Building")</f>
        <v>Southern Building</v>
      </c>
      <c r="H270" s="84" t="str">
        <f ca="1">IFERROR(__xludf.DUMMYFUNCTION("""COMPUTED_VALUE"""),"南方大廈")</f>
        <v>南方大廈</v>
      </c>
      <c r="I270" s="84">
        <f ca="1">IFERROR(__xludf.DUMMYFUNCTION("""COMPUTED_VALUE"""),114.194783)</f>
        <v>114.194783</v>
      </c>
      <c r="J270" s="84">
        <f ca="1">IFERROR(__xludf.DUMMYFUNCTION("""COMPUTED_VALUE"""),22.29005956)</f>
        <v>22.29005956</v>
      </c>
      <c r="K270" s="88">
        <f ca="1">IFERROR(__xludf.DUMMYFUNCTION("""COMPUTED_VALUE"""),5.8)</f>
        <v>5.8</v>
      </c>
      <c r="L270" s="84" t="str">
        <f ca="1">IFERROR(__xludf.DUMMYFUNCTION("""COMPUTED_VALUE"""),"p")</f>
        <v>p</v>
      </c>
      <c r="M270" s="88">
        <f ca="1">IFERROR(__xludf.DUMMYFUNCTION("""COMPUTED_VALUE"""),66.4)</f>
        <v>66.400000000000006</v>
      </c>
      <c r="N270" s="84" t="str">
        <f ca="1">IFERROR(__xludf.DUMMYFUNCTION("""COMPUTED_VALUE"""),"p")</f>
        <v>p</v>
      </c>
      <c r="O270" s="88">
        <f ca="1">IFERROR(__xludf.DUMMYFUNCTION("""COMPUTED_VALUE"""),60.6)</f>
        <v>60.6</v>
      </c>
      <c r="P270" s="85"/>
      <c r="Q270" s="75" t="b">
        <f ca="1">IFERROR(__xludf.DUMMYFUNCTION("""COMPUTED_VALUE"""),FALSE)</f>
        <v>0</v>
      </c>
      <c r="R270" s="75" t="b">
        <f ca="1">IFERROR(__xludf.DUMMYFUNCTION("""COMPUTED_VALUE"""),FALSE)</f>
        <v>0</v>
      </c>
      <c r="S270" s="75" t="b">
        <f ca="1">IFERROR(__xludf.DUMMYFUNCTION("""COMPUTED_VALUE"""),FALSE)</f>
        <v>0</v>
      </c>
      <c r="T270" s="75" t="b">
        <f ca="1">IFERROR(__xludf.DUMMYFUNCTION("""COMPUTED_VALUE"""),FALSE)</f>
        <v>0</v>
      </c>
      <c r="U270" s="86">
        <f ca="1">IFERROR(__xludf.DUMMYFUNCTION("""COMPUTED_VALUE"""),20)</f>
        <v>20</v>
      </c>
      <c r="V270" s="84"/>
      <c r="W270" s="87">
        <f ca="1">IFERROR(__xludf.DUMMYFUNCTION("""COMPUTED_VALUE"""),335)</f>
        <v>335</v>
      </c>
      <c r="X270" s="84">
        <f ca="1">IFERROR(__xludf.DUMMYFUNCTION("""COMPUTED_VALUE"""),1963)</f>
        <v>1963</v>
      </c>
      <c r="Y270" s="84" t="str">
        <f ca="1">IFERROR(__xludf.DUMMYFUNCTION("""COMPUTED_VALUE"""),"BMIS_auto")</f>
        <v>BMIS_auto</v>
      </c>
      <c r="Z270" s="66" t="s">
        <v>2157</v>
      </c>
    </row>
    <row r="271" spans="1:26" ht="15.75" customHeight="1">
      <c r="A271" s="83" t="str">
        <f ca="1">IFERROR(__xludf.DUMMYFUNCTION("""COMPUTED_VALUE"""),"N18NE")</f>
        <v>N18NE</v>
      </c>
      <c r="B271" s="84">
        <f ca="1">IFERROR(__xludf.DUMMYFUNCTION("""COMPUTED_VALUE"""),18)</f>
        <v>18</v>
      </c>
      <c r="C271" s="84" t="str">
        <f ca="1">IFERROR(__xludf.DUMMYFUNCTION("""COMPUTED_VALUE"""),"NE")</f>
        <v>NE</v>
      </c>
      <c r="D271" s="339">
        <f ca="1">IFERROR(__xludf.DUMMYFUNCTION("""COMPUTED_VALUE"""),5400)</f>
        <v>5400</v>
      </c>
      <c r="E271" s="84" t="str">
        <f ca="1">IFERROR(__xludf.DUMMYFUNCTION("""COMPUTED_VALUE"""),"3531220944T20050430")</f>
        <v>3531220944T20050430</v>
      </c>
      <c r="F271" s="84">
        <f ca="1">IFERROR(__xludf.DUMMYFUNCTION("""COMPUTED_VALUE"""),1108229291)</f>
        <v>1108229291</v>
      </c>
      <c r="G271" s="83" t="str">
        <f ca="1">IFERROR(__xludf.DUMMYFUNCTION("""COMPUTED_VALUE"""),"Shing To Building")</f>
        <v>Shing To Building</v>
      </c>
      <c r="H271" s="84" t="str">
        <f ca="1">IFERROR(__xludf.DUMMYFUNCTION("""COMPUTED_VALUE"""),"成都大廈")</f>
        <v>成都大廈</v>
      </c>
      <c r="I271" s="84">
        <f ca="1">IFERROR(__xludf.DUMMYFUNCTION("""COMPUTED_VALUE"""),114.1675795)</f>
        <v>114.1675795</v>
      </c>
      <c r="J271" s="84">
        <f ca="1">IFERROR(__xludf.DUMMYFUNCTION("""COMPUTED_VALUE"""),22.32753726)</f>
        <v>22.32753726</v>
      </c>
      <c r="K271" s="88">
        <f ca="1">IFERROR(__xludf.DUMMYFUNCTION("""COMPUTED_VALUE"""),11.3)</f>
        <v>11.3</v>
      </c>
      <c r="L271" s="84" t="str">
        <f ca="1">IFERROR(__xludf.DUMMYFUNCTION("""COMPUTED_VALUE"""),"p")</f>
        <v>p</v>
      </c>
      <c r="M271" s="88">
        <f ca="1">IFERROR(__xludf.DUMMYFUNCTION("""COMPUTED_VALUE"""),51.200001)</f>
        <v>51.200001</v>
      </c>
      <c r="N271" s="84" t="str">
        <f ca="1">IFERROR(__xludf.DUMMYFUNCTION("""COMPUTED_VALUE"""),"p")</f>
        <v>p</v>
      </c>
      <c r="O271" s="88">
        <f ca="1">IFERROR(__xludf.DUMMYFUNCTION("""COMPUTED_VALUE"""),39.900001)</f>
        <v>39.900001000000003</v>
      </c>
      <c r="P271" s="85" t="str">
        <f ca="1">IFERROR(__xludf.DUMMYFUNCTION("""COMPUTED_VALUE"""),"curved road")</f>
        <v>curved road</v>
      </c>
      <c r="Q271" s="75" t="b">
        <f ca="1">IFERROR(__xludf.DUMMYFUNCTION("""COMPUTED_VALUE"""),FALSE)</f>
        <v>0</v>
      </c>
      <c r="R271" s="75" t="b">
        <f ca="1">IFERROR(__xludf.DUMMYFUNCTION("""COMPUTED_VALUE"""),FALSE)</f>
        <v>0</v>
      </c>
      <c r="S271" s="75" t="b">
        <f ca="1">IFERROR(__xludf.DUMMYFUNCTION("""COMPUTED_VALUE"""),FALSE)</f>
        <v>0</v>
      </c>
      <c r="T271" s="75"/>
      <c r="U271" s="86">
        <f ca="1">IFERROR(__xludf.DUMMYFUNCTION("""COMPUTED_VALUE"""),16)</f>
        <v>16</v>
      </c>
      <c r="V271" s="84">
        <f ca="1">IFERROR(__xludf.DUMMYFUNCTION("""COMPUTED_VALUE"""),0)</f>
        <v>0</v>
      </c>
      <c r="W271" s="87">
        <f ca="1">IFERROR(__xludf.DUMMYFUNCTION("""COMPUTED_VALUE"""),139)</f>
        <v>139</v>
      </c>
      <c r="X271" s="84">
        <f ca="1">IFERROR(__xludf.DUMMYFUNCTION("""COMPUTED_VALUE"""),1979)</f>
        <v>1979</v>
      </c>
      <c r="Y271" s="84" t="str">
        <f ca="1">IFERROR(__xludf.DUMMYFUNCTION("""COMPUTED_VALUE"""),"BMIS_auto")</f>
        <v>BMIS_auto</v>
      </c>
      <c r="Z271" s="66" t="s">
        <v>2159</v>
      </c>
    </row>
    <row r="272" spans="1:26" ht="15.75" customHeight="1">
      <c r="A272" s="83" t="str">
        <f ca="1">IFERROR(__xludf.DUMMYFUNCTION("""COMPUTED_VALUE"""),"N18SE")</f>
        <v>N18SE</v>
      </c>
      <c r="B272" s="84">
        <f ca="1">IFERROR(__xludf.DUMMYFUNCTION("""COMPUTED_VALUE"""),18)</f>
        <v>18</v>
      </c>
      <c r="C272" s="84" t="str">
        <f ca="1">IFERROR(__xludf.DUMMYFUNCTION("""COMPUTED_VALUE"""),"SE")</f>
        <v>SE</v>
      </c>
      <c r="D272" s="339">
        <f ca="1">IFERROR(__xludf.DUMMYFUNCTION("""COMPUTED_VALUE"""),5400)</f>
        <v>5400</v>
      </c>
      <c r="E272" s="84" t="str">
        <f ca="1">IFERROR(__xludf.DUMMYFUNCTION("""COMPUTED_VALUE"""),"3531920915T20100526")</f>
        <v>3531920915T20100526</v>
      </c>
      <c r="F272" s="84">
        <f ca="1">IFERROR(__xludf.DUMMYFUNCTION("""COMPUTED_VALUE"""),1810000587)</f>
        <v>1810000587</v>
      </c>
      <c r="G272" s="83" t="str">
        <f ca="1">IFERROR(__xludf.DUMMYFUNCTION("""COMPUTED_VALUE"""),"Emerald Twenty Eight")</f>
        <v>Emerald Twenty Eight</v>
      </c>
      <c r="H272" s="84" t="str">
        <f ca="1">IFERROR(__xludf.DUMMYFUNCTION("""COMPUTED_VALUE"""),"翠峰廿八")</f>
        <v>翠峰廿八</v>
      </c>
      <c r="I272" s="84">
        <f ca="1">IFERROR(__xludf.DUMMYFUNCTION("""COMPUTED_VALUE"""),114.1676831)</f>
        <v>114.1676831</v>
      </c>
      <c r="J272" s="84">
        <f ca="1">IFERROR(__xludf.DUMMYFUNCTION("""COMPUTED_VALUE"""),22.32729458)</f>
        <v>22.32729458</v>
      </c>
      <c r="K272" s="88">
        <f ca="1">IFERROR(__xludf.DUMMYFUNCTION("""COMPUTED_VALUE"""),15.7)</f>
        <v>15.7</v>
      </c>
      <c r="L272" s="84" t="str">
        <f ca="1">IFERROR(__xludf.DUMMYFUNCTION("""COMPUTED_VALUE"""),"b")</f>
        <v>b</v>
      </c>
      <c r="M272" s="88">
        <f ca="1">IFERROR(__xludf.DUMMYFUNCTION("""COMPUTED_VALUE"""),129)</f>
        <v>129</v>
      </c>
      <c r="N272" s="84" t="str">
        <f ca="1">IFERROR(__xludf.DUMMYFUNCTION("""COMPUTED_VALUE"""),"b")</f>
        <v>b</v>
      </c>
      <c r="O272" s="88">
        <f ca="1">IFERROR(__xludf.DUMMYFUNCTION("""COMPUTED_VALUE"""),113.3)</f>
        <v>113.3</v>
      </c>
      <c r="P272" s="85" t="str">
        <f ca="1">IFERROR(__xludf.DUMMYFUNCTION("""COMPUTED_VALUE"""),"curved road")</f>
        <v>curved road</v>
      </c>
      <c r="Q272" s="75" t="b">
        <f ca="1">IFERROR(__xludf.DUMMYFUNCTION("""COMPUTED_VALUE"""),FALSE)</f>
        <v>0</v>
      </c>
      <c r="R272" s="75" t="b">
        <f ca="1">IFERROR(__xludf.DUMMYFUNCTION("""COMPUTED_VALUE"""),FALSE)</f>
        <v>0</v>
      </c>
      <c r="S272" s="75" t="b">
        <f ca="1">IFERROR(__xludf.DUMMYFUNCTION("""COMPUTED_VALUE"""),FALSE)</f>
        <v>0</v>
      </c>
      <c r="T272" s="75"/>
      <c r="U272" s="86">
        <f ca="1">IFERROR(__xludf.DUMMYFUNCTION("""COMPUTED_VALUE"""),34)</f>
        <v>34</v>
      </c>
      <c r="V272" s="84"/>
      <c r="W272" s="87">
        <f ca="1">IFERROR(__xludf.DUMMYFUNCTION("""COMPUTED_VALUE"""),53)</f>
        <v>53</v>
      </c>
      <c r="X272" s="84">
        <f ca="1">IFERROR(__xludf.DUMMYFUNCTION("""COMPUTED_VALUE"""),2009)</f>
        <v>2009</v>
      </c>
      <c r="Y272" s="84" t="str">
        <f ca="1">IFERROR(__xludf.DUMMYFUNCTION("""COMPUTED_VALUE"""),"BMIS")</f>
        <v>BMIS</v>
      </c>
      <c r="Z272" s="66" t="s">
        <v>2161</v>
      </c>
    </row>
    <row r="273" spans="1:26" ht="15.75" customHeight="1">
      <c r="A273" s="83" t="str">
        <f ca="1">IFERROR(__xludf.DUMMYFUNCTION("""COMPUTED_VALUE"""),"N18SW")</f>
        <v>N18SW</v>
      </c>
      <c r="B273" s="84">
        <f ca="1">IFERROR(__xludf.DUMMYFUNCTION("""COMPUTED_VALUE"""),18)</f>
        <v>18</v>
      </c>
      <c r="C273" s="84" t="str">
        <f ca="1">IFERROR(__xludf.DUMMYFUNCTION("""COMPUTED_VALUE"""),"SW")</f>
        <v>SW</v>
      </c>
      <c r="D273" s="339">
        <f ca="1">IFERROR(__xludf.DUMMYFUNCTION("""COMPUTED_VALUE"""),5400)</f>
        <v>5400</v>
      </c>
      <c r="E273" s="84" t="str">
        <f ca="1">IFERROR(__xludf.DUMMYFUNCTION("""COMPUTED_VALUE"""),"3524520930T20050430")</f>
        <v>3524520930T20050430</v>
      </c>
      <c r="F273" s="84">
        <f ca="1">IFERROR(__xludf.DUMMYFUNCTION("""COMPUTED_VALUE"""),1108229363)</f>
        <v>1108229363</v>
      </c>
      <c r="G273" s="83" t="str">
        <f ca="1">IFERROR(__xludf.DUMMYFUNCTION("""COMPUTED_VALUE"""),"Hang Shing Building")</f>
        <v>Hang Shing Building</v>
      </c>
      <c r="H273" s="84" t="str">
        <f ca="1">IFERROR(__xludf.DUMMYFUNCTION("""COMPUTED_VALUE"""),"恆盛大廈")</f>
        <v>恆盛大廈</v>
      </c>
      <c r="I273" s="84">
        <f ca="1">IFERROR(__xludf.DUMMYFUNCTION("""COMPUTED_VALUE"""),114.1669699)</f>
        <v>114.1669699</v>
      </c>
      <c r="J273" s="84">
        <f ca="1">IFERROR(__xludf.DUMMYFUNCTION("""COMPUTED_VALUE"""),22.32742151)</f>
        <v>22.327421510000001</v>
      </c>
      <c r="K273" s="88">
        <f ca="1">IFERROR(__xludf.DUMMYFUNCTION("""COMPUTED_VALUE"""),5.3)</f>
        <v>5.3</v>
      </c>
      <c r="L273" s="84" t="str">
        <f ca="1">IFERROR(__xludf.DUMMYFUNCTION("""COMPUTED_VALUE"""),"l")</f>
        <v>l</v>
      </c>
      <c r="M273" s="88">
        <f ca="1">IFERROR(__xludf.DUMMYFUNCTION("""COMPUTED_VALUE"""),51.299999)</f>
        <v>51.299999</v>
      </c>
      <c r="N273" s="84" t="str">
        <f ca="1">IFERROR(__xludf.DUMMYFUNCTION("""COMPUTED_VALUE"""),"p")</f>
        <v>p</v>
      </c>
      <c r="O273" s="88">
        <f ca="1">IFERROR(__xludf.DUMMYFUNCTION("""COMPUTED_VALUE"""),45.999999)</f>
        <v>45.999999000000003</v>
      </c>
      <c r="P273" s="85" t="str">
        <f ca="1">IFERROR(__xludf.DUMMYFUNCTION("""COMPUTED_VALUE"""),"curved road")</f>
        <v>curved road</v>
      </c>
      <c r="Q273" s="75" t="b">
        <f ca="1">IFERROR(__xludf.DUMMYFUNCTION("""COMPUTED_VALUE"""),FALSE)</f>
        <v>0</v>
      </c>
      <c r="R273" s="75" t="b">
        <f ca="1">IFERROR(__xludf.DUMMYFUNCTION("""COMPUTED_VALUE"""),FALSE)</f>
        <v>0</v>
      </c>
      <c r="S273" s="75" t="b">
        <f ca="1">IFERROR(__xludf.DUMMYFUNCTION("""COMPUTED_VALUE"""),FALSE)</f>
        <v>0</v>
      </c>
      <c r="T273" s="75"/>
      <c r="U273" s="86">
        <f ca="1">IFERROR(__xludf.DUMMYFUNCTION("""COMPUTED_VALUE"""),14)</f>
        <v>14</v>
      </c>
      <c r="V273" s="84">
        <f ca="1">IFERROR(__xludf.DUMMYFUNCTION("""COMPUTED_VALUE"""),0)</f>
        <v>0</v>
      </c>
      <c r="W273" s="87">
        <f ca="1">IFERROR(__xludf.DUMMYFUNCTION("""COMPUTED_VALUE"""),28)</f>
        <v>28</v>
      </c>
      <c r="X273" s="84">
        <f ca="1">IFERROR(__xludf.DUMMYFUNCTION("""COMPUTED_VALUE"""),1964)</f>
        <v>1964</v>
      </c>
      <c r="Y273" s="84" t="str">
        <f ca="1">IFERROR(__xludf.DUMMYFUNCTION("""COMPUTED_VALUE"""),"BMIS_auto")</f>
        <v>BMIS_auto</v>
      </c>
      <c r="Z273" s="66" t="s">
        <v>2163</v>
      </c>
    </row>
    <row r="274" spans="1:26" ht="15.75" customHeight="1">
      <c r="A274" s="83" t="str">
        <f ca="1">IFERROR(__xludf.DUMMYFUNCTION("""COMPUTED_VALUE"""),"N18NW")</f>
        <v>N18NW</v>
      </c>
      <c r="B274" s="84">
        <f ca="1">IFERROR(__xludf.DUMMYFUNCTION("""COMPUTED_VALUE"""),18)</f>
        <v>18</v>
      </c>
      <c r="C274" s="84" t="str">
        <f ca="1">IFERROR(__xludf.DUMMYFUNCTION("""COMPUTED_VALUE"""),"NW")</f>
        <v>NW</v>
      </c>
      <c r="D274" s="339">
        <f ca="1">IFERROR(__xludf.DUMMYFUNCTION("""COMPUTED_VALUE"""),5400)</f>
        <v>5400</v>
      </c>
      <c r="E274" s="84" t="str">
        <f ca="1">IFERROR(__xludf.DUMMYFUNCTION("""COMPUTED_VALUE"""),"3526020949T20050430")</f>
        <v>3526020949T20050430</v>
      </c>
      <c r="F274" s="84">
        <f ca="1">IFERROR(__xludf.DUMMYFUNCTION("""COMPUTED_VALUE"""),1108229242)</f>
        <v>1108229242</v>
      </c>
      <c r="G274" s="83" t="str">
        <f ca="1">IFERROR(__xludf.DUMMYFUNCTION("""COMPUTED_VALUE"""),"Tai Po House")</f>
        <v>Tai Po House</v>
      </c>
      <c r="H274" s="84" t="str">
        <f ca="1">IFERROR(__xludf.DUMMYFUNCTION("""COMPUTED_VALUE"""),"大埔樓")</f>
        <v>大埔樓</v>
      </c>
      <c r="I274" s="84">
        <f ca="1">IFERROR(__xludf.DUMMYFUNCTION("""COMPUTED_VALUE"""),114.1671124)</f>
        <v>114.16711239999999</v>
      </c>
      <c r="J274" s="84">
        <f ca="1">IFERROR(__xludf.DUMMYFUNCTION("""COMPUTED_VALUE"""),22.32758326)</f>
        <v>22.327583260000001</v>
      </c>
      <c r="K274" s="88">
        <f ca="1">IFERROR(__xludf.DUMMYFUNCTION("""COMPUTED_VALUE"""),5.5)</f>
        <v>5.5</v>
      </c>
      <c r="L274" s="84" t="str">
        <f ca="1">IFERROR(__xludf.DUMMYFUNCTION("""COMPUTED_VALUE"""),"l")</f>
        <v>l</v>
      </c>
      <c r="M274" s="88">
        <f ca="1">IFERROR(__xludf.DUMMYFUNCTION("""COMPUTED_VALUE"""),40.599998)</f>
        <v>40.599997999999999</v>
      </c>
      <c r="N274" s="84" t="str">
        <f ca="1">IFERROR(__xludf.DUMMYFUNCTION("""COMPUTED_VALUE"""),"p")</f>
        <v>p</v>
      </c>
      <c r="O274" s="88">
        <f ca="1">IFERROR(__xludf.DUMMYFUNCTION("""COMPUTED_VALUE"""),35.099998)</f>
        <v>35.099997999999999</v>
      </c>
      <c r="P274" s="85" t="str">
        <f ca="1">IFERROR(__xludf.DUMMYFUNCTION("""COMPUTED_VALUE"""),"curved road")</f>
        <v>curved road</v>
      </c>
      <c r="Q274" s="75" t="b">
        <f ca="1">IFERROR(__xludf.DUMMYFUNCTION("""COMPUTED_VALUE"""),FALSE)</f>
        <v>0</v>
      </c>
      <c r="R274" s="75" t="b">
        <f ca="1">IFERROR(__xludf.DUMMYFUNCTION("""COMPUTED_VALUE"""),FALSE)</f>
        <v>0</v>
      </c>
      <c r="S274" s="75" t="b">
        <f ca="1">IFERROR(__xludf.DUMMYFUNCTION("""COMPUTED_VALUE"""),FALSE)</f>
        <v>0</v>
      </c>
      <c r="T274" s="75"/>
      <c r="U274" s="86">
        <f ca="1">IFERROR(__xludf.DUMMYFUNCTION("""COMPUTED_VALUE"""),12)</f>
        <v>12</v>
      </c>
      <c r="V274" s="84">
        <f ca="1">IFERROR(__xludf.DUMMYFUNCTION("""COMPUTED_VALUE"""),0)</f>
        <v>0</v>
      </c>
      <c r="W274" s="87">
        <f ca="1">IFERROR(__xludf.DUMMYFUNCTION("""COMPUTED_VALUE"""),47)</f>
        <v>47</v>
      </c>
      <c r="X274" s="84">
        <f ca="1">IFERROR(__xludf.DUMMYFUNCTION("""COMPUTED_VALUE"""),1966)</f>
        <v>1966</v>
      </c>
      <c r="Y274" s="84" t="str">
        <f ca="1">IFERROR(__xludf.DUMMYFUNCTION("""COMPUTED_VALUE"""),"BMIS_auto")</f>
        <v>BMIS_auto</v>
      </c>
      <c r="Z274" s="66" t="s">
        <v>2165</v>
      </c>
    </row>
    <row r="275" spans="1:26" ht="15.75" customHeight="1">
      <c r="A275" s="83" t="str">
        <f ca="1">IFERROR(__xludf.DUMMYFUNCTION("""COMPUTED_VALUE"""),"E26NE")</f>
        <v>E26NE</v>
      </c>
      <c r="B275" s="84">
        <f ca="1">IFERROR(__xludf.DUMMYFUNCTION("""COMPUTED_VALUE"""),26)</f>
        <v>26</v>
      </c>
      <c r="C275" s="84" t="str">
        <f ca="1">IFERROR(__xludf.DUMMYFUNCTION("""COMPUTED_VALUE"""),"NE")</f>
        <v>NE</v>
      </c>
      <c r="D275" s="339">
        <f ca="1">IFERROR(__xludf.DUMMYFUNCTION("""COMPUTED_VALUE"""),5400)</f>
        <v>5400</v>
      </c>
      <c r="E275" s="84" t="str">
        <f ca="1">IFERROR(__xludf.DUMMYFUNCTION("""COMPUTED_VALUE"""),"3832616811T20050430")</f>
        <v>3832616811T20050430</v>
      </c>
      <c r="F275" s="84">
        <f ca="1">IFERROR(__xludf.DUMMYFUNCTION("""COMPUTED_VALUE"""),1103120381)</f>
        <v>1103120381</v>
      </c>
      <c r="G275" s="83" t="str">
        <f ca="1">IFERROR(__xludf.DUMMYFUNCTION("""COMPUTED_VALUE"""),"Mido Apartments")</f>
        <v>Mido Apartments</v>
      </c>
      <c r="H275" s="84" t="str">
        <f ca="1">IFERROR(__xludf.DUMMYFUNCTION("""COMPUTED_VALUE"""),"美都大廈")</f>
        <v>美都大廈</v>
      </c>
      <c r="I275" s="84">
        <f ca="1">IFERROR(__xludf.DUMMYFUNCTION("""COMPUTED_VALUE"""),114.1968598)</f>
        <v>114.1968598</v>
      </c>
      <c r="J275" s="84">
        <f ca="1">IFERROR(__xludf.DUMMYFUNCTION("""COMPUTED_VALUE"""),22.29020588)</f>
        <v>22.290205879999998</v>
      </c>
      <c r="K275" s="88">
        <f ca="1">IFERROR(__xludf.DUMMYFUNCTION("""COMPUTED_VALUE"""),5.4)</f>
        <v>5.4</v>
      </c>
      <c r="L275" s="84" t="str">
        <f ca="1">IFERROR(__xludf.DUMMYFUNCTION("""COMPUTED_VALUE"""),"l")</f>
        <v>l</v>
      </c>
      <c r="M275" s="88">
        <f ca="1">IFERROR(__xludf.DUMMYFUNCTION("""COMPUTED_VALUE"""),55)</f>
        <v>55</v>
      </c>
      <c r="N275" s="84" t="str">
        <f ca="1">IFERROR(__xludf.DUMMYFUNCTION("""COMPUTED_VALUE"""),"p")</f>
        <v>p</v>
      </c>
      <c r="O275" s="88">
        <f ca="1">IFERROR(__xludf.DUMMYFUNCTION("""COMPUTED_VALUE"""),49.6)</f>
        <v>49.6</v>
      </c>
      <c r="P275" s="85"/>
      <c r="Q275" s="75" t="b">
        <f ca="1">IFERROR(__xludf.DUMMYFUNCTION("""COMPUTED_VALUE"""),FALSE)</f>
        <v>0</v>
      </c>
      <c r="R275" s="75" t="b">
        <f ca="1">IFERROR(__xludf.DUMMYFUNCTION("""COMPUTED_VALUE"""),FALSE)</f>
        <v>0</v>
      </c>
      <c r="S275" s="75" t="b">
        <f ca="1">IFERROR(__xludf.DUMMYFUNCTION("""COMPUTED_VALUE"""),FALSE)</f>
        <v>0</v>
      </c>
      <c r="T275" s="75" t="b">
        <f ca="1">IFERROR(__xludf.DUMMYFUNCTION("""COMPUTED_VALUE"""),FALSE)</f>
        <v>0</v>
      </c>
      <c r="U275" s="86">
        <f ca="1">IFERROR(__xludf.DUMMYFUNCTION("""COMPUTED_VALUE"""),16)</f>
        <v>16</v>
      </c>
      <c r="V275" s="84"/>
      <c r="W275" s="87">
        <f ca="1">IFERROR(__xludf.DUMMYFUNCTION("""COMPUTED_VALUE"""),66)</f>
        <v>66</v>
      </c>
      <c r="X275" s="84">
        <f ca="1">IFERROR(__xludf.DUMMYFUNCTION("""COMPUTED_VALUE"""),1958)</f>
        <v>1958</v>
      </c>
      <c r="Y275" s="84" t="str">
        <f ca="1">IFERROR(__xludf.DUMMYFUNCTION("""COMPUTED_VALUE"""),"BMIS_auto")</f>
        <v>BMIS_auto</v>
      </c>
      <c r="Z275" s="66" t="s">
        <v>2167</v>
      </c>
    </row>
    <row r="276" spans="1:26" ht="15.75" customHeight="1">
      <c r="A276" s="83" t="str">
        <f ca="1">IFERROR(__xludf.DUMMYFUNCTION("""COMPUTED_VALUE"""),"E26SE")</f>
        <v>E26SE</v>
      </c>
      <c r="B276" s="84">
        <f ca="1">IFERROR(__xludf.DUMMYFUNCTION("""COMPUTED_VALUE"""),26)</f>
        <v>26</v>
      </c>
      <c r="C276" s="84" t="str">
        <f ca="1">IFERROR(__xludf.DUMMYFUNCTION("""COMPUTED_VALUE"""),"SE")</f>
        <v>SE</v>
      </c>
      <c r="D276" s="339">
        <f ca="1">IFERROR(__xludf.DUMMYFUNCTION("""COMPUTED_VALUE"""),5400)</f>
        <v>5400</v>
      </c>
      <c r="E276" s="84" t="str">
        <f ca="1">IFERROR(__xludf.DUMMYFUNCTION("""COMPUTED_VALUE"""),"3828216811T20050430")</f>
        <v>3828216811T20050430</v>
      </c>
      <c r="F276" s="84">
        <f ca="1">IFERROR(__xludf.DUMMYFUNCTION("""COMPUTED_VALUE"""),1103120396)</f>
        <v>1103120396</v>
      </c>
      <c r="G276" s="83" t="str">
        <f ca="1">IFERROR(__xludf.DUMMYFUNCTION("""COMPUTED_VALUE"""),"Hang Ying Building")</f>
        <v>Hang Ying Building</v>
      </c>
      <c r="H276" s="84" t="str">
        <f ca="1">IFERROR(__xludf.DUMMYFUNCTION("""COMPUTED_VALUE"""),"恒英大廈")</f>
        <v>恒英大廈</v>
      </c>
      <c r="I276" s="84">
        <f ca="1">IFERROR(__xludf.DUMMYFUNCTION("""COMPUTED_VALUE"""),114.1964724)</f>
        <v>114.1964724</v>
      </c>
      <c r="J276" s="84">
        <f ca="1">IFERROR(__xludf.DUMMYFUNCTION("""COMPUTED_VALUE"""),22.29012049)</f>
        <v>22.29012049</v>
      </c>
      <c r="K276" s="88">
        <f ca="1">IFERROR(__xludf.DUMMYFUNCTION("""COMPUTED_VALUE"""),6.1)</f>
        <v>6.1</v>
      </c>
      <c r="L276" s="84" t="str">
        <f ca="1">IFERROR(__xludf.DUMMYFUNCTION("""COMPUTED_VALUE"""),"l")</f>
        <v>l</v>
      </c>
      <c r="M276" s="88">
        <f ca="1">IFERROR(__xludf.DUMMYFUNCTION("""COMPUTED_VALUE"""),67.7)</f>
        <v>67.7</v>
      </c>
      <c r="N276" s="84" t="str">
        <f ca="1">IFERROR(__xludf.DUMMYFUNCTION("""COMPUTED_VALUE"""),"3")</f>
        <v>3</v>
      </c>
      <c r="O276" s="88">
        <f ca="1">IFERROR(__xludf.DUMMYFUNCTION("""COMPUTED_VALUE"""),61.6)</f>
        <v>61.6</v>
      </c>
      <c r="P276" s="85"/>
      <c r="Q276" s="75" t="b">
        <f ca="1">IFERROR(__xludf.DUMMYFUNCTION("""COMPUTED_VALUE"""),FALSE)</f>
        <v>0</v>
      </c>
      <c r="R276" s="75" t="b">
        <f ca="1">IFERROR(__xludf.DUMMYFUNCTION("""COMPUTED_VALUE"""),FALSE)</f>
        <v>0</v>
      </c>
      <c r="S276" s="75" t="b">
        <f ca="1">IFERROR(__xludf.DUMMYFUNCTION("""COMPUTED_VALUE"""),FALSE)</f>
        <v>0</v>
      </c>
      <c r="T276" s="75" t="b">
        <f ca="1">IFERROR(__xludf.DUMMYFUNCTION("""COMPUTED_VALUE"""),FALSE)</f>
        <v>0</v>
      </c>
      <c r="U276" s="86">
        <f ca="1">IFERROR(__xludf.DUMMYFUNCTION("""COMPUTED_VALUE"""),19)</f>
        <v>19</v>
      </c>
      <c r="V276" s="84"/>
      <c r="W276" s="87">
        <f ca="1">IFERROR(__xludf.DUMMYFUNCTION("""COMPUTED_VALUE"""),160)</f>
        <v>160</v>
      </c>
      <c r="X276" s="84">
        <f ca="1">IFERROR(__xludf.DUMMYFUNCTION("""COMPUTED_VALUE"""),1982)</f>
        <v>1982</v>
      </c>
      <c r="Y276" s="84" t="str">
        <f ca="1">IFERROR(__xludf.DUMMYFUNCTION("""COMPUTED_VALUE"""),"BMIS_auto")</f>
        <v>BMIS_auto</v>
      </c>
      <c r="Z276" s="66" t="s">
        <v>2169</v>
      </c>
    </row>
    <row r="277" spans="1:26" ht="15.75" customHeight="1">
      <c r="A277" s="83" t="str">
        <f ca="1">IFERROR(__xludf.DUMMYFUNCTION("""COMPUTED_VALUE"""),"E26SW")</f>
        <v>E26SW</v>
      </c>
      <c r="B277" s="84">
        <f ca="1">IFERROR(__xludf.DUMMYFUNCTION("""COMPUTED_VALUE"""),26)</f>
        <v>26</v>
      </c>
      <c r="C277" s="84" t="str">
        <f ca="1">IFERROR(__xludf.DUMMYFUNCTION("""COMPUTED_VALUE"""),"SW")</f>
        <v>SW</v>
      </c>
      <c r="D277" s="339">
        <f ca="1">IFERROR(__xludf.DUMMYFUNCTION("""COMPUTED_VALUE"""),5400)</f>
        <v>5400</v>
      </c>
      <c r="E277" s="84" t="str">
        <f ca="1">IFERROR(__xludf.DUMMYFUNCTION("""COMPUTED_VALUE"""),"3828916857T20050430")</f>
        <v>3828916857T20050430</v>
      </c>
      <c r="F277" s="84">
        <f ca="1">IFERROR(__xludf.DUMMYFUNCTION("""COMPUTED_VALUE"""),1103120276)</f>
        <v>1103120276</v>
      </c>
      <c r="G277" s="83" t="str">
        <f ca="1">IFERROR(__xludf.DUMMYFUNCTION("""COMPUTED_VALUE"""),"Coronet Court")</f>
        <v>Coronet Court</v>
      </c>
      <c r="H277" s="84" t="str">
        <f ca="1">IFERROR(__xludf.DUMMYFUNCTION("""COMPUTED_VALUE"""),"皇冠大廈")</f>
        <v>皇冠大廈</v>
      </c>
      <c r="I277" s="84">
        <f ca="1">IFERROR(__xludf.DUMMYFUNCTION("""COMPUTED_VALUE"""),114.1964841)</f>
        <v>114.19648410000001</v>
      </c>
      <c r="J277" s="84">
        <f ca="1">IFERROR(__xludf.DUMMYFUNCTION("""COMPUTED_VALUE"""),22.29067625)</f>
        <v>22.290676250000001</v>
      </c>
      <c r="K277" s="88">
        <f ca="1">IFERROR(__xludf.DUMMYFUNCTION("""COMPUTED_VALUE"""),4.8)</f>
        <v>4.8</v>
      </c>
      <c r="L277" s="84" t="str">
        <f ca="1">IFERROR(__xludf.DUMMYFUNCTION("""COMPUTED_VALUE"""),"l")</f>
        <v>l</v>
      </c>
      <c r="M277" s="88">
        <f ca="1">IFERROR(__xludf.DUMMYFUNCTION("""COMPUTED_VALUE"""),54.1)</f>
        <v>54.1</v>
      </c>
      <c r="N277" s="84" t="str">
        <f ca="1">IFERROR(__xludf.DUMMYFUNCTION("""COMPUTED_VALUE"""),"3")</f>
        <v>3</v>
      </c>
      <c r="O277" s="88">
        <f ca="1">IFERROR(__xludf.DUMMYFUNCTION("""COMPUTED_VALUE"""),49.3)</f>
        <v>49.3</v>
      </c>
      <c r="P277" s="85"/>
      <c r="Q277" s="75" t="b">
        <f ca="1">IFERROR(__xludf.DUMMYFUNCTION("""COMPUTED_VALUE"""),FALSE)</f>
        <v>0</v>
      </c>
      <c r="R277" s="75" t="b">
        <f ca="1">IFERROR(__xludf.DUMMYFUNCTION("""COMPUTED_VALUE"""),FALSE)</f>
        <v>0</v>
      </c>
      <c r="S277" s="75" t="b">
        <f ca="1">IFERROR(__xludf.DUMMYFUNCTION("""COMPUTED_VALUE"""),FALSE)</f>
        <v>0</v>
      </c>
      <c r="T277" s="75" t="b">
        <f ca="1">IFERROR(__xludf.DUMMYFUNCTION("""COMPUTED_VALUE"""),FALSE)</f>
        <v>0</v>
      </c>
      <c r="U277" s="86">
        <f ca="1">IFERROR(__xludf.DUMMYFUNCTION("""COMPUTED_VALUE"""),15)</f>
        <v>15</v>
      </c>
      <c r="V277" s="84">
        <f ca="1">IFERROR(__xludf.DUMMYFUNCTION("""COMPUTED_VALUE"""),0)</f>
        <v>0</v>
      </c>
      <c r="W277" s="87">
        <f ca="1">IFERROR(__xludf.DUMMYFUNCTION("""COMPUTED_VALUE"""),180)</f>
        <v>180</v>
      </c>
      <c r="X277" s="84">
        <f ca="1">IFERROR(__xludf.DUMMYFUNCTION("""COMPUTED_VALUE"""),1958)</f>
        <v>1958</v>
      </c>
      <c r="Y277" s="84" t="str">
        <f ca="1">IFERROR(__xludf.DUMMYFUNCTION("""COMPUTED_VALUE"""),"BMIS_auto")</f>
        <v>BMIS_auto</v>
      </c>
      <c r="Z277" s="66" t="s">
        <v>2171</v>
      </c>
    </row>
    <row r="278" spans="1:26" ht="15.75" customHeight="1">
      <c r="A278" s="83" t="str">
        <f ca="1">IFERROR(__xludf.DUMMYFUNCTION("""COMPUTED_VALUE"""),"E26NW")</f>
        <v>E26NW</v>
      </c>
      <c r="B278" s="84">
        <f ca="1">IFERROR(__xludf.DUMMYFUNCTION("""COMPUTED_VALUE"""),26)</f>
        <v>26</v>
      </c>
      <c r="C278" s="84" t="str">
        <f ca="1">IFERROR(__xludf.DUMMYFUNCTION("""COMPUTED_VALUE"""),"NW")</f>
        <v>NW</v>
      </c>
      <c r="D278" s="339">
        <f ca="1">IFERROR(__xludf.DUMMYFUNCTION("""COMPUTED_VALUE"""),5400)</f>
        <v>5400</v>
      </c>
      <c r="E278" s="84" t="str">
        <f ca="1">IFERROR(__xludf.DUMMYFUNCTION("""COMPUTED_VALUE"""),"3833516858T20050430")</f>
        <v>3833516858T20050430</v>
      </c>
      <c r="F278" s="84">
        <f ca="1">IFERROR(__xludf.DUMMYFUNCTION("""COMPUTED_VALUE"""),1103120290)</f>
        <v>1103120290</v>
      </c>
      <c r="G278" s="83" t="str">
        <f ca="1">IFERROR(__xludf.DUMMYFUNCTION("""COMPUTED_VALUE"""),"Hang Seng North Point Building")</f>
        <v>Hang Seng North Point Building</v>
      </c>
      <c r="H278" s="84" t="str">
        <f ca="1">IFERROR(__xludf.DUMMYFUNCTION("""COMPUTED_VALUE"""),"恒生北角大廈")</f>
        <v>恒生北角大廈</v>
      </c>
      <c r="I278" s="84">
        <f ca="1">IFERROR(__xludf.DUMMYFUNCTION("""COMPUTED_VALUE"""),114.1969751)</f>
        <v>114.1969751</v>
      </c>
      <c r="J278" s="84">
        <f ca="1">IFERROR(__xludf.DUMMYFUNCTION("""COMPUTED_VALUE"""),22.2907218)</f>
        <v>22.2907218</v>
      </c>
      <c r="K278" s="88">
        <f ca="1">IFERROR(__xludf.DUMMYFUNCTION("""COMPUTED_VALUE"""),4.8)</f>
        <v>4.8</v>
      </c>
      <c r="L278" s="84" t="str">
        <f ca="1">IFERROR(__xludf.DUMMYFUNCTION("""COMPUTED_VALUE"""),"l")</f>
        <v>l</v>
      </c>
      <c r="M278" s="88">
        <f ca="1">IFERROR(__xludf.DUMMYFUNCTION("""COMPUTED_VALUE"""),81.1)</f>
        <v>81.099999999999994</v>
      </c>
      <c r="N278" s="84" t="str">
        <f ca="1">IFERROR(__xludf.DUMMYFUNCTION("""COMPUTED_VALUE"""),"3")</f>
        <v>3</v>
      </c>
      <c r="O278" s="88">
        <f ca="1">IFERROR(__xludf.DUMMYFUNCTION("""COMPUTED_VALUE"""),76.3)</f>
        <v>76.3</v>
      </c>
      <c r="P278" s="85"/>
      <c r="Q278" s="75" t="b">
        <f ca="1">IFERROR(__xludf.DUMMYFUNCTION("""COMPUTED_VALUE"""),FALSE)</f>
        <v>0</v>
      </c>
      <c r="R278" s="75" t="b">
        <f ca="1">IFERROR(__xludf.DUMMYFUNCTION("""COMPUTED_VALUE"""),FALSE)</f>
        <v>0</v>
      </c>
      <c r="S278" s="75" t="b">
        <f ca="1">IFERROR(__xludf.DUMMYFUNCTION("""COMPUTED_VALUE"""),FALSE)</f>
        <v>0</v>
      </c>
      <c r="T278" s="75" t="b">
        <f ca="1">IFERROR(__xludf.DUMMYFUNCTION("""COMPUTED_VALUE"""),FALSE)</f>
        <v>0</v>
      </c>
      <c r="U278" s="86">
        <f ca="1">IFERROR(__xludf.DUMMYFUNCTION("""COMPUTED_VALUE"""),23)</f>
        <v>23</v>
      </c>
      <c r="V278" s="84">
        <f ca="1">IFERROR(__xludf.DUMMYFUNCTION("""COMPUTED_VALUE"""),0)</f>
        <v>0</v>
      </c>
      <c r="W278" s="87">
        <f ca="1">IFERROR(__xludf.DUMMYFUNCTION("""COMPUTED_VALUE"""),92)</f>
        <v>92</v>
      </c>
      <c r="X278" s="84">
        <f ca="1">IFERROR(__xludf.DUMMYFUNCTION("""COMPUTED_VALUE"""),1985)</f>
        <v>1985</v>
      </c>
      <c r="Y278" s="84" t="str">
        <f ca="1">IFERROR(__xludf.DUMMYFUNCTION("""COMPUTED_VALUE"""),"BMIS_auto")</f>
        <v>BMIS_auto</v>
      </c>
      <c r="Z278" s="66" t="s">
        <v>2173</v>
      </c>
    </row>
    <row r="279" spans="1:26" ht="15.75" customHeight="1">
      <c r="A279" s="83" t="str">
        <f ca="1">IFERROR(__xludf.DUMMYFUNCTION("""COMPUTED_VALUE"""),"N19NE")</f>
        <v>N19NE</v>
      </c>
      <c r="B279" s="84">
        <f ca="1">IFERROR(__xludf.DUMMYFUNCTION("""COMPUTED_VALUE"""),19)</f>
        <v>19</v>
      </c>
      <c r="C279" s="84" t="str">
        <f ca="1">IFERROR(__xludf.DUMMYFUNCTION("""COMPUTED_VALUE"""),"NE")</f>
        <v>NE</v>
      </c>
      <c r="D279" s="339">
        <f ca="1">IFERROR(__xludf.DUMMYFUNCTION("""COMPUTED_VALUE"""),5600)</f>
        <v>5600</v>
      </c>
      <c r="E279" s="84" t="str">
        <f ca="1">IFERROR(__xludf.DUMMYFUNCTION("""COMPUTED_VALUE"""),"3520121085T20110927")</f>
        <v>3520121085T20110927</v>
      </c>
      <c r="F279" s="84">
        <f ca="1">IFERROR(__xludf.DUMMYFUNCTION("""COMPUTED_VALUE"""),1108228236)</f>
        <v>1108228236</v>
      </c>
      <c r="G279" s="83" t="str">
        <f ca="1">IFERROR(__xludf.DUMMYFUNCTION("""COMPUTED_VALUE"""),"Fairview Garden")</f>
        <v>Fairview Garden</v>
      </c>
      <c r="H279" s="84" t="str">
        <f ca="1">IFERROR(__xludf.DUMMYFUNCTION("""COMPUTED_VALUE"""),"景翠苑")</f>
        <v>景翠苑</v>
      </c>
      <c r="I279" s="84">
        <f ca="1">IFERROR(__xludf.DUMMYFUNCTION("""COMPUTED_VALUE"""),114.1665059)</f>
        <v>114.1665059</v>
      </c>
      <c r="J279" s="84">
        <f ca="1">IFERROR(__xludf.DUMMYFUNCTION("""COMPUTED_VALUE"""),22.32880536)</f>
        <v>22.32880536</v>
      </c>
      <c r="K279" s="88">
        <f ca="1">IFERROR(__xludf.DUMMYFUNCTION("""COMPUTED_VALUE"""),13.7)</f>
        <v>13.7</v>
      </c>
      <c r="L279" s="84" t="str">
        <f ca="1">IFERROR(__xludf.DUMMYFUNCTION("""COMPUTED_VALUE"""),"b")</f>
        <v>b</v>
      </c>
      <c r="M279" s="88">
        <f ca="1">IFERROR(__xludf.DUMMYFUNCTION("""COMPUTED_VALUE"""),72.400002)</f>
        <v>72.400002000000001</v>
      </c>
      <c r="N279" s="84" t="str">
        <f ca="1">IFERROR(__xludf.DUMMYFUNCTION("""COMPUTED_VALUE"""),"b")</f>
        <v>b</v>
      </c>
      <c r="O279" s="88">
        <f ca="1">IFERROR(__xludf.DUMMYFUNCTION("""COMPUTED_VALUE"""),58.700002)</f>
        <v>58.700001999999998</v>
      </c>
      <c r="P279" s="85"/>
      <c r="Q279" s="75" t="b">
        <f ca="1">IFERROR(__xludf.DUMMYFUNCTION("""COMPUTED_VALUE"""),FALSE)</f>
        <v>0</v>
      </c>
      <c r="R279" s="75" t="b">
        <f ca="1">IFERROR(__xludf.DUMMYFUNCTION("""COMPUTED_VALUE"""),FALSE)</f>
        <v>0</v>
      </c>
      <c r="S279" s="75" t="b">
        <f ca="1">IFERROR(__xludf.DUMMYFUNCTION("""COMPUTED_VALUE"""),FALSE)</f>
        <v>0</v>
      </c>
      <c r="T279" s="75"/>
      <c r="U279" s="86">
        <f ca="1">IFERROR(__xludf.DUMMYFUNCTION("""COMPUTED_VALUE"""),21)</f>
        <v>21</v>
      </c>
      <c r="V279" s="84">
        <f ca="1">IFERROR(__xludf.DUMMYFUNCTION("""COMPUTED_VALUE"""),0)</f>
        <v>0</v>
      </c>
      <c r="W279" s="87">
        <f ca="1">IFERROR(__xludf.DUMMYFUNCTION("""COMPUTED_VALUE"""),42)</f>
        <v>42</v>
      </c>
      <c r="X279" s="84">
        <f ca="1">IFERROR(__xludf.DUMMYFUNCTION("""COMPUTED_VALUE"""),1999)</f>
        <v>1999</v>
      </c>
      <c r="Y279" s="84" t="str">
        <f ca="1">IFERROR(__xludf.DUMMYFUNCTION("""COMPUTED_VALUE"""),"BMIS_auto")</f>
        <v>BMIS_auto</v>
      </c>
      <c r="Z279" s="66" t="s">
        <v>2175</v>
      </c>
    </row>
    <row r="280" spans="1:26" ht="15.75" customHeight="1">
      <c r="A280" s="83" t="str">
        <f ca="1">IFERROR(__xludf.DUMMYFUNCTION("""COMPUTED_VALUE"""),"N19SE")</f>
        <v>N19SE</v>
      </c>
      <c r="B280" s="84">
        <f ca="1">IFERROR(__xludf.DUMMYFUNCTION("""COMPUTED_VALUE"""),19)</f>
        <v>19</v>
      </c>
      <c r="C280" s="84" t="str">
        <f ca="1">IFERROR(__xludf.DUMMYFUNCTION("""COMPUTED_VALUE"""),"SE")</f>
        <v>SE</v>
      </c>
      <c r="D280" s="339">
        <f ca="1">IFERROR(__xludf.DUMMYFUNCTION("""COMPUTED_VALUE"""),5600)</f>
        <v>5600</v>
      </c>
      <c r="E280" s="84" t="str">
        <f ca="1">IFERROR(__xludf.DUMMYFUNCTION("""COMPUTED_VALUE"""),"3524521080T20050430")</f>
        <v>3524521080T20050430</v>
      </c>
      <c r="F280" s="84">
        <f ca="1">IFERROR(__xludf.DUMMYFUNCTION("""COMPUTED_VALUE"""),1108228278)</f>
        <v>1108228278</v>
      </c>
      <c r="G280" s="83" t="str">
        <f ca="1">IFERROR(__xludf.DUMMYFUNCTION("""COMPUTED_VALUE"""),"Yau Luen Apartments")</f>
        <v>Yau Luen Apartments</v>
      </c>
      <c r="H280" s="84" t="str">
        <f ca="1">IFERROR(__xludf.DUMMYFUNCTION("""COMPUTED_VALUE"""),"友聯大樓")</f>
        <v>友聯大樓</v>
      </c>
      <c r="I280" s="84">
        <f ca="1">IFERROR(__xludf.DUMMYFUNCTION("""COMPUTED_VALUE"""),114.1669798)</f>
        <v>114.16697979999999</v>
      </c>
      <c r="J280" s="84">
        <f ca="1">IFERROR(__xludf.DUMMYFUNCTION("""COMPUTED_VALUE"""),22.32875931)</f>
        <v>22.328759309999999</v>
      </c>
      <c r="K280" s="88">
        <f ca="1">IFERROR(__xludf.DUMMYFUNCTION("""COMPUTED_VALUE"""),5.8)</f>
        <v>5.8</v>
      </c>
      <c r="L280" s="84" t="str">
        <f ca="1">IFERROR(__xludf.DUMMYFUNCTION("""COMPUTED_VALUE"""),"l")</f>
        <v>l</v>
      </c>
      <c r="M280" s="88">
        <f ca="1">IFERROR(__xludf.DUMMYFUNCTION("""COMPUTED_VALUE"""),45.099998)</f>
        <v>45.099997999999999</v>
      </c>
      <c r="N280" s="84" t="str">
        <f ca="1">IFERROR(__xludf.DUMMYFUNCTION("""COMPUTED_VALUE"""),"3")</f>
        <v>3</v>
      </c>
      <c r="O280" s="88">
        <f ca="1">IFERROR(__xludf.DUMMYFUNCTION("""COMPUTED_VALUE"""),39.299998)</f>
        <v>39.299998000000002</v>
      </c>
      <c r="P280" s="85"/>
      <c r="Q280" s="75" t="b">
        <f ca="1">IFERROR(__xludf.DUMMYFUNCTION("""COMPUTED_VALUE"""),FALSE)</f>
        <v>0</v>
      </c>
      <c r="R280" s="75" t="b">
        <f ca="1">IFERROR(__xludf.DUMMYFUNCTION("""COMPUTED_VALUE"""),FALSE)</f>
        <v>0</v>
      </c>
      <c r="S280" s="75" t="b">
        <f ca="1">IFERROR(__xludf.DUMMYFUNCTION("""COMPUTED_VALUE"""),FALSE)</f>
        <v>0</v>
      </c>
      <c r="T280" s="75"/>
      <c r="U280" s="86">
        <f ca="1">IFERROR(__xludf.DUMMYFUNCTION("""COMPUTED_VALUE"""),11)</f>
        <v>11</v>
      </c>
      <c r="V280" s="84">
        <f ca="1">IFERROR(__xludf.DUMMYFUNCTION("""COMPUTED_VALUE"""),0)</f>
        <v>0</v>
      </c>
      <c r="W280" s="87">
        <f ca="1">IFERROR(__xludf.DUMMYFUNCTION("""COMPUTED_VALUE"""),88)</f>
        <v>88</v>
      </c>
      <c r="X280" s="84">
        <f ca="1">IFERROR(__xludf.DUMMYFUNCTION("""COMPUTED_VALUE"""),1963)</f>
        <v>1963</v>
      </c>
      <c r="Y280" s="84" t="str">
        <f ca="1">IFERROR(__xludf.DUMMYFUNCTION("""COMPUTED_VALUE"""),"BMIS_auto")</f>
        <v>BMIS_auto</v>
      </c>
      <c r="Z280" s="66" t="s">
        <v>2177</v>
      </c>
    </row>
    <row r="281" spans="1:26" ht="15.75" customHeight="1">
      <c r="A281" s="83" t="str">
        <f ca="1">IFERROR(__xludf.DUMMYFUNCTION("""COMPUTED_VALUE"""),"N19SW")</f>
        <v>N19SW</v>
      </c>
      <c r="B281" s="84">
        <f ca="1">IFERROR(__xludf.DUMMYFUNCTION("""COMPUTED_VALUE"""),19)</f>
        <v>19</v>
      </c>
      <c r="C281" s="84" t="str">
        <f ca="1">IFERROR(__xludf.DUMMYFUNCTION("""COMPUTED_VALUE"""),"SW")</f>
        <v>SW</v>
      </c>
      <c r="D281" s="339">
        <f ca="1">IFERROR(__xludf.DUMMYFUNCTION("""COMPUTED_VALUE"""),5600)</f>
        <v>5600</v>
      </c>
      <c r="E281" s="84" t="str">
        <f ca="1">IFERROR(__xludf.DUMMYFUNCTION("""COMPUTED_VALUE"""),"3520721077T20050430")</f>
        <v>3520721077T20050430</v>
      </c>
      <c r="F281" s="84">
        <f ca="1">IFERROR(__xludf.DUMMYFUNCTION("""COMPUTED_VALUE"""),1108228341)</f>
        <v>1108228341</v>
      </c>
      <c r="G281" s="83" t="str">
        <f ca="1">IFERROR(__xludf.DUMMYFUNCTION("""COMPUTED_VALUE"""),"33 Maple Street")</f>
        <v>33 Maple Street</v>
      </c>
      <c r="H281" s="84"/>
      <c r="I281" s="84">
        <f ca="1">IFERROR(__xludf.DUMMYFUNCTION("""COMPUTED_VALUE"""),114.1665802)</f>
        <v>114.1665802</v>
      </c>
      <c r="J281" s="84">
        <f ca="1">IFERROR(__xludf.DUMMYFUNCTION("""COMPUTED_VALUE"""),22.32871584)</f>
        <v>22.328715840000001</v>
      </c>
      <c r="K281" s="88">
        <f ca="1">IFERROR(__xludf.DUMMYFUNCTION("""COMPUTED_VALUE"""),5.8)</f>
        <v>5.8</v>
      </c>
      <c r="L281" s="84" t="str">
        <f ca="1">IFERROR(__xludf.DUMMYFUNCTION("""COMPUTED_VALUE"""),"l")</f>
        <v>l</v>
      </c>
      <c r="M281" s="88">
        <f ca="1">IFERROR(__xludf.DUMMYFUNCTION("""COMPUTED_VALUE"""),27.700001)</f>
        <v>27.700001</v>
      </c>
      <c r="N281" s="84" t="str">
        <f ca="1">IFERROR(__xludf.DUMMYFUNCTION("""COMPUTED_VALUE"""),"p")</f>
        <v>p</v>
      </c>
      <c r="O281" s="88">
        <f ca="1">IFERROR(__xludf.DUMMYFUNCTION("""COMPUTED_VALUE"""),21.900001)</f>
        <v>21.900001</v>
      </c>
      <c r="P281" s="85"/>
      <c r="Q281" s="75" t="b">
        <f ca="1">IFERROR(__xludf.DUMMYFUNCTION("""COMPUTED_VALUE"""),FALSE)</f>
        <v>0</v>
      </c>
      <c r="R281" s="75" t="b">
        <f ca="1">IFERROR(__xludf.DUMMYFUNCTION("""COMPUTED_VALUE"""),FALSE)</f>
        <v>0</v>
      </c>
      <c r="S281" s="75" t="b">
        <f ca="1">IFERROR(__xludf.DUMMYFUNCTION("""COMPUTED_VALUE"""),TRUE)</f>
        <v>1</v>
      </c>
      <c r="T281" s="75"/>
      <c r="U281" s="86">
        <f ca="1">IFERROR(__xludf.DUMMYFUNCTION("""COMPUTED_VALUE"""),6)</f>
        <v>6</v>
      </c>
      <c r="V281" s="84">
        <f ca="1">IFERROR(__xludf.DUMMYFUNCTION("""COMPUTED_VALUE"""),0)</f>
        <v>0</v>
      </c>
      <c r="W281" s="87">
        <f ca="1">IFERROR(__xludf.DUMMYFUNCTION("""COMPUTED_VALUE"""),13)</f>
        <v>13</v>
      </c>
      <c r="X281" s="84">
        <f ca="1">IFERROR(__xludf.DUMMYFUNCTION("""COMPUTED_VALUE"""),1973)</f>
        <v>1973</v>
      </c>
      <c r="Y281" s="84" t="str">
        <f ca="1">IFERROR(__xludf.DUMMYFUNCTION("""COMPUTED_VALUE"""),"BMIS_auto")</f>
        <v>BMIS_auto</v>
      </c>
      <c r="Z281" s="66" t="s">
        <v>2179</v>
      </c>
    </row>
    <row r="282" spans="1:26" ht="15.75" customHeight="1">
      <c r="A282" s="83" t="str">
        <f ca="1">IFERROR(__xludf.DUMMYFUNCTION("""COMPUTED_VALUE"""),"N19NW")</f>
        <v>N19NW</v>
      </c>
      <c r="B282" s="84">
        <f ca="1">IFERROR(__xludf.DUMMYFUNCTION("""COMPUTED_VALUE"""),19)</f>
        <v>19</v>
      </c>
      <c r="C282" s="84" t="str">
        <f ca="1">IFERROR(__xludf.DUMMYFUNCTION("""COMPUTED_VALUE"""),"NW")</f>
        <v>NW</v>
      </c>
      <c r="D282" s="339">
        <f ca="1">IFERROR(__xludf.DUMMYFUNCTION("""COMPUTED_VALUE"""),5600)</f>
        <v>5600</v>
      </c>
      <c r="E282" s="84" t="str">
        <f ca="1">IFERROR(__xludf.DUMMYFUNCTION("""COMPUTED_VALUE"""),"3524221102T20050430")</f>
        <v>3524221102T20050430</v>
      </c>
      <c r="F282" s="84">
        <f ca="1">IFERROR(__xludf.DUMMYFUNCTION("""COMPUTED_VALUE"""),1108228149)</f>
        <v>1108228149</v>
      </c>
      <c r="G282" s="83" t="str">
        <f ca="1">IFERROR(__xludf.DUMMYFUNCTION("""COMPUTED_VALUE"""),"Hoi Cheung Building")</f>
        <v>Hoi Cheung Building</v>
      </c>
      <c r="H282" s="84" t="str">
        <f ca="1">IFERROR(__xludf.DUMMYFUNCTION("""COMPUTED_VALUE"""),"海祥大廈")</f>
        <v>海祥大廈</v>
      </c>
      <c r="I282" s="84">
        <f ca="1">IFERROR(__xludf.DUMMYFUNCTION("""COMPUTED_VALUE"""),114.1669379)</f>
        <v>114.16693789999999</v>
      </c>
      <c r="J282" s="84">
        <f ca="1">IFERROR(__xludf.DUMMYFUNCTION("""COMPUTED_VALUE"""),22.32896527)</f>
        <v>22.328965270000001</v>
      </c>
      <c r="K282" s="88">
        <f ca="1">IFERROR(__xludf.DUMMYFUNCTION("""COMPUTED_VALUE"""),10.2)</f>
        <v>10.199999999999999</v>
      </c>
      <c r="L282" s="84" t="str">
        <f ca="1">IFERROR(__xludf.DUMMYFUNCTION("""COMPUTED_VALUE"""),"p")</f>
        <v>p</v>
      </c>
      <c r="M282" s="88">
        <f ca="1">IFERROR(__xludf.DUMMYFUNCTION("""COMPUTED_VALUE"""),50.200001)</f>
        <v>50.200001</v>
      </c>
      <c r="N282" s="84" t="str">
        <f ca="1">IFERROR(__xludf.DUMMYFUNCTION("""COMPUTED_VALUE"""),"3")</f>
        <v>3</v>
      </c>
      <c r="O282" s="88">
        <f ca="1">IFERROR(__xludf.DUMMYFUNCTION("""COMPUTED_VALUE"""),40.000001)</f>
        <v>40.000000999999997</v>
      </c>
      <c r="P282" s="85"/>
      <c r="Q282" s="75" t="b">
        <f ca="1">IFERROR(__xludf.DUMMYFUNCTION("""COMPUTED_VALUE"""),FALSE)</f>
        <v>0</v>
      </c>
      <c r="R282" s="75" t="b">
        <f ca="1">IFERROR(__xludf.DUMMYFUNCTION("""COMPUTED_VALUE"""),FALSE)</f>
        <v>0</v>
      </c>
      <c r="S282" s="75" t="b">
        <f ca="1">IFERROR(__xludf.DUMMYFUNCTION("""COMPUTED_VALUE"""),FALSE)</f>
        <v>0</v>
      </c>
      <c r="T282" s="75"/>
      <c r="U282" s="86">
        <f ca="1">IFERROR(__xludf.DUMMYFUNCTION("""COMPUTED_VALUE"""),15)</f>
        <v>15</v>
      </c>
      <c r="V282" s="84">
        <f ca="1">IFERROR(__xludf.DUMMYFUNCTION("""COMPUTED_VALUE"""),0)</f>
        <v>0</v>
      </c>
      <c r="W282" s="87">
        <f ca="1">IFERROR(__xludf.DUMMYFUNCTION("""COMPUTED_VALUE"""),123)</f>
        <v>123</v>
      </c>
      <c r="X282" s="84">
        <f ca="1">IFERROR(__xludf.DUMMYFUNCTION("""COMPUTED_VALUE"""),1988)</f>
        <v>1988</v>
      </c>
      <c r="Y282" s="84" t="str">
        <f ca="1">IFERROR(__xludf.DUMMYFUNCTION("""COMPUTED_VALUE"""),"BMIS")</f>
        <v>BMIS</v>
      </c>
      <c r="Z282" s="66" t="s">
        <v>2181</v>
      </c>
    </row>
    <row r="283" spans="1:26" ht="15.75" customHeight="1">
      <c r="A283" s="83" t="str">
        <f ca="1">IFERROR(__xludf.DUMMYFUNCTION("""COMPUTED_VALUE"""),"E27NE")</f>
        <v>E27NE</v>
      </c>
      <c r="B283" s="84">
        <f ca="1">IFERROR(__xludf.DUMMYFUNCTION("""COMPUTED_VALUE"""),27)</f>
        <v>27</v>
      </c>
      <c r="C283" s="84" t="str">
        <f ca="1">IFERROR(__xludf.DUMMYFUNCTION("""COMPUTED_VALUE"""),"NE")</f>
        <v>NE</v>
      </c>
      <c r="D283" s="339">
        <f ca="1">IFERROR(__xludf.DUMMYFUNCTION("""COMPUTED_VALUE"""),5600)</f>
        <v>5600</v>
      </c>
      <c r="E283" s="84" t="str">
        <f ca="1">IFERROR(__xludf.DUMMYFUNCTION("""COMPUTED_VALUE"""),"3853516846T20050430")</f>
        <v>3853516846T20050430</v>
      </c>
      <c r="F283" s="84">
        <f ca="1">IFERROR(__xludf.DUMMYFUNCTION("""COMPUTED_VALUE"""),1103120312)</f>
        <v>1103120312</v>
      </c>
      <c r="G283" s="83" t="str">
        <f ca="1">IFERROR(__xludf.DUMMYFUNCTION("""COMPUTED_VALUE"""),"Everwin Building")</f>
        <v>Everwin Building</v>
      </c>
      <c r="H283" s="84" t="str">
        <f ca="1">IFERROR(__xludf.DUMMYFUNCTION("""COMPUTED_VALUE"""),"康威大廈")</f>
        <v>康威大廈</v>
      </c>
      <c r="I283" s="84">
        <f ca="1">IFERROR(__xludf.DUMMYFUNCTION("""COMPUTED_VALUE"""),114.1989373)</f>
        <v>114.1989373</v>
      </c>
      <c r="J283" s="84">
        <f ca="1">IFERROR(__xludf.DUMMYFUNCTION("""COMPUTED_VALUE"""),22.29051577)</f>
        <v>22.290515769999999</v>
      </c>
      <c r="K283" s="88">
        <f ca="1">IFERROR(__xludf.DUMMYFUNCTION("""COMPUTED_VALUE"""),14.4)</f>
        <v>14.4</v>
      </c>
      <c r="L283" s="84" t="str">
        <f ca="1">IFERROR(__xludf.DUMMYFUNCTION("""COMPUTED_VALUE"""),"p")</f>
        <v>p</v>
      </c>
      <c r="M283" s="88">
        <f ca="1">IFERROR(__xludf.DUMMYFUNCTION("""COMPUTED_VALUE"""),79.7)</f>
        <v>79.7</v>
      </c>
      <c r="N283" s="84" t="str">
        <f ca="1">IFERROR(__xludf.DUMMYFUNCTION("""COMPUTED_VALUE"""),"3")</f>
        <v>3</v>
      </c>
      <c r="O283" s="88">
        <f ca="1">IFERROR(__xludf.DUMMYFUNCTION("""COMPUTED_VALUE"""),65.3)</f>
        <v>65.3</v>
      </c>
      <c r="P283" s="85"/>
      <c r="Q283" s="75" t="b">
        <f ca="1">IFERROR(__xludf.DUMMYFUNCTION("""COMPUTED_VALUE"""),FALSE)</f>
        <v>0</v>
      </c>
      <c r="R283" s="75" t="b">
        <f ca="1">IFERROR(__xludf.DUMMYFUNCTION("""COMPUTED_VALUE"""),FALSE)</f>
        <v>0</v>
      </c>
      <c r="S283" s="75" t="b">
        <f ca="1">IFERROR(__xludf.DUMMYFUNCTION("""COMPUTED_VALUE"""),FALSE)</f>
        <v>0</v>
      </c>
      <c r="T283" s="75" t="b">
        <f ca="1">IFERROR(__xludf.DUMMYFUNCTION("""COMPUTED_VALUE"""),FALSE)</f>
        <v>0</v>
      </c>
      <c r="U283" s="86">
        <f ca="1">IFERROR(__xludf.DUMMYFUNCTION("""COMPUTED_VALUE"""),25)</f>
        <v>25</v>
      </c>
      <c r="V283" s="84">
        <f ca="1">IFERROR(__xludf.DUMMYFUNCTION("""COMPUTED_VALUE"""),2)</f>
        <v>2</v>
      </c>
      <c r="W283" s="87">
        <f ca="1">IFERROR(__xludf.DUMMYFUNCTION("""COMPUTED_VALUE"""),200)</f>
        <v>200</v>
      </c>
      <c r="X283" s="84">
        <f ca="1">IFERROR(__xludf.DUMMYFUNCTION("""COMPUTED_VALUE"""),1985)</f>
        <v>1985</v>
      </c>
      <c r="Y283" s="84" t="str">
        <f ca="1">IFERROR(__xludf.DUMMYFUNCTION("""COMPUTED_VALUE"""),"BMIS_auto")</f>
        <v>BMIS_auto</v>
      </c>
      <c r="Z283" s="66" t="s">
        <v>2183</v>
      </c>
    </row>
    <row r="284" spans="1:26" ht="15.75" customHeight="1">
      <c r="A284" s="83" t="str">
        <f ca="1">IFERROR(__xludf.DUMMYFUNCTION("""COMPUTED_VALUE"""),"E27SE")</f>
        <v>E27SE</v>
      </c>
      <c r="B284" s="84">
        <f ca="1">IFERROR(__xludf.DUMMYFUNCTION("""COMPUTED_VALUE"""),27)</f>
        <v>27</v>
      </c>
      <c r="C284" s="84" t="str">
        <f ca="1">IFERROR(__xludf.DUMMYFUNCTION("""COMPUTED_VALUE"""),"SE")</f>
        <v>SE</v>
      </c>
      <c r="D284" s="339">
        <f ca="1">IFERROR(__xludf.DUMMYFUNCTION("""COMPUTED_VALUE"""),5600)</f>
        <v>5600</v>
      </c>
      <c r="E284" s="84" t="str">
        <f ca="1">IFERROR(__xludf.DUMMYFUNCTION("""COMPUTED_VALUE"""),"3851216839T20050430")</f>
        <v>3851216839T20050430</v>
      </c>
      <c r="F284" s="84">
        <f ca="1">IFERROR(__xludf.DUMMYFUNCTION("""COMPUTED_VALUE"""),1103120334)</f>
        <v>1103120334</v>
      </c>
      <c r="G284" s="83" t="str">
        <f ca="1">IFERROR(__xludf.DUMMYFUNCTION("""COMPUTED_VALUE"""),"Ming Yuen Centre")</f>
        <v>Ming Yuen Centre</v>
      </c>
      <c r="H284" s="84" t="str">
        <f ca="1">IFERROR(__xludf.DUMMYFUNCTION("""COMPUTED_VALUE"""),"明苑中心")</f>
        <v>明苑中心</v>
      </c>
      <c r="I284" s="84">
        <f ca="1">IFERROR(__xludf.DUMMYFUNCTION("""COMPUTED_VALUE"""),114.1986769)</f>
        <v>114.1986769</v>
      </c>
      <c r="J284" s="84">
        <f ca="1">IFERROR(__xludf.DUMMYFUNCTION("""COMPUTED_VALUE"""),22.29044098)</f>
        <v>22.29044098</v>
      </c>
      <c r="K284" s="88">
        <f ca="1">IFERROR(__xludf.DUMMYFUNCTION("""COMPUTED_VALUE"""),12.2)</f>
        <v>12.2</v>
      </c>
      <c r="L284" s="84" t="str">
        <f ca="1">IFERROR(__xludf.DUMMYFUNCTION("""COMPUTED_VALUE"""),"p")</f>
        <v>p</v>
      </c>
      <c r="M284" s="88">
        <f ca="1">IFERROR(__xludf.DUMMYFUNCTION("""COMPUTED_VALUE"""),83)</f>
        <v>83</v>
      </c>
      <c r="N284" s="84" t="str">
        <f ca="1">IFERROR(__xludf.DUMMYFUNCTION("""COMPUTED_VALUE"""),"p")</f>
        <v>p</v>
      </c>
      <c r="O284" s="88">
        <f ca="1">IFERROR(__xludf.DUMMYFUNCTION("""COMPUTED_VALUE"""),70.8)</f>
        <v>70.8</v>
      </c>
      <c r="P284" s="85"/>
      <c r="Q284" s="75" t="b">
        <f ca="1">IFERROR(__xludf.DUMMYFUNCTION("""COMPUTED_VALUE"""),FALSE)</f>
        <v>0</v>
      </c>
      <c r="R284" s="75" t="b">
        <f ca="1">IFERROR(__xludf.DUMMYFUNCTION("""COMPUTED_VALUE"""),FALSE)</f>
        <v>0</v>
      </c>
      <c r="S284" s="75" t="b">
        <f ca="1">IFERROR(__xludf.DUMMYFUNCTION("""COMPUTED_VALUE"""),FALSE)</f>
        <v>0</v>
      </c>
      <c r="T284" s="75" t="b">
        <f ca="1">IFERROR(__xludf.DUMMYFUNCTION("""COMPUTED_VALUE"""),FALSE)</f>
        <v>0</v>
      </c>
      <c r="U284" s="86">
        <f ca="1">IFERROR(__xludf.DUMMYFUNCTION("""COMPUTED_VALUE"""),28)</f>
        <v>28</v>
      </c>
      <c r="V284" s="84">
        <f ca="1">IFERROR(__xludf.DUMMYFUNCTION("""COMPUTED_VALUE"""),0)</f>
        <v>0</v>
      </c>
      <c r="W284" s="87">
        <f ca="1">IFERROR(__xludf.DUMMYFUNCTION("""COMPUTED_VALUE"""),146)</f>
        <v>146</v>
      </c>
      <c r="X284" s="84">
        <f ca="1">IFERROR(__xludf.DUMMYFUNCTION("""COMPUTED_VALUE"""),1988)</f>
        <v>1988</v>
      </c>
      <c r="Y284" s="84" t="str">
        <f ca="1">IFERROR(__xludf.DUMMYFUNCTION("""COMPUTED_VALUE"""),"BMIS_auto")</f>
        <v>BMIS_auto</v>
      </c>
      <c r="Z284" s="66" t="s">
        <v>2185</v>
      </c>
    </row>
    <row r="285" spans="1:26" ht="15.75" customHeight="1">
      <c r="A285" s="83" t="str">
        <f ca="1">IFERROR(__xludf.DUMMYFUNCTION("""COMPUTED_VALUE"""),"E27SW")</f>
        <v>E27SW</v>
      </c>
      <c r="B285" s="84">
        <f ca="1">IFERROR(__xludf.DUMMYFUNCTION("""COMPUTED_VALUE"""),27)</f>
        <v>27</v>
      </c>
      <c r="C285" s="84" t="str">
        <f ca="1">IFERROR(__xludf.DUMMYFUNCTION("""COMPUTED_VALUE"""),"SW")</f>
        <v>SW</v>
      </c>
      <c r="D285" s="339">
        <f ca="1">IFERROR(__xludf.DUMMYFUNCTION("""COMPUTED_VALUE"""),5600)</f>
        <v>5600</v>
      </c>
      <c r="E285" s="84" t="str">
        <f ca="1">IFERROR(__xludf.DUMMYFUNCTION("""COMPUTED_VALUE"""),"3849716904T20050430")</f>
        <v>3849716904T20050430</v>
      </c>
      <c r="F285" s="84">
        <f ca="1">IFERROR(__xludf.DUMMYFUNCTION("""COMPUTED_VALUE"""),1103120221)</f>
        <v>1103120221</v>
      </c>
      <c r="G285" s="83" t="str">
        <f ca="1">IFERROR(__xludf.DUMMYFUNCTION("""COMPUTED_VALUE"""),"Henan Electric Development Building")</f>
        <v>Henan Electric Development Building</v>
      </c>
      <c r="H285" s="84" t="str">
        <f ca="1">IFERROR(__xludf.DUMMYFUNCTION("""COMPUTED_VALUE"""),"豫港電力發展大廈")</f>
        <v>豫港電力發展大廈</v>
      </c>
      <c r="I285" s="84">
        <f ca="1">IFERROR(__xludf.DUMMYFUNCTION("""COMPUTED_VALUE"""),114.1985141)</f>
        <v>114.1985141</v>
      </c>
      <c r="J285" s="84">
        <f ca="1">IFERROR(__xludf.DUMMYFUNCTION("""COMPUTED_VALUE"""),22.29104316)</f>
        <v>22.291043160000001</v>
      </c>
      <c r="K285" s="88">
        <f ca="1">IFERROR(__xludf.DUMMYFUNCTION("""COMPUTED_VALUE"""),19.4)</f>
        <v>19.399999999999999</v>
      </c>
      <c r="L285" s="84" t="str">
        <f ca="1">IFERROR(__xludf.DUMMYFUNCTION("""COMPUTED_VALUE"""),"p")</f>
        <v>p</v>
      </c>
      <c r="M285" s="88">
        <f ca="1">IFERROR(__xludf.DUMMYFUNCTION("""COMPUTED_VALUE"""),85.1)</f>
        <v>85.1</v>
      </c>
      <c r="N285" s="84" t="str">
        <f ca="1">IFERROR(__xludf.DUMMYFUNCTION("""COMPUTED_VALUE"""),"p")</f>
        <v>p</v>
      </c>
      <c r="O285" s="88">
        <f ca="1">IFERROR(__xludf.DUMMYFUNCTION("""COMPUTED_VALUE"""),65.7)</f>
        <v>65.7</v>
      </c>
      <c r="P285" s="85"/>
      <c r="Q285" s="75" t="b">
        <f ca="1">IFERROR(__xludf.DUMMYFUNCTION("""COMPUTED_VALUE"""),FALSE)</f>
        <v>0</v>
      </c>
      <c r="R285" s="75" t="b">
        <f ca="1">IFERROR(__xludf.DUMMYFUNCTION("""COMPUTED_VALUE"""),FALSE)</f>
        <v>0</v>
      </c>
      <c r="S285" s="75" t="b">
        <f ca="1">IFERROR(__xludf.DUMMYFUNCTION("""COMPUTED_VALUE"""),FALSE)</f>
        <v>0</v>
      </c>
      <c r="T285" s="75" t="b">
        <f ca="1">IFERROR(__xludf.DUMMYFUNCTION("""COMPUTED_VALUE"""),FALSE)</f>
        <v>0</v>
      </c>
      <c r="U285" s="86">
        <f ca="1">IFERROR(__xludf.DUMMYFUNCTION("""COMPUTED_VALUE"""),28)</f>
        <v>28</v>
      </c>
      <c r="V285" s="84">
        <f ca="1">IFERROR(__xludf.DUMMYFUNCTION("""COMPUTED_VALUE"""),0)</f>
        <v>0</v>
      </c>
      <c r="W285" s="87">
        <f ca="1">IFERROR(__xludf.DUMMYFUNCTION("""COMPUTED_VALUE"""),56)</f>
        <v>56</v>
      </c>
      <c r="X285" s="84">
        <f ca="1">IFERROR(__xludf.DUMMYFUNCTION("""COMPUTED_VALUE"""),1996)</f>
        <v>1996</v>
      </c>
      <c r="Y285" s="84" t="str">
        <f ca="1">IFERROR(__xludf.DUMMYFUNCTION("""COMPUTED_VALUE"""),"BMIS_auto")</f>
        <v>BMIS_auto</v>
      </c>
      <c r="Z285" s="66" t="s">
        <v>2187</v>
      </c>
    </row>
    <row r="286" spans="1:26" ht="15.75" customHeight="1">
      <c r="A286" s="83" t="str">
        <f ca="1">IFERROR(__xludf.DUMMYFUNCTION("""COMPUTED_VALUE"""),"E27NW")</f>
        <v>E27NW</v>
      </c>
      <c r="B286" s="84">
        <f ca="1">IFERROR(__xludf.DUMMYFUNCTION("""COMPUTED_VALUE"""),27)</f>
        <v>27</v>
      </c>
      <c r="C286" s="84" t="str">
        <f ca="1">IFERROR(__xludf.DUMMYFUNCTION("""COMPUTED_VALUE"""),"NW")</f>
        <v>NW</v>
      </c>
      <c r="D286" s="339">
        <f ca="1">IFERROR(__xludf.DUMMYFUNCTION("""COMPUTED_VALUE"""),5600)</f>
        <v>5600</v>
      </c>
      <c r="E286" s="84" t="str">
        <f ca="1">IFERROR(__xludf.DUMMYFUNCTION("""COMPUTED_VALUE"""),"3858116913T20050430")</f>
        <v>3858116913T20050430</v>
      </c>
      <c r="F286" s="84">
        <f ca="1">IFERROR(__xludf.DUMMYFUNCTION("""COMPUTED_VALUE"""),1103120100)</f>
        <v>1103120100</v>
      </c>
      <c r="G286" s="83" t="str">
        <f ca="1">IFERROR(__xludf.DUMMYFUNCTION("""COMPUTED_VALUE"""),"Kiu Kwan Mansion Block A")</f>
        <v>Kiu Kwan Mansion Block A</v>
      </c>
      <c r="H286" s="84" t="str">
        <f ca="1">IFERROR(__xludf.DUMMYFUNCTION("""COMPUTED_VALUE"""),"僑冠大廈Ａ座")</f>
        <v>僑冠大廈Ａ座</v>
      </c>
      <c r="I286" s="84">
        <f ca="1">IFERROR(__xludf.DUMMYFUNCTION("""COMPUTED_VALUE"""),114.199158)</f>
        <v>114.199158</v>
      </c>
      <c r="J286" s="84">
        <f ca="1">IFERROR(__xludf.DUMMYFUNCTION("""COMPUTED_VALUE"""),22.29127536)</f>
        <v>22.29127536</v>
      </c>
      <c r="K286" s="88">
        <f ca="1">IFERROR(__xludf.DUMMYFUNCTION("""COMPUTED_VALUE"""),4.3)</f>
        <v>4.3</v>
      </c>
      <c r="L286" s="84" t="str">
        <f ca="1">IFERROR(__xludf.DUMMYFUNCTION("""COMPUTED_VALUE"""),"l")</f>
        <v>l</v>
      </c>
      <c r="M286" s="88">
        <f ca="1">IFERROR(__xludf.DUMMYFUNCTION("""COMPUTED_VALUE"""),90)</f>
        <v>90</v>
      </c>
      <c r="N286" s="84" t="str">
        <f ca="1">IFERROR(__xludf.DUMMYFUNCTION("""COMPUTED_VALUE"""),"p")</f>
        <v>p</v>
      </c>
      <c r="O286" s="88">
        <f ca="1">IFERROR(__xludf.DUMMYFUNCTION("""COMPUTED_VALUE"""),85.7)</f>
        <v>85.7</v>
      </c>
      <c r="P286" s="85"/>
      <c r="Q286" s="75" t="b">
        <f ca="1">IFERROR(__xludf.DUMMYFUNCTION("""COMPUTED_VALUE"""),FALSE)</f>
        <v>0</v>
      </c>
      <c r="R286" s="75" t="b">
        <f ca="1">IFERROR(__xludf.DUMMYFUNCTION("""COMPUTED_VALUE"""),FALSE)</f>
        <v>0</v>
      </c>
      <c r="S286" s="75" t="b">
        <f ca="1">IFERROR(__xludf.DUMMYFUNCTION("""COMPUTED_VALUE"""),FALSE)</f>
        <v>0</v>
      </c>
      <c r="T286" s="75" t="b">
        <f ca="1">IFERROR(__xludf.DUMMYFUNCTION("""COMPUTED_VALUE"""),FALSE)</f>
        <v>0</v>
      </c>
      <c r="U286" s="86">
        <f ca="1">IFERROR(__xludf.DUMMYFUNCTION("""COMPUTED_VALUE"""),28)</f>
        <v>28</v>
      </c>
      <c r="V286" s="84">
        <f ca="1">IFERROR(__xludf.DUMMYFUNCTION("""COMPUTED_VALUE"""),0)</f>
        <v>0</v>
      </c>
      <c r="W286" s="87">
        <f ca="1">IFERROR(__xludf.DUMMYFUNCTION("""COMPUTED_VALUE"""),395)</f>
        <v>395</v>
      </c>
      <c r="X286" s="84">
        <f ca="1">IFERROR(__xludf.DUMMYFUNCTION("""COMPUTED_VALUE"""),1966)</f>
        <v>1966</v>
      </c>
      <c r="Y286" s="84" t="str">
        <f ca="1">IFERROR(__xludf.DUMMYFUNCTION("""COMPUTED_VALUE"""),"BMIS_auto")</f>
        <v>BMIS_auto</v>
      </c>
      <c r="Z286" s="66" t="s">
        <v>2189</v>
      </c>
    </row>
    <row r="287" spans="1:26" ht="15.75" customHeight="1">
      <c r="A287" s="83" t="str">
        <f ca="1">IFERROR(__xludf.DUMMYFUNCTION("""COMPUTED_VALUE"""),"N20NE")</f>
        <v>N20NE</v>
      </c>
      <c r="B287" s="84">
        <f ca="1">IFERROR(__xludf.DUMMYFUNCTION("""COMPUTED_VALUE"""),20)</f>
        <v>20</v>
      </c>
      <c r="C287" s="84" t="str">
        <f ca="1">IFERROR(__xludf.DUMMYFUNCTION("""COMPUTED_VALUE"""),"NE")</f>
        <v>NE</v>
      </c>
      <c r="D287" s="339">
        <f ca="1">IFERROR(__xludf.DUMMYFUNCTION("""COMPUTED_VALUE"""),5800)</f>
        <v>5800</v>
      </c>
      <c r="E287" s="84" t="str">
        <f ca="1">IFERROR(__xludf.DUMMYFUNCTION("""COMPUTED_VALUE"""),"3513221299T20050430")</f>
        <v>3513221299T20050430</v>
      </c>
      <c r="F287" s="84">
        <f ca="1">IFERROR(__xludf.DUMMYFUNCTION("""COMPUTED_VALUE"""),1108226640)</f>
        <v>1108226640</v>
      </c>
      <c r="G287" s="83" t="str">
        <f ca="1">IFERROR(__xludf.DUMMYFUNCTION("""COMPUTED_VALUE"""),"Pak Far Building")</f>
        <v>Pak Far Building</v>
      </c>
      <c r="H287" s="84" t="str">
        <f ca="1">IFERROR(__xludf.DUMMYFUNCTION("""COMPUTED_VALUE"""),"白花大廈")</f>
        <v>白花大廈</v>
      </c>
      <c r="I287" s="84">
        <f ca="1">IFERROR(__xludf.DUMMYFUNCTION("""COMPUTED_VALUE"""),114.1658972)</f>
        <v>114.1658972</v>
      </c>
      <c r="J287" s="84">
        <f ca="1">IFERROR(__xludf.DUMMYFUNCTION("""COMPUTED_VALUE"""),22.33077512)</f>
        <v>22.330775119999998</v>
      </c>
      <c r="K287" s="88">
        <f ca="1">IFERROR(__xludf.DUMMYFUNCTION("""COMPUTED_VALUE"""),5.9)</f>
        <v>5.9</v>
      </c>
      <c r="L287" s="84" t="str">
        <f ca="1">IFERROR(__xludf.DUMMYFUNCTION("""COMPUTED_VALUE"""),"l")</f>
        <v>l</v>
      </c>
      <c r="M287" s="88">
        <f ca="1">IFERROR(__xludf.DUMMYFUNCTION("""COMPUTED_VALUE"""),32.799999)</f>
        <v>32.799999</v>
      </c>
      <c r="N287" s="84" t="str">
        <f ca="1">IFERROR(__xludf.DUMMYFUNCTION("""COMPUTED_VALUE"""),"p")</f>
        <v>p</v>
      </c>
      <c r="O287" s="88">
        <f ca="1">IFERROR(__xludf.DUMMYFUNCTION("""COMPUTED_VALUE"""),26.899999)</f>
        <v>26.899999000000001</v>
      </c>
      <c r="P287" s="85"/>
      <c r="Q287" s="75" t="b">
        <f ca="1">IFERROR(__xludf.DUMMYFUNCTION("""COMPUTED_VALUE"""),FALSE)</f>
        <v>0</v>
      </c>
      <c r="R287" s="75" t="b">
        <f ca="1">IFERROR(__xludf.DUMMYFUNCTION("""COMPUTED_VALUE"""),FALSE)</f>
        <v>0</v>
      </c>
      <c r="S287" s="75" t="b">
        <f ca="1">IFERROR(__xludf.DUMMYFUNCTION("""COMPUTED_VALUE"""),FALSE)</f>
        <v>0</v>
      </c>
      <c r="T287" s="75"/>
      <c r="U287" s="86">
        <f ca="1">IFERROR(__xludf.DUMMYFUNCTION("""COMPUTED_VALUE"""),7)</f>
        <v>7</v>
      </c>
      <c r="V287" s="84">
        <f ca="1">IFERROR(__xludf.DUMMYFUNCTION("""COMPUTED_VALUE"""),0)</f>
        <v>0</v>
      </c>
      <c r="W287" s="87">
        <f ca="1">IFERROR(__xludf.DUMMYFUNCTION("""COMPUTED_VALUE"""),42)</f>
        <v>42</v>
      </c>
      <c r="X287" s="84">
        <f ca="1">IFERROR(__xludf.DUMMYFUNCTION("""COMPUTED_VALUE"""),1956)</f>
        <v>1956</v>
      </c>
      <c r="Y287" s="84" t="str">
        <f ca="1">IFERROR(__xludf.DUMMYFUNCTION("""COMPUTED_VALUE"""),"BMIS_auto")</f>
        <v>BMIS_auto</v>
      </c>
      <c r="Z287" s="66" t="s">
        <v>2191</v>
      </c>
    </row>
    <row r="288" spans="1:26" ht="15.75" customHeight="1">
      <c r="A288" s="83" t="str">
        <f ca="1">IFERROR(__xludf.DUMMYFUNCTION("""COMPUTED_VALUE"""),"N20SE")</f>
        <v>N20SE</v>
      </c>
      <c r="B288" s="84">
        <f ca="1">IFERROR(__xludf.DUMMYFUNCTION("""COMPUTED_VALUE"""),20)</f>
        <v>20</v>
      </c>
      <c r="C288" s="84" t="str">
        <f ca="1">IFERROR(__xludf.DUMMYFUNCTION("""COMPUTED_VALUE"""),"SE")</f>
        <v>SE</v>
      </c>
      <c r="D288" s="339">
        <f ca="1">IFERROR(__xludf.DUMMYFUNCTION("""COMPUTED_VALUE"""),5800)</f>
        <v>5800</v>
      </c>
      <c r="E288" s="84" t="str">
        <f ca="1">IFERROR(__xludf.DUMMYFUNCTION("""COMPUTED_VALUE"""),"3515921282T20050430")</f>
        <v>3515921282T20050430</v>
      </c>
      <c r="F288" s="84">
        <f ca="1">IFERROR(__xludf.DUMMYFUNCTION("""COMPUTED_VALUE"""),1108226735)</f>
        <v>1108226735</v>
      </c>
      <c r="G288" s="83" t="str">
        <f ca="1">IFERROR(__xludf.DUMMYFUNCTION("""COMPUTED_VALUE"""),"Tung Lo Court Block B")</f>
        <v>Tung Lo Court Block B</v>
      </c>
      <c r="H288" s="84" t="str">
        <f ca="1">IFERROR(__xludf.DUMMYFUNCTION("""COMPUTED_VALUE"""),"東廬大樓Ｂ座")</f>
        <v>東廬大樓Ｂ座</v>
      </c>
      <c r="I288" s="84">
        <f ca="1">IFERROR(__xludf.DUMMYFUNCTION("""COMPUTED_VALUE"""),114.1662387)</f>
        <v>114.16623869999999</v>
      </c>
      <c r="J288" s="84">
        <f ca="1">IFERROR(__xludf.DUMMYFUNCTION("""COMPUTED_VALUE"""),22.33044344)</f>
        <v>22.33044344</v>
      </c>
      <c r="K288" s="88">
        <f ca="1">IFERROR(__xludf.DUMMYFUNCTION("""COMPUTED_VALUE"""),10.9)</f>
        <v>10.9</v>
      </c>
      <c r="L288" s="84" t="str">
        <f ca="1">IFERROR(__xludf.DUMMYFUNCTION("""COMPUTED_VALUE"""),"p")</f>
        <v>p</v>
      </c>
      <c r="M288" s="88">
        <f ca="1">IFERROR(__xludf.DUMMYFUNCTION("""COMPUTED_VALUE"""),44.700001)</f>
        <v>44.700001</v>
      </c>
      <c r="N288" s="84" t="str">
        <f ca="1">IFERROR(__xludf.DUMMYFUNCTION("""COMPUTED_VALUE"""),"3")</f>
        <v>3</v>
      </c>
      <c r="O288" s="88">
        <f ca="1">IFERROR(__xludf.DUMMYFUNCTION("""COMPUTED_VALUE"""),33.800001)</f>
        <v>33.800001000000002</v>
      </c>
      <c r="P288" s="85"/>
      <c r="Q288" s="75" t="b">
        <f ca="1">IFERROR(__xludf.DUMMYFUNCTION("""COMPUTED_VALUE"""),FALSE)</f>
        <v>0</v>
      </c>
      <c r="R288" s="75" t="b">
        <f ca="1">IFERROR(__xludf.DUMMYFUNCTION("""COMPUTED_VALUE"""),FALSE)</f>
        <v>0</v>
      </c>
      <c r="S288" s="75" t="b">
        <f ca="1">IFERROR(__xludf.DUMMYFUNCTION("""COMPUTED_VALUE"""),FALSE)</f>
        <v>0</v>
      </c>
      <c r="T288" s="75"/>
      <c r="U288" s="86">
        <f ca="1">IFERROR(__xludf.DUMMYFUNCTION("""COMPUTED_VALUE"""),12)</f>
        <v>12</v>
      </c>
      <c r="V288" s="84">
        <f ca="1">IFERROR(__xludf.DUMMYFUNCTION("""COMPUTED_VALUE"""),0)</f>
        <v>0</v>
      </c>
      <c r="W288" s="87">
        <f ca="1">IFERROR(__xludf.DUMMYFUNCTION("""COMPUTED_VALUE"""),204)</f>
        <v>204</v>
      </c>
      <c r="X288" s="84">
        <f ca="1">IFERROR(__xludf.DUMMYFUNCTION("""COMPUTED_VALUE"""),1960)</f>
        <v>1960</v>
      </c>
      <c r="Y288" s="84" t="str">
        <f ca="1">IFERROR(__xludf.DUMMYFUNCTION("""COMPUTED_VALUE"""),"BMIS_auto")</f>
        <v>BMIS_auto</v>
      </c>
      <c r="Z288" s="66" t="s">
        <v>2193</v>
      </c>
    </row>
    <row r="289" spans="1:26" ht="15.75" customHeight="1">
      <c r="A289" s="83" t="str">
        <f ca="1">IFERROR(__xludf.DUMMYFUNCTION("""COMPUTED_VALUE"""),"N20SW")</f>
        <v>N20SW</v>
      </c>
      <c r="B289" s="84">
        <f ca="1">IFERROR(__xludf.DUMMYFUNCTION("""COMPUTED_VALUE"""),20)</f>
        <v>20</v>
      </c>
      <c r="C289" s="84" t="str">
        <f ca="1">IFERROR(__xludf.DUMMYFUNCTION("""COMPUTED_VALUE"""),"SW")</f>
        <v>SW</v>
      </c>
      <c r="D289" s="339">
        <f ca="1">IFERROR(__xludf.DUMMYFUNCTION("""COMPUTED_VALUE"""),5800)</f>
        <v>5800</v>
      </c>
      <c r="E289" s="84" t="str">
        <f ca="1">IFERROR(__xludf.DUMMYFUNCTION("""COMPUTED_VALUE"""),"3512021241T20050430")</f>
        <v>3512021241T20050430</v>
      </c>
      <c r="F289" s="84">
        <f ca="1">IFERROR(__xludf.DUMMYFUNCTION("""COMPUTED_VALUE"""),1108227078)</f>
        <v>1108227078</v>
      </c>
      <c r="G289" s="83" t="str">
        <f ca="1">IFERROR(__xludf.DUMMYFUNCTION("""COMPUTED_VALUE"""),"45 Tai Po Road")</f>
        <v>45 Tai Po Road</v>
      </c>
      <c r="H289" s="84"/>
      <c r="I289" s="84">
        <f ca="1">IFERROR(__xludf.DUMMYFUNCTION("""COMPUTED_VALUE"""),114.165718)</f>
        <v>114.165718</v>
      </c>
      <c r="J289" s="84">
        <f ca="1">IFERROR(__xludf.DUMMYFUNCTION("""COMPUTED_VALUE"""),22.33020099)</f>
        <v>22.330200990000002</v>
      </c>
      <c r="K289" s="88">
        <f ca="1">IFERROR(__xludf.DUMMYFUNCTION("""COMPUTED_VALUE"""),5.8)</f>
        <v>5.8</v>
      </c>
      <c r="L289" s="84" t="str">
        <f ca="1">IFERROR(__xludf.DUMMYFUNCTION("""COMPUTED_VALUE"""),"l")</f>
        <v>l</v>
      </c>
      <c r="M289" s="88">
        <f ca="1">IFERROR(__xludf.DUMMYFUNCTION("""COMPUTED_VALUE"""),24.299999)</f>
        <v>24.299999</v>
      </c>
      <c r="N289" s="84" t="str">
        <f ca="1">IFERROR(__xludf.DUMMYFUNCTION("""COMPUTED_VALUE"""),"3")</f>
        <v>3</v>
      </c>
      <c r="O289" s="88">
        <f ca="1">IFERROR(__xludf.DUMMYFUNCTION("""COMPUTED_VALUE"""),18.499999)</f>
        <v>18.499998999999999</v>
      </c>
      <c r="P289" s="85" t="str">
        <f ca="1">IFERROR(__xludf.DUMMYFUNCTION("""COMPUTED_VALUE"""),"Across main road (Tai Po Rd)")</f>
        <v>Across main road (Tai Po Rd)</v>
      </c>
      <c r="Q289" s="75" t="b">
        <f ca="1">IFERROR(__xludf.DUMMYFUNCTION("""COMPUTED_VALUE"""),FALSE)</f>
        <v>0</v>
      </c>
      <c r="R289" s="75" t="b">
        <f ca="1">IFERROR(__xludf.DUMMYFUNCTION("""COMPUTED_VALUE"""),FALSE)</f>
        <v>0</v>
      </c>
      <c r="S289" s="75" t="b">
        <f ca="1">IFERROR(__xludf.DUMMYFUNCTION("""COMPUTED_VALUE"""),TRUE)</f>
        <v>1</v>
      </c>
      <c r="T289" s="75"/>
      <c r="U289" s="86">
        <f ca="1">IFERROR(__xludf.DUMMYFUNCTION("""COMPUTED_VALUE"""),13)</f>
        <v>13</v>
      </c>
      <c r="V289" s="84">
        <f ca="1">IFERROR(__xludf.DUMMYFUNCTION("""COMPUTED_VALUE"""),0)</f>
        <v>0</v>
      </c>
      <c r="W289" s="87">
        <f ca="1">IFERROR(__xludf.DUMMYFUNCTION("""COMPUTED_VALUE"""),25)</f>
        <v>25</v>
      </c>
      <c r="X289" s="84">
        <f ca="1">IFERROR(__xludf.DUMMYFUNCTION("""COMPUTED_VALUE"""),1993)</f>
        <v>1993</v>
      </c>
      <c r="Y289" s="84" t="str">
        <f ca="1">IFERROR(__xludf.DUMMYFUNCTION("""COMPUTED_VALUE"""),"BMIS_auto")</f>
        <v>BMIS_auto</v>
      </c>
      <c r="Z289" s="66" t="s">
        <v>2195</v>
      </c>
    </row>
    <row r="290" spans="1:26" ht="15.75" customHeight="1">
      <c r="A290" s="83" t="str">
        <f ca="1">IFERROR(__xludf.DUMMYFUNCTION("""COMPUTED_VALUE"""),"N20NW")</f>
        <v>N20NW</v>
      </c>
      <c r="B290" s="84">
        <f ca="1">IFERROR(__xludf.DUMMYFUNCTION("""COMPUTED_VALUE"""),20)</f>
        <v>20</v>
      </c>
      <c r="C290" s="84" t="str">
        <f ca="1">IFERROR(__xludf.DUMMYFUNCTION("""COMPUTED_VALUE"""),"NW")</f>
        <v>NW</v>
      </c>
      <c r="D290" s="339">
        <f ca="1">IFERROR(__xludf.DUMMYFUNCTION("""COMPUTED_VALUE"""),5800)</f>
        <v>5800</v>
      </c>
      <c r="E290" s="84" t="str">
        <f ca="1">IFERROR(__xludf.DUMMYFUNCTION("""COMPUTED_VALUE"""),"3510421257T20050430")</f>
        <v>3510421257T20050430</v>
      </c>
      <c r="F290" s="84">
        <f ca="1">IFERROR(__xludf.DUMMYFUNCTION("""COMPUTED_VALUE"""),1108226958)</f>
        <v>1108226958</v>
      </c>
      <c r="G290" s="83" t="str">
        <f ca="1">IFERROR(__xludf.DUMMYFUNCTION("""COMPUTED_VALUE"""),"1A Un Chau Steet")</f>
        <v>1A Un Chau Steet</v>
      </c>
      <c r="H290" s="84"/>
      <c r="I290" s="84">
        <f ca="1">IFERROR(__xludf.DUMMYFUNCTION("""COMPUTED_VALUE"""),114.1655774)</f>
        <v>114.1655774</v>
      </c>
      <c r="J290" s="84">
        <f ca="1">IFERROR(__xludf.DUMMYFUNCTION("""COMPUTED_VALUE"""),22.33036555)</f>
        <v>22.33036555</v>
      </c>
      <c r="K290" s="88">
        <f ca="1">IFERROR(__xludf.DUMMYFUNCTION("""COMPUTED_VALUE"""),5.8)</f>
        <v>5.8</v>
      </c>
      <c r="L290" s="84" t="str">
        <f ca="1">IFERROR(__xludf.DUMMYFUNCTION("""COMPUTED_VALUE"""),"l")</f>
        <v>l</v>
      </c>
      <c r="M290" s="88">
        <f ca="1">IFERROR(__xludf.DUMMYFUNCTION("""COMPUTED_VALUE"""),35.599998)</f>
        <v>35.599997999999999</v>
      </c>
      <c r="N290" s="84" t="str">
        <f ca="1">IFERROR(__xludf.DUMMYFUNCTION("""COMPUTED_VALUE"""),"3")</f>
        <v>3</v>
      </c>
      <c r="O290" s="88">
        <f ca="1">IFERROR(__xludf.DUMMYFUNCTION("""COMPUTED_VALUE"""),29.799998)</f>
        <v>29.799997999999999</v>
      </c>
      <c r="P290" s="85" t="str">
        <f ca="1">IFERROR(__xludf.DUMMYFUNCTION("""COMPUTED_VALUE"""),"Across main road (Tai Po Rd)")</f>
        <v>Across main road (Tai Po Rd)</v>
      </c>
      <c r="Q290" s="75" t="b">
        <f ca="1">IFERROR(__xludf.DUMMYFUNCTION("""COMPUTED_VALUE"""),FALSE)</f>
        <v>0</v>
      </c>
      <c r="R290" s="75" t="b">
        <f ca="1">IFERROR(__xludf.DUMMYFUNCTION("""COMPUTED_VALUE"""),FALSE)</f>
        <v>0</v>
      </c>
      <c r="S290" s="75" t="b">
        <f ca="1">IFERROR(__xludf.DUMMYFUNCTION("""COMPUTED_VALUE"""),TRUE)</f>
        <v>1</v>
      </c>
      <c r="T290" s="75"/>
      <c r="U290" s="86">
        <f ca="1">IFERROR(__xludf.DUMMYFUNCTION("""COMPUTED_VALUE"""),8)</f>
        <v>8</v>
      </c>
      <c r="V290" s="84">
        <f ca="1">IFERROR(__xludf.DUMMYFUNCTION("""COMPUTED_VALUE"""),0)</f>
        <v>0</v>
      </c>
      <c r="W290" s="87">
        <f ca="1">IFERROR(__xludf.DUMMYFUNCTION("""COMPUTED_VALUE"""),46)</f>
        <v>46</v>
      </c>
      <c r="X290" s="84">
        <f ca="1">IFERROR(__xludf.DUMMYFUNCTION("""COMPUTED_VALUE"""),1959)</f>
        <v>1959</v>
      </c>
      <c r="Y290" s="84" t="str">
        <f ca="1">IFERROR(__xludf.DUMMYFUNCTION("""COMPUTED_VALUE"""),"BMIS_auto")</f>
        <v>BMIS_auto</v>
      </c>
      <c r="Z290" s="66" t="s">
        <v>2197</v>
      </c>
    </row>
    <row r="291" spans="1:26" ht="15.75" customHeight="1">
      <c r="A291" s="83" t="str">
        <f ca="1">IFERROR(__xludf.DUMMYFUNCTION("""COMPUTED_VALUE"""),"E28NE")</f>
        <v>E28NE</v>
      </c>
      <c r="B291" s="84">
        <f ca="1">IFERROR(__xludf.DUMMYFUNCTION("""COMPUTED_VALUE"""),28)</f>
        <v>28</v>
      </c>
      <c r="C291" s="84" t="str">
        <f ca="1">IFERROR(__xludf.DUMMYFUNCTION("""COMPUTED_VALUE"""),"NE")</f>
        <v>NE</v>
      </c>
      <c r="D291" s="339">
        <f ca="1">IFERROR(__xludf.DUMMYFUNCTION("""COMPUTED_VALUE"""),5800)</f>
        <v>5800</v>
      </c>
      <c r="E291" s="84" t="str">
        <f ca="1">IFERROR(__xludf.DUMMYFUNCTION("""COMPUTED_VALUE"""),"3872116898T20050430")</f>
        <v>3872116898T20050430</v>
      </c>
      <c r="F291" s="84">
        <f ca="1">IFERROR(__xludf.DUMMYFUNCTION("""COMPUTED_VALUE"""),1103120219)</f>
        <v>1103120219</v>
      </c>
      <c r="G291" s="83" t="str">
        <f ca="1">IFERROR(__xludf.DUMMYFUNCTION("""COMPUTED_VALUE"""),"Roca Centre Block 2")</f>
        <v>Roca Centre Block 2</v>
      </c>
      <c r="H291" s="84" t="str">
        <f ca="1">IFERROR(__xludf.DUMMYFUNCTION("""COMPUTED_VALUE"""),"樂嘉中心第二座")</f>
        <v>樂嘉中心第二座</v>
      </c>
      <c r="I291" s="84">
        <f ca="1">IFERROR(__xludf.DUMMYFUNCTION("""COMPUTED_VALUE"""),114.2007837)</f>
        <v>114.2007837</v>
      </c>
      <c r="J291" s="84">
        <f ca="1">IFERROR(__xludf.DUMMYFUNCTION("""COMPUTED_VALUE"""),22.29103947)</f>
        <v>22.291039470000001</v>
      </c>
      <c r="K291" s="88">
        <f ca="1">IFERROR(__xludf.DUMMYFUNCTION("""COMPUTED_VALUE"""),19.5)</f>
        <v>19.5</v>
      </c>
      <c r="L291" s="84" t="str">
        <f ca="1">IFERROR(__xludf.DUMMYFUNCTION("""COMPUTED_VALUE"""),"p")</f>
        <v>p</v>
      </c>
      <c r="M291" s="88">
        <f ca="1">IFERROR(__xludf.DUMMYFUNCTION("""COMPUTED_VALUE"""),82.5)</f>
        <v>82.5</v>
      </c>
      <c r="N291" s="84" t="str">
        <f ca="1">IFERROR(__xludf.DUMMYFUNCTION("""COMPUTED_VALUE"""),"3")</f>
        <v>3</v>
      </c>
      <c r="O291" s="88">
        <f ca="1">IFERROR(__xludf.DUMMYFUNCTION("""COMPUTED_VALUE"""),63)</f>
        <v>63</v>
      </c>
      <c r="P291" s="85"/>
      <c r="Q291" s="75" t="b">
        <f ca="1">IFERROR(__xludf.DUMMYFUNCTION("""COMPUTED_VALUE"""),FALSE)</f>
        <v>0</v>
      </c>
      <c r="R291" s="75" t="b">
        <f ca="1">IFERROR(__xludf.DUMMYFUNCTION("""COMPUTED_VALUE"""),FALSE)</f>
        <v>0</v>
      </c>
      <c r="S291" s="75" t="b">
        <f ca="1">IFERROR(__xludf.DUMMYFUNCTION("""COMPUTED_VALUE"""),FALSE)</f>
        <v>0</v>
      </c>
      <c r="T291" s="75" t="b">
        <f ca="1">IFERROR(__xludf.DUMMYFUNCTION("""COMPUTED_VALUE"""),FALSE)</f>
        <v>0</v>
      </c>
      <c r="U291" s="86">
        <f ca="1">IFERROR(__xludf.DUMMYFUNCTION("""COMPUTED_VALUE"""),24)</f>
        <v>24</v>
      </c>
      <c r="V291" s="84"/>
      <c r="W291" s="87">
        <f ca="1">IFERROR(__xludf.DUMMYFUNCTION("""COMPUTED_VALUE"""),96)</f>
        <v>96</v>
      </c>
      <c r="X291" s="84">
        <f ca="1">IFERROR(__xludf.DUMMYFUNCTION("""COMPUTED_VALUE"""),1987)</f>
        <v>1987</v>
      </c>
      <c r="Y291" s="84" t="str">
        <f ca="1">IFERROR(__xludf.DUMMYFUNCTION("""COMPUTED_VALUE"""),"BMIS")</f>
        <v>BMIS</v>
      </c>
      <c r="Z291" s="66" t="s">
        <v>2199</v>
      </c>
    </row>
    <row r="292" spans="1:26" ht="15.75" customHeight="1">
      <c r="A292" s="83" t="str">
        <f ca="1">IFERROR(__xludf.DUMMYFUNCTION("""COMPUTED_VALUE"""),"E28SE")</f>
        <v>E28SE</v>
      </c>
      <c r="B292" s="84">
        <f ca="1">IFERROR(__xludf.DUMMYFUNCTION("""COMPUTED_VALUE"""),28)</f>
        <v>28</v>
      </c>
      <c r="C292" s="84" t="str">
        <f ca="1">IFERROR(__xludf.DUMMYFUNCTION("""COMPUTED_VALUE"""),"SE")</f>
        <v>SE</v>
      </c>
      <c r="D292" s="339">
        <f ca="1">IFERROR(__xludf.DUMMYFUNCTION("""COMPUTED_VALUE"""),5800)</f>
        <v>5800</v>
      </c>
      <c r="E292" s="84" t="str">
        <f ca="1">IFERROR(__xludf.DUMMYFUNCTION("""COMPUTED_VALUE"""),"3868016869T20050430")</f>
        <v>3868016869T20050430</v>
      </c>
      <c r="F292" s="84">
        <f ca="1">IFERROR(__xludf.DUMMYFUNCTION("""COMPUTED_VALUE"""),1103120249)</f>
        <v>1103120249</v>
      </c>
      <c r="G292" s="83" t="str">
        <f ca="1">IFERROR(__xludf.DUMMYFUNCTION("""COMPUTED_VALUE"""),"Maylun Apartments")</f>
        <v>Maylun Apartments</v>
      </c>
      <c r="H292" s="84" t="str">
        <f ca="1">IFERROR(__xludf.DUMMYFUNCTION("""COMPUTED_VALUE"""),"美輪大廈")</f>
        <v>美輪大廈</v>
      </c>
      <c r="I292" s="84">
        <f ca="1">IFERROR(__xludf.DUMMYFUNCTION("""COMPUTED_VALUE"""),114.2001915)</f>
        <v>114.2001915</v>
      </c>
      <c r="J292" s="84">
        <f ca="1">IFERROR(__xludf.DUMMYFUNCTION("""COMPUTED_VALUE"""),22.29081561)</f>
        <v>22.290815609999999</v>
      </c>
      <c r="K292" s="88">
        <f ca="1">IFERROR(__xludf.DUMMYFUNCTION("""COMPUTED_VALUE"""),4.4)</f>
        <v>4.4000000000000004</v>
      </c>
      <c r="L292" s="84" t="str">
        <f ca="1">IFERROR(__xludf.DUMMYFUNCTION("""COMPUTED_VALUE"""),"l")</f>
        <v>l</v>
      </c>
      <c r="M292" s="88">
        <f ca="1">IFERROR(__xludf.DUMMYFUNCTION("""COMPUTED_VALUE"""),34.9)</f>
        <v>34.9</v>
      </c>
      <c r="N292" s="84" t="str">
        <f ca="1">IFERROR(__xludf.DUMMYFUNCTION("""COMPUTED_VALUE"""),"3")</f>
        <v>3</v>
      </c>
      <c r="O292" s="88">
        <f ca="1">IFERROR(__xludf.DUMMYFUNCTION("""COMPUTED_VALUE"""),30.5)</f>
        <v>30.5</v>
      </c>
      <c r="P292" s="85"/>
      <c r="Q292" s="75" t="b">
        <f ca="1">IFERROR(__xludf.DUMMYFUNCTION("""COMPUTED_VALUE"""),FALSE)</f>
        <v>0</v>
      </c>
      <c r="R292" s="75" t="b">
        <f ca="1">IFERROR(__xludf.DUMMYFUNCTION("""COMPUTED_VALUE"""),FALSE)</f>
        <v>0</v>
      </c>
      <c r="S292" s="75" t="b">
        <f ca="1">IFERROR(__xludf.DUMMYFUNCTION("""COMPUTED_VALUE"""),FALSE)</f>
        <v>0</v>
      </c>
      <c r="T292" s="75" t="b">
        <f ca="1">IFERROR(__xludf.DUMMYFUNCTION("""COMPUTED_VALUE"""),FALSE)</f>
        <v>0</v>
      </c>
      <c r="U292" s="86">
        <f ca="1">IFERROR(__xludf.DUMMYFUNCTION("""COMPUTED_VALUE"""),17)</f>
        <v>17</v>
      </c>
      <c r="V292" s="84">
        <f ca="1">IFERROR(__xludf.DUMMYFUNCTION("""COMPUTED_VALUE"""),0)</f>
        <v>0</v>
      </c>
      <c r="W292" s="87">
        <f ca="1">IFERROR(__xludf.DUMMYFUNCTION("""COMPUTED_VALUE"""),264)</f>
        <v>264</v>
      </c>
      <c r="X292" s="84">
        <f ca="1">IFERROR(__xludf.DUMMYFUNCTION("""COMPUTED_VALUE"""),1959)</f>
        <v>1959</v>
      </c>
      <c r="Y292" s="84" t="str">
        <f ca="1">IFERROR(__xludf.DUMMYFUNCTION("""COMPUTED_VALUE"""),"BMIS_auto")</f>
        <v>BMIS_auto</v>
      </c>
      <c r="Z292" s="66" t="s">
        <v>2201</v>
      </c>
    </row>
    <row r="293" spans="1:26" ht="15.75" customHeight="1">
      <c r="A293" s="83" t="str">
        <f ca="1">IFERROR(__xludf.DUMMYFUNCTION("""COMPUTED_VALUE"""),"E28SW")</f>
        <v>E28SW</v>
      </c>
      <c r="B293" s="84">
        <f ca="1">IFERROR(__xludf.DUMMYFUNCTION("""COMPUTED_VALUE"""),28)</f>
        <v>28</v>
      </c>
      <c r="C293" s="84" t="str">
        <f ca="1">IFERROR(__xludf.DUMMYFUNCTION("""COMPUTED_VALUE"""),"SW")</f>
        <v>SW</v>
      </c>
      <c r="D293" s="339">
        <f ca="1">IFERROR(__xludf.DUMMYFUNCTION("""COMPUTED_VALUE"""),5800)</f>
        <v>5800</v>
      </c>
      <c r="E293" s="84" t="str">
        <f ca="1">IFERROR(__xludf.DUMMYFUNCTION("""COMPUTED_VALUE"""),"3869116946T20050430")</f>
        <v>3869116946T20050430</v>
      </c>
      <c r="F293" s="84">
        <f ca="1">IFERROR(__xludf.DUMMYFUNCTION("""COMPUTED_VALUE"""),1103120091)</f>
        <v>1103120091</v>
      </c>
      <c r="G293" s="83" t="str">
        <f ca="1">IFERROR(__xludf.DUMMYFUNCTION("""COMPUTED_VALUE"""),"On Ning Building")</f>
        <v>On Ning Building</v>
      </c>
      <c r="H293" s="84" t="str">
        <f ca="1">IFERROR(__xludf.DUMMYFUNCTION("""COMPUTED_VALUE"""),"安寧大廈")</f>
        <v>安寧大廈</v>
      </c>
      <c r="I293" s="84">
        <f ca="1">IFERROR(__xludf.DUMMYFUNCTION("""COMPUTED_VALUE"""),114.2003975)</f>
        <v>114.20039749999999</v>
      </c>
      <c r="J293" s="84">
        <f ca="1">IFERROR(__xludf.DUMMYFUNCTION("""COMPUTED_VALUE"""),22.29141885)</f>
        <v>22.291418849999999</v>
      </c>
      <c r="K293" s="88">
        <f ca="1">IFERROR(__xludf.DUMMYFUNCTION("""COMPUTED_VALUE"""),4.5)</f>
        <v>4.5</v>
      </c>
      <c r="L293" s="84" t="str">
        <f ca="1">IFERROR(__xludf.DUMMYFUNCTION("""COMPUTED_VALUE"""),"l")</f>
        <v>l</v>
      </c>
      <c r="M293" s="88">
        <f ca="1">IFERROR(__xludf.DUMMYFUNCTION("""COMPUTED_VALUE"""),57.8)</f>
        <v>57.8</v>
      </c>
      <c r="N293" s="84" t="str">
        <f ca="1">IFERROR(__xludf.DUMMYFUNCTION("""COMPUTED_VALUE"""),"p")</f>
        <v>p</v>
      </c>
      <c r="O293" s="88">
        <f ca="1">IFERROR(__xludf.DUMMYFUNCTION("""COMPUTED_VALUE"""),53.3)</f>
        <v>53.3</v>
      </c>
      <c r="P293" s="85"/>
      <c r="Q293" s="75" t="b">
        <f ca="1">IFERROR(__xludf.DUMMYFUNCTION("""COMPUTED_VALUE"""),FALSE)</f>
        <v>0</v>
      </c>
      <c r="R293" s="75" t="b">
        <f ca="1">IFERROR(__xludf.DUMMYFUNCTION("""COMPUTED_VALUE"""),FALSE)</f>
        <v>0</v>
      </c>
      <c r="S293" s="75" t="b">
        <f ca="1">IFERROR(__xludf.DUMMYFUNCTION("""COMPUTED_VALUE"""),FALSE)</f>
        <v>0</v>
      </c>
      <c r="T293" s="75" t="b">
        <f ca="1">IFERROR(__xludf.DUMMYFUNCTION("""COMPUTED_VALUE"""),FALSE)</f>
        <v>0</v>
      </c>
      <c r="U293" s="86">
        <f ca="1">IFERROR(__xludf.DUMMYFUNCTION("""COMPUTED_VALUE"""),17)</f>
        <v>17</v>
      </c>
      <c r="V293" s="84">
        <f ca="1">IFERROR(__xludf.DUMMYFUNCTION("""COMPUTED_VALUE"""),0)</f>
        <v>0</v>
      </c>
      <c r="W293" s="87">
        <f ca="1">IFERROR(__xludf.DUMMYFUNCTION("""COMPUTED_VALUE"""),99)</f>
        <v>99</v>
      </c>
      <c r="X293" s="84">
        <f ca="1">IFERROR(__xludf.DUMMYFUNCTION("""COMPUTED_VALUE"""),1968)</f>
        <v>1968</v>
      </c>
      <c r="Y293" s="84" t="str">
        <f ca="1">IFERROR(__xludf.DUMMYFUNCTION("""COMPUTED_VALUE"""),"BMIS_auto")</f>
        <v>BMIS_auto</v>
      </c>
      <c r="Z293" s="66" t="s">
        <v>2203</v>
      </c>
    </row>
    <row r="294" spans="1:26" ht="15.75" customHeight="1">
      <c r="A294" s="83" t="str">
        <f ca="1">IFERROR(__xludf.DUMMYFUNCTION("""COMPUTED_VALUE"""),"E28NW")</f>
        <v>E28NW</v>
      </c>
      <c r="B294" s="84">
        <f ca="1">IFERROR(__xludf.DUMMYFUNCTION("""COMPUTED_VALUE"""),28)</f>
        <v>28</v>
      </c>
      <c r="C294" s="84" t="str">
        <f ca="1">IFERROR(__xludf.DUMMYFUNCTION("""COMPUTED_VALUE"""),"NW")</f>
        <v>NW</v>
      </c>
      <c r="D294" s="339">
        <f ca="1">IFERROR(__xludf.DUMMYFUNCTION("""COMPUTED_VALUE"""),5800)</f>
        <v>5800</v>
      </c>
      <c r="E294" s="84" t="str">
        <f ca="1">IFERROR(__xludf.DUMMYFUNCTION("""COMPUTED_VALUE"""),"3870916941T20050430")</f>
        <v>3870916941T20050430</v>
      </c>
      <c r="F294" s="84">
        <f ca="1">IFERROR(__xludf.DUMMYFUNCTION("""COMPUTED_VALUE"""),1103120068)</f>
        <v>1103120068</v>
      </c>
      <c r="G294" s="83" t="str">
        <f ca="1">IFERROR(__xludf.DUMMYFUNCTION("""COMPUTED_VALUE"""),"Chu Kee Building")</f>
        <v>Chu Kee Building</v>
      </c>
      <c r="H294" s="84" t="str">
        <f ca="1">IFERROR(__xludf.DUMMYFUNCTION("""COMPUTED_VALUE"""),"珠璣大廈")</f>
        <v>珠璣大廈</v>
      </c>
      <c r="I294" s="84">
        <f ca="1">IFERROR(__xludf.DUMMYFUNCTION("""COMPUTED_VALUE"""),114.2005865)</f>
        <v>114.2005865</v>
      </c>
      <c r="J294" s="84">
        <f ca="1">IFERROR(__xludf.DUMMYFUNCTION("""COMPUTED_VALUE"""),22.29146201)</f>
        <v>22.29146201</v>
      </c>
      <c r="K294" s="88">
        <f ca="1">IFERROR(__xludf.DUMMYFUNCTION("""COMPUTED_VALUE"""),4.3)</f>
        <v>4.3</v>
      </c>
      <c r="L294" s="84" t="str">
        <f ca="1">IFERROR(__xludf.DUMMYFUNCTION("""COMPUTED_VALUE"""),"l")</f>
        <v>l</v>
      </c>
      <c r="M294" s="88">
        <f ca="1">IFERROR(__xludf.DUMMYFUNCTION("""COMPUTED_VALUE"""),66.2)</f>
        <v>66.2</v>
      </c>
      <c r="N294" s="84" t="str">
        <f ca="1">IFERROR(__xludf.DUMMYFUNCTION("""COMPUTED_VALUE"""),"p")</f>
        <v>p</v>
      </c>
      <c r="O294" s="88">
        <f ca="1">IFERROR(__xludf.DUMMYFUNCTION("""COMPUTED_VALUE"""),61.9)</f>
        <v>61.9</v>
      </c>
      <c r="P294" s="85"/>
      <c r="Q294" s="75" t="b">
        <f ca="1">IFERROR(__xludf.DUMMYFUNCTION("""COMPUTED_VALUE"""),FALSE)</f>
        <v>0</v>
      </c>
      <c r="R294" s="75" t="b">
        <f ca="1">IFERROR(__xludf.DUMMYFUNCTION("""COMPUTED_VALUE"""),FALSE)</f>
        <v>0</v>
      </c>
      <c r="S294" s="75" t="b">
        <f ca="1">IFERROR(__xludf.DUMMYFUNCTION("""COMPUTED_VALUE"""),FALSE)</f>
        <v>0</v>
      </c>
      <c r="T294" s="75" t="b">
        <f ca="1">IFERROR(__xludf.DUMMYFUNCTION("""COMPUTED_VALUE"""),FALSE)</f>
        <v>0</v>
      </c>
      <c r="U294" s="86">
        <f ca="1">IFERROR(__xludf.DUMMYFUNCTION("""COMPUTED_VALUE"""),20)</f>
        <v>20</v>
      </c>
      <c r="V294" s="84">
        <f ca="1">IFERROR(__xludf.DUMMYFUNCTION("""COMPUTED_VALUE"""),0)</f>
        <v>0</v>
      </c>
      <c r="W294" s="87">
        <f ca="1">IFERROR(__xludf.DUMMYFUNCTION("""COMPUTED_VALUE"""),57)</f>
        <v>57</v>
      </c>
      <c r="X294" s="84">
        <f ca="1">IFERROR(__xludf.DUMMYFUNCTION("""COMPUTED_VALUE"""),1974)</f>
        <v>1974</v>
      </c>
      <c r="Y294" s="84" t="str">
        <f ca="1">IFERROR(__xludf.DUMMYFUNCTION("""COMPUTED_VALUE"""),"BMIS_auto")</f>
        <v>BMIS_auto</v>
      </c>
      <c r="Z294" s="66" t="s">
        <v>2205</v>
      </c>
    </row>
    <row r="295" spans="1:26" ht="15.75" customHeight="1">
      <c r="A295" s="83" t="str">
        <f ca="1">IFERROR(__xludf.DUMMYFUNCTION("""COMPUTED_VALUE"""),"N21NE")</f>
        <v>N21NE</v>
      </c>
      <c r="B295" s="84">
        <f ca="1">IFERROR(__xludf.DUMMYFUNCTION("""COMPUTED_VALUE"""),21)</f>
        <v>21</v>
      </c>
      <c r="C295" s="84" t="str">
        <f ca="1">IFERROR(__xludf.DUMMYFUNCTION("""COMPUTED_VALUE"""),"NE")</f>
        <v>NE</v>
      </c>
      <c r="D295" s="339">
        <f ca="1">IFERROR(__xludf.DUMMYFUNCTION("""COMPUTED_VALUE"""),6000)</f>
        <v>6000</v>
      </c>
      <c r="E295" s="84" t="str">
        <f ca="1">IFERROR(__xludf.DUMMYFUNCTION("""COMPUTED_VALUE"""),"3502121448T20050430")</f>
        <v>3502121448T20050430</v>
      </c>
      <c r="F295" s="84">
        <f ca="1">IFERROR(__xludf.DUMMYFUNCTION("""COMPUTED_VALUE"""),1108225865)</f>
        <v>1108225865</v>
      </c>
      <c r="G295" s="83" t="str">
        <f ca="1">IFERROR(__xludf.DUMMYFUNCTION("""COMPUTED_VALUE"""),"Ka Shun Building")</f>
        <v>Ka Shun Building</v>
      </c>
      <c r="H295" s="84" t="str">
        <f ca="1">IFERROR(__xludf.DUMMYFUNCTION("""COMPUTED_VALUE"""),"嘉順大廈")</f>
        <v>嘉順大廈</v>
      </c>
      <c r="I295" s="84">
        <f ca="1">IFERROR(__xludf.DUMMYFUNCTION("""COMPUTED_VALUE"""),114.1647871)</f>
        <v>114.1647871</v>
      </c>
      <c r="J295" s="84">
        <f ca="1">IFERROR(__xludf.DUMMYFUNCTION("""COMPUTED_VALUE"""),22.3320813)</f>
        <v>22.332081299999999</v>
      </c>
      <c r="K295" s="88">
        <f ca="1">IFERROR(__xludf.DUMMYFUNCTION("""COMPUTED_VALUE"""),12.6)</f>
        <v>12.6</v>
      </c>
      <c r="L295" s="84" t="str">
        <f ca="1">IFERROR(__xludf.DUMMYFUNCTION("""COMPUTED_VALUE"""),"p")</f>
        <v>p</v>
      </c>
      <c r="M295" s="88">
        <f ca="1">IFERROR(__xludf.DUMMYFUNCTION("""COMPUTED_VALUE"""),45.099998)</f>
        <v>45.099997999999999</v>
      </c>
      <c r="N295" s="84" t="str">
        <f ca="1">IFERROR(__xludf.DUMMYFUNCTION("""COMPUTED_VALUE"""),"p")</f>
        <v>p</v>
      </c>
      <c r="O295" s="88">
        <f ca="1">IFERROR(__xludf.DUMMYFUNCTION("""COMPUTED_VALUE"""),32.499998)</f>
        <v>32.499997999999998</v>
      </c>
      <c r="P295" s="85"/>
      <c r="Q295" s="75" t="b">
        <f ca="1">IFERROR(__xludf.DUMMYFUNCTION("""COMPUTED_VALUE"""),FALSE)</f>
        <v>0</v>
      </c>
      <c r="R295" s="75" t="b">
        <f ca="1">IFERROR(__xludf.DUMMYFUNCTION("""COMPUTED_VALUE"""),FALSE)</f>
        <v>0</v>
      </c>
      <c r="S295" s="75" t="b">
        <f ca="1">IFERROR(__xludf.DUMMYFUNCTION("""COMPUTED_VALUE"""),FALSE)</f>
        <v>0</v>
      </c>
      <c r="T295" s="75"/>
      <c r="U295" s="86">
        <f ca="1">IFERROR(__xludf.DUMMYFUNCTION("""COMPUTED_VALUE"""),11)</f>
        <v>11</v>
      </c>
      <c r="V295" s="84">
        <f ca="1">IFERROR(__xludf.DUMMYFUNCTION("""COMPUTED_VALUE"""),0)</f>
        <v>0</v>
      </c>
      <c r="W295" s="87">
        <f ca="1">IFERROR(__xludf.DUMMYFUNCTION("""COMPUTED_VALUE"""),45)</f>
        <v>45</v>
      </c>
      <c r="X295" s="84">
        <f ca="1">IFERROR(__xludf.DUMMYFUNCTION("""COMPUTED_VALUE"""),1982)</f>
        <v>1982</v>
      </c>
      <c r="Y295" s="84" t="str">
        <f ca="1">IFERROR(__xludf.DUMMYFUNCTION("""COMPUTED_VALUE"""),"BMIS_auto")</f>
        <v>BMIS_auto</v>
      </c>
      <c r="Z295" s="66" t="s">
        <v>2207</v>
      </c>
    </row>
    <row r="296" spans="1:26" ht="15.75" customHeight="1">
      <c r="A296" s="83" t="str">
        <f ca="1">IFERROR(__xludf.DUMMYFUNCTION("""COMPUTED_VALUE"""),"N21SE")</f>
        <v>N21SE</v>
      </c>
      <c r="B296" s="84">
        <f ca="1">IFERROR(__xludf.DUMMYFUNCTION("""COMPUTED_VALUE"""),21)</f>
        <v>21</v>
      </c>
      <c r="C296" s="84" t="str">
        <f ca="1">IFERROR(__xludf.DUMMYFUNCTION("""COMPUTED_VALUE"""),"SE")</f>
        <v>SE</v>
      </c>
      <c r="D296" s="339">
        <f ca="1">IFERROR(__xludf.DUMMYFUNCTION("""COMPUTED_VALUE"""),6000)</f>
        <v>6000</v>
      </c>
      <c r="E296" s="84" t="str">
        <f ca="1">IFERROR(__xludf.DUMMYFUNCTION("""COMPUTED_VALUE"""),"3503721435T20050430")</f>
        <v>3503721435T20050430</v>
      </c>
      <c r="F296" s="84">
        <f ca="1">IFERROR(__xludf.DUMMYFUNCTION("""COMPUTED_VALUE"""),1108225903)</f>
        <v>1108225903</v>
      </c>
      <c r="G296" s="83" t="str">
        <f ca="1">IFERROR(__xludf.DUMMYFUNCTION("""COMPUTED_VALUE"""),"Penta House")</f>
        <v>Penta House</v>
      </c>
      <c r="H296" s="84" t="str">
        <f ca="1">IFERROR(__xludf.DUMMYFUNCTION("""COMPUTED_VALUE"""),"五聯大廈")</f>
        <v>五聯大廈</v>
      </c>
      <c r="I296" s="84">
        <f ca="1">IFERROR(__xludf.DUMMYFUNCTION("""COMPUTED_VALUE"""),114.1649091)</f>
        <v>114.1649091</v>
      </c>
      <c r="J296" s="84">
        <f ca="1">IFERROR(__xludf.DUMMYFUNCTION("""COMPUTED_VALUE"""),22.3319439)</f>
        <v>22.331943899999999</v>
      </c>
      <c r="K296" s="88">
        <f ca="1">IFERROR(__xludf.DUMMYFUNCTION("""COMPUTED_VALUE"""),6.7)</f>
        <v>6.7</v>
      </c>
      <c r="L296" s="84" t="str">
        <f ca="1">IFERROR(__xludf.DUMMYFUNCTION("""COMPUTED_VALUE"""),"l")</f>
        <v>l</v>
      </c>
      <c r="M296" s="88">
        <f ca="1">IFERROR(__xludf.DUMMYFUNCTION("""COMPUTED_VALUE"""),42.900002)</f>
        <v>42.900002000000001</v>
      </c>
      <c r="N296" s="84" t="str">
        <f ca="1">IFERROR(__xludf.DUMMYFUNCTION("""COMPUTED_VALUE"""),"3")</f>
        <v>3</v>
      </c>
      <c r="O296" s="88">
        <f ca="1">IFERROR(__xludf.DUMMYFUNCTION("""COMPUTED_VALUE"""),36.200002)</f>
        <v>36.200001999999998</v>
      </c>
      <c r="P296" s="85"/>
      <c r="Q296" s="75" t="b">
        <f ca="1">IFERROR(__xludf.DUMMYFUNCTION("""COMPUTED_VALUE"""),FALSE)</f>
        <v>0</v>
      </c>
      <c r="R296" s="75" t="b">
        <f ca="1">IFERROR(__xludf.DUMMYFUNCTION("""COMPUTED_VALUE"""),FALSE)</f>
        <v>0</v>
      </c>
      <c r="S296" s="75" t="b">
        <f ca="1">IFERROR(__xludf.DUMMYFUNCTION("""COMPUTED_VALUE"""),FALSE)</f>
        <v>0</v>
      </c>
      <c r="T296" s="75"/>
      <c r="U296" s="86">
        <f ca="1">IFERROR(__xludf.DUMMYFUNCTION("""COMPUTED_VALUE"""),12)</f>
        <v>12</v>
      </c>
      <c r="V296" s="84">
        <f ca="1">IFERROR(__xludf.DUMMYFUNCTION("""COMPUTED_VALUE"""),0)</f>
        <v>0</v>
      </c>
      <c r="W296" s="87">
        <f ca="1">IFERROR(__xludf.DUMMYFUNCTION("""COMPUTED_VALUE"""),120)</f>
        <v>120</v>
      </c>
      <c r="X296" s="84">
        <f ca="1">IFERROR(__xludf.DUMMYFUNCTION("""COMPUTED_VALUE"""),1963)</f>
        <v>1963</v>
      </c>
      <c r="Y296" s="84" t="str">
        <f ca="1">IFERROR(__xludf.DUMMYFUNCTION("""COMPUTED_VALUE"""),"BMIS_auto")</f>
        <v>BMIS_auto</v>
      </c>
      <c r="Z296" s="66" t="s">
        <v>2209</v>
      </c>
    </row>
    <row r="297" spans="1:26" ht="15.75" customHeight="1">
      <c r="A297" s="83" t="str">
        <f ca="1">IFERROR(__xludf.DUMMYFUNCTION("""COMPUTED_VALUE"""),"N21SW")</f>
        <v>N21SW</v>
      </c>
      <c r="B297" s="84">
        <f ca="1">IFERROR(__xludf.DUMMYFUNCTION("""COMPUTED_VALUE"""),21)</f>
        <v>21</v>
      </c>
      <c r="C297" s="84" t="str">
        <f ca="1">IFERROR(__xludf.DUMMYFUNCTION("""COMPUTED_VALUE"""),"SW")</f>
        <v>SW</v>
      </c>
      <c r="D297" s="339">
        <f ca="1">IFERROR(__xludf.DUMMYFUNCTION("""COMPUTED_VALUE"""),6000)</f>
        <v>6000</v>
      </c>
      <c r="E297" s="84" t="str">
        <f ca="1">IFERROR(__xludf.DUMMYFUNCTION("""COMPUTED_VALUE"""),"3499621412T20050430")</f>
        <v>3499621412T20050430</v>
      </c>
      <c r="F297" s="84">
        <f ca="1">IFERROR(__xludf.DUMMYFUNCTION("""COMPUTED_VALUE"""),1108226016)</f>
        <v>1108226016</v>
      </c>
      <c r="G297" s="83" t="str">
        <f ca="1">IFERROR(__xludf.DUMMYFUNCTION("""COMPUTED_VALUE"""),"Hip Fook Building")</f>
        <v>Hip Fook Building</v>
      </c>
      <c r="H297" s="84" t="str">
        <f ca="1">IFERROR(__xludf.DUMMYFUNCTION("""COMPUTED_VALUE"""),"協福大廈")</f>
        <v>協福大廈</v>
      </c>
      <c r="I297" s="84">
        <f ca="1">IFERROR(__xludf.DUMMYFUNCTION("""COMPUTED_VALUE"""),114.1645211)</f>
        <v>114.1645211</v>
      </c>
      <c r="J297" s="84">
        <f ca="1">IFERROR(__xludf.DUMMYFUNCTION("""COMPUTED_VALUE"""),22.33176821)</f>
        <v>22.33176821</v>
      </c>
      <c r="K297" s="88">
        <f ca="1">IFERROR(__xludf.DUMMYFUNCTION("""COMPUTED_VALUE"""),16.1)</f>
        <v>16.100000000000001</v>
      </c>
      <c r="L297" s="84" t="str">
        <f ca="1">IFERROR(__xludf.DUMMYFUNCTION("""COMPUTED_VALUE"""),"p")</f>
        <v>p</v>
      </c>
      <c r="M297" s="88">
        <f ca="1">IFERROR(__xludf.DUMMYFUNCTION("""COMPUTED_VALUE"""),44.200001)</f>
        <v>44.200001</v>
      </c>
      <c r="N297" s="84" t="str">
        <f ca="1">IFERROR(__xludf.DUMMYFUNCTION("""COMPUTED_VALUE"""),"p")</f>
        <v>p</v>
      </c>
      <c r="O297" s="88">
        <f ca="1">IFERROR(__xludf.DUMMYFUNCTION("""COMPUTED_VALUE"""),28.100001)</f>
        <v>28.100000999999999</v>
      </c>
      <c r="P297" s="85"/>
      <c r="Q297" s="75" t="b">
        <f ca="1">IFERROR(__xludf.DUMMYFUNCTION("""COMPUTED_VALUE"""),FALSE)</f>
        <v>0</v>
      </c>
      <c r="R297" s="75" t="b">
        <f ca="1">IFERROR(__xludf.DUMMYFUNCTION("""COMPUTED_VALUE"""),FALSE)</f>
        <v>0</v>
      </c>
      <c r="S297" s="75" t="b">
        <f ca="1">IFERROR(__xludf.DUMMYFUNCTION("""COMPUTED_VALUE"""),FALSE)</f>
        <v>0</v>
      </c>
      <c r="T297" s="75"/>
      <c r="U297" s="86">
        <f ca="1">IFERROR(__xludf.DUMMYFUNCTION("""COMPUTED_VALUE"""),11)</f>
        <v>11</v>
      </c>
      <c r="V297" s="84">
        <f ca="1">IFERROR(__xludf.DUMMYFUNCTION("""COMPUTED_VALUE"""),0)</f>
        <v>0</v>
      </c>
      <c r="W297" s="87">
        <f ca="1">IFERROR(__xludf.DUMMYFUNCTION("""COMPUTED_VALUE"""),30)</f>
        <v>30</v>
      </c>
      <c r="X297" s="84">
        <f ca="1">IFERROR(__xludf.DUMMYFUNCTION("""COMPUTED_VALUE"""),1983)</f>
        <v>1983</v>
      </c>
      <c r="Y297" s="84" t="str">
        <f ca="1">IFERROR(__xludf.DUMMYFUNCTION("""COMPUTED_VALUE"""),"BMIS_auto")</f>
        <v>BMIS_auto</v>
      </c>
      <c r="Z297" s="66" t="s">
        <v>2211</v>
      </c>
    </row>
    <row r="298" spans="1:26" ht="15.75" customHeight="1">
      <c r="A298" s="83" t="str">
        <f ca="1">IFERROR(__xludf.DUMMYFUNCTION("""COMPUTED_VALUE"""),"N21NW")</f>
        <v>N21NW</v>
      </c>
      <c r="B298" s="84">
        <f ca="1">IFERROR(__xludf.DUMMYFUNCTION("""COMPUTED_VALUE"""),21)</f>
        <v>21</v>
      </c>
      <c r="C298" s="84" t="str">
        <f ca="1">IFERROR(__xludf.DUMMYFUNCTION("""COMPUTED_VALUE"""),"NW")</f>
        <v>NW</v>
      </c>
      <c r="D298" s="339">
        <f ca="1">IFERROR(__xludf.DUMMYFUNCTION("""COMPUTED_VALUE"""),6000)</f>
        <v>6000</v>
      </c>
      <c r="E298" s="84" t="str">
        <f ca="1">IFERROR(__xludf.DUMMYFUNCTION("""COMPUTED_VALUE"""),"3497621428T20050430")</f>
        <v>3497621428T20050430</v>
      </c>
      <c r="F298" s="84">
        <f ca="1">IFERROR(__xludf.DUMMYFUNCTION("""COMPUTED_VALUE"""),1108225950)</f>
        <v>1108225950</v>
      </c>
      <c r="G298" s="83" t="str">
        <f ca="1">IFERROR(__xludf.DUMMYFUNCTION("""COMPUTED_VALUE"""),"Wei Sun Building")</f>
        <v>Wei Sun Building</v>
      </c>
      <c r="H298" s="84" t="str">
        <f ca="1">IFERROR(__xludf.DUMMYFUNCTION("""COMPUTED_VALUE"""),"威信大廈")</f>
        <v>威信大廈</v>
      </c>
      <c r="I298" s="84">
        <f ca="1">IFERROR(__xludf.DUMMYFUNCTION("""COMPUTED_VALUE"""),114.1643397)</f>
        <v>114.1643397</v>
      </c>
      <c r="J298" s="84">
        <f ca="1">IFERROR(__xludf.DUMMYFUNCTION("""COMPUTED_VALUE"""),22.33191272)</f>
        <v>22.331912719999998</v>
      </c>
      <c r="K298" s="88">
        <f ca="1">IFERROR(__xludf.DUMMYFUNCTION("""COMPUTED_VALUE"""),16.9)</f>
        <v>16.899999999999999</v>
      </c>
      <c r="L298" s="84" t="str">
        <f ca="1">IFERROR(__xludf.DUMMYFUNCTION("""COMPUTED_VALUE"""),"p")</f>
        <v>p</v>
      </c>
      <c r="M298" s="88">
        <f ca="1">IFERROR(__xludf.DUMMYFUNCTION("""COMPUTED_VALUE"""),43.5)</f>
        <v>43.5</v>
      </c>
      <c r="N298" s="84" t="str">
        <f ca="1">IFERROR(__xludf.DUMMYFUNCTION("""COMPUTED_VALUE"""),"3")</f>
        <v>3</v>
      </c>
      <c r="O298" s="88">
        <f ca="1">IFERROR(__xludf.DUMMYFUNCTION("""COMPUTED_VALUE"""),26.6)</f>
        <v>26.6</v>
      </c>
      <c r="P298" s="85"/>
      <c r="Q298" s="75" t="b">
        <f ca="1">IFERROR(__xludf.DUMMYFUNCTION("""COMPUTED_VALUE"""),FALSE)</f>
        <v>0</v>
      </c>
      <c r="R298" s="75" t="b">
        <f ca="1">IFERROR(__xludf.DUMMYFUNCTION("""COMPUTED_VALUE"""),FALSE)</f>
        <v>0</v>
      </c>
      <c r="S298" s="75" t="b">
        <f ca="1">IFERROR(__xludf.DUMMYFUNCTION("""COMPUTED_VALUE"""),FALSE)</f>
        <v>0</v>
      </c>
      <c r="T298" s="75"/>
      <c r="U298" s="86">
        <f ca="1">IFERROR(__xludf.DUMMYFUNCTION("""COMPUTED_VALUE"""),12)</f>
        <v>12</v>
      </c>
      <c r="V298" s="84">
        <f ca="1">IFERROR(__xludf.DUMMYFUNCTION("""COMPUTED_VALUE"""),0)</f>
        <v>0</v>
      </c>
      <c r="W298" s="87">
        <f ca="1">IFERROR(__xludf.DUMMYFUNCTION("""COMPUTED_VALUE"""),132)</f>
        <v>132</v>
      </c>
      <c r="X298" s="84">
        <f ca="1">IFERROR(__xludf.DUMMYFUNCTION("""COMPUTED_VALUE"""),1981)</f>
        <v>1981</v>
      </c>
      <c r="Y298" s="84" t="str">
        <f ca="1">IFERROR(__xludf.DUMMYFUNCTION("""COMPUTED_VALUE"""),"BMIS_auto")</f>
        <v>BMIS_auto</v>
      </c>
      <c r="Z298" s="66" t="s">
        <v>2213</v>
      </c>
    </row>
    <row r="299" spans="1:26" ht="15.75" customHeight="1">
      <c r="A299" s="83" t="str">
        <f ca="1">IFERROR(__xludf.DUMMYFUNCTION("""COMPUTED_VALUE"""),"E29NE")</f>
        <v>E29NE</v>
      </c>
      <c r="B299" s="84">
        <f ca="1">IFERROR(__xludf.DUMMYFUNCTION("""COMPUTED_VALUE"""),29)</f>
        <v>29</v>
      </c>
      <c r="C299" s="84" t="str">
        <f ca="1">IFERROR(__xludf.DUMMYFUNCTION("""COMPUTED_VALUE"""),"NE")</f>
        <v>NE</v>
      </c>
      <c r="D299" s="339">
        <f ca="1">IFERROR(__xludf.DUMMYFUNCTION("""COMPUTED_VALUE"""),6000)</f>
        <v>6000</v>
      </c>
      <c r="E299" s="84" t="str">
        <f ca="1">IFERROR(__xludf.DUMMYFUNCTION("""COMPUTED_VALUE"""),"3895816911T20050430")</f>
        <v>3895816911T20050430</v>
      </c>
      <c r="F299" s="84">
        <f ca="1">IFERROR(__xludf.DUMMYFUNCTION("""COMPUTED_VALUE"""),1103120125)</f>
        <v>1103120125</v>
      </c>
      <c r="G299" s="83" t="str">
        <f ca="1">IFERROR(__xludf.DUMMYFUNCTION("""COMPUTED_VALUE"""),"Island Place Tower")</f>
        <v>Island Place Tower</v>
      </c>
      <c r="H299" s="84" t="str">
        <f ca="1">IFERROR(__xludf.DUMMYFUNCTION("""COMPUTED_VALUE"""),"港運大廈")</f>
        <v>港運大廈</v>
      </c>
      <c r="I299" s="84">
        <f ca="1">IFERROR(__xludf.DUMMYFUNCTION("""COMPUTED_VALUE"""),114.2030122)</f>
        <v>114.2030122</v>
      </c>
      <c r="J299" s="84">
        <f ca="1">IFERROR(__xludf.DUMMYFUNCTION("""COMPUTED_VALUE"""),22.29112688)</f>
        <v>22.29112688</v>
      </c>
      <c r="K299" s="88">
        <f ca="1">IFERROR(__xludf.DUMMYFUNCTION("""COMPUTED_VALUE"""),4.7)</f>
        <v>4.7</v>
      </c>
      <c r="L299" s="84" t="str">
        <f ca="1">IFERROR(__xludf.DUMMYFUNCTION("""COMPUTED_VALUE"""),"l")</f>
        <v>l</v>
      </c>
      <c r="M299" s="88">
        <f ca="1">IFERROR(__xludf.DUMMYFUNCTION("""COMPUTED_VALUE"""),108.9)</f>
        <v>108.9</v>
      </c>
      <c r="N299" s="84" t="str">
        <f ca="1">IFERROR(__xludf.DUMMYFUNCTION("""COMPUTED_VALUE"""),"p")</f>
        <v>p</v>
      </c>
      <c r="O299" s="88">
        <f ca="1">IFERROR(__xludf.DUMMYFUNCTION("""COMPUTED_VALUE"""),104.2)</f>
        <v>104.2</v>
      </c>
      <c r="P299" s="85"/>
      <c r="Q299" s="75" t="b">
        <f ca="1">IFERROR(__xludf.DUMMYFUNCTION("""COMPUTED_VALUE"""),FALSE)</f>
        <v>0</v>
      </c>
      <c r="R299" s="75" t="b">
        <f ca="1">IFERROR(__xludf.DUMMYFUNCTION("""COMPUTED_VALUE"""),FALSE)</f>
        <v>0</v>
      </c>
      <c r="S299" s="75" t="b">
        <f ca="1">IFERROR(__xludf.DUMMYFUNCTION("""COMPUTED_VALUE"""),FALSE)</f>
        <v>0</v>
      </c>
      <c r="T299" s="75" t="b">
        <f ca="1">IFERROR(__xludf.DUMMYFUNCTION("""COMPUTED_VALUE"""),FALSE)</f>
        <v>0</v>
      </c>
      <c r="U299" s="86">
        <f ca="1">IFERROR(__xludf.DUMMYFUNCTION("""COMPUTED_VALUE"""),23)</f>
        <v>23</v>
      </c>
      <c r="V299" s="84">
        <f ca="1">IFERROR(__xludf.DUMMYFUNCTION("""COMPUTED_VALUE"""),0)</f>
        <v>0</v>
      </c>
      <c r="W299" s="87">
        <f ca="1">IFERROR(__xludf.DUMMYFUNCTION("""COMPUTED_VALUE"""),184)</f>
        <v>184</v>
      </c>
      <c r="X299" s="84">
        <f ca="1">IFERROR(__xludf.DUMMYFUNCTION("""COMPUTED_VALUE"""),1996)</f>
        <v>1996</v>
      </c>
      <c r="Y299" s="84" t="str">
        <f ca="1">IFERROR(__xludf.DUMMYFUNCTION("""COMPUTED_VALUE"""),"BMIS")</f>
        <v>BMIS</v>
      </c>
      <c r="Z299" s="66" t="s">
        <v>2215</v>
      </c>
    </row>
    <row r="300" spans="1:26" ht="15.75" customHeight="1">
      <c r="A300" s="83" t="str">
        <f ca="1">IFERROR(__xludf.DUMMYFUNCTION("""COMPUTED_VALUE"""),"E29SE")</f>
        <v>E29SE</v>
      </c>
      <c r="B300" s="84">
        <f ca="1">IFERROR(__xludf.DUMMYFUNCTION("""COMPUTED_VALUE"""),29)</f>
        <v>29</v>
      </c>
      <c r="C300" s="84" t="str">
        <f ca="1">IFERROR(__xludf.DUMMYFUNCTION("""COMPUTED_VALUE"""),"SE")</f>
        <v>SE</v>
      </c>
      <c r="D300" s="339">
        <f ca="1">IFERROR(__xludf.DUMMYFUNCTION("""COMPUTED_VALUE"""),6000)</f>
        <v>6000</v>
      </c>
      <c r="E300" s="84" t="str">
        <f ca="1">IFERROR(__xludf.DUMMYFUNCTION("""COMPUTED_VALUE"""),"3884216927T20050430")</f>
        <v>3884216927T20050430</v>
      </c>
      <c r="F300" s="84">
        <f ca="1">IFERROR(__xludf.DUMMYFUNCTION("""COMPUTED_VALUE"""),1103120148)</f>
        <v>1103120148</v>
      </c>
      <c r="G300" s="83" t="str">
        <f ca="1">IFERROR(__xludf.DUMMYFUNCTION("""COMPUTED_VALUE"""),"HKU School of Professional and Continuing Education")</f>
        <v>HKU School of Professional and Continuing Education</v>
      </c>
      <c r="H300" s="84" t="str">
        <f ca="1">IFERROR(__xludf.DUMMYFUNCTION("""COMPUTED_VALUE"""),"香港大學專業進修學院")</f>
        <v>香港大學專業進修學院</v>
      </c>
      <c r="I300" s="84">
        <f ca="1">IFERROR(__xludf.DUMMYFUNCTION("""COMPUTED_VALUE"""),114.2018518)</f>
        <v>114.2018518</v>
      </c>
      <c r="J300" s="84">
        <f ca="1">IFERROR(__xludf.DUMMYFUNCTION("""COMPUTED_VALUE"""),22.29125428)</f>
        <v>22.29125428</v>
      </c>
      <c r="K300" s="88">
        <f ca="1">IFERROR(__xludf.DUMMYFUNCTION("""COMPUTED_VALUE"""),22.4)</f>
        <v>22.4</v>
      </c>
      <c r="L300" s="84" t="str">
        <f ca="1">IFERROR(__xludf.DUMMYFUNCTION("""COMPUTED_VALUE"""),"es")</f>
        <v>es</v>
      </c>
      <c r="M300" s="88">
        <f ca="1">IFERROR(__xludf.DUMMYFUNCTION("""COMPUTED_VALUE"""),96)</f>
        <v>96</v>
      </c>
      <c r="N300" s="84" t="str">
        <f ca="1">IFERROR(__xludf.DUMMYFUNCTION("""COMPUTED_VALUE"""),"g")</f>
        <v>g</v>
      </c>
      <c r="O300" s="88">
        <f ca="1">IFERROR(__xludf.DUMMYFUNCTION("""COMPUTED_VALUE"""),73.6)</f>
        <v>73.599999999999994</v>
      </c>
      <c r="P300" s="85" t="str">
        <f ca="1">IFERROR(__xludf.DUMMYFUNCTION("""COMPUTED_VALUE"""),"school")</f>
        <v>school</v>
      </c>
      <c r="Q300" s="75" t="b">
        <f ca="1">IFERROR(__xludf.DUMMYFUNCTION("""COMPUTED_VALUE"""),FALSE)</f>
        <v>0</v>
      </c>
      <c r="R300" s="75" t="b">
        <f ca="1">IFERROR(__xludf.DUMMYFUNCTION("""COMPUTED_VALUE"""),TRUE)</f>
        <v>1</v>
      </c>
      <c r="S300" s="75" t="b">
        <f ca="1">IFERROR(__xludf.DUMMYFUNCTION("""COMPUTED_VALUE"""),FALSE)</f>
        <v>0</v>
      </c>
      <c r="T300" s="75" t="b">
        <f ca="1">IFERROR(__xludf.DUMMYFUNCTION("""COMPUTED_VALUE"""),FALSE)</f>
        <v>0</v>
      </c>
      <c r="U300" s="86">
        <f ca="1">IFERROR(__xludf.DUMMYFUNCTION("""COMPUTED_VALUE"""),23)</f>
        <v>23</v>
      </c>
      <c r="V300" s="84"/>
      <c r="W300" s="87"/>
      <c r="X300" s="84"/>
      <c r="Y300" s="338" t="str">
        <f ca="1">IFERROR(__xludf.DUMMYFUNCTION("""COMPUTED_VALUE"""),"http://www.hongkongoffice.com/building_search/Office_Profile.asp?B=6920")</f>
        <v>http://www.hongkongoffice.com/building_search/Office_Profile.asp?B=6920</v>
      </c>
      <c r="Z300" s="66" t="s">
        <v>2217</v>
      </c>
    </row>
    <row r="301" spans="1:26" ht="15.75" customHeight="1">
      <c r="A301" s="83" t="str">
        <f ca="1">IFERROR(__xludf.DUMMYFUNCTION("""COMPUTED_VALUE"""),"E29SW")</f>
        <v>E29SW</v>
      </c>
      <c r="B301" s="84">
        <f ca="1">IFERROR(__xludf.DUMMYFUNCTION("""COMPUTED_VALUE"""),29)</f>
        <v>29</v>
      </c>
      <c r="C301" s="84" t="str">
        <f ca="1">IFERROR(__xludf.DUMMYFUNCTION("""COMPUTED_VALUE"""),"SW")</f>
        <v>SW</v>
      </c>
      <c r="D301" s="339">
        <f ca="1">IFERROR(__xludf.DUMMYFUNCTION("""COMPUTED_VALUE"""),6000)</f>
        <v>6000</v>
      </c>
      <c r="E301" s="84" t="str">
        <f ca="1">IFERROR(__xludf.DUMMYFUNCTION("""COMPUTED_VALUE"""),"3888416979T20050430")</f>
        <v>3888416979T20050430</v>
      </c>
      <c r="F301" s="84">
        <f ca="1">IFERROR(__xludf.DUMMYFUNCTION("""COMPUTED_VALUE"""),1103119944)</f>
        <v>1103119944</v>
      </c>
      <c r="G301" s="83" t="str">
        <f ca="1">IFERROR(__xludf.DUMMYFUNCTION("""COMPUTED_VALUE"""),"North Point Industrial Building")</f>
        <v>North Point Industrial Building</v>
      </c>
      <c r="H301" s="84" t="str">
        <f ca="1">IFERROR(__xludf.DUMMYFUNCTION("""COMPUTED_VALUE"""),"北角工業大廈")</f>
        <v>北角工業大廈</v>
      </c>
      <c r="I301" s="84">
        <f ca="1">IFERROR(__xludf.DUMMYFUNCTION("""COMPUTED_VALUE"""),114.2022475)</f>
        <v>114.2022475</v>
      </c>
      <c r="J301" s="84">
        <f ca="1">IFERROR(__xludf.DUMMYFUNCTION("""COMPUTED_VALUE"""),22.29183985)</f>
        <v>22.291839849999999</v>
      </c>
      <c r="K301" s="88">
        <f ca="1">IFERROR(__xludf.DUMMYFUNCTION("""COMPUTED_VALUE"""),4.3)</f>
        <v>4.3</v>
      </c>
      <c r="L301" s="84" t="str">
        <f ca="1">IFERROR(__xludf.DUMMYFUNCTION("""COMPUTED_VALUE"""),"l")</f>
        <v>l</v>
      </c>
      <c r="M301" s="88">
        <f ca="1">IFERROR(__xludf.DUMMYFUNCTION("""COMPUTED_VALUE"""),80.5)</f>
        <v>80.5</v>
      </c>
      <c r="N301" s="84" t="str">
        <f ca="1">IFERROR(__xludf.DUMMYFUNCTION("""COMPUTED_VALUE"""),"p")</f>
        <v>p</v>
      </c>
      <c r="O301" s="88">
        <f ca="1">IFERROR(__xludf.DUMMYFUNCTION("""COMPUTED_VALUE"""),76.2)</f>
        <v>76.2</v>
      </c>
      <c r="P301" s="85"/>
      <c r="Q301" s="75" t="b">
        <f ca="1">IFERROR(__xludf.DUMMYFUNCTION("""COMPUTED_VALUE"""),FALSE)</f>
        <v>0</v>
      </c>
      <c r="R301" s="75" t="b">
        <f ca="1">IFERROR(__xludf.DUMMYFUNCTION("""COMPUTED_VALUE"""),FALSE)</f>
        <v>0</v>
      </c>
      <c r="S301" s="75" t="b">
        <f ca="1">IFERROR(__xludf.DUMMYFUNCTION("""COMPUTED_VALUE"""),FALSE)</f>
        <v>0</v>
      </c>
      <c r="T301" s="75" t="b">
        <f ca="1">IFERROR(__xludf.DUMMYFUNCTION("""COMPUTED_VALUE"""),FALSE)</f>
        <v>0</v>
      </c>
      <c r="U301" s="86">
        <f ca="1">IFERROR(__xludf.DUMMYFUNCTION("""COMPUTED_VALUE"""),22)</f>
        <v>22</v>
      </c>
      <c r="V301" s="84">
        <f ca="1">IFERROR(__xludf.DUMMYFUNCTION("""COMPUTED_VALUE"""),0)</f>
        <v>0</v>
      </c>
      <c r="W301" s="87">
        <f ca="1">IFERROR(__xludf.DUMMYFUNCTION("""COMPUTED_VALUE"""),42)</f>
        <v>42</v>
      </c>
      <c r="X301" s="84">
        <f ca="1">IFERROR(__xludf.DUMMYFUNCTION("""COMPUTED_VALUE"""),1978)</f>
        <v>1978</v>
      </c>
      <c r="Y301" s="84" t="str">
        <f ca="1">IFERROR(__xludf.DUMMYFUNCTION("""COMPUTED_VALUE"""),"BMIS_auto")</f>
        <v>BMIS_auto</v>
      </c>
      <c r="Z301" s="66" t="s">
        <v>2219</v>
      </c>
    </row>
    <row r="302" spans="1:26" ht="15.75" customHeight="1">
      <c r="A302" s="83" t="str">
        <f ca="1">IFERROR(__xludf.DUMMYFUNCTION("""COMPUTED_VALUE"""),"E29NW")</f>
        <v>E29NW</v>
      </c>
      <c r="B302" s="84">
        <f ca="1">IFERROR(__xludf.DUMMYFUNCTION("""COMPUTED_VALUE"""),29)</f>
        <v>29</v>
      </c>
      <c r="C302" s="84" t="str">
        <f ca="1">IFERROR(__xludf.DUMMYFUNCTION("""COMPUTED_VALUE"""),"NW")</f>
        <v>NW</v>
      </c>
      <c r="D302" s="339">
        <f ca="1">IFERROR(__xludf.DUMMYFUNCTION("""COMPUTED_VALUE"""),6000)</f>
        <v>6000</v>
      </c>
      <c r="E302" s="84" t="str">
        <f ca="1">IFERROR(__xludf.DUMMYFUNCTION("""COMPUTED_VALUE"""),"3891016985T20050430")</f>
        <v>3891016985T20050430</v>
      </c>
      <c r="F302" s="84">
        <f ca="1">IFERROR(__xludf.DUMMYFUNCTION("""COMPUTED_VALUE"""),1103119910)</f>
        <v>1103119910</v>
      </c>
      <c r="G302" s="83" t="str">
        <f ca="1">IFERROR(__xludf.DUMMYFUNCTION("""COMPUTED_VALUE"""),"Marble Road Telephone Exchange")</f>
        <v>Marble Road Telephone Exchange</v>
      </c>
      <c r="H302" s="84" t="str">
        <f ca="1">IFERROR(__xludf.DUMMYFUNCTION("""COMPUTED_VALUE"""),"馬寶道電話機房")</f>
        <v>馬寶道電話機房</v>
      </c>
      <c r="I302" s="84">
        <f ca="1">IFERROR(__xludf.DUMMYFUNCTION("""COMPUTED_VALUE"""),114.2024792)</f>
        <v>114.2024792</v>
      </c>
      <c r="J302" s="84">
        <f ca="1">IFERROR(__xludf.DUMMYFUNCTION("""COMPUTED_VALUE"""),22.29196244)</f>
        <v>22.291962439999999</v>
      </c>
      <c r="K302" s="88">
        <f ca="1">IFERROR(__xludf.DUMMYFUNCTION("""COMPUTED_VALUE"""),4.4)</f>
        <v>4.4000000000000004</v>
      </c>
      <c r="L302" s="84" t="str">
        <f ca="1">IFERROR(__xludf.DUMMYFUNCTION("""COMPUTED_VALUE"""),"l")</f>
        <v>l</v>
      </c>
      <c r="M302" s="88">
        <f ca="1">IFERROR(__xludf.DUMMYFUNCTION("""COMPUTED_VALUE"""),30.8)</f>
        <v>30.8</v>
      </c>
      <c r="N302" s="84" t="str">
        <f ca="1">IFERROR(__xludf.DUMMYFUNCTION("""COMPUTED_VALUE"""),"3")</f>
        <v>3</v>
      </c>
      <c r="O302" s="88">
        <f ca="1">IFERROR(__xludf.DUMMYFUNCTION("""COMPUTED_VALUE"""),26.4)</f>
        <v>26.4</v>
      </c>
      <c r="P302" s="85"/>
      <c r="Q302" s="75" t="b">
        <f ca="1">IFERROR(__xludf.DUMMYFUNCTION("""COMPUTED_VALUE"""),FALSE)</f>
        <v>0</v>
      </c>
      <c r="R302" s="75" t="b">
        <f ca="1">IFERROR(__xludf.DUMMYFUNCTION("""COMPUTED_VALUE"""),FALSE)</f>
        <v>0</v>
      </c>
      <c r="S302" s="75" t="b">
        <f ca="1">IFERROR(__xludf.DUMMYFUNCTION("""COMPUTED_VALUE"""),FALSE)</f>
        <v>0</v>
      </c>
      <c r="T302" s="75" t="b">
        <f ca="1">IFERROR(__xludf.DUMMYFUNCTION("""COMPUTED_VALUE"""),FALSE)</f>
        <v>0</v>
      </c>
      <c r="U302" s="86">
        <f ca="1">IFERROR(__xludf.DUMMYFUNCTION("""COMPUTED_VALUE"""),4)</f>
        <v>4</v>
      </c>
      <c r="V302" s="84"/>
      <c r="W302" s="87"/>
      <c r="X302" s="84"/>
      <c r="Y302" s="84" t="str">
        <f ca="1">IFERROR(__xludf.DUMMYFUNCTION("""COMPUTED_VALUE"""),"Google Earth")</f>
        <v>Google Earth</v>
      </c>
      <c r="Z302" s="66" t="s">
        <v>2221</v>
      </c>
    </row>
    <row r="303" spans="1:26" ht="15.75" customHeight="1">
      <c r="A303" s="83" t="str">
        <f ca="1">IFERROR(__xludf.DUMMYFUNCTION("""COMPUTED_VALUE"""),"N22NE")</f>
        <v>N22NE</v>
      </c>
      <c r="B303" s="84">
        <f ca="1">IFERROR(__xludf.DUMMYFUNCTION("""COMPUTED_VALUE"""),22)</f>
        <v>22</v>
      </c>
      <c r="C303" s="84" t="str">
        <f ca="1">IFERROR(__xludf.DUMMYFUNCTION("""COMPUTED_VALUE"""),"NE")</f>
        <v>NE</v>
      </c>
      <c r="D303" s="339">
        <f ca="1">IFERROR(__xludf.DUMMYFUNCTION("""COMPUTED_VALUE"""),6200)</f>
        <v>6200</v>
      </c>
      <c r="E303" s="84"/>
      <c r="F303" s="84"/>
      <c r="G303" s="83"/>
      <c r="H303" s="84"/>
      <c r="I303" s="84"/>
      <c r="J303" s="84"/>
      <c r="K303" s="88"/>
      <c r="L303" s="84"/>
      <c r="M303" s="88"/>
      <c r="N303" s="84"/>
      <c r="O303" s="88"/>
      <c r="P303" s="85" t="str">
        <f ca="1">IFERROR(__xludf.DUMMYFUNCTION("""COMPUTED_VALUE"""),"Tai Po Road on E")</f>
        <v>Tai Po Road on E</v>
      </c>
      <c r="Q303" s="75" t="b">
        <f ca="1">IFERROR(__xludf.DUMMYFUNCTION("""COMPUTED_VALUE"""),TRUE)</f>
        <v>1</v>
      </c>
      <c r="R303" s="75" t="b">
        <f ca="1">IFERROR(__xludf.DUMMYFUNCTION("""COMPUTED_VALUE"""),TRUE)</f>
        <v>1</v>
      </c>
      <c r="S303" s="75" t="b">
        <f ca="1">IFERROR(__xludf.DUMMYFUNCTION("""COMPUTED_VALUE"""),FALSE)</f>
        <v>0</v>
      </c>
      <c r="T303" s="75"/>
      <c r="U303" s="86">
        <f ca="1">IFERROR(__xludf.DUMMYFUNCTION("""COMPUTED_VALUE"""),0)</f>
        <v>0</v>
      </c>
      <c r="V303" s="84"/>
      <c r="W303" s="87"/>
      <c r="X303" s="84"/>
      <c r="Y303" s="84"/>
      <c r="Z303" s="66" t="s">
        <v>556</v>
      </c>
    </row>
    <row r="304" spans="1:26" ht="15.75" customHeight="1">
      <c r="A304" s="83" t="str">
        <f ca="1">IFERROR(__xludf.DUMMYFUNCTION("""COMPUTED_VALUE"""),"N22SE")</f>
        <v>N22SE</v>
      </c>
      <c r="B304" s="84">
        <f ca="1">IFERROR(__xludf.DUMMYFUNCTION("""COMPUTED_VALUE"""),22)</f>
        <v>22</v>
      </c>
      <c r="C304" s="84" t="str">
        <f ca="1">IFERROR(__xludf.DUMMYFUNCTION("""COMPUTED_VALUE"""),"SE")</f>
        <v>SE</v>
      </c>
      <c r="D304" s="339">
        <f ca="1">IFERROR(__xludf.DUMMYFUNCTION("""COMPUTED_VALUE"""),6200)</f>
        <v>6200</v>
      </c>
      <c r="E304" s="84"/>
      <c r="F304" s="84"/>
      <c r="G304" s="83"/>
      <c r="H304" s="84"/>
      <c r="I304" s="84"/>
      <c r="J304" s="84"/>
      <c r="K304" s="88"/>
      <c r="L304" s="84"/>
      <c r="M304" s="88"/>
      <c r="N304" s="84"/>
      <c r="O304" s="88"/>
      <c r="P304" s="85" t="str">
        <f ca="1">IFERROR(__xludf.DUMMYFUNCTION("""COMPUTED_VALUE"""),"Tai Po Road on E")</f>
        <v>Tai Po Road on E</v>
      </c>
      <c r="Q304" s="75" t="b">
        <f ca="1">IFERROR(__xludf.DUMMYFUNCTION("""COMPUTED_VALUE"""),TRUE)</f>
        <v>1</v>
      </c>
      <c r="R304" s="75" t="b">
        <f ca="1">IFERROR(__xludf.DUMMYFUNCTION("""COMPUTED_VALUE"""),TRUE)</f>
        <v>1</v>
      </c>
      <c r="S304" s="75" t="b">
        <f ca="1">IFERROR(__xludf.DUMMYFUNCTION("""COMPUTED_VALUE"""),FALSE)</f>
        <v>0</v>
      </c>
      <c r="T304" s="75"/>
      <c r="U304" s="86">
        <f ca="1">IFERROR(__xludf.DUMMYFUNCTION("""COMPUTED_VALUE"""),0)</f>
        <v>0</v>
      </c>
      <c r="V304" s="84"/>
      <c r="W304" s="87"/>
      <c r="X304" s="84"/>
      <c r="Y304" s="84"/>
      <c r="Z304" s="66" t="s">
        <v>556</v>
      </c>
    </row>
    <row r="305" spans="1:26" ht="15.75" customHeight="1">
      <c r="A305" s="83" t="str">
        <f ca="1">IFERROR(__xludf.DUMMYFUNCTION("""COMPUTED_VALUE"""),"N22SW")</f>
        <v>N22SW</v>
      </c>
      <c r="B305" s="84">
        <f ca="1">IFERROR(__xludf.DUMMYFUNCTION("""COMPUTED_VALUE"""),22)</f>
        <v>22</v>
      </c>
      <c r="C305" s="84" t="str">
        <f ca="1">IFERROR(__xludf.DUMMYFUNCTION("""COMPUTED_VALUE"""),"SW")</f>
        <v>SW</v>
      </c>
      <c r="D305" s="339">
        <f ca="1">IFERROR(__xludf.DUMMYFUNCTION("""COMPUTED_VALUE"""),6200)</f>
        <v>6200</v>
      </c>
      <c r="E305" s="84" t="str">
        <f ca="1">IFERROR(__xludf.DUMMYFUNCTION("""COMPUTED_VALUE"""),"3485321542T20050430")</f>
        <v>3485321542T20050430</v>
      </c>
      <c r="F305" s="84">
        <f ca="1">IFERROR(__xludf.DUMMYFUNCTION("""COMPUTED_VALUE"""),1108225465)</f>
        <v>1108225465</v>
      </c>
      <c r="G305" s="83" t="str">
        <f ca="1">IFERROR(__xludf.DUMMYFUNCTION("""COMPUTED_VALUE"""),"Ying Lun Building")</f>
        <v>Ying Lun Building</v>
      </c>
      <c r="H305" s="84" t="str">
        <f ca="1">IFERROR(__xludf.DUMMYFUNCTION("""COMPUTED_VALUE"""),"英倫大廈")</f>
        <v>英倫大廈</v>
      </c>
      <c r="I305" s="84">
        <f ca="1">IFERROR(__xludf.DUMMYFUNCTION("""COMPUTED_VALUE"""),114.1631436)</f>
        <v>114.1631436</v>
      </c>
      <c r="J305" s="84">
        <f ca="1">IFERROR(__xludf.DUMMYFUNCTION("""COMPUTED_VALUE"""),22.33293598)</f>
        <v>22.332935979999998</v>
      </c>
      <c r="K305" s="88">
        <f ca="1">IFERROR(__xludf.DUMMYFUNCTION("""COMPUTED_VALUE"""),16.200001)</f>
        <v>16.200001</v>
      </c>
      <c r="L305" s="84" t="str">
        <f ca="1">IFERROR(__xludf.DUMMYFUNCTION("""COMPUTED_VALUE"""),"p")</f>
        <v>p</v>
      </c>
      <c r="M305" s="88">
        <f ca="1">IFERROR(__xludf.DUMMYFUNCTION("""COMPUTED_VALUE"""),42.599998)</f>
        <v>42.599997999999999</v>
      </c>
      <c r="N305" s="84" t="str">
        <f ca="1">IFERROR(__xludf.DUMMYFUNCTION("""COMPUTED_VALUE"""),"p")</f>
        <v>p</v>
      </c>
      <c r="O305" s="88">
        <f ca="1">IFERROR(__xludf.DUMMYFUNCTION("""COMPUTED_VALUE"""),26.399997)</f>
        <v>26.399996999999999</v>
      </c>
      <c r="P305" s="85"/>
      <c r="Q305" s="75" t="b">
        <f ca="1">IFERROR(__xludf.DUMMYFUNCTION("""COMPUTED_VALUE"""),FALSE)</f>
        <v>0</v>
      </c>
      <c r="R305" s="75" t="b">
        <f ca="1">IFERROR(__xludf.DUMMYFUNCTION("""COMPUTED_VALUE"""),FALSE)</f>
        <v>0</v>
      </c>
      <c r="S305" s="75" t="b">
        <f ca="1">IFERROR(__xludf.DUMMYFUNCTION("""COMPUTED_VALUE"""),FALSE)</f>
        <v>0</v>
      </c>
      <c r="T305" s="75"/>
      <c r="U305" s="86">
        <f ca="1">IFERROR(__xludf.DUMMYFUNCTION("""COMPUTED_VALUE"""),10)</f>
        <v>10</v>
      </c>
      <c r="V305" s="84">
        <f ca="1">IFERROR(__xludf.DUMMYFUNCTION("""COMPUTED_VALUE"""),0)</f>
        <v>0</v>
      </c>
      <c r="W305" s="87">
        <f ca="1">IFERROR(__xludf.DUMMYFUNCTION("""COMPUTED_VALUE"""),21)</f>
        <v>21</v>
      </c>
      <c r="X305" s="84">
        <f ca="1">IFERROR(__xludf.DUMMYFUNCTION("""COMPUTED_VALUE"""),1962)</f>
        <v>1962</v>
      </c>
      <c r="Y305" s="84" t="str">
        <f ca="1">IFERROR(__xludf.DUMMYFUNCTION("""COMPUTED_VALUE"""),"BMIS_auto")</f>
        <v>BMIS_auto</v>
      </c>
      <c r="Z305" s="66" t="s">
        <v>2225</v>
      </c>
    </row>
    <row r="306" spans="1:26" ht="15.75" customHeight="1">
      <c r="A306" s="83" t="str">
        <f ca="1">IFERROR(__xludf.DUMMYFUNCTION("""COMPUTED_VALUE"""),"N22NW")</f>
        <v>N22NW</v>
      </c>
      <c r="B306" s="84">
        <f ca="1">IFERROR(__xludf.DUMMYFUNCTION("""COMPUTED_VALUE"""),22)</f>
        <v>22</v>
      </c>
      <c r="C306" s="84" t="str">
        <f ca="1">IFERROR(__xludf.DUMMYFUNCTION("""COMPUTED_VALUE"""),"NW")</f>
        <v>NW</v>
      </c>
      <c r="D306" s="339">
        <f ca="1">IFERROR(__xludf.DUMMYFUNCTION("""COMPUTED_VALUE"""),6200)</f>
        <v>6200</v>
      </c>
      <c r="E306" s="84" t="str">
        <f ca="1">IFERROR(__xludf.DUMMYFUNCTION("""COMPUTED_VALUE"""),"3484221552T20050430")</f>
        <v>3484221552T20050430</v>
      </c>
      <c r="F306" s="84">
        <f ca="1">IFERROR(__xludf.DUMMYFUNCTION("""COMPUTED_VALUE"""),1108225421)</f>
        <v>1108225421</v>
      </c>
      <c r="G306" s="83" t="str">
        <f ca="1">IFERROR(__xludf.DUMMYFUNCTION("""COMPUTED_VALUE"""),"Furama Building")</f>
        <v>Furama Building</v>
      </c>
      <c r="H306" s="84" t="str">
        <f ca="1">IFERROR(__xludf.DUMMYFUNCTION("""COMPUTED_VALUE"""),"富臨門大廈")</f>
        <v>富臨門大廈</v>
      </c>
      <c r="I306" s="84">
        <f ca="1">IFERROR(__xludf.DUMMYFUNCTION("""COMPUTED_VALUE"""),114.1630328)</f>
        <v>114.1630328</v>
      </c>
      <c r="J306" s="84">
        <f ca="1">IFERROR(__xludf.DUMMYFUNCTION("""COMPUTED_VALUE"""),22.33302023)</f>
        <v>22.333020229999999</v>
      </c>
      <c r="K306" s="88">
        <f ca="1">IFERROR(__xludf.DUMMYFUNCTION("""COMPUTED_VALUE"""),16.200001)</f>
        <v>16.200001</v>
      </c>
      <c r="L306" s="84" t="str">
        <f ca="1">IFERROR(__xludf.DUMMYFUNCTION("""COMPUTED_VALUE"""),"p")</f>
        <v>p</v>
      </c>
      <c r="M306" s="88">
        <f ca="1">IFERROR(__xludf.DUMMYFUNCTION("""COMPUTED_VALUE"""),44.5)</f>
        <v>44.5</v>
      </c>
      <c r="N306" s="84" t="str">
        <f ca="1">IFERROR(__xludf.DUMMYFUNCTION("""COMPUTED_VALUE"""),"3")</f>
        <v>3</v>
      </c>
      <c r="O306" s="88">
        <f ca="1">IFERROR(__xludf.DUMMYFUNCTION("""COMPUTED_VALUE"""),28.299999)</f>
        <v>28.299999</v>
      </c>
      <c r="P306" s="85"/>
      <c r="Q306" s="75" t="b">
        <f ca="1">IFERROR(__xludf.DUMMYFUNCTION("""COMPUTED_VALUE"""),FALSE)</f>
        <v>0</v>
      </c>
      <c r="R306" s="75" t="b">
        <f ca="1">IFERROR(__xludf.DUMMYFUNCTION("""COMPUTED_VALUE"""),FALSE)</f>
        <v>0</v>
      </c>
      <c r="S306" s="75" t="b">
        <f ca="1">IFERROR(__xludf.DUMMYFUNCTION("""COMPUTED_VALUE"""),FALSE)</f>
        <v>0</v>
      </c>
      <c r="T306" s="75"/>
      <c r="U306" s="86">
        <f ca="1">IFERROR(__xludf.DUMMYFUNCTION("""COMPUTED_VALUE"""),12)</f>
        <v>12</v>
      </c>
      <c r="V306" s="84">
        <f ca="1">IFERROR(__xludf.DUMMYFUNCTION("""COMPUTED_VALUE"""),0)</f>
        <v>0</v>
      </c>
      <c r="W306" s="87">
        <f ca="1">IFERROR(__xludf.DUMMYFUNCTION("""COMPUTED_VALUE"""),81)</f>
        <v>81</v>
      </c>
      <c r="X306" s="84">
        <f ca="1">IFERROR(__xludf.DUMMYFUNCTION("""COMPUTED_VALUE"""),1982)</f>
        <v>1982</v>
      </c>
      <c r="Y306" s="84" t="str">
        <f ca="1">IFERROR(__xludf.DUMMYFUNCTION("""COMPUTED_VALUE"""),"BMIS")</f>
        <v>BMIS</v>
      </c>
      <c r="Z306" s="66" t="s">
        <v>2227</v>
      </c>
    </row>
    <row r="307" spans="1:26" ht="15.75" customHeight="1">
      <c r="A307" s="83" t="str">
        <f ca="1">IFERROR(__xludf.DUMMYFUNCTION("""COMPUTED_VALUE"""),"E30NE")</f>
        <v>E30NE</v>
      </c>
      <c r="B307" s="84">
        <f ca="1">IFERROR(__xludf.DUMMYFUNCTION("""COMPUTED_VALUE"""),30)</f>
        <v>30</v>
      </c>
      <c r="C307" s="84" t="str">
        <f ca="1">IFERROR(__xludf.DUMMYFUNCTION("""COMPUTED_VALUE"""),"NE")</f>
        <v>NE</v>
      </c>
      <c r="D307" s="339">
        <f ca="1">IFERROR(__xludf.DUMMYFUNCTION("""COMPUTED_VALUE"""),6200)</f>
        <v>6200</v>
      </c>
      <c r="E307" s="84" t="str">
        <f ca="1">IFERROR(__xludf.DUMMYFUNCTION("""COMPUTED_VALUE"""),"3909816979T20050430")</f>
        <v>3909816979T20050430</v>
      </c>
      <c r="F307" s="84">
        <f ca="1">IFERROR(__xludf.DUMMYFUNCTION("""COMPUTED_VALUE"""),1103119981)</f>
        <v>1103119981</v>
      </c>
      <c r="G307" s="83" t="str">
        <f ca="1">IFERROR(__xludf.DUMMYFUNCTION("""COMPUTED_VALUE"""),"Healthy Gardens Block C")</f>
        <v>Healthy Gardens Block C</v>
      </c>
      <c r="H307" s="84" t="str">
        <f ca="1">IFERROR(__xludf.DUMMYFUNCTION("""COMPUTED_VALUE"""),"健威花園Ｃ座")</f>
        <v>健威花園Ｃ座</v>
      </c>
      <c r="I307" s="84">
        <f ca="1">IFERROR(__xludf.DUMMYFUNCTION("""COMPUTED_VALUE"""),114.2043303)</f>
        <v>114.2043303</v>
      </c>
      <c r="J307" s="84">
        <f ca="1">IFERROR(__xludf.DUMMYFUNCTION("""COMPUTED_VALUE"""),22.29174577)</f>
        <v>22.291745769999999</v>
      </c>
      <c r="K307" s="88">
        <f ca="1">IFERROR(__xludf.DUMMYFUNCTION("""COMPUTED_VALUE"""),19.4)</f>
        <v>19.399999999999999</v>
      </c>
      <c r="L307" s="84" t="str">
        <f ca="1">IFERROR(__xludf.DUMMYFUNCTION("""COMPUTED_VALUE"""),"p")</f>
        <v>p</v>
      </c>
      <c r="M307" s="88">
        <f ca="1">IFERROR(__xludf.DUMMYFUNCTION("""COMPUTED_VALUE"""),82.4)</f>
        <v>82.4</v>
      </c>
      <c r="N307" s="84" t="str">
        <f ca="1">IFERROR(__xludf.DUMMYFUNCTION("""COMPUTED_VALUE"""),"3")</f>
        <v>3</v>
      </c>
      <c r="O307" s="88">
        <f ca="1">IFERROR(__xludf.DUMMYFUNCTION("""COMPUTED_VALUE"""),63)</f>
        <v>63</v>
      </c>
      <c r="P307" s="85"/>
      <c r="Q307" s="75" t="b">
        <f ca="1">IFERROR(__xludf.DUMMYFUNCTION("""COMPUTED_VALUE"""),FALSE)</f>
        <v>0</v>
      </c>
      <c r="R307" s="75" t="b">
        <f ca="1">IFERROR(__xludf.DUMMYFUNCTION("""COMPUTED_VALUE"""),FALSE)</f>
        <v>0</v>
      </c>
      <c r="S307" s="75" t="b">
        <f ca="1">IFERROR(__xludf.DUMMYFUNCTION("""COMPUTED_VALUE"""),FALSE)</f>
        <v>0</v>
      </c>
      <c r="T307" s="75" t="b">
        <f ca="1">IFERROR(__xludf.DUMMYFUNCTION("""COMPUTED_VALUE"""),FALSE)</f>
        <v>0</v>
      </c>
      <c r="U307" s="86">
        <f ca="1">IFERROR(__xludf.DUMMYFUNCTION("""COMPUTED_VALUE"""),27)</f>
        <v>27</v>
      </c>
      <c r="V307" s="84">
        <f ca="1">IFERROR(__xludf.DUMMYFUNCTION("""COMPUTED_VALUE"""),1)</f>
        <v>1</v>
      </c>
      <c r="W307" s="87">
        <f ca="1">IFERROR(__xludf.DUMMYFUNCTION("""COMPUTED_VALUE"""),184)</f>
        <v>184</v>
      </c>
      <c r="X307" s="84">
        <f ca="1">IFERROR(__xludf.DUMMYFUNCTION("""COMPUTED_VALUE"""),1980)</f>
        <v>1980</v>
      </c>
      <c r="Y307" s="84" t="str">
        <f ca="1">IFERROR(__xludf.DUMMYFUNCTION("""COMPUTED_VALUE"""),"BMIS_auto")</f>
        <v>BMIS_auto</v>
      </c>
      <c r="Z307" s="66" t="s">
        <v>2229</v>
      </c>
    </row>
    <row r="308" spans="1:26" ht="15.75" customHeight="1">
      <c r="A308" s="83" t="str">
        <f ca="1">IFERROR(__xludf.DUMMYFUNCTION("""COMPUTED_VALUE"""),"E30SE")</f>
        <v>E30SE</v>
      </c>
      <c r="B308" s="84">
        <f ca="1">IFERROR(__xludf.DUMMYFUNCTION("""COMPUTED_VALUE"""),30)</f>
        <v>30</v>
      </c>
      <c r="C308" s="84" t="str">
        <f ca="1">IFERROR(__xludf.DUMMYFUNCTION("""COMPUTED_VALUE"""),"SE")</f>
        <v>SE</v>
      </c>
      <c r="D308" s="339">
        <f ca="1">IFERROR(__xludf.DUMMYFUNCTION("""COMPUTED_VALUE"""),6200)</f>
        <v>6200</v>
      </c>
      <c r="E308" s="84" t="str">
        <f ca="1">IFERROR(__xludf.DUMMYFUNCTION("""COMPUTED_VALUE"""),"3905816971T20050430")</f>
        <v>3905816971T20050430</v>
      </c>
      <c r="F308" s="84">
        <f ca="1">IFERROR(__xludf.DUMMYFUNCTION("""COMPUTED_VALUE"""),1103120003)</f>
        <v>1103120003</v>
      </c>
      <c r="G308" s="83" t="str">
        <f ca="1">IFERROR(__xludf.DUMMYFUNCTION("""COMPUTED_VALUE"""),"Healthy Gardens Block B")</f>
        <v>Healthy Gardens Block B</v>
      </c>
      <c r="H308" s="84" t="str">
        <f ca="1">IFERROR(__xludf.DUMMYFUNCTION("""COMPUTED_VALUE"""),"健威花園Ｂ座")</f>
        <v>健威花園Ｂ座</v>
      </c>
      <c r="I308" s="84">
        <f ca="1">IFERROR(__xludf.DUMMYFUNCTION("""COMPUTED_VALUE"""),114.2039348)</f>
        <v>114.2039348</v>
      </c>
      <c r="J308" s="84">
        <f ca="1">IFERROR(__xludf.DUMMYFUNCTION("""COMPUTED_VALUE"""),22.2916647)</f>
        <v>22.291664699999998</v>
      </c>
      <c r="K308" s="88">
        <f ca="1">IFERROR(__xludf.DUMMYFUNCTION("""COMPUTED_VALUE"""),19.4)</f>
        <v>19.399999999999999</v>
      </c>
      <c r="L308" s="84" t="str">
        <f ca="1">IFERROR(__xludf.DUMMYFUNCTION("""COMPUTED_VALUE"""),"p")</f>
        <v>p</v>
      </c>
      <c r="M308" s="88">
        <f ca="1">IFERROR(__xludf.DUMMYFUNCTION("""COMPUTED_VALUE"""),81.9)</f>
        <v>81.900000000000006</v>
      </c>
      <c r="N308" s="84" t="str">
        <f ca="1">IFERROR(__xludf.DUMMYFUNCTION("""COMPUTED_VALUE"""),"p")</f>
        <v>p</v>
      </c>
      <c r="O308" s="88">
        <f ca="1">IFERROR(__xludf.DUMMYFUNCTION("""COMPUTED_VALUE"""),62.5)</f>
        <v>62.5</v>
      </c>
      <c r="P308" s="85"/>
      <c r="Q308" s="75" t="b">
        <f ca="1">IFERROR(__xludf.DUMMYFUNCTION("""COMPUTED_VALUE"""),FALSE)</f>
        <v>0</v>
      </c>
      <c r="R308" s="75" t="b">
        <f ca="1">IFERROR(__xludf.DUMMYFUNCTION("""COMPUTED_VALUE"""),FALSE)</f>
        <v>0</v>
      </c>
      <c r="S308" s="75" t="b">
        <f ca="1">IFERROR(__xludf.DUMMYFUNCTION("""COMPUTED_VALUE"""),FALSE)</f>
        <v>0</v>
      </c>
      <c r="T308" s="75" t="b">
        <f ca="1">IFERROR(__xludf.DUMMYFUNCTION("""COMPUTED_VALUE"""),FALSE)</f>
        <v>0</v>
      </c>
      <c r="U308" s="86">
        <f ca="1">IFERROR(__xludf.DUMMYFUNCTION("""COMPUTED_VALUE"""),27)</f>
        <v>27</v>
      </c>
      <c r="V308" s="84">
        <f ca="1">IFERROR(__xludf.DUMMYFUNCTION("""COMPUTED_VALUE"""),1)</f>
        <v>1</v>
      </c>
      <c r="W308" s="87">
        <f ca="1">IFERROR(__xludf.DUMMYFUNCTION("""COMPUTED_VALUE"""),184)</f>
        <v>184</v>
      </c>
      <c r="X308" s="84">
        <f ca="1">IFERROR(__xludf.DUMMYFUNCTION("""COMPUTED_VALUE"""),1980)</f>
        <v>1980</v>
      </c>
      <c r="Y308" s="84" t="str">
        <f ca="1">IFERROR(__xludf.DUMMYFUNCTION("""COMPUTED_VALUE"""),"BMIS_auto")</f>
        <v>BMIS_auto</v>
      </c>
      <c r="Z308" s="66" t="s">
        <v>2229</v>
      </c>
    </row>
    <row r="309" spans="1:26" ht="15.75" customHeight="1">
      <c r="A309" s="83" t="str">
        <f ca="1">IFERROR(__xludf.DUMMYFUNCTION("""COMPUTED_VALUE"""),"E30SW")</f>
        <v>E30SW</v>
      </c>
      <c r="B309" s="84">
        <f ca="1">IFERROR(__xludf.DUMMYFUNCTION("""COMPUTED_VALUE"""),30)</f>
        <v>30</v>
      </c>
      <c r="C309" s="84" t="str">
        <f ca="1">IFERROR(__xludf.DUMMYFUNCTION("""COMPUTED_VALUE"""),"SW")</f>
        <v>SW</v>
      </c>
      <c r="D309" s="339">
        <f ca="1">IFERROR(__xludf.DUMMYFUNCTION("""COMPUTED_VALUE"""),6200)</f>
        <v>6200</v>
      </c>
      <c r="E309" s="84"/>
      <c r="F309" s="84"/>
      <c r="G309" s="83" t="str">
        <f ca="1">IFERROR(__xludf.DUMMYFUNCTION("""COMPUTED_VALUE"""),"King's Road Playground")</f>
        <v>King's Road Playground</v>
      </c>
      <c r="H309" s="84"/>
      <c r="I309" s="84"/>
      <c r="J309" s="84"/>
      <c r="K309" s="88"/>
      <c r="L309" s="84"/>
      <c r="M309" s="88"/>
      <c r="N309" s="84"/>
      <c r="O309" s="88"/>
      <c r="P309" s="85" t="str">
        <f ca="1">IFERROR(__xludf.DUMMYFUNCTION("""COMPUTED_VALUE"""),"no building ")</f>
        <v xml:space="preserve">no building </v>
      </c>
      <c r="Q309" s="75" t="b">
        <f ca="1">IFERROR(__xludf.DUMMYFUNCTION("""COMPUTED_VALUE"""),TRUE)</f>
        <v>1</v>
      </c>
      <c r="R309" s="75" t="b">
        <f ca="1">IFERROR(__xludf.DUMMYFUNCTION("""COMPUTED_VALUE"""),TRUE)</f>
        <v>1</v>
      </c>
      <c r="S309" s="75" t="b">
        <f ca="1">IFERROR(__xludf.DUMMYFUNCTION("""COMPUTED_VALUE"""),FALSE)</f>
        <v>0</v>
      </c>
      <c r="T309" s="75" t="b">
        <f ca="1">IFERROR(__xludf.DUMMYFUNCTION("""COMPUTED_VALUE"""),TRUE)</f>
        <v>1</v>
      </c>
      <c r="U309" s="86">
        <f ca="1">IFERROR(__xludf.DUMMYFUNCTION("""COMPUTED_VALUE"""),0)</f>
        <v>0</v>
      </c>
      <c r="V309" s="84"/>
      <c r="W309" s="87"/>
      <c r="X309" s="84"/>
      <c r="Y309" s="84"/>
      <c r="Z309" s="66" t="s">
        <v>556</v>
      </c>
    </row>
    <row r="310" spans="1:26" ht="15.75" customHeight="1">
      <c r="A310" s="83" t="str">
        <f ca="1">IFERROR(__xludf.DUMMYFUNCTION("""COMPUTED_VALUE"""),"E30NW")</f>
        <v>E30NW</v>
      </c>
      <c r="B310" s="84">
        <f ca="1">IFERROR(__xludf.DUMMYFUNCTION("""COMPUTED_VALUE"""),30)</f>
        <v>30</v>
      </c>
      <c r="C310" s="84" t="str">
        <f ca="1">IFERROR(__xludf.DUMMYFUNCTION("""COMPUTED_VALUE"""),"NW")</f>
        <v>NW</v>
      </c>
      <c r="D310" s="339">
        <f ca="1">IFERROR(__xludf.DUMMYFUNCTION("""COMPUTED_VALUE"""),6200)</f>
        <v>6200</v>
      </c>
      <c r="E310" s="84"/>
      <c r="F310" s="84"/>
      <c r="G310" s="83" t="str">
        <f ca="1">IFERROR(__xludf.DUMMYFUNCTION("""COMPUTED_VALUE"""),"Flyover")</f>
        <v>Flyover</v>
      </c>
      <c r="H310" s="84"/>
      <c r="I310" s="84"/>
      <c r="J310" s="84"/>
      <c r="K310" s="88"/>
      <c r="L310" s="84"/>
      <c r="M310" s="88"/>
      <c r="N310" s="84"/>
      <c r="O310" s="88"/>
      <c r="P310" s="85" t="str">
        <f ca="1">IFERROR(__xludf.DUMMYFUNCTION("""COMPUTED_VALUE"""),"no building ")</f>
        <v xml:space="preserve">no building </v>
      </c>
      <c r="Q310" s="75" t="b">
        <f ca="1">IFERROR(__xludf.DUMMYFUNCTION("""COMPUTED_VALUE"""),TRUE)</f>
        <v>1</v>
      </c>
      <c r="R310" s="75" t="b">
        <f ca="1">IFERROR(__xludf.DUMMYFUNCTION("""COMPUTED_VALUE"""),TRUE)</f>
        <v>1</v>
      </c>
      <c r="S310" s="75" t="b">
        <f ca="1">IFERROR(__xludf.DUMMYFUNCTION("""COMPUTED_VALUE"""),FALSE)</f>
        <v>0</v>
      </c>
      <c r="T310" s="75" t="b">
        <f ca="1">IFERROR(__xludf.DUMMYFUNCTION("""COMPUTED_VALUE"""),TRUE)</f>
        <v>1</v>
      </c>
      <c r="U310" s="86">
        <f ca="1">IFERROR(__xludf.DUMMYFUNCTION("""COMPUTED_VALUE"""),0)</f>
        <v>0</v>
      </c>
      <c r="V310" s="84"/>
      <c r="W310" s="87"/>
      <c r="X310" s="84"/>
      <c r="Y310" s="84"/>
      <c r="Z310" s="66" t="s">
        <v>556</v>
      </c>
    </row>
    <row r="311" spans="1:26" ht="15.75" customHeight="1">
      <c r="A311" s="83" t="str">
        <f ca="1">IFERROR(__xludf.DUMMYFUNCTION("""COMPUTED_VALUE"""),"N23NE")</f>
        <v>N23NE</v>
      </c>
      <c r="B311" s="84">
        <f ca="1">IFERROR(__xludf.DUMMYFUNCTION("""COMPUTED_VALUE"""),23)</f>
        <v>23</v>
      </c>
      <c r="C311" s="84" t="str">
        <f ca="1">IFERROR(__xludf.DUMMYFUNCTION("""COMPUTED_VALUE"""),"NE")</f>
        <v>NE</v>
      </c>
      <c r="D311" s="339">
        <f ca="1">IFERROR(__xludf.DUMMYFUNCTION("""COMPUTED_VALUE"""),6400)</f>
        <v>6400</v>
      </c>
      <c r="E311" s="84" t="str">
        <f ca="1">IFERROR(__xludf.DUMMYFUNCTION("""COMPUTED_VALUE"""),"3469721722T20110321")</f>
        <v>3469721722T20110321</v>
      </c>
      <c r="F311" s="84">
        <f ca="1">IFERROR(__xludf.DUMMYFUNCTION("""COMPUTED_VALUE"""),1108224661)</f>
        <v>1108224661</v>
      </c>
      <c r="G311" s="83" t="str">
        <f ca="1">IFERROR(__xludf.DUMMYFUNCTION("""COMPUTED_VALUE"""),"Kin Man Building")</f>
        <v>Kin Man Building</v>
      </c>
      <c r="H311" s="84" t="str">
        <f ca="1">IFERROR(__xludf.DUMMYFUNCTION("""COMPUTED_VALUE"""),"建文大廈")</f>
        <v>建文大廈</v>
      </c>
      <c r="I311" s="84">
        <f ca="1">IFERROR(__xludf.DUMMYFUNCTION("""COMPUTED_VALUE"""),114.1616375)</f>
        <v>114.1616375</v>
      </c>
      <c r="J311" s="84">
        <f ca="1">IFERROR(__xludf.DUMMYFUNCTION("""COMPUTED_VALUE"""),22.33456858)</f>
        <v>22.334568579999999</v>
      </c>
      <c r="K311" s="88">
        <f ca="1">IFERROR(__xludf.DUMMYFUNCTION("""COMPUTED_VALUE"""),20.6)</f>
        <v>20.6</v>
      </c>
      <c r="L311" s="84" t="str">
        <f ca="1">IFERROR(__xludf.DUMMYFUNCTION("""COMPUTED_VALUE"""),"p")</f>
        <v>p</v>
      </c>
      <c r="M311" s="88">
        <f ca="1">IFERROR(__xludf.DUMMYFUNCTION("""COMPUTED_VALUE"""),41.299999)</f>
        <v>41.299999</v>
      </c>
      <c r="N311" s="84" t="str">
        <f ca="1">IFERROR(__xludf.DUMMYFUNCTION("""COMPUTED_VALUE"""),"p")</f>
        <v>p</v>
      </c>
      <c r="O311" s="88">
        <f ca="1">IFERROR(__xludf.DUMMYFUNCTION("""COMPUTED_VALUE"""),20.699999)</f>
        <v>20.699998999999998</v>
      </c>
      <c r="P311" s="85"/>
      <c r="Q311" s="75" t="b">
        <f ca="1">IFERROR(__xludf.DUMMYFUNCTION("""COMPUTED_VALUE"""),FALSE)</f>
        <v>0</v>
      </c>
      <c r="R311" s="75" t="b">
        <f ca="1">IFERROR(__xludf.DUMMYFUNCTION("""COMPUTED_VALUE"""),FALSE)</f>
        <v>0</v>
      </c>
      <c r="S311" s="75" t="b">
        <f ca="1">IFERROR(__xludf.DUMMYFUNCTION("""COMPUTED_VALUE"""),FALSE)</f>
        <v>0</v>
      </c>
      <c r="T311" s="75"/>
      <c r="U311" s="86">
        <f ca="1">IFERROR(__xludf.DUMMYFUNCTION("""COMPUTED_VALUE"""),11)</f>
        <v>11</v>
      </c>
      <c r="V311" s="84">
        <f ca="1">IFERROR(__xludf.DUMMYFUNCTION("""COMPUTED_VALUE"""),0)</f>
        <v>0</v>
      </c>
      <c r="W311" s="87">
        <f ca="1">IFERROR(__xludf.DUMMYFUNCTION("""COMPUTED_VALUE"""),66)</f>
        <v>66</v>
      </c>
      <c r="X311" s="84">
        <f ca="1">IFERROR(__xludf.DUMMYFUNCTION("""COMPUTED_VALUE"""),1976)</f>
        <v>1976</v>
      </c>
      <c r="Y311" s="84" t="str">
        <f ca="1">IFERROR(__xludf.DUMMYFUNCTION("""COMPUTED_VALUE"""),"BMIS_auto")</f>
        <v>BMIS_auto</v>
      </c>
      <c r="Z311" s="66" t="s">
        <v>2234</v>
      </c>
    </row>
    <row r="312" spans="1:26" ht="15.75" customHeight="1">
      <c r="A312" s="83" t="str">
        <f ca="1">IFERROR(__xludf.DUMMYFUNCTION("""COMPUTED_VALUE"""),"N23SW")</f>
        <v>N23SW</v>
      </c>
      <c r="B312" s="84">
        <f ca="1">IFERROR(__xludf.DUMMYFUNCTION("""COMPUTED_VALUE"""),23)</f>
        <v>23</v>
      </c>
      <c r="C312" s="84" t="str">
        <f ca="1">IFERROR(__xludf.DUMMYFUNCTION("""COMPUTED_VALUE"""),"SW")</f>
        <v>SW</v>
      </c>
      <c r="D312" s="339">
        <f ca="1">IFERROR(__xludf.DUMMYFUNCTION("""COMPUTED_VALUE"""),6400)</f>
        <v>6400</v>
      </c>
      <c r="E312" s="84" t="str">
        <f ca="1">IFERROR(__xludf.DUMMYFUNCTION("""COMPUTED_VALUE"""),"3473121696T20050430")</f>
        <v>3473121696T20050430</v>
      </c>
      <c r="F312" s="84">
        <f ca="1">IFERROR(__xludf.DUMMYFUNCTION("""COMPUTED_VALUE"""),1108224764)</f>
        <v>1108224764</v>
      </c>
      <c r="G312" s="83" t="str">
        <f ca="1">IFERROR(__xludf.DUMMYFUNCTION("""COMPUTED_VALUE"""),"Celebrity Commercial Centre")</f>
        <v>Celebrity Commercial Centre</v>
      </c>
      <c r="H312" s="84" t="str">
        <f ca="1">IFERROR(__xludf.DUMMYFUNCTION("""COMPUTED_VALUE"""),"名人商業中心")</f>
        <v>名人商業中心</v>
      </c>
      <c r="I312" s="84">
        <f ca="1">IFERROR(__xludf.DUMMYFUNCTION("""COMPUTED_VALUE"""),114.1619562)</f>
        <v>114.16195620000001</v>
      </c>
      <c r="J312" s="84">
        <f ca="1">IFERROR(__xludf.DUMMYFUNCTION("""COMPUTED_VALUE"""),22.33432297)</f>
        <v>22.334322969999999</v>
      </c>
      <c r="K312" s="88">
        <f ca="1">IFERROR(__xludf.DUMMYFUNCTION("""COMPUTED_VALUE"""),7.4)</f>
        <v>7.4</v>
      </c>
      <c r="L312" s="84" t="str">
        <f ca="1">IFERROR(__xludf.DUMMYFUNCTION("""COMPUTED_VALUE"""),"l")</f>
        <v>l</v>
      </c>
      <c r="M312" s="88">
        <f ca="1">IFERROR(__xludf.DUMMYFUNCTION("""COMPUTED_VALUE"""),48)</f>
        <v>48</v>
      </c>
      <c r="N312" s="84" t="str">
        <f ca="1">IFERROR(__xludf.DUMMYFUNCTION("""COMPUTED_VALUE"""),"3")</f>
        <v>3</v>
      </c>
      <c r="O312" s="88">
        <f ca="1">IFERROR(__xludf.DUMMYFUNCTION("""COMPUTED_VALUE"""),40.6)</f>
        <v>40.6</v>
      </c>
      <c r="P312" s="85"/>
      <c r="Q312" s="75" t="b">
        <f ca="1">IFERROR(__xludf.DUMMYFUNCTION("""COMPUTED_VALUE"""),FALSE)</f>
        <v>0</v>
      </c>
      <c r="R312" s="75" t="b">
        <f ca="1">IFERROR(__xludf.DUMMYFUNCTION("""COMPUTED_VALUE"""),FALSE)</f>
        <v>0</v>
      </c>
      <c r="S312" s="75" t="b">
        <f ca="1">IFERROR(__xludf.DUMMYFUNCTION("""COMPUTED_VALUE"""),FALSE)</f>
        <v>0</v>
      </c>
      <c r="T312" s="75"/>
      <c r="U312" s="86">
        <f ca="1">IFERROR(__xludf.DUMMYFUNCTION("""COMPUTED_VALUE"""),14)</f>
        <v>14</v>
      </c>
      <c r="V312" s="84">
        <f ca="1">IFERROR(__xludf.DUMMYFUNCTION("""COMPUTED_VALUE"""),0)</f>
        <v>0</v>
      </c>
      <c r="W312" s="87">
        <f ca="1">IFERROR(__xludf.DUMMYFUNCTION("""COMPUTED_VALUE"""),43)</f>
        <v>43</v>
      </c>
      <c r="X312" s="84">
        <f ca="1">IFERROR(__xludf.DUMMYFUNCTION("""COMPUTED_VALUE"""),1997)</f>
        <v>1997</v>
      </c>
      <c r="Y312" s="84" t="str">
        <f ca="1">IFERROR(__xludf.DUMMYFUNCTION("""COMPUTED_VALUE"""),"BMIS_auto")</f>
        <v>BMIS_auto</v>
      </c>
      <c r="Z312" s="66" t="s">
        <v>2236</v>
      </c>
    </row>
    <row r="313" spans="1:26" ht="15.75" customHeight="1">
      <c r="A313" s="83" t="str">
        <f ca="1">IFERROR(__xludf.DUMMYFUNCTION("""COMPUTED_VALUE"""),"N23SW")</f>
        <v>N23SW</v>
      </c>
      <c r="B313" s="84">
        <f ca="1">IFERROR(__xludf.DUMMYFUNCTION("""COMPUTED_VALUE"""),23)</f>
        <v>23</v>
      </c>
      <c r="C313" s="84" t="str">
        <f ca="1">IFERROR(__xludf.DUMMYFUNCTION("""COMPUTED_VALUE"""),"SW")</f>
        <v>SW</v>
      </c>
      <c r="D313" s="339">
        <f ca="1">IFERROR(__xludf.DUMMYFUNCTION("""COMPUTED_VALUE"""),6400)</f>
        <v>6400</v>
      </c>
      <c r="E313" s="84" t="str">
        <f ca="1">IFERROR(__xludf.DUMMYFUNCTION("""COMPUTED_VALUE"""),"3471021647T20050430")</f>
        <v>3471021647T20050430</v>
      </c>
      <c r="F313" s="84">
        <f ca="1">IFERROR(__xludf.DUMMYFUNCTION("""COMPUTED_VALUE"""),1108224941)</f>
        <v>1108224941</v>
      </c>
      <c r="G313" s="83" t="str">
        <f ca="1">IFERROR(__xludf.DUMMYFUNCTION("""COMPUTED_VALUE"""),"Precious Blood Hospital")</f>
        <v>Precious Blood Hospital</v>
      </c>
      <c r="H313" s="84" t="str">
        <f ca="1">IFERROR(__xludf.DUMMYFUNCTION("""COMPUTED_VALUE"""),"寶血醫院")</f>
        <v>寶血醫院</v>
      </c>
      <c r="I313" s="84">
        <f ca="1">IFERROR(__xludf.DUMMYFUNCTION("""COMPUTED_VALUE"""),114.1616704)</f>
        <v>114.16167040000001</v>
      </c>
      <c r="J313" s="84">
        <f ca="1">IFERROR(__xludf.DUMMYFUNCTION("""COMPUTED_VALUE"""),22.33391097)</f>
        <v>22.333910970000002</v>
      </c>
      <c r="K313" s="88">
        <f ca="1">IFERROR(__xludf.DUMMYFUNCTION("""COMPUTED_VALUE"""),6.1)</f>
        <v>6.1</v>
      </c>
      <c r="L313" s="84" t="str">
        <f ca="1">IFERROR(__xludf.DUMMYFUNCTION("""COMPUTED_VALUE"""),"p")</f>
        <v>p</v>
      </c>
      <c r="M313" s="88">
        <f ca="1">IFERROR(__xludf.DUMMYFUNCTION("""COMPUTED_VALUE"""),31.200001)</f>
        <v>31.200001</v>
      </c>
      <c r="N313" s="84" t="str">
        <f ca="1">IFERROR(__xludf.DUMMYFUNCTION("""COMPUTED_VALUE"""),"e")</f>
        <v>e</v>
      </c>
      <c r="O313" s="88">
        <f ca="1">IFERROR(__xludf.DUMMYFUNCTION("""COMPUTED_VALUE"""),25.100001)</f>
        <v>25.100000999999999</v>
      </c>
      <c r="P313" s="85" t="str">
        <f ca="1">IFERROR(__xludf.DUMMYFUNCTION("""COMPUTED_VALUE"""),"Used for healthcare services")</f>
        <v>Used for healthcare services</v>
      </c>
      <c r="Q313" s="75" t="b">
        <f ca="1">IFERROR(__xludf.DUMMYFUNCTION("""COMPUTED_VALUE"""),FALSE)</f>
        <v>0</v>
      </c>
      <c r="R313" s="75" t="b">
        <f ca="1">IFERROR(__xludf.DUMMYFUNCTION("""COMPUTED_VALUE"""),TRUE)</f>
        <v>1</v>
      </c>
      <c r="S313" s="75" t="b">
        <f ca="1">IFERROR(__xludf.DUMMYFUNCTION("""COMPUTED_VALUE"""),FALSE)</f>
        <v>0</v>
      </c>
      <c r="T313" s="75"/>
      <c r="U313" s="86">
        <f ca="1">IFERROR(__xludf.DUMMYFUNCTION("""COMPUTED_VALUE"""),5)</f>
        <v>5</v>
      </c>
      <c r="V313" s="84"/>
      <c r="W313" s="87"/>
      <c r="X313" s="84"/>
      <c r="Y313" s="84" t="str">
        <f ca="1">IFERROR(__xludf.DUMMYFUNCTION("""COMPUTED_VALUE"""),"Street View")</f>
        <v>Street View</v>
      </c>
      <c r="Z313" s="66" t="s">
        <v>2236</v>
      </c>
    </row>
    <row r="314" spans="1:26" ht="15.75" customHeight="1">
      <c r="A314" s="83" t="str">
        <f ca="1">IFERROR(__xludf.DUMMYFUNCTION("""COMPUTED_VALUE"""),"N23NW")</f>
        <v>N23NW</v>
      </c>
      <c r="B314" s="84">
        <f ca="1">IFERROR(__xludf.DUMMYFUNCTION("""COMPUTED_VALUE"""),23)</f>
        <v>23</v>
      </c>
      <c r="C314" s="84" t="str">
        <f ca="1">IFERROR(__xludf.DUMMYFUNCTION("""COMPUTED_VALUE"""),"NW")</f>
        <v>NW</v>
      </c>
      <c r="D314" s="339">
        <f ca="1">IFERROR(__xludf.DUMMYFUNCTION("""COMPUTED_VALUE"""),6400)</f>
        <v>6400</v>
      </c>
      <c r="E314" s="84" t="str">
        <f ca="1">IFERROR(__xludf.DUMMYFUNCTION("""COMPUTED_VALUE"""),"3466121708T20050430")</f>
        <v>3466121708T20050430</v>
      </c>
      <c r="F314" s="84">
        <f ca="1">IFERROR(__xludf.DUMMYFUNCTION("""COMPUTED_VALUE"""),1108224749)</f>
        <v>1108224749</v>
      </c>
      <c r="G314" s="83" t="str">
        <f ca="1">IFERROR(__xludf.DUMMYFUNCTION("""COMPUTED_VALUE"""),"127 Castle Peak Road")</f>
        <v>127 Castle Peak Road</v>
      </c>
      <c r="H314" s="84"/>
      <c r="I314" s="84">
        <f ca="1">IFERROR(__xludf.DUMMYFUNCTION("""COMPUTED_VALUE"""),114.1612863)</f>
        <v>114.1612863</v>
      </c>
      <c r="J314" s="84">
        <f ca="1">IFERROR(__xludf.DUMMYFUNCTION("""COMPUTED_VALUE"""),22.334412)</f>
        <v>22.334412</v>
      </c>
      <c r="K314" s="88">
        <f ca="1">IFERROR(__xludf.DUMMYFUNCTION("""COMPUTED_VALUE"""),6.5)</f>
        <v>6.5</v>
      </c>
      <c r="L314" s="84" t="str">
        <f ca="1">IFERROR(__xludf.DUMMYFUNCTION("""COMPUTED_VALUE"""),"p")</f>
        <v>p</v>
      </c>
      <c r="M314" s="88">
        <f ca="1">IFERROR(__xludf.DUMMYFUNCTION("""COMPUTED_VALUE"""),21.9)</f>
        <v>21.9</v>
      </c>
      <c r="N314" s="84" t="str">
        <f ca="1">IFERROR(__xludf.DUMMYFUNCTION("""COMPUTED_VALUE"""),"3")</f>
        <v>3</v>
      </c>
      <c r="O314" s="88">
        <f ca="1">IFERROR(__xludf.DUMMYFUNCTION("""COMPUTED_VALUE"""),15.4)</f>
        <v>15.4</v>
      </c>
      <c r="P314" s="85" t="str">
        <f ca="1">IFERROR(__xludf.DUMMYFUNCTION("""COMPUTED_VALUE"""),"Site is adjacent to a WIP construction site as of Apr 2020.")</f>
        <v>Site is adjacent to a WIP construction site as of Apr 2020.</v>
      </c>
      <c r="Q314" s="75" t="b">
        <f ca="1">IFERROR(__xludf.DUMMYFUNCTION("""COMPUTED_VALUE"""),FALSE)</f>
        <v>0</v>
      </c>
      <c r="R314" s="75" t="b">
        <f ca="1">IFERROR(__xludf.DUMMYFUNCTION("""COMPUTED_VALUE"""),FALSE)</f>
        <v>0</v>
      </c>
      <c r="S314" s="75" t="b">
        <f ca="1">IFERROR(__xludf.DUMMYFUNCTION("""COMPUTED_VALUE"""),TRUE)</f>
        <v>1</v>
      </c>
      <c r="T314" s="75"/>
      <c r="U314" s="86">
        <f ca="1">IFERROR(__xludf.DUMMYFUNCTION("""COMPUTED_VALUE"""),5)</f>
        <v>5</v>
      </c>
      <c r="V314" s="84"/>
      <c r="W314" s="87"/>
      <c r="X314" s="84"/>
      <c r="Y314" s="84" t="str">
        <f ca="1">IFERROR(__xludf.DUMMYFUNCTION("""COMPUTED_VALUE"""),"Google Earth+BMIS")</f>
        <v>Google Earth+BMIS</v>
      </c>
      <c r="Z314" s="66" t="s">
        <v>2239</v>
      </c>
    </row>
    <row r="315" spans="1:26" ht="15.75" customHeight="1">
      <c r="A315" s="83" t="str">
        <f ca="1">IFERROR(__xludf.DUMMYFUNCTION("""COMPUTED_VALUE"""),"E31NE")</f>
        <v>E31NE</v>
      </c>
      <c r="B315" s="84">
        <f ca="1">IFERROR(__xludf.DUMMYFUNCTION("""COMPUTED_VALUE"""),31)</f>
        <v>31</v>
      </c>
      <c r="C315" s="84" t="str">
        <f ca="1">IFERROR(__xludf.DUMMYFUNCTION("""COMPUTED_VALUE"""),"NE")</f>
        <v>NE</v>
      </c>
      <c r="D315" s="339">
        <f ca="1">IFERROR(__xludf.DUMMYFUNCTION("""COMPUTED_VALUE"""),6400)</f>
        <v>6400</v>
      </c>
      <c r="E315" s="84" t="str">
        <f ca="1">IFERROR(__xludf.DUMMYFUNCTION("""COMPUTED_VALUE"""),"3931316966T20050430")</f>
        <v>3931316966T20050430</v>
      </c>
      <c r="F315" s="84">
        <f ca="1">IFERROR(__xludf.DUMMYFUNCTION("""COMPUTED_VALUE"""),1103120007)</f>
        <v>1103120007</v>
      </c>
      <c r="G315" s="83" t="str">
        <f ca="1">IFERROR(__xludf.DUMMYFUNCTION("""COMPUTED_VALUE"""),"Hong Shing Court")</f>
        <v>Hong Shing Court</v>
      </c>
      <c r="H315" s="84" t="str">
        <f ca="1">IFERROR(__xludf.DUMMYFUNCTION("""COMPUTED_VALUE"""),"康勝閣")</f>
        <v>康勝閣</v>
      </c>
      <c r="I315" s="84">
        <f ca="1">IFERROR(__xludf.DUMMYFUNCTION("""COMPUTED_VALUE"""),114.2064297)</f>
        <v>114.2064297</v>
      </c>
      <c r="J315" s="84">
        <f ca="1">IFERROR(__xludf.DUMMYFUNCTION("""COMPUTED_VALUE"""),22.29160171)</f>
        <v>22.291601709999998</v>
      </c>
      <c r="K315" s="88">
        <f ca="1">IFERROR(__xludf.DUMMYFUNCTION("""COMPUTED_VALUE"""),14.6)</f>
        <v>14.6</v>
      </c>
      <c r="L315" s="84" t="str">
        <f ca="1">IFERROR(__xludf.DUMMYFUNCTION("""COMPUTED_VALUE"""),"p")</f>
        <v>p</v>
      </c>
      <c r="M315" s="88">
        <f ca="1">IFERROR(__xludf.DUMMYFUNCTION("""COMPUTED_VALUE"""),94.5)</f>
        <v>94.5</v>
      </c>
      <c r="N315" s="84" t="str">
        <f ca="1">IFERROR(__xludf.DUMMYFUNCTION("""COMPUTED_VALUE"""),"3")</f>
        <v>3</v>
      </c>
      <c r="O315" s="88">
        <f ca="1">IFERROR(__xludf.DUMMYFUNCTION("""COMPUTED_VALUE"""),79.9)</f>
        <v>79.900000000000006</v>
      </c>
      <c r="P315" s="85"/>
      <c r="Q315" s="75" t="b">
        <f ca="1">IFERROR(__xludf.DUMMYFUNCTION("""COMPUTED_VALUE"""),FALSE)</f>
        <v>0</v>
      </c>
      <c r="R315" s="75" t="b">
        <f ca="1">IFERROR(__xludf.DUMMYFUNCTION("""COMPUTED_VALUE"""),FALSE)</f>
        <v>0</v>
      </c>
      <c r="S315" s="75" t="b">
        <f ca="1">IFERROR(__xludf.DUMMYFUNCTION("""COMPUTED_VALUE"""),FALSE)</f>
        <v>0</v>
      </c>
      <c r="T315" s="75" t="b">
        <f ca="1">IFERROR(__xludf.DUMMYFUNCTION("""COMPUTED_VALUE"""),FALSE)</f>
        <v>0</v>
      </c>
      <c r="U315" s="86">
        <f ca="1">IFERROR(__xludf.DUMMYFUNCTION("""COMPUTED_VALUE"""),27)</f>
        <v>27</v>
      </c>
      <c r="V315" s="84"/>
      <c r="W315" s="87">
        <f ca="1">IFERROR(__xludf.DUMMYFUNCTION("""COMPUTED_VALUE"""),216)</f>
        <v>216</v>
      </c>
      <c r="X315" s="84">
        <f ca="1">IFERROR(__xludf.DUMMYFUNCTION("""COMPUTED_VALUE"""),1997)</f>
        <v>1997</v>
      </c>
      <c r="Y315" s="84" t="str">
        <f ca="1">IFERROR(__xludf.DUMMYFUNCTION("""COMPUTED_VALUE"""),"BMIS_auto")</f>
        <v>BMIS_auto</v>
      </c>
      <c r="Z315" s="66" t="s">
        <v>2241</v>
      </c>
    </row>
    <row r="316" spans="1:26" ht="15.75" customHeight="1">
      <c r="A316" s="83" t="str">
        <f ca="1">IFERROR(__xludf.DUMMYFUNCTION("""COMPUTED_VALUE"""),"E31SE")</f>
        <v>E31SE</v>
      </c>
      <c r="B316" s="84">
        <f ca="1">IFERROR(__xludf.DUMMYFUNCTION("""COMPUTED_VALUE"""),31)</f>
        <v>31</v>
      </c>
      <c r="C316" s="84" t="str">
        <f ca="1">IFERROR(__xludf.DUMMYFUNCTION("""COMPUTED_VALUE"""),"SE")</f>
        <v>SE</v>
      </c>
      <c r="D316" s="339">
        <f ca="1">IFERROR(__xludf.DUMMYFUNCTION("""COMPUTED_VALUE"""),6400)</f>
        <v>6400</v>
      </c>
      <c r="E316" s="84" t="str">
        <f ca="1">IFERROR(__xludf.DUMMYFUNCTION("""COMPUTED_VALUE"""),"3927016985T20050430")</f>
        <v>3927016985T20050430</v>
      </c>
      <c r="F316" s="84">
        <f ca="1">IFERROR(__xludf.DUMMYFUNCTION("""COMPUTED_VALUE"""),1103119962)</f>
        <v>1103119962</v>
      </c>
      <c r="G316" s="83" t="str">
        <f ca="1">IFERROR(__xludf.DUMMYFUNCTION("""COMPUTED_VALUE"""),"Hong Cheung Court")</f>
        <v>Hong Cheung Court</v>
      </c>
      <c r="H316" s="84" t="str">
        <f ca="1">IFERROR(__xludf.DUMMYFUNCTION("""COMPUTED_VALUE"""),"康祥閣")</f>
        <v>康祥閣</v>
      </c>
      <c r="I316" s="84">
        <f ca="1">IFERROR(__xludf.DUMMYFUNCTION("""COMPUTED_VALUE"""),114.2060174)</f>
        <v>114.20601739999999</v>
      </c>
      <c r="J316" s="84">
        <f ca="1">IFERROR(__xludf.DUMMYFUNCTION("""COMPUTED_VALUE"""),22.29179398)</f>
        <v>22.291793980000001</v>
      </c>
      <c r="K316" s="88">
        <f ca="1">IFERROR(__xludf.DUMMYFUNCTION("""COMPUTED_VALUE"""),14.6)</f>
        <v>14.6</v>
      </c>
      <c r="L316" s="84" t="str">
        <f ca="1">IFERROR(__xludf.DUMMYFUNCTION("""COMPUTED_VALUE"""),"p")</f>
        <v>p</v>
      </c>
      <c r="M316" s="88">
        <f ca="1">IFERROR(__xludf.DUMMYFUNCTION("""COMPUTED_VALUE"""),92.9)</f>
        <v>92.9</v>
      </c>
      <c r="N316" s="84" t="str">
        <f ca="1">IFERROR(__xludf.DUMMYFUNCTION("""COMPUTED_VALUE"""),"3")</f>
        <v>3</v>
      </c>
      <c r="O316" s="88">
        <f ca="1">IFERROR(__xludf.DUMMYFUNCTION("""COMPUTED_VALUE"""),78.3)</f>
        <v>78.3</v>
      </c>
      <c r="P316" s="85"/>
      <c r="Q316" s="75" t="b">
        <f ca="1">IFERROR(__xludf.DUMMYFUNCTION("""COMPUTED_VALUE"""),FALSE)</f>
        <v>0</v>
      </c>
      <c r="R316" s="75" t="b">
        <f ca="1">IFERROR(__xludf.DUMMYFUNCTION("""COMPUTED_VALUE"""),FALSE)</f>
        <v>0</v>
      </c>
      <c r="S316" s="75" t="b">
        <f ca="1">IFERROR(__xludf.DUMMYFUNCTION("""COMPUTED_VALUE"""),FALSE)</f>
        <v>0</v>
      </c>
      <c r="T316" s="75" t="b">
        <f ca="1">IFERROR(__xludf.DUMMYFUNCTION("""COMPUTED_VALUE"""),FALSE)</f>
        <v>0</v>
      </c>
      <c r="U316" s="86">
        <f ca="1">IFERROR(__xludf.DUMMYFUNCTION("""COMPUTED_VALUE"""),27)</f>
        <v>27</v>
      </c>
      <c r="V316" s="84"/>
      <c r="W316" s="87">
        <f ca="1">IFERROR(__xludf.DUMMYFUNCTION("""COMPUTED_VALUE"""),216)</f>
        <v>216</v>
      </c>
      <c r="X316" s="84">
        <f ca="1">IFERROR(__xludf.DUMMYFUNCTION("""COMPUTED_VALUE"""),1997)</f>
        <v>1997</v>
      </c>
      <c r="Y316" s="84" t="str">
        <f ca="1">IFERROR(__xludf.DUMMYFUNCTION("""COMPUTED_VALUE"""),"BMIS")</f>
        <v>BMIS</v>
      </c>
      <c r="Z316" s="66" t="s">
        <v>2241</v>
      </c>
    </row>
    <row r="317" spans="1:26" ht="15.75" customHeight="1">
      <c r="A317" s="83" t="str">
        <f ca="1">IFERROR(__xludf.DUMMYFUNCTION("""COMPUTED_VALUE"""),"E31SW")</f>
        <v>E31SW</v>
      </c>
      <c r="B317" s="84">
        <f ca="1">IFERROR(__xludf.DUMMYFUNCTION("""COMPUTED_VALUE"""),31)</f>
        <v>31</v>
      </c>
      <c r="C317" s="84" t="str">
        <f ca="1">IFERROR(__xludf.DUMMYFUNCTION("""COMPUTED_VALUE"""),"SW")</f>
        <v>SW</v>
      </c>
      <c r="D317" s="339">
        <f ca="1">IFERROR(__xludf.DUMMYFUNCTION("""COMPUTED_VALUE"""),6400)</f>
        <v>6400</v>
      </c>
      <c r="E317" s="84" t="str">
        <f ca="1">IFERROR(__xludf.DUMMYFUNCTION("""COMPUTED_VALUE"""),"3929617042T20050430")</f>
        <v>3929617042T20050430</v>
      </c>
      <c r="F317" s="84">
        <f ca="1">IFERROR(__xludf.DUMMYFUNCTION("""COMPUTED_VALUE"""),1103119879)</f>
        <v>1103119879</v>
      </c>
      <c r="G317" s="83" t="str">
        <f ca="1">IFERROR(__xludf.DUMMYFUNCTION("""COMPUTED_VALUE"""),"625 King's Road")</f>
        <v>625 King's Road</v>
      </c>
      <c r="H317" s="84"/>
      <c r="I317" s="84">
        <f ca="1">IFERROR(__xludf.DUMMYFUNCTION("""COMPUTED_VALUE"""),114.2061643)</f>
        <v>114.2061643</v>
      </c>
      <c r="J317" s="84">
        <f ca="1">IFERROR(__xludf.DUMMYFUNCTION("""COMPUTED_VALUE"""),22.29231422)</f>
        <v>22.292314220000002</v>
      </c>
      <c r="K317" s="88">
        <f ca="1">IFERROR(__xludf.DUMMYFUNCTION("""COMPUTED_VALUE"""),19.5)</f>
        <v>19.5</v>
      </c>
      <c r="L317" s="84" t="str">
        <f ca="1">IFERROR(__xludf.DUMMYFUNCTION("""COMPUTED_VALUE"""),"p")</f>
        <v>p</v>
      </c>
      <c r="M317" s="88">
        <f ca="1">IFERROR(__xludf.DUMMYFUNCTION("""COMPUTED_VALUE"""),105.6)</f>
        <v>105.6</v>
      </c>
      <c r="N317" s="84" t="str">
        <f ca="1">IFERROR(__xludf.DUMMYFUNCTION("""COMPUTED_VALUE"""),"3")</f>
        <v>3</v>
      </c>
      <c r="O317" s="88">
        <f ca="1">IFERROR(__xludf.DUMMYFUNCTION("""COMPUTED_VALUE"""),86.1)</f>
        <v>86.1</v>
      </c>
      <c r="P317" s="85"/>
      <c r="Q317" s="75" t="b">
        <f ca="1">IFERROR(__xludf.DUMMYFUNCTION("""COMPUTED_VALUE"""),FALSE)</f>
        <v>0</v>
      </c>
      <c r="R317" s="75" t="b">
        <f ca="1">IFERROR(__xludf.DUMMYFUNCTION("""COMPUTED_VALUE"""),FALSE)</f>
        <v>0</v>
      </c>
      <c r="S317" s="75" t="b">
        <f ca="1">IFERROR(__xludf.DUMMYFUNCTION("""COMPUTED_VALUE"""),TRUE)</f>
        <v>1</v>
      </c>
      <c r="T317" s="75" t="b">
        <f ca="1">IFERROR(__xludf.DUMMYFUNCTION("""COMPUTED_VALUE"""),FALSE)</f>
        <v>0</v>
      </c>
      <c r="U317" s="86">
        <f ca="1">IFERROR(__xludf.DUMMYFUNCTION("""COMPUTED_VALUE"""),25)</f>
        <v>25</v>
      </c>
      <c r="V317" s="84">
        <f ca="1">IFERROR(__xludf.DUMMYFUNCTION("""COMPUTED_VALUE"""),0)</f>
        <v>0</v>
      </c>
      <c r="W317" s="87">
        <f ca="1">IFERROR(__xludf.DUMMYFUNCTION("""COMPUTED_VALUE"""),125)</f>
        <v>125</v>
      </c>
      <c r="X317" s="84">
        <f ca="1">IFERROR(__xludf.DUMMYFUNCTION("""COMPUTED_VALUE"""),1998)</f>
        <v>1998</v>
      </c>
      <c r="Y317" s="84" t="str">
        <f ca="1">IFERROR(__xludf.DUMMYFUNCTION("""COMPUTED_VALUE"""),"BMIS_auto")</f>
        <v>BMIS_auto</v>
      </c>
      <c r="Z317" s="66" t="s">
        <v>2244</v>
      </c>
    </row>
    <row r="318" spans="1:26" ht="15.75" customHeight="1">
      <c r="A318" s="83" t="str">
        <f ca="1">IFERROR(__xludf.DUMMYFUNCTION("""COMPUTED_VALUE"""),"E31NW")</f>
        <v>E31NW</v>
      </c>
      <c r="B318" s="84">
        <f ca="1">IFERROR(__xludf.DUMMYFUNCTION("""COMPUTED_VALUE"""),31)</f>
        <v>31</v>
      </c>
      <c r="C318" s="84" t="str">
        <f ca="1">IFERROR(__xludf.DUMMYFUNCTION("""COMPUTED_VALUE"""),"NW")</f>
        <v>NW</v>
      </c>
      <c r="D318" s="339">
        <f ca="1">IFERROR(__xludf.DUMMYFUNCTION("""COMPUTED_VALUE"""),6400)</f>
        <v>6400</v>
      </c>
      <c r="E318" s="84" t="str">
        <f ca="1">IFERROR(__xludf.DUMMYFUNCTION("""COMPUTED_VALUE"""),"3936417029T20070425")</f>
        <v>3936417029T20070425</v>
      </c>
      <c r="F318" s="84">
        <f ca="1">IFERROR(__xludf.DUMMYFUNCTION("""COMPUTED_VALUE"""),1103119892)</f>
        <v>1103119892</v>
      </c>
      <c r="G318" s="83" t="str">
        <f ca="1">IFERROR(__xludf.DUMMYFUNCTION("""COMPUTED_VALUE"""),"633 King's Road ")</f>
        <v xml:space="preserve">633 King's Road </v>
      </c>
      <c r="H318" s="84"/>
      <c r="I318" s="84">
        <f ca="1">IFERROR(__xludf.DUMMYFUNCTION("""COMPUTED_VALUE"""),114.2069383)</f>
        <v>114.2069383</v>
      </c>
      <c r="J318" s="84">
        <f ca="1">IFERROR(__xludf.DUMMYFUNCTION("""COMPUTED_VALUE"""),22.29216712)</f>
        <v>22.292167119999998</v>
      </c>
      <c r="K318" s="88">
        <f ca="1">IFERROR(__xludf.DUMMYFUNCTION("""COMPUTED_VALUE"""),4.3)</f>
        <v>4.3</v>
      </c>
      <c r="L318" s="84" t="str">
        <f ca="1">IFERROR(__xludf.DUMMYFUNCTION("""COMPUTED_VALUE"""),"l")</f>
        <v>l</v>
      </c>
      <c r="M318" s="88">
        <f ca="1">IFERROR(__xludf.DUMMYFUNCTION("""COMPUTED_VALUE"""),125.7)</f>
        <v>125.7</v>
      </c>
      <c r="N318" s="84" t="str">
        <f ca="1">IFERROR(__xludf.DUMMYFUNCTION("""COMPUTED_VALUE"""),"t")</f>
        <v>t</v>
      </c>
      <c r="O318" s="88">
        <f ca="1">IFERROR(__xludf.DUMMYFUNCTION("""COMPUTED_VALUE"""),121.4)</f>
        <v>121.4</v>
      </c>
      <c r="P318" s="85"/>
      <c r="Q318" s="75" t="b">
        <f ca="1">IFERROR(__xludf.DUMMYFUNCTION("""COMPUTED_VALUE"""),FALSE)</f>
        <v>0</v>
      </c>
      <c r="R318" s="75" t="b">
        <f ca="1">IFERROR(__xludf.DUMMYFUNCTION("""COMPUTED_VALUE"""),FALSE)</f>
        <v>0</v>
      </c>
      <c r="S318" s="75" t="b">
        <f ca="1">IFERROR(__xludf.DUMMYFUNCTION("""COMPUTED_VALUE"""),TRUE)</f>
        <v>1</v>
      </c>
      <c r="T318" s="75" t="b">
        <f ca="1">IFERROR(__xludf.DUMMYFUNCTION("""COMPUTED_VALUE"""),FALSE)</f>
        <v>0</v>
      </c>
      <c r="U318" s="86">
        <f ca="1">IFERROR(__xludf.DUMMYFUNCTION("""COMPUTED_VALUE"""),35)</f>
        <v>35</v>
      </c>
      <c r="V318" s="84"/>
      <c r="W318" s="87"/>
      <c r="X318" s="84">
        <f ca="1">IFERROR(__xludf.DUMMYFUNCTION("""COMPUTED_VALUE"""),2007)</f>
        <v>2007</v>
      </c>
      <c r="Y318" s="84" t="str">
        <f ca="1">IFERROR(__xludf.DUMMYFUNCTION("""COMPUTED_VALUE"""),"BMIS_auto")</f>
        <v>BMIS_auto</v>
      </c>
      <c r="Z318" s="66" t="s">
        <v>2247</v>
      </c>
    </row>
    <row r="319" spans="1:26" ht="15.75" customHeight="1">
      <c r="A319" s="83" t="str">
        <f ca="1">IFERROR(__xludf.DUMMYFUNCTION("""COMPUTED_VALUE"""),"N24NE")</f>
        <v>N24NE</v>
      </c>
      <c r="B319" s="84">
        <f ca="1">IFERROR(__xludf.DUMMYFUNCTION("""COMPUTED_VALUE"""),24)</f>
        <v>24</v>
      </c>
      <c r="C319" s="84" t="str">
        <f ca="1">IFERROR(__xludf.DUMMYFUNCTION("""COMPUTED_VALUE"""),"NE")</f>
        <v>NE</v>
      </c>
      <c r="D319" s="339">
        <f ca="1">IFERROR(__xludf.DUMMYFUNCTION("""COMPUTED_VALUE"""),6600)</f>
        <v>6600</v>
      </c>
      <c r="E319" s="84" t="str">
        <f ca="1">IFERROR(__xludf.DUMMYFUNCTION("""COMPUTED_VALUE"""),"3455921833T20050430")</f>
        <v>3455921833T20050430</v>
      </c>
      <c r="F319" s="84">
        <f ca="1">IFERROR(__xludf.DUMMYFUNCTION("""COMPUTED_VALUE"""),1108224084)</f>
        <v>1108224084</v>
      </c>
      <c r="G319" s="83" t="str">
        <f ca="1">IFERROR(__xludf.DUMMYFUNCTION("""COMPUTED_VALUE"""),"136-138 Castle Peak Road")</f>
        <v>136-138 Castle Peak Road</v>
      </c>
      <c r="H319" s="84"/>
      <c r="I319" s="84">
        <f ca="1">IFERROR(__xludf.DUMMYFUNCTION("""COMPUTED_VALUE"""),114.1603147)</f>
        <v>114.1603147</v>
      </c>
      <c r="J319" s="84">
        <f ca="1">IFERROR(__xludf.DUMMYFUNCTION("""COMPUTED_VALUE"""),22.3355524)</f>
        <v>22.335552400000001</v>
      </c>
      <c r="K319" s="88">
        <f ca="1">IFERROR(__xludf.DUMMYFUNCTION("""COMPUTED_VALUE"""),6.3)</f>
        <v>6.3</v>
      </c>
      <c r="L319" s="84" t="str">
        <f ca="1">IFERROR(__xludf.DUMMYFUNCTION("""COMPUTED_VALUE"""),"p")</f>
        <v>p</v>
      </c>
      <c r="M319" s="88">
        <f ca="1">IFERROR(__xludf.DUMMYFUNCTION("""COMPUTED_VALUE"""),24.700001)</f>
        <v>24.700001</v>
      </c>
      <c r="N319" s="84" t="str">
        <f ca="1">IFERROR(__xludf.DUMMYFUNCTION("""COMPUTED_VALUE"""),"p")</f>
        <v>p</v>
      </c>
      <c r="O319" s="88">
        <f ca="1">IFERROR(__xludf.DUMMYFUNCTION("""COMPUTED_VALUE"""),18.400001)</f>
        <v>18.400001</v>
      </c>
      <c r="P319" s="85"/>
      <c r="Q319" s="75" t="b">
        <f ca="1">IFERROR(__xludf.DUMMYFUNCTION("""COMPUTED_VALUE"""),FALSE)</f>
        <v>0</v>
      </c>
      <c r="R319" s="75" t="b">
        <f ca="1">IFERROR(__xludf.DUMMYFUNCTION("""COMPUTED_VALUE"""),FALSE)</f>
        <v>0</v>
      </c>
      <c r="S319" s="75" t="b">
        <f ca="1">IFERROR(__xludf.DUMMYFUNCTION("""COMPUTED_VALUE"""),TRUE)</f>
        <v>1</v>
      </c>
      <c r="T319" s="75"/>
      <c r="U319" s="86">
        <f ca="1">IFERROR(__xludf.DUMMYFUNCTION("""COMPUTED_VALUE"""),5)</f>
        <v>5</v>
      </c>
      <c r="V319" s="84">
        <f ca="1">IFERROR(__xludf.DUMMYFUNCTION("""COMPUTED_VALUE"""),0)</f>
        <v>0</v>
      </c>
      <c r="W319" s="87">
        <f ca="1">IFERROR(__xludf.DUMMYFUNCTION("""COMPUTED_VALUE"""),10)</f>
        <v>10</v>
      </c>
      <c r="X319" s="84">
        <f ca="1">IFERROR(__xludf.DUMMYFUNCTION("""COMPUTED_VALUE"""),1949)</f>
        <v>1949</v>
      </c>
      <c r="Y319" s="84" t="str">
        <f ca="1">IFERROR(__xludf.DUMMYFUNCTION("""COMPUTED_VALUE"""),"BMIS_auto")</f>
        <v>BMIS_auto</v>
      </c>
      <c r="Z319" s="66" t="s">
        <v>2249</v>
      </c>
    </row>
    <row r="320" spans="1:26" ht="15.75" customHeight="1">
      <c r="A320" s="83" t="str">
        <f ca="1">IFERROR(__xludf.DUMMYFUNCTION("""COMPUTED_VALUE"""),"N24SE")</f>
        <v>N24SE</v>
      </c>
      <c r="B320" s="84">
        <f ca="1">IFERROR(__xludf.DUMMYFUNCTION("""COMPUTED_VALUE"""),24)</f>
        <v>24</v>
      </c>
      <c r="C320" s="84" t="str">
        <f ca="1">IFERROR(__xludf.DUMMYFUNCTION("""COMPUTED_VALUE"""),"SE")</f>
        <v>SE</v>
      </c>
      <c r="D320" s="339">
        <f ca="1">IFERROR(__xludf.DUMMYFUNCTION("""COMPUTED_VALUE"""),6600)</f>
        <v>6600</v>
      </c>
      <c r="E320" s="84" t="str">
        <f ca="1">IFERROR(__xludf.DUMMYFUNCTION("""COMPUTED_VALUE"""),"3457921824T20050430")</f>
        <v>3457921824T20050430</v>
      </c>
      <c r="F320" s="84">
        <f ca="1">IFERROR(__xludf.DUMMYFUNCTION("""COMPUTED_VALUE"""),1108224091)</f>
        <v>1108224091</v>
      </c>
      <c r="G320" s="83" t="str">
        <f ca="1">IFERROR(__xludf.DUMMYFUNCTION("""COMPUTED_VALUE"""),"Wai Lee Commercial Building")</f>
        <v>Wai Lee Commercial Building</v>
      </c>
      <c r="H320" s="84" t="str">
        <f ca="1">IFERROR(__xludf.DUMMYFUNCTION("""COMPUTED_VALUE"""),"威利商業大廈")</f>
        <v>威利商業大廈</v>
      </c>
      <c r="I320" s="84">
        <f ca="1">IFERROR(__xludf.DUMMYFUNCTION("""COMPUTED_VALUE"""),114.1604374)</f>
        <v>114.16043740000001</v>
      </c>
      <c r="J320" s="84">
        <f ca="1">IFERROR(__xludf.DUMMYFUNCTION("""COMPUTED_VALUE"""),22.33549633)</f>
        <v>22.335496330000002</v>
      </c>
      <c r="K320" s="88">
        <f ca="1">IFERROR(__xludf.DUMMYFUNCTION("""COMPUTED_VALUE"""),13.7)</f>
        <v>13.7</v>
      </c>
      <c r="L320" s="84" t="str">
        <f ca="1">IFERROR(__xludf.DUMMYFUNCTION("""COMPUTED_VALUE"""),"b")</f>
        <v>b</v>
      </c>
      <c r="M320" s="88">
        <f ca="1">IFERROR(__xludf.DUMMYFUNCTION("""COMPUTED_VALUE"""),46.299999)</f>
        <v>46.299999</v>
      </c>
      <c r="N320" s="84" t="str">
        <f ca="1">IFERROR(__xludf.DUMMYFUNCTION("""COMPUTED_VALUE"""),"3")</f>
        <v>3</v>
      </c>
      <c r="O320" s="88">
        <f ca="1">IFERROR(__xludf.DUMMYFUNCTION("""COMPUTED_VALUE"""),32.599999)</f>
        <v>32.599998999999997</v>
      </c>
      <c r="P320" s="85"/>
      <c r="Q320" s="75" t="b">
        <f ca="1">IFERROR(__xludf.DUMMYFUNCTION("""COMPUTED_VALUE"""),FALSE)</f>
        <v>0</v>
      </c>
      <c r="R320" s="75" t="b">
        <f ca="1">IFERROR(__xludf.DUMMYFUNCTION("""COMPUTED_VALUE"""),FALSE)</f>
        <v>0</v>
      </c>
      <c r="S320" s="75" t="b">
        <f ca="1">IFERROR(__xludf.DUMMYFUNCTION("""COMPUTED_VALUE"""),FALSE)</f>
        <v>0</v>
      </c>
      <c r="T320" s="75"/>
      <c r="U320" s="86">
        <f ca="1">IFERROR(__xludf.DUMMYFUNCTION("""COMPUTED_VALUE"""),13)</f>
        <v>13</v>
      </c>
      <c r="V320" s="84">
        <f ca="1">IFERROR(__xludf.DUMMYFUNCTION("""COMPUTED_VALUE"""),1)</f>
        <v>1</v>
      </c>
      <c r="W320" s="87">
        <f ca="1">IFERROR(__xludf.DUMMYFUNCTION("""COMPUTED_VALUE"""),15)</f>
        <v>15</v>
      </c>
      <c r="X320" s="84">
        <f ca="1">IFERROR(__xludf.DUMMYFUNCTION("""COMPUTED_VALUE"""),1991)</f>
        <v>1991</v>
      </c>
      <c r="Y320" s="84" t="str">
        <f ca="1">IFERROR(__xludf.DUMMYFUNCTION("""COMPUTED_VALUE"""),"BMIS")</f>
        <v>BMIS</v>
      </c>
      <c r="Z320" s="66" t="s">
        <v>2251</v>
      </c>
    </row>
    <row r="321" spans="1:26" ht="15.75" customHeight="1">
      <c r="A321" s="83" t="str">
        <f ca="1">IFERROR(__xludf.DUMMYFUNCTION("""COMPUTED_VALUE"""),"N24SW")</f>
        <v>N24SW</v>
      </c>
      <c r="B321" s="84">
        <f ca="1">IFERROR(__xludf.DUMMYFUNCTION("""COMPUTED_VALUE"""),24)</f>
        <v>24</v>
      </c>
      <c r="C321" s="84" t="str">
        <f ca="1">IFERROR(__xludf.DUMMYFUNCTION("""COMPUTED_VALUE"""),"SW")</f>
        <v>SW</v>
      </c>
      <c r="D321" s="339">
        <f ca="1">IFERROR(__xludf.DUMMYFUNCTION("""COMPUTED_VALUE"""),6600)</f>
        <v>6600</v>
      </c>
      <c r="E321" s="84" t="str">
        <f ca="1">IFERROR(__xludf.DUMMYFUNCTION("""COMPUTED_VALUE"""),"3457121779T20050430")</f>
        <v>3457121779T20050430</v>
      </c>
      <c r="F321" s="84">
        <f ca="1">IFERROR(__xludf.DUMMYFUNCTION("""COMPUTED_VALUE"""),1108224252)</f>
        <v>1108224252</v>
      </c>
      <c r="G321" s="83" t="str">
        <f ca="1">IFERROR(__xludf.DUMMYFUNCTION("""COMPUTED_VALUE"""),"Hung Yu Mansion Block B")</f>
        <v>Hung Yu Mansion Block B</v>
      </c>
      <c r="H321" s="84" t="str">
        <f ca="1">IFERROR(__xludf.DUMMYFUNCTION("""COMPUTED_VALUE"""),"鴻裕大廈Ｂ座")</f>
        <v>鴻裕大廈Ｂ座</v>
      </c>
      <c r="I321" s="84">
        <f ca="1">IFERROR(__xludf.DUMMYFUNCTION("""COMPUTED_VALUE"""),114.1601475)</f>
        <v>114.16014749999999</v>
      </c>
      <c r="J321" s="84">
        <f ca="1">IFERROR(__xludf.DUMMYFUNCTION("""COMPUTED_VALUE"""),22.33511324)</f>
        <v>22.335113239999998</v>
      </c>
      <c r="K321" s="88">
        <f ca="1">IFERROR(__xludf.DUMMYFUNCTION("""COMPUTED_VALUE"""),6.4)</f>
        <v>6.4</v>
      </c>
      <c r="L321" s="84" t="str">
        <f ca="1">IFERROR(__xludf.DUMMYFUNCTION("""COMPUTED_VALUE"""),"p")</f>
        <v>p</v>
      </c>
      <c r="M321" s="88">
        <f ca="1">IFERROR(__xludf.DUMMYFUNCTION("""COMPUTED_VALUE"""),45.299999)</f>
        <v>45.299999</v>
      </c>
      <c r="N321" s="84" t="str">
        <f ca="1">IFERROR(__xludf.DUMMYFUNCTION("""COMPUTED_VALUE"""),"e")</f>
        <v>e</v>
      </c>
      <c r="O321" s="88">
        <f ca="1">IFERROR(__xludf.DUMMYFUNCTION("""COMPUTED_VALUE"""),38.899999)</f>
        <v>38.899999000000001</v>
      </c>
      <c r="P321" s="85"/>
      <c r="Q321" s="75" t="b">
        <f ca="1">IFERROR(__xludf.DUMMYFUNCTION("""COMPUTED_VALUE"""),FALSE)</f>
        <v>0</v>
      </c>
      <c r="R321" s="75" t="b">
        <f ca="1">IFERROR(__xludf.DUMMYFUNCTION("""COMPUTED_VALUE"""),FALSE)</f>
        <v>0</v>
      </c>
      <c r="S321" s="75" t="b">
        <f ca="1">IFERROR(__xludf.DUMMYFUNCTION("""COMPUTED_VALUE"""),FALSE)</f>
        <v>0</v>
      </c>
      <c r="T321" s="75"/>
      <c r="U321" s="86">
        <f ca="1">IFERROR(__xludf.DUMMYFUNCTION("""COMPUTED_VALUE"""),10)</f>
        <v>10</v>
      </c>
      <c r="V321" s="84">
        <f ca="1">IFERROR(__xludf.DUMMYFUNCTION("""COMPUTED_VALUE"""),0)</f>
        <v>0</v>
      </c>
      <c r="W321" s="87">
        <f ca="1">IFERROR(__xludf.DUMMYFUNCTION("""COMPUTED_VALUE"""),69)</f>
        <v>69</v>
      </c>
      <c r="X321" s="84">
        <f ca="1">IFERROR(__xludf.DUMMYFUNCTION("""COMPUTED_VALUE"""),1975)</f>
        <v>1975</v>
      </c>
      <c r="Y321" s="84" t="str">
        <f ca="1">IFERROR(__xludf.DUMMYFUNCTION("""COMPUTED_VALUE"""),"BMIS")</f>
        <v>BMIS</v>
      </c>
      <c r="Z321" s="66" t="s">
        <v>2253</v>
      </c>
    </row>
    <row r="322" spans="1:26" ht="15.75" customHeight="1">
      <c r="A322" s="83" t="str">
        <f ca="1">IFERROR(__xludf.DUMMYFUNCTION("""COMPUTED_VALUE"""),"N24NW")</f>
        <v>N24NW</v>
      </c>
      <c r="B322" s="84">
        <f ca="1">IFERROR(__xludf.DUMMYFUNCTION("""COMPUTED_VALUE"""),24)</f>
        <v>24</v>
      </c>
      <c r="C322" s="84" t="str">
        <f ca="1">IFERROR(__xludf.DUMMYFUNCTION("""COMPUTED_VALUE"""),"NW")</f>
        <v>NW</v>
      </c>
      <c r="D322" s="339">
        <f ca="1">IFERROR(__xludf.DUMMYFUNCTION("""COMPUTED_VALUE"""),6600)</f>
        <v>6600</v>
      </c>
      <c r="E322" s="84" t="str">
        <f ca="1">IFERROR(__xludf.DUMMYFUNCTION("""COMPUTED_VALUE"""),"3453621809T20050430")</f>
        <v>3453621809T20050430</v>
      </c>
      <c r="F322" s="84">
        <f ca="1">IFERROR(__xludf.DUMMYFUNCTION("""COMPUTED_VALUE"""),1108224142)</f>
        <v>1108224142</v>
      </c>
      <c r="G322" s="83" t="str">
        <f ca="1">IFERROR(__xludf.DUMMYFUNCTION("""COMPUTED_VALUE"""),"Prince Theatre")</f>
        <v>Prince Theatre</v>
      </c>
      <c r="H322" s="84"/>
      <c r="I322" s="84">
        <f ca="1">IFERROR(__xludf.DUMMYFUNCTION("""COMPUTED_VALUE"""),114.1600192)</f>
        <v>114.16001919999999</v>
      </c>
      <c r="J322" s="84">
        <f ca="1">IFERROR(__xludf.DUMMYFUNCTION("""COMPUTED_VALUE"""),22.33537126)</f>
        <v>22.335371259999999</v>
      </c>
      <c r="K322" s="88">
        <f ca="1">IFERROR(__xludf.DUMMYFUNCTION("""COMPUTED_VALUE"""),6.1)</f>
        <v>6.1</v>
      </c>
      <c r="L322" s="84" t="str">
        <f ca="1">IFERROR(__xludf.DUMMYFUNCTION("""COMPUTED_VALUE"""),"p")</f>
        <v>p</v>
      </c>
      <c r="M322" s="88">
        <f ca="1">IFERROR(__xludf.DUMMYFUNCTION("""COMPUTED_VALUE"""),21.299999)</f>
        <v>21.299999</v>
      </c>
      <c r="N322" s="84" t="str">
        <f ca="1">IFERROR(__xludf.DUMMYFUNCTION("""COMPUTED_VALUE"""),"3")</f>
        <v>3</v>
      </c>
      <c r="O322" s="88">
        <f ca="1">IFERROR(__xludf.DUMMYFUNCTION("""COMPUTED_VALUE"""),15.199999)</f>
        <v>15.199999</v>
      </c>
      <c r="P322" s="85" t="str">
        <f ca="1">IFERROR(__xludf.DUMMYFUNCTION("""COMPUTED_VALUE"""),"no windows")</f>
        <v>no windows</v>
      </c>
      <c r="Q322" s="75" t="b">
        <f ca="1">IFERROR(__xludf.DUMMYFUNCTION("""COMPUTED_VALUE"""),FALSE)</f>
        <v>0</v>
      </c>
      <c r="R322" s="75" t="b">
        <f ca="1">IFERROR(__xludf.DUMMYFUNCTION("""COMPUTED_VALUE"""),FALSE)</f>
        <v>0</v>
      </c>
      <c r="S322" s="75" t="b">
        <f ca="1">IFERROR(__xludf.DUMMYFUNCTION("""COMPUTED_VALUE"""),FALSE)</f>
        <v>0</v>
      </c>
      <c r="T322" s="75"/>
      <c r="U322" s="86">
        <f ca="1">IFERROR(__xludf.DUMMYFUNCTION("""COMPUTED_VALUE"""),4)</f>
        <v>4</v>
      </c>
      <c r="V322" s="84">
        <f ca="1">IFERROR(__xludf.DUMMYFUNCTION("""COMPUTED_VALUE"""),0)</f>
        <v>0</v>
      </c>
      <c r="W322" s="87">
        <f ca="1">IFERROR(__xludf.DUMMYFUNCTION("""COMPUTED_VALUE"""),69)</f>
        <v>69</v>
      </c>
      <c r="X322" s="84">
        <f ca="1">IFERROR(__xludf.DUMMYFUNCTION("""COMPUTED_VALUE"""),1975)</f>
        <v>1975</v>
      </c>
      <c r="Y322" s="84" t="str">
        <f ca="1">IFERROR(__xludf.DUMMYFUNCTION("""COMPUTED_VALUE"""),"BMIS_auto+Street View")</f>
        <v>BMIS_auto+Street View</v>
      </c>
      <c r="Z322" s="66" t="s">
        <v>2255</v>
      </c>
    </row>
    <row r="323" spans="1:26" ht="15.75" customHeight="1">
      <c r="A323" s="83" t="str">
        <f ca="1">IFERROR(__xludf.DUMMYFUNCTION("""COMPUTED_VALUE"""),"E32NE")</f>
        <v>E32NE</v>
      </c>
      <c r="B323" s="84">
        <f ca="1">IFERROR(__xludf.DUMMYFUNCTION("""COMPUTED_VALUE"""),32)</f>
        <v>32</v>
      </c>
      <c r="C323" s="84" t="str">
        <f ca="1">IFERROR(__xludf.DUMMYFUNCTION("""COMPUTED_VALUE"""),"NE")</f>
        <v>NE</v>
      </c>
      <c r="D323" s="339">
        <f ca="1">IFERROR(__xludf.DUMMYFUNCTION("""COMPUTED_VALUE"""),6600)</f>
        <v>6600</v>
      </c>
      <c r="E323" s="84" t="str">
        <f ca="1">IFERROR(__xludf.DUMMYFUNCTION("""COMPUTED_VALUE"""),"3949516898T20050430")</f>
        <v>3949516898T20050430</v>
      </c>
      <c r="F323" s="84">
        <f ca="1">IFERROR(__xludf.DUMMYFUNCTION("""COMPUTED_VALUE"""),1103120191)</f>
        <v>1103120191</v>
      </c>
      <c r="G323" s="83" t="str">
        <f ca="1">IFERROR(__xludf.DUMMYFUNCTION("""COMPUTED_VALUE"""),"Man Cheung House")</f>
        <v>Man Cheung House</v>
      </c>
      <c r="H323" s="84" t="str">
        <f ca="1">IFERROR(__xludf.DUMMYFUNCTION("""COMPUTED_VALUE"""),"民祥樓")</f>
        <v>民祥樓</v>
      </c>
      <c r="I323" s="84">
        <f ca="1">IFERROR(__xludf.DUMMYFUNCTION("""COMPUTED_VALUE"""),114.2082126)</f>
        <v>114.2082126</v>
      </c>
      <c r="J323" s="84">
        <f ca="1">IFERROR(__xludf.DUMMYFUNCTION("""COMPUTED_VALUE"""),22.29100159)</f>
        <v>22.29100159</v>
      </c>
      <c r="K323" s="88">
        <f ca="1">IFERROR(__xludf.DUMMYFUNCTION("""COMPUTED_VALUE"""),4.7)</f>
        <v>4.7</v>
      </c>
      <c r="L323" s="84" t="str">
        <f ca="1">IFERROR(__xludf.DUMMYFUNCTION("""COMPUTED_VALUE"""),"l")</f>
        <v>l</v>
      </c>
      <c r="M323" s="88">
        <f ca="1">IFERROR(__xludf.DUMMYFUNCTION("""COMPUTED_VALUE"""),25.2)</f>
        <v>25.2</v>
      </c>
      <c r="N323" s="84" t="str">
        <f ca="1">IFERROR(__xludf.DUMMYFUNCTION("""COMPUTED_VALUE"""),"p")</f>
        <v>p</v>
      </c>
      <c r="O323" s="88">
        <f ca="1">IFERROR(__xludf.DUMMYFUNCTION("""COMPUTED_VALUE"""),20.5)</f>
        <v>20.5</v>
      </c>
      <c r="P323" s="85"/>
      <c r="Q323" s="75" t="b">
        <f ca="1">IFERROR(__xludf.DUMMYFUNCTION("""COMPUTED_VALUE"""),FALSE)</f>
        <v>0</v>
      </c>
      <c r="R323" s="75" t="b">
        <f ca="1">IFERROR(__xludf.DUMMYFUNCTION("""COMPUTED_VALUE"""),FALSE)</f>
        <v>0</v>
      </c>
      <c r="S323" s="75" t="b">
        <f ca="1">IFERROR(__xludf.DUMMYFUNCTION("""COMPUTED_VALUE"""),FALSE)</f>
        <v>0</v>
      </c>
      <c r="T323" s="75" t="b">
        <f ca="1">IFERROR(__xludf.DUMMYFUNCTION("""COMPUTED_VALUE"""),FALSE)</f>
        <v>0</v>
      </c>
      <c r="U323" s="86">
        <f ca="1">IFERROR(__xludf.DUMMYFUNCTION("""COMPUTED_VALUE"""),6)</f>
        <v>6</v>
      </c>
      <c r="V323" s="84">
        <f ca="1">IFERROR(__xludf.DUMMYFUNCTION("""COMPUTED_VALUE"""),0)</f>
        <v>0</v>
      </c>
      <c r="W323" s="87">
        <f ca="1">IFERROR(__xludf.DUMMYFUNCTION("""COMPUTED_VALUE"""),25)</f>
        <v>25</v>
      </c>
      <c r="X323" s="84">
        <f ca="1">IFERROR(__xludf.DUMMYFUNCTION("""COMPUTED_VALUE"""),1974)</f>
        <v>1974</v>
      </c>
      <c r="Y323" s="84" t="str">
        <f ca="1">IFERROR(__xludf.DUMMYFUNCTION("""COMPUTED_VALUE"""),"BMIS")</f>
        <v>BMIS</v>
      </c>
      <c r="Z323" s="66" t="s">
        <v>2257</v>
      </c>
    </row>
    <row r="324" spans="1:26" ht="15.75" customHeight="1">
      <c r="A324" s="83" t="str">
        <f ca="1">IFERROR(__xludf.DUMMYFUNCTION("""COMPUTED_VALUE"""),"E32SE")</f>
        <v>E32SE</v>
      </c>
      <c r="B324" s="84">
        <f ca="1">IFERROR(__xludf.DUMMYFUNCTION("""COMPUTED_VALUE"""),32)</f>
        <v>32</v>
      </c>
      <c r="C324" s="84" t="str">
        <f ca="1">IFERROR(__xludf.DUMMYFUNCTION("""COMPUTED_VALUE"""),"SE")</f>
        <v>SE</v>
      </c>
      <c r="D324" s="339">
        <f ca="1">IFERROR(__xludf.DUMMYFUNCTION("""COMPUTED_VALUE"""),6600)</f>
        <v>6600</v>
      </c>
      <c r="E324" s="84" t="str">
        <f ca="1">IFERROR(__xludf.DUMMYFUNCTION("""COMPUTED_VALUE"""),"3947116941T20050430")</f>
        <v>3947116941T20050430</v>
      </c>
      <c r="F324" s="84">
        <f ca="1">IFERROR(__xludf.DUMMYFUNCTION("""COMPUTED_VALUE"""),1103120117)</f>
        <v>1103120117</v>
      </c>
      <c r="G324" s="83" t="str">
        <f ca="1">IFERROR(__xludf.DUMMYFUNCTION("""COMPUTED_VALUE"""),"AIA Hong Kong Tower")</f>
        <v>AIA Hong Kong Tower</v>
      </c>
      <c r="H324" s="84" t="str">
        <f ca="1">IFERROR(__xludf.DUMMYFUNCTION("""COMPUTED_VALUE"""),"友邦香港大摟")</f>
        <v>友邦香港大摟</v>
      </c>
      <c r="I324" s="84">
        <f ca="1">IFERROR(__xludf.DUMMYFUNCTION("""COMPUTED_VALUE"""),114.2079054)</f>
        <v>114.2079054</v>
      </c>
      <c r="J324" s="84">
        <f ca="1">IFERROR(__xludf.DUMMYFUNCTION("""COMPUTED_VALUE"""),22.29119165)</f>
        <v>22.291191649999998</v>
      </c>
      <c r="K324" s="88">
        <f ca="1">IFERROR(__xludf.DUMMYFUNCTION("""COMPUTED_VALUE"""),4.5)</f>
        <v>4.5</v>
      </c>
      <c r="L324" s="84" t="str">
        <f ca="1">IFERROR(__xludf.DUMMYFUNCTION("""COMPUTED_VALUE"""),"l")</f>
        <v>l</v>
      </c>
      <c r="M324" s="88">
        <f ca="1">IFERROR(__xludf.DUMMYFUNCTION("""COMPUTED_VALUE"""),74)</f>
        <v>74</v>
      </c>
      <c r="N324" s="84" t="str">
        <f ca="1">IFERROR(__xludf.DUMMYFUNCTION("""COMPUTED_VALUE"""),"3")</f>
        <v>3</v>
      </c>
      <c r="O324" s="88">
        <f ca="1">IFERROR(__xludf.DUMMYFUNCTION("""COMPUTED_VALUE"""),69.5)</f>
        <v>69.5</v>
      </c>
      <c r="P324" s="85"/>
      <c r="Q324" s="75" t="b">
        <f ca="1">IFERROR(__xludf.DUMMYFUNCTION("""COMPUTED_VALUE"""),FALSE)</f>
        <v>0</v>
      </c>
      <c r="R324" s="75" t="b">
        <f ca="1">IFERROR(__xludf.DUMMYFUNCTION("""COMPUTED_VALUE"""),FALSE)</f>
        <v>0</v>
      </c>
      <c r="S324" s="75" t="b">
        <f ca="1">IFERROR(__xludf.DUMMYFUNCTION("""COMPUTED_VALUE"""),FALSE)</f>
        <v>0</v>
      </c>
      <c r="T324" s="75" t="b">
        <f ca="1">IFERROR(__xludf.DUMMYFUNCTION("""COMPUTED_VALUE"""),FALSE)</f>
        <v>0</v>
      </c>
      <c r="U324" s="86">
        <f ca="1">IFERROR(__xludf.DUMMYFUNCTION("""COMPUTED_VALUE"""),19)</f>
        <v>19</v>
      </c>
      <c r="V324" s="84"/>
      <c r="W324" s="87">
        <f ca="1">IFERROR(__xludf.DUMMYFUNCTION("""COMPUTED_VALUE"""),19)</f>
        <v>19</v>
      </c>
      <c r="X324" s="84">
        <f ca="1">IFERROR(__xludf.DUMMYFUNCTION("""COMPUTED_VALUE"""),1954)</f>
        <v>1954</v>
      </c>
      <c r="Y324" s="84" t="str">
        <f ca="1">IFERROR(__xludf.DUMMYFUNCTION("""COMPUTED_VALUE"""),"BMIS_auto")</f>
        <v>BMIS_auto</v>
      </c>
      <c r="Z324" s="66" t="s">
        <v>2259</v>
      </c>
    </row>
    <row r="325" spans="1:26" ht="15.75" customHeight="1">
      <c r="A325" s="83" t="str">
        <f ca="1">IFERROR(__xludf.DUMMYFUNCTION("""COMPUTED_VALUE"""),"E32SW")</f>
        <v>E32SW</v>
      </c>
      <c r="B325" s="84">
        <f ca="1">IFERROR(__xludf.DUMMYFUNCTION("""COMPUTED_VALUE"""),32)</f>
        <v>32</v>
      </c>
      <c r="C325" s="84" t="str">
        <f ca="1">IFERROR(__xludf.DUMMYFUNCTION("""COMPUTED_VALUE"""),"SW")</f>
        <v>SW</v>
      </c>
      <c r="D325" s="339">
        <f ca="1">IFERROR(__xludf.DUMMYFUNCTION("""COMPUTED_VALUE"""),6600)</f>
        <v>6600</v>
      </c>
      <c r="E325" s="84" t="str">
        <f ca="1">IFERROR(__xludf.DUMMYFUNCTION("""COMPUTED_VALUE"""),"3948616984T20050430")</f>
        <v>3948616984T20050430</v>
      </c>
      <c r="F325" s="84">
        <f ca="1">IFERROR(__xludf.DUMMYFUNCTION("""COMPUTED_VALUE"""),1103119955)</f>
        <v>1103119955</v>
      </c>
      <c r="G325" s="83" t="str">
        <f ca="1">IFERROR(__xludf.DUMMYFUNCTION("""COMPUTED_VALUE"""),"Prosperity Millennia Plaza")</f>
        <v>Prosperity Millennia Plaza</v>
      </c>
      <c r="H325" s="84" t="str">
        <f ca="1">IFERROR(__xludf.DUMMYFUNCTION("""COMPUTED_VALUE"""),"泓富產業千禧廣場")</f>
        <v>泓富產業千禧廣場</v>
      </c>
      <c r="I325" s="84">
        <f ca="1">IFERROR(__xludf.DUMMYFUNCTION("""COMPUTED_VALUE"""),114.2081638)</f>
        <v>114.20816379999999</v>
      </c>
      <c r="J325" s="84">
        <f ca="1">IFERROR(__xludf.DUMMYFUNCTION("""COMPUTED_VALUE"""),22.29175813)</f>
        <v>22.291758130000002</v>
      </c>
      <c r="K325" s="88">
        <f ca="1">IFERROR(__xludf.DUMMYFUNCTION("""COMPUTED_VALUE"""),4.2)</f>
        <v>4.2</v>
      </c>
      <c r="L325" s="84" t="str">
        <f ca="1">IFERROR(__xludf.DUMMYFUNCTION("""COMPUTED_VALUE"""),"l")</f>
        <v>l</v>
      </c>
      <c r="M325" s="88">
        <f ca="1">IFERROR(__xludf.DUMMYFUNCTION("""COMPUTED_VALUE"""),132.6)</f>
        <v>132.6</v>
      </c>
      <c r="N325" s="84" t="str">
        <f ca="1">IFERROR(__xludf.DUMMYFUNCTION("""COMPUTED_VALUE"""),"p")</f>
        <v>p</v>
      </c>
      <c r="O325" s="88">
        <f ca="1">IFERROR(__xludf.DUMMYFUNCTION("""COMPUTED_VALUE"""),128.4)</f>
        <v>128.4</v>
      </c>
      <c r="P325" s="85"/>
      <c r="Q325" s="75" t="b">
        <f ca="1">IFERROR(__xludf.DUMMYFUNCTION("""COMPUTED_VALUE"""),FALSE)</f>
        <v>0</v>
      </c>
      <c r="R325" s="75" t="b">
        <f ca="1">IFERROR(__xludf.DUMMYFUNCTION("""COMPUTED_VALUE"""),FALSE)</f>
        <v>0</v>
      </c>
      <c r="S325" s="75" t="b">
        <f ca="1">IFERROR(__xludf.DUMMYFUNCTION("""COMPUTED_VALUE"""),FALSE)</f>
        <v>0</v>
      </c>
      <c r="T325" s="75" t="b">
        <f ca="1">IFERROR(__xludf.DUMMYFUNCTION("""COMPUTED_VALUE"""),FALSE)</f>
        <v>0</v>
      </c>
      <c r="U325" s="86">
        <f ca="1">IFERROR(__xludf.DUMMYFUNCTION("""COMPUTED_VALUE"""),27)</f>
        <v>27</v>
      </c>
      <c r="V325" s="84">
        <f ca="1">IFERROR(__xludf.DUMMYFUNCTION("""COMPUTED_VALUE"""),0)</f>
        <v>0</v>
      </c>
      <c r="W325" s="87">
        <f ca="1">IFERROR(__xludf.DUMMYFUNCTION("""COMPUTED_VALUE"""),66)</f>
        <v>66</v>
      </c>
      <c r="X325" s="84">
        <f ca="1">IFERROR(__xludf.DUMMYFUNCTION("""COMPUTED_VALUE"""),1999)</f>
        <v>1999</v>
      </c>
      <c r="Y325" s="84" t="str">
        <f ca="1">IFERROR(__xludf.DUMMYFUNCTION("""COMPUTED_VALUE"""),"BMIS_auto")</f>
        <v>BMIS_auto</v>
      </c>
      <c r="Z325" s="66" t="s">
        <v>2261</v>
      </c>
    </row>
    <row r="326" spans="1:26" ht="15.75" customHeight="1">
      <c r="A326" s="83" t="str">
        <f ca="1">IFERROR(__xludf.DUMMYFUNCTION("""COMPUTED_VALUE"""),"E32NW")</f>
        <v>E32NW</v>
      </c>
      <c r="B326" s="84">
        <f ca="1">IFERROR(__xludf.DUMMYFUNCTION("""COMPUTED_VALUE"""),32)</f>
        <v>32</v>
      </c>
      <c r="C326" s="84" t="str">
        <f ca="1">IFERROR(__xludf.DUMMYFUNCTION("""COMPUTED_VALUE"""),"NW")</f>
        <v>NW</v>
      </c>
      <c r="D326" s="339">
        <f ca="1">IFERROR(__xludf.DUMMYFUNCTION("""COMPUTED_VALUE"""),6600)</f>
        <v>6600</v>
      </c>
      <c r="E326" s="84" t="str">
        <f ca="1">IFERROR(__xludf.DUMMYFUNCTION("""COMPUTED_VALUE"""),"3952616962T20050430")</f>
        <v>3952616962T20050430</v>
      </c>
      <c r="F326" s="84">
        <f ca="1">IFERROR(__xludf.DUMMYFUNCTION("""COMPUTED_VALUE"""),1103120026)</f>
        <v>1103120026</v>
      </c>
      <c r="G326" s="83" t="str">
        <f ca="1">IFERROR(__xludf.DUMMYFUNCTION("""COMPUTED_VALUE"""),"Harbour Plaza, North Point")</f>
        <v>Harbour Plaza, North Point</v>
      </c>
      <c r="H326" s="84" t="str">
        <f ca="1">IFERROR(__xludf.DUMMYFUNCTION("""COMPUTED_VALUE"""),"北角海逸酒店")</f>
        <v>北角海逸酒店</v>
      </c>
      <c r="I326" s="84">
        <f ca="1">IFERROR(__xludf.DUMMYFUNCTION("""COMPUTED_VALUE"""),114.2086883)</f>
        <v>114.20868830000001</v>
      </c>
      <c r="J326" s="84">
        <f ca="1">IFERROR(__xludf.DUMMYFUNCTION("""COMPUTED_VALUE"""),22.29154346)</f>
        <v>22.29154346</v>
      </c>
      <c r="K326" s="88">
        <f ca="1">IFERROR(__xludf.DUMMYFUNCTION("""COMPUTED_VALUE"""),19.1)</f>
        <v>19.100000000000001</v>
      </c>
      <c r="L326" s="84" t="str">
        <f ca="1">IFERROR(__xludf.DUMMYFUNCTION("""COMPUTED_VALUE"""),"p")</f>
        <v>p</v>
      </c>
      <c r="M326" s="88">
        <f ca="1">IFERROR(__xludf.DUMMYFUNCTION("""COMPUTED_VALUE"""),103.5)</f>
        <v>103.5</v>
      </c>
      <c r="N326" s="84" t="str">
        <f ca="1">IFERROR(__xludf.DUMMYFUNCTION("""COMPUTED_VALUE"""),"p")</f>
        <v>p</v>
      </c>
      <c r="O326" s="88">
        <f ca="1">IFERROR(__xludf.DUMMYFUNCTION("""COMPUTED_VALUE"""),84.4)</f>
        <v>84.4</v>
      </c>
      <c r="P326" s="85"/>
      <c r="Q326" s="75" t="b">
        <f ca="1">IFERROR(__xludf.DUMMYFUNCTION("""COMPUTED_VALUE"""),FALSE)</f>
        <v>0</v>
      </c>
      <c r="R326" s="75" t="b">
        <f ca="1">IFERROR(__xludf.DUMMYFUNCTION("""COMPUTED_VALUE"""),FALSE)</f>
        <v>0</v>
      </c>
      <c r="S326" s="75" t="b">
        <f ca="1">IFERROR(__xludf.DUMMYFUNCTION("""COMPUTED_VALUE"""),FALSE)</f>
        <v>0</v>
      </c>
      <c r="T326" s="75" t="b">
        <f ca="1">IFERROR(__xludf.DUMMYFUNCTION("""COMPUTED_VALUE"""),FALSE)</f>
        <v>0</v>
      </c>
      <c r="U326" s="86">
        <f ca="1">IFERROR(__xludf.DUMMYFUNCTION("""COMPUTED_VALUE"""),27)</f>
        <v>27</v>
      </c>
      <c r="V326" s="84">
        <f ca="1">IFERROR(__xludf.DUMMYFUNCTION("""COMPUTED_VALUE"""),0)</f>
        <v>0</v>
      </c>
      <c r="W326" s="87">
        <f ca="1">IFERROR(__xludf.DUMMYFUNCTION("""COMPUTED_VALUE"""),66)</f>
        <v>66</v>
      </c>
      <c r="X326" s="84">
        <f ca="1">IFERROR(__xludf.DUMMYFUNCTION("""COMPUTED_VALUE"""),1999)</f>
        <v>1999</v>
      </c>
      <c r="Y326" s="84" t="str">
        <f ca="1">IFERROR(__xludf.DUMMYFUNCTION("""COMPUTED_VALUE"""),"BMIS_auto")</f>
        <v>BMIS_auto</v>
      </c>
      <c r="Z326" s="66" t="s">
        <v>2263</v>
      </c>
    </row>
    <row r="327" spans="1:26" ht="15.75" customHeight="1">
      <c r="A327" s="83" t="str">
        <f ca="1">IFERROR(__xludf.DUMMYFUNCTION("""COMPUTED_VALUE"""),"N25NE")</f>
        <v>N25NE</v>
      </c>
      <c r="B327" s="84">
        <f ca="1">IFERROR(__xludf.DUMMYFUNCTION("""COMPUTED_VALUE"""),25)</f>
        <v>25</v>
      </c>
      <c r="C327" s="84" t="str">
        <f ca="1">IFERROR(__xludf.DUMMYFUNCTION("""COMPUTED_VALUE"""),"NE")</f>
        <v>NE</v>
      </c>
      <c r="D327" s="339">
        <f ca="1">IFERROR(__xludf.DUMMYFUNCTION("""COMPUTED_VALUE"""),6800)</f>
        <v>6800</v>
      </c>
      <c r="E327" s="84" t="str">
        <f ca="1">IFERROR(__xludf.DUMMYFUNCTION("""COMPUTED_VALUE"""),"3440721962T20050430")</f>
        <v>3440721962T20050430</v>
      </c>
      <c r="F327" s="84">
        <f ca="1">IFERROR(__xludf.DUMMYFUNCTION("""COMPUTED_VALUE"""),1108223515)</f>
        <v>1108223515</v>
      </c>
      <c r="G327" s="83" t="str">
        <f ca="1">IFERROR(__xludf.DUMMYFUNCTION("""COMPUTED_VALUE"""),"Hing Lung Building")</f>
        <v>Hing Lung Building</v>
      </c>
      <c r="H327" s="84" t="str">
        <f ca="1">IFERROR(__xludf.DUMMYFUNCTION("""COMPUTED_VALUE"""),"興隆大廈")</f>
        <v>興隆大廈</v>
      </c>
      <c r="I327" s="84">
        <f ca="1">IFERROR(__xludf.DUMMYFUNCTION("""COMPUTED_VALUE"""),114.1588315)</f>
        <v>114.15883150000001</v>
      </c>
      <c r="J327" s="84">
        <f ca="1">IFERROR(__xludf.DUMMYFUNCTION("""COMPUTED_VALUE"""),22.33674153)</f>
        <v>22.336741530000001</v>
      </c>
      <c r="K327" s="88">
        <f ca="1">IFERROR(__xludf.DUMMYFUNCTION("""COMPUTED_VALUE"""),13.6)</f>
        <v>13.6</v>
      </c>
      <c r="L327" s="84" t="str">
        <f ca="1">IFERROR(__xludf.DUMMYFUNCTION("""COMPUTED_VALUE"""),"p")</f>
        <v>p</v>
      </c>
      <c r="M327" s="88">
        <f ca="1">IFERROR(__xludf.DUMMYFUNCTION("""COMPUTED_VALUE"""),45.799999)</f>
        <v>45.799999</v>
      </c>
      <c r="N327" s="84" t="str">
        <f ca="1">IFERROR(__xludf.DUMMYFUNCTION("""COMPUTED_VALUE"""),"p")</f>
        <v>p</v>
      </c>
      <c r="O327" s="88">
        <f ca="1">IFERROR(__xludf.DUMMYFUNCTION("""COMPUTED_VALUE"""),32.199999)</f>
        <v>32.199998999999998</v>
      </c>
      <c r="P327" s="85"/>
      <c r="Q327" s="75" t="b">
        <f ca="1">IFERROR(__xludf.DUMMYFUNCTION("""COMPUTED_VALUE"""),FALSE)</f>
        <v>0</v>
      </c>
      <c r="R327" s="75" t="b">
        <f ca="1">IFERROR(__xludf.DUMMYFUNCTION("""COMPUTED_VALUE"""),FALSE)</f>
        <v>0</v>
      </c>
      <c r="S327" s="75" t="b">
        <f ca="1">IFERROR(__xludf.DUMMYFUNCTION("""COMPUTED_VALUE"""),FALSE)</f>
        <v>0</v>
      </c>
      <c r="T327" s="75"/>
      <c r="U327" s="86">
        <f ca="1">IFERROR(__xludf.DUMMYFUNCTION("""COMPUTED_VALUE"""),11)</f>
        <v>11</v>
      </c>
      <c r="V327" s="84">
        <f ca="1">IFERROR(__xludf.DUMMYFUNCTION("""COMPUTED_VALUE"""),0)</f>
        <v>0</v>
      </c>
      <c r="W327" s="87">
        <f ca="1">IFERROR(__xludf.DUMMYFUNCTION("""COMPUTED_VALUE"""),117)</f>
        <v>117</v>
      </c>
      <c r="X327" s="84">
        <f ca="1">IFERROR(__xludf.DUMMYFUNCTION("""COMPUTED_VALUE"""),1988)</f>
        <v>1988</v>
      </c>
      <c r="Y327" s="84" t="str">
        <f ca="1">IFERROR(__xludf.DUMMYFUNCTION("""COMPUTED_VALUE"""),"BMIS_auto")</f>
        <v>BMIS_auto</v>
      </c>
      <c r="Z327" s="66" t="s">
        <v>2265</v>
      </c>
    </row>
    <row r="328" spans="1:26" ht="15.75" customHeight="1">
      <c r="A328" s="83" t="str">
        <f ca="1">IFERROR(__xludf.DUMMYFUNCTION("""COMPUTED_VALUE"""),"N25SE")</f>
        <v>N25SE</v>
      </c>
      <c r="B328" s="84">
        <f ca="1">IFERROR(__xludf.DUMMYFUNCTION("""COMPUTED_VALUE"""),25)</f>
        <v>25</v>
      </c>
      <c r="C328" s="84" t="str">
        <f ca="1">IFERROR(__xludf.DUMMYFUNCTION("""COMPUTED_VALUE"""),"SE")</f>
        <v>SE</v>
      </c>
      <c r="D328" s="339">
        <f ca="1">IFERROR(__xludf.DUMMYFUNCTION("""COMPUTED_VALUE"""),6800)</f>
        <v>6800</v>
      </c>
      <c r="E328" s="84" t="str">
        <f ca="1">IFERROR(__xludf.DUMMYFUNCTION("""COMPUTED_VALUE"""),"3446721913T20050430")</f>
        <v>3446721913T20050430</v>
      </c>
      <c r="F328" s="84">
        <f ca="1">IFERROR(__xludf.DUMMYFUNCTION("""COMPUTED_VALUE"""),1108223658)</f>
        <v>1108223658</v>
      </c>
      <c r="G328" s="83" t="str">
        <f ca="1">IFERROR(__xludf.DUMMYFUNCTION("""COMPUTED_VALUE"""),"Apollo Building")</f>
        <v>Apollo Building</v>
      </c>
      <c r="H328" s="84" t="str">
        <f ca="1">IFERROR(__xludf.DUMMYFUNCTION("""COMPUTED_VALUE"""),"宇宙大廈")</f>
        <v>宇宙大廈</v>
      </c>
      <c r="I328" s="84">
        <f ca="1">IFERROR(__xludf.DUMMYFUNCTION("""COMPUTED_VALUE"""),114.1594034)</f>
        <v>114.1594034</v>
      </c>
      <c r="J328" s="84">
        <f ca="1">IFERROR(__xludf.DUMMYFUNCTION("""COMPUTED_VALUE"""),22.33629679)</f>
        <v>22.336296789999999</v>
      </c>
      <c r="K328" s="88">
        <f ca="1">IFERROR(__xludf.DUMMYFUNCTION("""COMPUTED_VALUE"""),20.1)</f>
        <v>20.100000000000001</v>
      </c>
      <c r="L328" s="84" t="str">
        <f ca="1">IFERROR(__xludf.DUMMYFUNCTION("""COMPUTED_VALUE"""),"o")</f>
        <v>o</v>
      </c>
      <c r="M328" s="88">
        <f ca="1">IFERROR(__xludf.DUMMYFUNCTION("""COMPUTED_VALUE"""),43.200001)</f>
        <v>43.200001</v>
      </c>
      <c r="N328" s="84" t="str">
        <f ca="1">IFERROR(__xludf.DUMMYFUNCTION("""COMPUTED_VALUE"""),"p")</f>
        <v>p</v>
      </c>
      <c r="O328" s="88">
        <f ca="1">IFERROR(__xludf.DUMMYFUNCTION("""COMPUTED_VALUE"""),23.100001)</f>
        <v>23.100000999999999</v>
      </c>
      <c r="P328" s="85"/>
      <c r="Q328" s="75" t="b">
        <f ca="1">IFERROR(__xludf.DUMMYFUNCTION("""COMPUTED_VALUE"""),FALSE)</f>
        <v>0</v>
      </c>
      <c r="R328" s="75" t="b">
        <f ca="1">IFERROR(__xludf.DUMMYFUNCTION("""COMPUTED_VALUE"""),FALSE)</f>
        <v>0</v>
      </c>
      <c r="S328" s="75" t="b">
        <f ca="1">IFERROR(__xludf.DUMMYFUNCTION("""COMPUTED_VALUE"""),FALSE)</f>
        <v>0</v>
      </c>
      <c r="T328" s="75"/>
      <c r="U328" s="86">
        <f ca="1">IFERROR(__xludf.DUMMYFUNCTION("""COMPUTED_VALUE"""),10)</f>
        <v>10</v>
      </c>
      <c r="V328" s="84">
        <f ca="1">IFERROR(__xludf.DUMMYFUNCTION("""COMPUTED_VALUE"""),0)</f>
        <v>0</v>
      </c>
      <c r="W328" s="87">
        <f ca="1">IFERROR(__xludf.DUMMYFUNCTION("""COMPUTED_VALUE"""),113)</f>
        <v>113</v>
      </c>
      <c r="X328" s="84">
        <f ca="1">IFERROR(__xludf.DUMMYFUNCTION("""COMPUTED_VALUE"""),1979)</f>
        <v>1979</v>
      </c>
      <c r="Y328" s="84" t="str">
        <f ca="1">IFERROR(__xludf.DUMMYFUNCTION("""COMPUTED_VALUE"""),"BMIS_auto")</f>
        <v>BMIS_auto</v>
      </c>
      <c r="Z328" s="66" t="s">
        <v>2267</v>
      </c>
    </row>
    <row r="329" spans="1:26" ht="15.75" customHeight="1">
      <c r="A329" s="83" t="str">
        <f ca="1">IFERROR(__xludf.DUMMYFUNCTION("""COMPUTED_VALUE"""),"N25SW")</f>
        <v>N25SW</v>
      </c>
      <c r="B329" s="84">
        <f ca="1">IFERROR(__xludf.DUMMYFUNCTION("""COMPUTED_VALUE"""),25)</f>
        <v>25</v>
      </c>
      <c r="C329" s="84" t="str">
        <f ca="1">IFERROR(__xludf.DUMMYFUNCTION("""COMPUTED_VALUE"""),"SW")</f>
        <v>SW</v>
      </c>
      <c r="D329" s="339">
        <f ca="1">IFERROR(__xludf.DUMMYFUNCTION("""COMPUTED_VALUE"""),6800)</f>
        <v>6800</v>
      </c>
      <c r="E329" s="84" t="str">
        <f ca="1">IFERROR(__xludf.DUMMYFUNCTION("""COMPUTED_VALUE"""),"3442821896T20050430")</f>
        <v>3442821896T20050430</v>
      </c>
      <c r="F329" s="84">
        <f ca="1">IFERROR(__xludf.DUMMYFUNCTION("""COMPUTED_VALUE"""),1108223789)</f>
        <v>1108223789</v>
      </c>
      <c r="G329" s="83" t="str">
        <f ca="1">IFERROR(__xludf.DUMMYFUNCTION("""COMPUTED_VALUE"""),"Spring Wide Mansion")</f>
        <v>Spring Wide Mansion</v>
      </c>
      <c r="H329" s="84" t="str">
        <f ca="1">IFERROR(__xludf.DUMMYFUNCTION("""COMPUTED_VALUE"""),"春輝大廈")</f>
        <v>春輝大廈</v>
      </c>
      <c r="I329" s="84">
        <f ca="1">IFERROR(__xludf.DUMMYFUNCTION("""COMPUTED_VALUE"""),114.1590199)</f>
        <v>114.1590199</v>
      </c>
      <c r="J329" s="84">
        <f ca="1">IFERROR(__xludf.DUMMYFUNCTION("""COMPUTED_VALUE"""),22.33612816)</f>
        <v>22.336128160000001</v>
      </c>
      <c r="K329" s="88">
        <f ca="1">IFERROR(__xludf.DUMMYFUNCTION("""COMPUTED_VALUE"""),12.3)</f>
        <v>12.3</v>
      </c>
      <c r="L329" s="84" t="str">
        <f ca="1">IFERROR(__xludf.DUMMYFUNCTION("""COMPUTED_VALUE"""),"p")</f>
        <v>p</v>
      </c>
      <c r="M329" s="88">
        <f ca="1">IFERROR(__xludf.DUMMYFUNCTION("""COMPUTED_VALUE"""),43.799999)</f>
        <v>43.799999</v>
      </c>
      <c r="N329" s="84" t="str">
        <f ca="1">IFERROR(__xludf.DUMMYFUNCTION("""COMPUTED_VALUE"""),"p")</f>
        <v>p</v>
      </c>
      <c r="O329" s="88">
        <f ca="1">IFERROR(__xludf.DUMMYFUNCTION("""COMPUTED_VALUE"""),31.499999)</f>
        <v>31.499998999999999</v>
      </c>
      <c r="P329" s="85"/>
      <c r="Q329" s="75" t="b">
        <f ca="1">IFERROR(__xludf.DUMMYFUNCTION("""COMPUTED_VALUE"""),FALSE)</f>
        <v>0</v>
      </c>
      <c r="R329" s="75" t="b">
        <f ca="1">IFERROR(__xludf.DUMMYFUNCTION("""COMPUTED_VALUE"""),FALSE)</f>
        <v>0</v>
      </c>
      <c r="S329" s="75" t="b">
        <f ca="1">IFERROR(__xludf.DUMMYFUNCTION("""COMPUTED_VALUE"""),FALSE)</f>
        <v>0</v>
      </c>
      <c r="T329" s="75"/>
      <c r="U329" s="86">
        <f ca="1">IFERROR(__xludf.DUMMYFUNCTION("""COMPUTED_VALUE"""),12)</f>
        <v>12</v>
      </c>
      <c r="V329" s="84">
        <f ca="1">IFERROR(__xludf.DUMMYFUNCTION("""COMPUTED_VALUE"""),0)</f>
        <v>0</v>
      </c>
      <c r="W329" s="87">
        <f ca="1">IFERROR(__xludf.DUMMYFUNCTION("""COMPUTED_VALUE"""),51)</f>
        <v>51</v>
      </c>
      <c r="X329" s="84">
        <f ca="1">IFERROR(__xludf.DUMMYFUNCTION("""COMPUTED_VALUE"""),1986)</f>
        <v>1986</v>
      </c>
      <c r="Y329" s="84" t="str">
        <f ca="1">IFERROR(__xludf.DUMMYFUNCTION("""COMPUTED_VALUE"""),"BMIS")</f>
        <v>BMIS</v>
      </c>
      <c r="Z329" s="66" t="s">
        <v>2269</v>
      </c>
    </row>
    <row r="330" spans="1:26" ht="15.75" customHeight="1">
      <c r="A330" s="83" t="str">
        <f ca="1">IFERROR(__xludf.DUMMYFUNCTION("""COMPUTED_VALUE"""),"N25NW")</f>
        <v>N25NW</v>
      </c>
      <c r="B330" s="84">
        <f ca="1">IFERROR(__xludf.DUMMYFUNCTION("""COMPUTED_VALUE"""),25)</f>
        <v>25</v>
      </c>
      <c r="C330" s="84" t="str">
        <f ca="1">IFERROR(__xludf.DUMMYFUNCTION("""COMPUTED_VALUE"""),"NW")</f>
        <v>NW</v>
      </c>
      <c r="D330" s="339">
        <f ca="1">IFERROR(__xludf.DUMMYFUNCTION("""COMPUTED_VALUE"""),6800)</f>
        <v>6800</v>
      </c>
      <c r="E330" s="84" t="str">
        <f ca="1">IFERROR(__xludf.DUMMYFUNCTION("""COMPUTED_VALUE"""),"3435521952T20050430")</f>
        <v>3435521952T20050430</v>
      </c>
      <c r="F330" s="84">
        <f ca="1">IFERROR(__xludf.DUMMYFUNCTION("""COMPUTED_VALUE"""),1108223543)</f>
        <v>1108223543</v>
      </c>
      <c r="G330" s="83" t="str">
        <f ca="1">IFERROR(__xludf.DUMMYFUNCTION("""COMPUTED_VALUE"""),"237 Castle Peak Road")</f>
        <v>237 Castle Peak Road</v>
      </c>
      <c r="H330" s="84"/>
      <c r="I330" s="84">
        <f ca="1">IFERROR(__xludf.DUMMYFUNCTION("""COMPUTED_VALUE"""),114.1583485)</f>
        <v>114.1583485</v>
      </c>
      <c r="J330" s="84">
        <f ca="1">IFERROR(__xludf.DUMMYFUNCTION("""COMPUTED_VALUE"""),22.33666726)</f>
        <v>22.336667259999999</v>
      </c>
      <c r="K330" s="88">
        <f ca="1">IFERROR(__xludf.DUMMYFUNCTION("""COMPUTED_VALUE"""),6.1)</f>
        <v>6.1</v>
      </c>
      <c r="L330" s="84" t="str">
        <f ca="1">IFERROR(__xludf.DUMMYFUNCTION("""COMPUTED_VALUE"""),"l")</f>
        <v>l</v>
      </c>
      <c r="M330" s="88">
        <f ca="1">IFERROR(__xludf.DUMMYFUNCTION("""COMPUTED_VALUE"""),37.900002)</f>
        <v>37.900002000000001</v>
      </c>
      <c r="N330" s="84" t="str">
        <f ca="1">IFERROR(__xludf.DUMMYFUNCTION("""COMPUTED_VALUE"""),"p")</f>
        <v>p</v>
      </c>
      <c r="O330" s="88">
        <f ca="1">IFERROR(__xludf.DUMMYFUNCTION("""COMPUTED_VALUE"""),31.800002)</f>
        <v>31.800001999999999</v>
      </c>
      <c r="P330" s="85" t="str">
        <f ca="1">IFERROR(__xludf.DUMMYFUNCTION("""COMPUTED_VALUE"""),"Site is adjacent to a WIP construction site as of Oct 2019.")</f>
        <v>Site is adjacent to a WIP construction site as of Oct 2019.</v>
      </c>
      <c r="Q330" s="75" t="b">
        <f ca="1">IFERROR(__xludf.DUMMYFUNCTION("""COMPUTED_VALUE"""),FALSE)</f>
        <v>0</v>
      </c>
      <c r="R330" s="75" t="b">
        <f ca="1">IFERROR(__xludf.DUMMYFUNCTION("""COMPUTED_VALUE"""),FALSE)</f>
        <v>0</v>
      </c>
      <c r="S330" s="75" t="b">
        <f ca="1">IFERROR(__xludf.DUMMYFUNCTION("""COMPUTED_VALUE"""),TRUE)</f>
        <v>1</v>
      </c>
      <c r="T330" s="75"/>
      <c r="U330" s="86">
        <f ca="1">IFERROR(__xludf.DUMMYFUNCTION("""COMPUTED_VALUE"""),10)</f>
        <v>10</v>
      </c>
      <c r="V330" s="84">
        <f ca="1">IFERROR(__xludf.DUMMYFUNCTION("""COMPUTED_VALUE"""),0)</f>
        <v>0</v>
      </c>
      <c r="W330" s="87">
        <f ca="1">IFERROR(__xludf.DUMMYFUNCTION("""COMPUTED_VALUE"""),28)</f>
        <v>28</v>
      </c>
      <c r="X330" s="84">
        <f ca="1">IFERROR(__xludf.DUMMYFUNCTION("""COMPUTED_VALUE"""),1968)</f>
        <v>1968</v>
      </c>
      <c r="Y330" s="84" t="str">
        <f ca="1">IFERROR(__xludf.DUMMYFUNCTION("""COMPUTED_VALUE"""),"BMIS")</f>
        <v>BMIS</v>
      </c>
      <c r="Z330" s="66" t="s">
        <v>2271</v>
      </c>
    </row>
    <row r="331" spans="1:26" ht="15.75" customHeight="1">
      <c r="A331" s="83" t="str">
        <f ca="1">IFERROR(__xludf.DUMMYFUNCTION("""COMPUTED_VALUE"""),"E33NE")</f>
        <v>E33NE</v>
      </c>
      <c r="B331" s="84">
        <f ca="1">IFERROR(__xludf.DUMMYFUNCTION("""COMPUTED_VALUE"""),33)</f>
        <v>33</v>
      </c>
      <c r="C331" s="84" t="str">
        <f ca="1">IFERROR(__xludf.DUMMYFUNCTION("""COMPUTED_VALUE"""),"NE")</f>
        <v>NE</v>
      </c>
      <c r="D331" s="339">
        <f ca="1">IFERROR(__xludf.DUMMYFUNCTION("""COMPUTED_VALUE"""),6800)</f>
        <v>6800</v>
      </c>
      <c r="E331" s="84" t="str">
        <f ca="1">IFERROR(__xludf.DUMMYFUNCTION("""COMPUTED_VALUE"""),"3958316762P20190402")</f>
        <v>3958316762P20190402</v>
      </c>
      <c r="F331" s="84">
        <f ca="1">IFERROR(__xludf.DUMMYFUNCTION("""COMPUTED_VALUE"""),1810186401)</f>
        <v>1810186401</v>
      </c>
      <c r="G331" s="83" t="str">
        <f ca="1">IFERROR(__xludf.DUMMYFUNCTION("""COMPUTED_VALUE"""),"Golden Horse Mansion")</f>
        <v>Golden Horse Mansion</v>
      </c>
      <c r="H331" s="84"/>
      <c r="I331" s="84">
        <f ca="1">IFERROR(__xludf.DUMMYFUNCTION("""COMPUTED_VALUE"""),114.2090205)</f>
        <v>114.20902049999999</v>
      </c>
      <c r="J331" s="84">
        <f ca="1">IFERROR(__xludf.DUMMYFUNCTION("""COMPUTED_VALUE"""),22.28982102)</f>
        <v>22.289821020000002</v>
      </c>
      <c r="K331" s="88">
        <f ca="1">IFERROR(__xludf.DUMMYFUNCTION("""COMPUTED_VALUE"""),4.5)</f>
        <v>4.5</v>
      </c>
      <c r="L331" s="84" t="str">
        <f ca="1">IFERROR(__xludf.DUMMYFUNCTION("""COMPUTED_VALUE"""),"b")</f>
        <v>b</v>
      </c>
      <c r="M331" s="88">
        <f ca="1">IFERROR(__xludf.DUMMYFUNCTION("""COMPUTED_VALUE"""),22.7)</f>
        <v>22.7</v>
      </c>
      <c r="N331" s="84" t="str">
        <f ca="1">IFERROR(__xludf.DUMMYFUNCTION("""COMPUTED_VALUE"""),"b")</f>
        <v>b</v>
      </c>
      <c r="O331" s="88">
        <f ca="1">IFERROR(__xludf.DUMMYFUNCTION("""COMPUTED_VALUE"""),112.5)</f>
        <v>112.5</v>
      </c>
      <c r="P331" s="85"/>
      <c r="Q331" s="75" t="b">
        <f ca="1">IFERROR(__xludf.DUMMYFUNCTION("""COMPUTED_VALUE"""),FALSE)</f>
        <v>0</v>
      </c>
      <c r="R331" s="75" t="b">
        <f ca="1">IFERROR(__xludf.DUMMYFUNCTION("""COMPUTED_VALUE"""),FALSE)</f>
        <v>0</v>
      </c>
      <c r="S331" s="75" t="b">
        <f ca="1">IFERROR(__xludf.DUMMYFUNCTION("""COMPUTED_VALUE"""),FALSE)</f>
        <v>0</v>
      </c>
      <c r="T331" s="75" t="b">
        <f ca="1">IFERROR(__xludf.DUMMYFUNCTION("""COMPUTED_VALUE"""),FALSE)</f>
        <v>0</v>
      </c>
      <c r="U331" s="86">
        <f ca="1">IFERROR(__xludf.DUMMYFUNCTION("""COMPUTED_VALUE"""),27)</f>
        <v>27</v>
      </c>
      <c r="V331" s="84">
        <f ca="1">IFERROR(__xludf.DUMMYFUNCTION("""COMPUTED_VALUE"""),0)</f>
        <v>0</v>
      </c>
      <c r="W331" s="87">
        <f ca="1">IFERROR(__xludf.DUMMYFUNCTION("""COMPUTED_VALUE"""),66)</f>
        <v>66</v>
      </c>
      <c r="X331" s="84">
        <f ca="1">IFERROR(__xludf.DUMMYFUNCTION("""COMPUTED_VALUE"""),1999)</f>
        <v>1999</v>
      </c>
      <c r="Y331" s="84" t="str">
        <f ca="1">IFERROR(__xludf.DUMMYFUNCTION("""COMPUTED_VALUE"""),"BMIS_auto")</f>
        <v>BMIS_auto</v>
      </c>
      <c r="Z331" s="66" t="s">
        <v>2273</v>
      </c>
    </row>
    <row r="332" spans="1:26" ht="15.75" customHeight="1">
      <c r="A332" s="83" t="str">
        <f ca="1">IFERROR(__xludf.DUMMYFUNCTION("""COMPUTED_VALUE"""),"E33SE")</f>
        <v>E33SE</v>
      </c>
      <c r="B332" s="84">
        <f ca="1">IFERROR(__xludf.DUMMYFUNCTION("""COMPUTED_VALUE"""),33)</f>
        <v>33</v>
      </c>
      <c r="C332" s="84" t="str">
        <f ca="1">IFERROR(__xludf.DUMMYFUNCTION("""COMPUTED_VALUE"""),"SE")</f>
        <v>SE</v>
      </c>
      <c r="D332" s="339">
        <f ca="1">IFERROR(__xludf.DUMMYFUNCTION("""COMPUTED_VALUE"""),6800)</f>
        <v>6800</v>
      </c>
      <c r="E332" s="84" t="str">
        <f ca="1">IFERROR(__xludf.DUMMYFUNCTION("""COMPUTED_VALUE"""),"3958516796T20050430")</f>
        <v>3958516796T20050430</v>
      </c>
      <c r="F332" s="84">
        <f ca="1">IFERROR(__xludf.DUMMYFUNCTION("""COMPUTED_VALUE"""),1103120430)</f>
        <v>1103120430</v>
      </c>
      <c r="G332" s="83" t="str">
        <f ca="1">IFERROR(__xludf.DUMMYFUNCTION("""COMPUTED_VALUE"""),"Mansion Building")</f>
        <v>Mansion Building</v>
      </c>
      <c r="H332" s="84" t="str">
        <f ca="1">IFERROR(__xludf.DUMMYFUNCTION("""COMPUTED_VALUE"""),"民新大廈")</f>
        <v>民新大廈</v>
      </c>
      <c r="I332" s="84">
        <f ca="1">IFERROR(__xludf.DUMMYFUNCTION("""COMPUTED_VALUE"""),114.209122)</f>
        <v>114.20912199999999</v>
      </c>
      <c r="J332" s="84">
        <f ca="1">IFERROR(__xludf.DUMMYFUNCTION("""COMPUTED_VALUE"""),22.29000912)</f>
        <v>22.290009120000001</v>
      </c>
      <c r="K332" s="88">
        <f ca="1">IFERROR(__xludf.DUMMYFUNCTION("""COMPUTED_VALUE"""),4.6)</f>
        <v>4.5999999999999996</v>
      </c>
      <c r="L332" s="84" t="str">
        <f ca="1">IFERROR(__xludf.DUMMYFUNCTION("""COMPUTED_VALUE"""),"l")</f>
        <v>l</v>
      </c>
      <c r="M332" s="88">
        <f ca="1">IFERROR(__xludf.DUMMYFUNCTION("""COMPUTED_VALUE"""),43.8)</f>
        <v>43.8</v>
      </c>
      <c r="N332" s="84" t="str">
        <f ca="1">IFERROR(__xludf.DUMMYFUNCTION("""COMPUTED_VALUE"""),"p")</f>
        <v>p</v>
      </c>
      <c r="O332" s="88">
        <f ca="1">IFERROR(__xludf.DUMMYFUNCTION("""COMPUTED_VALUE"""),39.2)</f>
        <v>39.200000000000003</v>
      </c>
      <c r="P332" s="85"/>
      <c r="Q332" s="75" t="b">
        <f ca="1">IFERROR(__xludf.DUMMYFUNCTION("""COMPUTED_VALUE"""),FALSE)</f>
        <v>0</v>
      </c>
      <c r="R332" s="75" t="b">
        <f ca="1">IFERROR(__xludf.DUMMYFUNCTION("""COMPUTED_VALUE"""),FALSE)</f>
        <v>0</v>
      </c>
      <c r="S332" s="75" t="b">
        <f ca="1">IFERROR(__xludf.DUMMYFUNCTION("""COMPUTED_VALUE"""),FALSE)</f>
        <v>0</v>
      </c>
      <c r="T332" s="75" t="b">
        <f ca="1">IFERROR(__xludf.DUMMYFUNCTION("""COMPUTED_VALUE"""),FALSE)</f>
        <v>0</v>
      </c>
      <c r="U332" s="86">
        <f ca="1">IFERROR(__xludf.DUMMYFUNCTION("""COMPUTED_VALUE"""),13)</f>
        <v>13</v>
      </c>
      <c r="V332" s="84">
        <f ca="1">IFERROR(__xludf.DUMMYFUNCTION("""COMPUTED_VALUE"""),0)</f>
        <v>0</v>
      </c>
      <c r="W332" s="87">
        <f ca="1">IFERROR(__xludf.DUMMYFUNCTION("""COMPUTED_VALUE"""),52)</f>
        <v>52</v>
      </c>
      <c r="X332" s="84">
        <f ca="1">IFERROR(__xludf.DUMMYFUNCTION("""COMPUTED_VALUE"""),1961)</f>
        <v>1961</v>
      </c>
      <c r="Y332" s="84" t="str">
        <f ca="1">IFERROR(__xludf.DUMMYFUNCTION("""COMPUTED_VALUE"""),"BMIS_auto")</f>
        <v>BMIS_auto</v>
      </c>
      <c r="Z332" s="66" t="s">
        <v>2275</v>
      </c>
    </row>
    <row r="333" spans="1:26" ht="15.75" customHeight="1">
      <c r="A333" s="83" t="str">
        <f ca="1">IFERROR(__xludf.DUMMYFUNCTION("""COMPUTED_VALUE"""),"E33SW")</f>
        <v>E33SW</v>
      </c>
      <c r="B333" s="84">
        <f ca="1">IFERROR(__xludf.DUMMYFUNCTION("""COMPUTED_VALUE"""),33)</f>
        <v>33</v>
      </c>
      <c r="C333" s="84" t="str">
        <f ca="1">IFERROR(__xludf.DUMMYFUNCTION("""COMPUTED_VALUE"""),"SW")</f>
        <v>SW</v>
      </c>
      <c r="D333" s="339">
        <f ca="1">IFERROR(__xludf.DUMMYFUNCTION("""COMPUTED_VALUE"""),6800)</f>
        <v>6800</v>
      </c>
      <c r="E333" s="84" t="str">
        <f ca="1">IFERROR(__xludf.DUMMYFUNCTION("""COMPUTED_VALUE"""),"3964416795T20050430")</f>
        <v>3964416795T20050430</v>
      </c>
      <c r="F333" s="84">
        <f ca="1">IFERROR(__xludf.DUMMYFUNCTION("""COMPUTED_VALUE"""),1103120407)</f>
        <v>1103120407</v>
      </c>
      <c r="G333" s="83" t="str">
        <f ca="1">IFERROR(__xludf.DUMMYFUNCTION("""COMPUTED_VALUE"""),"Lai Wah Mansion")</f>
        <v>Lai Wah Mansion</v>
      </c>
      <c r="H333" s="84" t="str">
        <f ca="1">IFERROR(__xludf.DUMMYFUNCTION("""COMPUTED_VALUE"""),"麗華樓")</f>
        <v>麗華樓</v>
      </c>
      <c r="I333" s="84">
        <f ca="1">IFERROR(__xludf.DUMMYFUNCTION("""COMPUTED_VALUE"""),114.209634)</f>
        <v>114.20963399999999</v>
      </c>
      <c r="J333" s="84">
        <f ca="1">IFERROR(__xludf.DUMMYFUNCTION("""COMPUTED_VALUE"""),22.29006761)</f>
        <v>22.290067610000001</v>
      </c>
      <c r="K333" s="88">
        <f ca="1">IFERROR(__xludf.DUMMYFUNCTION("""COMPUTED_VALUE"""),4.3)</f>
        <v>4.3</v>
      </c>
      <c r="L333" s="84" t="str">
        <f ca="1">IFERROR(__xludf.DUMMYFUNCTION("""COMPUTED_VALUE"""),"l")</f>
        <v>l</v>
      </c>
      <c r="M333" s="88">
        <f ca="1">IFERROR(__xludf.DUMMYFUNCTION("""COMPUTED_VALUE"""),46.2)</f>
        <v>46.2</v>
      </c>
      <c r="N333" s="84" t="str">
        <f ca="1">IFERROR(__xludf.DUMMYFUNCTION("""COMPUTED_VALUE"""),"3")</f>
        <v>3</v>
      </c>
      <c r="O333" s="88">
        <f ca="1">IFERROR(__xludf.DUMMYFUNCTION("""COMPUTED_VALUE"""),41.9)</f>
        <v>41.9</v>
      </c>
      <c r="P333" s="85"/>
      <c r="Q333" s="75" t="b">
        <f ca="1">IFERROR(__xludf.DUMMYFUNCTION("""COMPUTED_VALUE"""),FALSE)</f>
        <v>0</v>
      </c>
      <c r="R333" s="75" t="b">
        <f ca="1">IFERROR(__xludf.DUMMYFUNCTION("""COMPUTED_VALUE"""),FALSE)</f>
        <v>0</v>
      </c>
      <c r="S333" s="75" t="b">
        <f ca="1">IFERROR(__xludf.DUMMYFUNCTION("""COMPUTED_VALUE"""),FALSE)</f>
        <v>0</v>
      </c>
      <c r="T333" s="75" t="b">
        <f ca="1">IFERROR(__xludf.DUMMYFUNCTION("""COMPUTED_VALUE"""),FALSE)</f>
        <v>0</v>
      </c>
      <c r="U333" s="86">
        <f ca="1">IFERROR(__xludf.DUMMYFUNCTION("""COMPUTED_VALUE"""),13)</f>
        <v>13</v>
      </c>
      <c r="V333" s="84"/>
      <c r="W333" s="87">
        <f ca="1">IFERROR(__xludf.DUMMYFUNCTION("""COMPUTED_VALUE"""),112)</f>
        <v>112</v>
      </c>
      <c r="X333" s="84">
        <f ca="1">IFERROR(__xludf.DUMMYFUNCTION("""COMPUTED_VALUE"""),1962)</f>
        <v>1962</v>
      </c>
      <c r="Y333" s="84" t="str">
        <f ca="1">IFERROR(__xludf.DUMMYFUNCTION("""COMPUTED_VALUE"""),"BMIS_auto")</f>
        <v>BMIS_auto</v>
      </c>
      <c r="Z333" s="66" t="s">
        <v>2277</v>
      </c>
    </row>
    <row r="334" spans="1:26" ht="15.75" customHeight="1">
      <c r="A334" s="83" t="str">
        <f ca="1">IFERROR(__xludf.DUMMYFUNCTION("""COMPUTED_VALUE"""),"E33NW")</f>
        <v>E33NW</v>
      </c>
      <c r="B334" s="84">
        <f ca="1">IFERROR(__xludf.DUMMYFUNCTION("""COMPUTED_VALUE"""),33)</f>
        <v>33</v>
      </c>
      <c r="C334" s="84" t="str">
        <f ca="1">IFERROR(__xludf.DUMMYFUNCTION("""COMPUTED_VALUE"""),"NW")</f>
        <v>NW</v>
      </c>
      <c r="D334" s="339">
        <f ca="1">IFERROR(__xludf.DUMMYFUNCTION("""COMPUTED_VALUE"""),6800)</f>
        <v>6800</v>
      </c>
      <c r="E334" s="84" t="str">
        <f ca="1">IFERROR(__xludf.DUMMYFUNCTION("""COMPUTED_VALUE"""),"3966616773T20050430")</f>
        <v>3966616773T20050430</v>
      </c>
      <c r="F334" s="84">
        <f ca="1">IFERROR(__xludf.DUMMYFUNCTION("""COMPUTED_VALUE"""),1103120475)</f>
        <v>1103120475</v>
      </c>
      <c r="G334" s="83" t="str">
        <f ca="1">IFERROR(__xludf.DUMMYFUNCTION("""COMPUTED_VALUE"""),"Ritz Garden Apartments")</f>
        <v>Ritz Garden Apartments</v>
      </c>
      <c r="H334" s="84" t="str">
        <f ca="1">IFERROR(__xludf.DUMMYFUNCTION("""COMPUTED_VALUE"""),"麗池大廈")</f>
        <v>麗池大廈</v>
      </c>
      <c r="I334" s="84">
        <f ca="1">IFERROR(__xludf.DUMMYFUNCTION("""COMPUTED_VALUE"""),114.2097528)</f>
        <v>114.2097528</v>
      </c>
      <c r="J334" s="84">
        <f ca="1">IFERROR(__xludf.DUMMYFUNCTION("""COMPUTED_VALUE"""),22.28979866)</f>
        <v>22.289798659999999</v>
      </c>
      <c r="K334" s="88">
        <f ca="1">IFERROR(__xludf.DUMMYFUNCTION("""COMPUTED_VALUE"""),4.2)</f>
        <v>4.2</v>
      </c>
      <c r="L334" s="84" t="str">
        <f ca="1">IFERROR(__xludf.DUMMYFUNCTION("""COMPUTED_VALUE"""),"l")</f>
        <v>l</v>
      </c>
      <c r="M334" s="88">
        <f ca="1">IFERROR(__xludf.DUMMYFUNCTION("""COMPUTED_VALUE"""),40.5)</f>
        <v>40.5</v>
      </c>
      <c r="N334" s="84" t="str">
        <f ca="1">IFERROR(__xludf.DUMMYFUNCTION("""COMPUTED_VALUE"""),"3")</f>
        <v>3</v>
      </c>
      <c r="O334" s="88">
        <f ca="1">IFERROR(__xludf.DUMMYFUNCTION("""COMPUTED_VALUE"""),36.3)</f>
        <v>36.299999999999997</v>
      </c>
      <c r="P334" s="85"/>
      <c r="Q334" s="75" t="b">
        <f ca="1">IFERROR(__xludf.DUMMYFUNCTION("""COMPUTED_VALUE"""),FALSE)</f>
        <v>0</v>
      </c>
      <c r="R334" s="75" t="b">
        <f ca="1">IFERROR(__xludf.DUMMYFUNCTION("""COMPUTED_VALUE"""),FALSE)</f>
        <v>0</v>
      </c>
      <c r="S334" s="75" t="b">
        <f ca="1">IFERROR(__xludf.DUMMYFUNCTION("""COMPUTED_VALUE"""),FALSE)</f>
        <v>0</v>
      </c>
      <c r="T334" s="75" t="b">
        <f ca="1">IFERROR(__xludf.DUMMYFUNCTION("""COMPUTED_VALUE"""),FALSE)</f>
        <v>0</v>
      </c>
      <c r="U334" s="86">
        <f ca="1">IFERROR(__xludf.DUMMYFUNCTION("""COMPUTED_VALUE"""),11)</f>
        <v>11</v>
      </c>
      <c r="V334" s="84">
        <f ca="1">IFERROR(__xludf.DUMMYFUNCTION("""COMPUTED_VALUE"""),0)</f>
        <v>0</v>
      </c>
      <c r="W334" s="87">
        <f ca="1">IFERROR(__xludf.DUMMYFUNCTION("""COMPUTED_VALUE"""),22)</f>
        <v>22</v>
      </c>
      <c r="X334" s="84">
        <f ca="1">IFERROR(__xludf.DUMMYFUNCTION("""COMPUTED_VALUE"""),1958)</f>
        <v>1958</v>
      </c>
      <c r="Y334" s="84" t="str">
        <f ca="1">IFERROR(__xludf.DUMMYFUNCTION("""COMPUTED_VALUE"""),"BMIS_auto")</f>
        <v>BMIS_auto</v>
      </c>
      <c r="Z334" s="66" t="s">
        <v>2279</v>
      </c>
    </row>
    <row r="335" spans="1:26" ht="15.75" customHeight="1">
      <c r="A335" s="83" t="str">
        <f ca="1">IFERROR(__xludf.DUMMYFUNCTION("""COMPUTED_VALUE"""),"N26NE")</f>
        <v>N26NE</v>
      </c>
      <c r="B335" s="84">
        <f ca="1">IFERROR(__xludf.DUMMYFUNCTION("""COMPUTED_VALUE"""),26)</f>
        <v>26</v>
      </c>
      <c r="C335" s="84" t="str">
        <f ca="1">IFERROR(__xludf.DUMMYFUNCTION("""COMPUTED_VALUE"""),"NE")</f>
        <v>NE</v>
      </c>
      <c r="D335" s="339">
        <f ca="1">IFERROR(__xludf.DUMMYFUNCTION("""COMPUTED_VALUE"""),7000)</f>
        <v>7000</v>
      </c>
      <c r="E335" s="84" t="str">
        <f ca="1">IFERROR(__xludf.DUMMYFUNCTION("""COMPUTED_VALUE"""),"3425522081T20050430")</f>
        <v>3425522081T20050430</v>
      </c>
      <c r="F335" s="84">
        <f ca="1">IFERROR(__xludf.DUMMYFUNCTION("""COMPUTED_VALUE"""),1108223046)</f>
        <v>1108223046</v>
      </c>
      <c r="G335" s="83" t="str">
        <f ca="1">IFERROR(__xludf.DUMMYFUNCTION("""COMPUTED_VALUE"""),"278 Castle Peak Road")</f>
        <v>278 Castle Peak Road</v>
      </c>
      <c r="H335" s="84"/>
      <c r="I335" s="84">
        <f ca="1">IFERROR(__xludf.DUMMYFUNCTION("""COMPUTED_VALUE"""),114.1573705)</f>
        <v>114.1573705</v>
      </c>
      <c r="J335" s="84">
        <f ca="1">IFERROR(__xludf.DUMMYFUNCTION("""COMPUTED_VALUE"""),22.33785368)</f>
        <v>22.337853679999998</v>
      </c>
      <c r="K335" s="88">
        <f ca="1">IFERROR(__xludf.DUMMYFUNCTION("""COMPUTED_VALUE"""),6)</f>
        <v>6</v>
      </c>
      <c r="L335" s="84" t="str">
        <f ca="1">IFERROR(__xludf.DUMMYFUNCTION("""COMPUTED_VALUE"""),"l")</f>
        <v>l</v>
      </c>
      <c r="M335" s="88">
        <f ca="1">IFERROR(__xludf.DUMMYFUNCTION("""COMPUTED_VALUE"""),21)</f>
        <v>21</v>
      </c>
      <c r="N335" s="84" t="str">
        <f ca="1">IFERROR(__xludf.DUMMYFUNCTION("""COMPUTED_VALUE"""),"3")</f>
        <v>3</v>
      </c>
      <c r="O335" s="88">
        <f ca="1">IFERROR(__xludf.DUMMYFUNCTION("""COMPUTED_VALUE"""),15)</f>
        <v>15</v>
      </c>
      <c r="P335" s="85"/>
      <c r="Q335" s="75" t="b">
        <f ca="1">IFERROR(__xludf.DUMMYFUNCTION("""COMPUTED_VALUE"""),FALSE)</f>
        <v>0</v>
      </c>
      <c r="R335" s="75" t="b">
        <f ca="1">IFERROR(__xludf.DUMMYFUNCTION("""COMPUTED_VALUE"""),FALSE)</f>
        <v>0</v>
      </c>
      <c r="S335" s="75" t="b">
        <f ca="1">IFERROR(__xludf.DUMMYFUNCTION("""COMPUTED_VALUE"""),TRUE)</f>
        <v>1</v>
      </c>
      <c r="T335" s="75"/>
      <c r="U335" s="86">
        <f ca="1">IFERROR(__xludf.DUMMYFUNCTION("""COMPUTED_VALUE"""),5)</f>
        <v>5</v>
      </c>
      <c r="V335" s="84">
        <f ca="1">IFERROR(__xludf.DUMMYFUNCTION("""COMPUTED_VALUE"""),0)</f>
        <v>0</v>
      </c>
      <c r="W335" s="87">
        <f ca="1">IFERROR(__xludf.DUMMYFUNCTION("""COMPUTED_VALUE"""),8)</f>
        <v>8</v>
      </c>
      <c r="X335" s="84">
        <f ca="1">IFERROR(__xludf.DUMMYFUNCTION("""COMPUTED_VALUE"""),1949)</f>
        <v>1949</v>
      </c>
      <c r="Y335" s="84" t="str">
        <f ca="1">IFERROR(__xludf.DUMMYFUNCTION("""COMPUTED_VALUE"""),"BMIS_auto")</f>
        <v>BMIS_auto</v>
      </c>
      <c r="Z335" s="66" t="s">
        <v>2281</v>
      </c>
    </row>
    <row r="336" spans="1:26" ht="15.75" customHeight="1">
      <c r="A336" s="83" t="str">
        <f ca="1">IFERROR(__xludf.DUMMYFUNCTION("""COMPUTED_VALUE"""),"N26SE")</f>
        <v>N26SE</v>
      </c>
      <c r="B336" s="84">
        <f ca="1">IFERROR(__xludf.DUMMYFUNCTION("""COMPUTED_VALUE"""),26)</f>
        <v>26</v>
      </c>
      <c r="C336" s="84" t="str">
        <f ca="1">IFERROR(__xludf.DUMMYFUNCTION("""COMPUTED_VALUE"""),"SE")</f>
        <v>SE</v>
      </c>
      <c r="D336" s="339">
        <f ca="1">IFERROR(__xludf.DUMMYFUNCTION("""COMPUTED_VALUE"""),7000)</f>
        <v>7000</v>
      </c>
      <c r="E336" s="84" t="str">
        <f ca="1">IFERROR(__xludf.DUMMYFUNCTION("""COMPUTED_VALUE"""),"3426122086T20050430")</f>
        <v>3426122086T20050430</v>
      </c>
      <c r="F336" s="84">
        <f ca="1">IFERROR(__xludf.DUMMYFUNCTION("""COMPUTED_VALUE"""),1108223049)</f>
        <v>1108223049</v>
      </c>
      <c r="G336" s="83" t="str">
        <f ca="1">IFERROR(__xludf.DUMMYFUNCTION("""COMPUTED_VALUE"""),"276 Castle Peak Road")</f>
        <v>276 Castle Peak Road</v>
      </c>
      <c r="H336" s="84"/>
      <c r="I336" s="84">
        <f ca="1">IFERROR(__xludf.DUMMYFUNCTION("""COMPUTED_VALUE"""),114.1573876)</f>
        <v>114.15738760000001</v>
      </c>
      <c r="J336" s="84">
        <f ca="1">IFERROR(__xludf.DUMMYFUNCTION("""COMPUTED_VALUE"""),22.33784467)</f>
        <v>22.337844669999999</v>
      </c>
      <c r="K336" s="88">
        <f ca="1">IFERROR(__xludf.DUMMYFUNCTION("""COMPUTED_VALUE"""),6.1)</f>
        <v>6.1</v>
      </c>
      <c r="L336" s="84" t="str">
        <f ca="1">IFERROR(__xludf.DUMMYFUNCTION("""COMPUTED_VALUE"""),"l")</f>
        <v>l</v>
      </c>
      <c r="M336" s="88">
        <f ca="1">IFERROR(__xludf.DUMMYFUNCTION("""COMPUTED_VALUE"""),21)</f>
        <v>21</v>
      </c>
      <c r="N336" s="84" t="str">
        <f ca="1">IFERROR(__xludf.DUMMYFUNCTION("""COMPUTED_VALUE"""),"3")</f>
        <v>3</v>
      </c>
      <c r="O336" s="88">
        <f ca="1">IFERROR(__xludf.DUMMYFUNCTION("""COMPUTED_VALUE"""),14.9)</f>
        <v>14.9</v>
      </c>
      <c r="P336" s="85"/>
      <c r="Q336" s="75" t="b">
        <f ca="1">IFERROR(__xludf.DUMMYFUNCTION("""COMPUTED_VALUE"""),FALSE)</f>
        <v>0</v>
      </c>
      <c r="R336" s="75" t="b">
        <f ca="1">IFERROR(__xludf.DUMMYFUNCTION("""COMPUTED_VALUE"""),FALSE)</f>
        <v>0</v>
      </c>
      <c r="S336" s="75" t="b">
        <f ca="1">IFERROR(__xludf.DUMMYFUNCTION("""COMPUTED_VALUE"""),TRUE)</f>
        <v>1</v>
      </c>
      <c r="T336" s="75"/>
      <c r="U336" s="86">
        <f ca="1">IFERROR(__xludf.DUMMYFUNCTION("""COMPUTED_VALUE"""),5)</f>
        <v>5</v>
      </c>
      <c r="V336" s="84">
        <f ca="1">IFERROR(__xludf.DUMMYFUNCTION("""COMPUTED_VALUE"""),0)</f>
        <v>0</v>
      </c>
      <c r="W336" s="87">
        <f ca="1">IFERROR(__xludf.DUMMYFUNCTION("""COMPUTED_VALUE"""),8)</f>
        <v>8</v>
      </c>
      <c r="X336" s="84">
        <f ca="1">IFERROR(__xludf.DUMMYFUNCTION("""COMPUTED_VALUE"""),1949)</f>
        <v>1949</v>
      </c>
      <c r="Y336" s="84" t="str">
        <f ca="1">IFERROR(__xludf.DUMMYFUNCTION("""COMPUTED_VALUE"""),"BMIS")</f>
        <v>BMIS</v>
      </c>
      <c r="Z336" s="66" t="s">
        <v>2283</v>
      </c>
    </row>
    <row r="337" spans="1:26" ht="15.75" customHeight="1">
      <c r="A337" s="83" t="str">
        <f ca="1">IFERROR(__xludf.DUMMYFUNCTION("""COMPUTED_VALUE"""),"N26SW")</f>
        <v>N26SW</v>
      </c>
      <c r="B337" s="84">
        <f ca="1">IFERROR(__xludf.DUMMYFUNCTION("""COMPUTED_VALUE"""),26)</f>
        <v>26</v>
      </c>
      <c r="C337" s="84" t="str">
        <f ca="1">IFERROR(__xludf.DUMMYFUNCTION("""COMPUTED_VALUE"""),"SW")</f>
        <v>SW</v>
      </c>
      <c r="D337" s="339">
        <f ca="1">IFERROR(__xludf.DUMMYFUNCTION("""COMPUTED_VALUE"""),7000)</f>
        <v>7000</v>
      </c>
      <c r="E337" s="84" t="str">
        <f ca="1">IFERROR(__xludf.DUMMYFUNCTION("""COMPUTED_VALUE"""),"3424622060T20050430")</f>
        <v>3424622060T20050430</v>
      </c>
      <c r="F337" s="84">
        <f ca="1">IFERROR(__xludf.DUMMYFUNCTION("""COMPUTED_VALUE"""),1108223170)</f>
        <v>1108223170</v>
      </c>
      <c r="G337" s="83" t="str">
        <f ca="1">IFERROR(__xludf.DUMMYFUNCTION("""COMPUTED_VALUE"""),"291 Castle Peak Road")</f>
        <v>291 Castle Peak Road</v>
      </c>
      <c r="H337" s="84"/>
      <c r="I337" s="84">
        <f ca="1">IFERROR(__xludf.DUMMYFUNCTION("""COMPUTED_VALUE"""),114.1572111)</f>
        <v>114.1572111</v>
      </c>
      <c r="J337" s="84">
        <f ca="1">IFERROR(__xludf.DUMMYFUNCTION("""COMPUTED_VALUE"""),22.33755943)</f>
        <v>22.337559429999999</v>
      </c>
      <c r="K337" s="88">
        <f ca="1">IFERROR(__xludf.DUMMYFUNCTION("""COMPUTED_VALUE"""),6.1)</f>
        <v>6.1</v>
      </c>
      <c r="L337" s="84" t="str">
        <f ca="1">IFERROR(__xludf.DUMMYFUNCTION("""COMPUTED_VALUE"""),"l")</f>
        <v>l</v>
      </c>
      <c r="M337" s="88">
        <f ca="1">IFERROR(__xludf.DUMMYFUNCTION("""COMPUTED_VALUE"""),28.4)</f>
        <v>28.4</v>
      </c>
      <c r="N337" s="84" t="str">
        <f ca="1">IFERROR(__xludf.DUMMYFUNCTION("""COMPUTED_VALUE"""),"p")</f>
        <v>p</v>
      </c>
      <c r="O337" s="88">
        <f ca="1">IFERROR(__xludf.DUMMYFUNCTION("""COMPUTED_VALUE"""),22.3)</f>
        <v>22.3</v>
      </c>
      <c r="P337" s="85"/>
      <c r="Q337" s="75" t="b">
        <f ca="1">IFERROR(__xludf.DUMMYFUNCTION("""COMPUTED_VALUE"""),FALSE)</f>
        <v>0</v>
      </c>
      <c r="R337" s="75" t="b">
        <f ca="1">IFERROR(__xludf.DUMMYFUNCTION("""COMPUTED_VALUE"""),FALSE)</f>
        <v>0</v>
      </c>
      <c r="S337" s="75" t="b">
        <f ca="1">IFERROR(__xludf.DUMMYFUNCTION("""COMPUTED_VALUE"""),TRUE)</f>
        <v>1</v>
      </c>
      <c r="T337" s="75"/>
      <c r="U337" s="86">
        <f ca="1">IFERROR(__xludf.DUMMYFUNCTION("""COMPUTED_VALUE"""),6)</f>
        <v>6</v>
      </c>
      <c r="V337" s="84">
        <f ca="1">IFERROR(__xludf.DUMMYFUNCTION("""COMPUTED_VALUE"""),0)</f>
        <v>0</v>
      </c>
      <c r="W337" s="87">
        <f ca="1">IFERROR(__xludf.DUMMYFUNCTION("""COMPUTED_VALUE"""),12)</f>
        <v>12</v>
      </c>
      <c r="X337" s="84">
        <f ca="1">IFERROR(__xludf.DUMMYFUNCTION("""COMPUTED_VALUE"""),1955)</f>
        <v>1955</v>
      </c>
      <c r="Y337" s="84" t="str">
        <f ca="1">IFERROR(__xludf.DUMMYFUNCTION("""COMPUTED_VALUE"""),"BMIS")</f>
        <v>BMIS</v>
      </c>
      <c r="Z337" s="66" t="s">
        <v>2285</v>
      </c>
    </row>
    <row r="338" spans="1:26" ht="15.75" customHeight="1">
      <c r="A338" s="83" t="str">
        <f ca="1">IFERROR(__xludf.DUMMYFUNCTION("""COMPUTED_VALUE"""),"N26NW")</f>
        <v>N26NW</v>
      </c>
      <c r="B338" s="84">
        <f ca="1">IFERROR(__xludf.DUMMYFUNCTION("""COMPUTED_VALUE"""),26)</f>
        <v>26</v>
      </c>
      <c r="C338" s="84" t="str">
        <f ca="1">IFERROR(__xludf.DUMMYFUNCTION("""COMPUTED_VALUE"""),"NW")</f>
        <v>NW</v>
      </c>
      <c r="D338" s="339">
        <f ca="1">IFERROR(__xludf.DUMMYFUNCTION("""COMPUTED_VALUE"""),7000)</f>
        <v>7000</v>
      </c>
      <c r="E338" s="84" t="str">
        <f ca="1">IFERROR(__xludf.DUMMYFUNCTION("""COMPUTED_VALUE"""),"3423522055T20050430")</f>
        <v>3423522055T20050430</v>
      </c>
      <c r="F338" s="84">
        <f ca="1">IFERROR(__xludf.DUMMYFUNCTION("""COMPUTED_VALUE"""),1108223154)</f>
        <v>1108223154</v>
      </c>
      <c r="G338" s="83" t="str">
        <f ca="1">IFERROR(__xludf.DUMMYFUNCTION("""COMPUTED_VALUE"""),"293 Castle Peak Road")</f>
        <v>293 Castle Peak Road</v>
      </c>
      <c r="H338" s="84"/>
      <c r="I338" s="84">
        <f ca="1">IFERROR(__xludf.DUMMYFUNCTION("""COMPUTED_VALUE"""),114.157165)</f>
        <v>114.15716500000001</v>
      </c>
      <c r="J338" s="84">
        <f ca="1">IFERROR(__xludf.DUMMYFUNCTION("""COMPUTED_VALUE"""),22.33759108)</f>
        <v>22.337591079999999</v>
      </c>
      <c r="K338" s="88">
        <f ca="1">IFERROR(__xludf.DUMMYFUNCTION("""COMPUTED_VALUE"""),6.1)</f>
        <v>6.1</v>
      </c>
      <c r="L338" s="84" t="str">
        <f ca="1">IFERROR(__xludf.DUMMYFUNCTION("""COMPUTED_VALUE"""),"l")</f>
        <v>l</v>
      </c>
      <c r="M338" s="88">
        <f ca="1">IFERROR(__xludf.DUMMYFUNCTION("""COMPUTED_VALUE"""),24.1)</f>
        <v>24.1</v>
      </c>
      <c r="N338" s="84" t="str">
        <f ca="1">IFERROR(__xludf.DUMMYFUNCTION("""COMPUTED_VALUE"""),"3")</f>
        <v>3</v>
      </c>
      <c r="O338" s="88">
        <f ca="1">IFERROR(__xludf.DUMMYFUNCTION("""COMPUTED_VALUE"""),18)</f>
        <v>18</v>
      </c>
      <c r="P338" s="85"/>
      <c r="Q338" s="75" t="b">
        <f ca="1">IFERROR(__xludf.DUMMYFUNCTION("""COMPUTED_VALUE"""),FALSE)</f>
        <v>0</v>
      </c>
      <c r="R338" s="75" t="b">
        <f ca="1">IFERROR(__xludf.DUMMYFUNCTION("""COMPUTED_VALUE"""),FALSE)</f>
        <v>0</v>
      </c>
      <c r="S338" s="75" t="b">
        <f ca="1">IFERROR(__xludf.DUMMYFUNCTION("""COMPUTED_VALUE"""),TRUE)</f>
        <v>1</v>
      </c>
      <c r="T338" s="75"/>
      <c r="U338" s="86">
        <f ca="1">IFERROR(__xludf.DUMMYFUNCTION("""COMPUTED_VALUE"""),5)</f>
        <v>5</v>
      </c>
      <c r="V338" s="84">
        <f ca="1">IFERROR(__xludf.DUMMYFUNCTION("""COMPUTED_VALUE"""),0)</f>
        <v>0</v>
      </c>
      <c r="W338" s="87">
        <f ca="1">IFERROR(__xludf.DUMMYFUNCTION("""COMPUTED_VALUE"""),12)</f>
        <v>12</v>
      </c>
      <c r="X338" s="84">
        <f ca="1">IFERROR(__xludf.DUMMYFUNCTION("""COMPUTED_VALUE"""),1955)</f>
        <v>1955</v>
      </c>
      <c r="Y338" s="84" t="str">
        <f ca="1">IFERROR(__xludf.DUMMYFUNCTION("""COMPUTED_VALUE"""),"BMIS")</f>
        <v>BMIS</v>
      </c>
      <c r="Z338" s="66" t="s">
        <v>2287</v>
      </c>
    </row>
    <row r="339" spans="1:26" ht="15.75" customHeight="1">
      <c r="A339" s="83" t="str">
        <f ca="1">IFERROR(__xludf.DUMMYFUNCTION("""COMPUTED_VALUE"""),"E34NE")</f>
        <v>E34NE</v>
      </c>
      <c r="B339" s="84">
        <f ca="1">IFERROR(__xludf.DUMMYFUNCTION("""COMPUTED_VALUE"""),34)</f>
        <v>34</v>
      </c>
      <c r="C339" s="84" t="str">
        <f ca="1">IFERROR(__xludf.DUMMYFUNCTION("""COMPUTED_VALUE"""),"NE")</f>
        <v>NE</v>
      </c>
      <c r="D339" s="339">
        <f ca="1">IFERROR(__xludf.DUMMYFUNCTION("""COMPUTED_VALUE"""),7000)</f>
        <v>7000</v>
      </c>
      <c r="E339" s="84" t="str">
        <f ca="1">IFERROR(__xludf.DUMMYFUNCTION("""COMPUTED_VALUE"""),"3965616556T20050430")</f>
        <v>3965616556T20050430</v>
      </c>
      <c r="F339" s="84">
        <f ca="1">IFERROR(__xludf.DUMMYFUNCTION("""COMPUTED_VALUE"""),1103121003)</f>
        <v>1103121003</v>
      </c>
      <c r="G339" s="83" t="str">
        <f ca="1">IFERROR(__xludf.DUMMYFUNCTION("""COMPUTED_VALUE"""),"Quarry Bay Station")</f>
        <v>Quarry Bay Station</v>
      </c>
      <c r="H339" s="84" t="str">
        <f ca="1">IFERROR(__xludf.DUMMYFUNCTION("""COMPUTED_VALUE"""),"鰂魚涌站")</f>
        <v>鰂魚涌站</v>
      </c>
      <c r="I339" s="84">
        <f ca="1">IFERROR(__xludf.DUMMYFUNCTION("""COMPUTED_VALUE"""),114.2097607)</f>
        <v>114.2097607</v>
      </c>
      <c r="J339" s="84">
        <f ca="1">IFERROR(__xludf.DUMMYFUNCTION("""COMPUTED_VALUE"""),22.28788612)</f>
        <v>22.28788612</v>
      </c>
      <c r="K339" s="88">
        <f ca="1">IFERROR(__xludf.DUMMYFUNCTION("""COMPUTED_VALUE"""),4.6)</f>
        <v>4.5999999999999996</v>
      </c>
      <c r="L339" s="84" t="str">
        <f ca="1">IFERROR(__xludf.DUMMYFUNCTION("""COMPUTED_VALUE"""),"l")</f>
        <v>l</v>
      </c>
      <c r="M339" s="88">
        <f ca="1">IFERROR(__xludf.DUMMYFUNCTION("""COMPUTED_VALUE"""),27.5)</f>
        <v>27.5</v>
      </c>
      <c r="N339" s="84" t="str">
        <f ca="1">IFERROR(__xludf.DUMMYFUNCTION("""COMPUTED_VALUE"""),"3")</f>
        <v>3</v>
      </c>
      <c r="O339" s="88">
        <f ca="1">IFERROR(__xludf.DUMMYFUNCTION("""COMPUTED_VALUE"""),22.9)</f>
        <v>22.9</v>
      </c>
      <c r="P339" s="85" t="str">
        <f ca="1">IFERROR(__xludf.DUMMYFUNCTION("""COMPUTED_VALUE"""),"government building / no access to the number of floors ")</f>
        <v xml:space="preserve">government building / no access to the number of floors </v>
      </c>
      <c r="Q339" s="75" t="b">
        <f ca="1">IFERROR(__xludf.DUMMYFUNCTION("""COMPUTED_VALUE"""),FALSE)</f>
        <v>0</v>
      </c>
      <c r="R339" s="75" t="b">
        <f ca="1">IFERROR(__xludf.DUMMYFUNCTION("""COMPUTED_VALUE"""),TRUE)</f>
        <v>1</v>
      </c>
      <c r="S339" s="75" t="b">
        <f ca="1">IFERROR(__xludf.DUMMYFUNCTION("""COMPUTED_VALUE"""),FALSE)</f>
        <v>0</v>
      </c>
      <c r="T339" s="75" t="b">
        <f ca="1">IFERROR(__xludf.DUMMYFUNCTION("""COMPUTED_VALUE"""),FALSE)</f>
        <v>0</v>
      </c>
      <c r="U339" s="86">
        <f ca="1">IFERROR(__xludf.DUMMYFUNCTION("""COMPUTED_VALUE"""),3)</f>
        <v>3</v>
      </c>
      <c r="V339" s="84"/>
      <c r="W339" s="87"/>
      <c r="X339" s="84"/>
      <c r="Y339" s="84" t="str">
        <f ca="1">IFERROR(__xludf.DUMMYFUNCTION("""COMPUTED_VALUE"""),"Street View")</f>
        <v>Street View</v>
      </c>
      <c r="Z339" s="66" t="s">
        <v>2289</v>
      </c>
    </row>
    <row r="340" spans="1:26" ht="15.75" customHeight="1">
      <c r="A340" s="83" t="str">
        <f ca="1">IFERROR(__xludf.DUMMYFUNCTION("""COMPUTED_VALUE"""),"E34SE")</f>
        <v>E34SE</v>
      </c>
      <c r="B340" s="84">
        <f ca="1">IFERROR(__xludf.DUMMYFUNCTION("""COMPUTED_VALUE"""),34)</f>
        <v>34</v>
      </c>
      <c r="C340" s="84" t="str">
        <f ca="1">IFERROR(__xludf.DUMMYFUNCTION("""COMPUTED_VALUE"""),"SE")</f>
        <v>SE</v>
      </c>
      <c r="D340" s="339">
        <f ca="1">IFERROR(__xludf.DUMMYFUNCTION("""COMPUTED_VALUE"""),7000)</f>
        <v>7000</v>
      </c>
      <c r="E340" s="84" t="str">
        <f ca="1">IFERROR(__xludf.DUMMYFUNCTION("""COMPUTED_VALUE"""),"3971016577T20050430")</f>
        <v>3971016577T20050430</v>
      </c>
      <c r="F340" s="84">
        <f ca="1">IFERROR(__xludf.DUMMYFUNCTION("""COMPUTED_VALUE"""),1103120983)</f>
        <v>1103120983</v>
      </c>
      <c r="G340" s="83" t="str">
        <f ca="1">IFERROR(__xludf.DUMMYFUNCTION("""COMPUTED_VALUE"""),"North Point Government Primary School")</f>
        <v>North Point Government Primary School</v>
      </c>
      <c r="H340" s="84"/>
      <c r="I340" s="84">
        <f ca="1">IFERROR(__xludf.DUMMYFUNCTION("""COMPUTED_VALUE"""),114.2103039)</f>
        <v>114.2103039</v>
      </c>
      <c r="J340" s="84">
        <f ca="1">IFERROR(__xludf.DUMMYFUNCTION("""COMPUTED_VALUE"""),22.28809165)</f>
        <v>22.288091649999998</v>
      </c>
      <c r="K340" s="88">
        <f ca="1">IFERROR(__xludf.DUMMYFUNCTION("""COMPUTED_VALUE"""),4.7)</f>
        <v>4.7</v>
      </c>
      <c r="L340" s="84" t="str">
        <f ca="1">IFERROR(__xludf.DUMMYFUNCTION("""COMPUTED_VALUE"""),"l")</f>
        <v>l</v>
      </c>
      <c r="M340" s="88">
        <f ca="1">IFERROR(__xludf.DUMMYFUNCTION("""COMPUTED_VALUE"""),32)</f>
        <v>32</v>
      </c>
      <c r="N340" s="84" t="str">
        <f ca="1">IFERROR(__xludf.DUMMYFUNCTION("""COMPUTED_VALUE"""),"p")</f>
        <v>p</v>
      </c>
      <c r="O340" s="88">
        <f ca="1">IFERROR(__xludf.DUMMYFUNCTION("""COMPUTED_VALUE"""),27.3)</f>
        <v>27.3</v>
      </c>
      <c r="P340" s="85" t="str">
        <f ca="1">IFERROR(__xludf.DUMMYFUNCTION("""COMPUTED_VALUE"""),"school")</f>
        <v>school</v>
      </c>
      <c r="Q340" s="75" t="b">
        <f ca="1">IFERROR(__xludf.DUMMYFUNCTION("""COMPUTED_VALUE"""),FALSE)</f>
        <v>0</v>
      </c>
      <c r="R340" s="75" t="b">
        <f ca="1">IFERROR(__xludf.DUMMYFUNCTION("""COMPUTED_VALUE"""),TRUE)</f>
        <v>1</v>
      </c>
      <c r="S340" s="75" t="b">
        <f ca="1">IFERROR(__xludf.DUMMYFUNCTION("""COMPUTED_VALUE"""),FALSE)</f>
        <v>0</v>
      </c>
      <c r="T340" s="75" t="b">
        <f ca="1">IFERROR(__xludf.DUMMYFUNCTION("""COMPUTED_VALUE"""),FALSE)</f>
        <v>0</v>
      </c>
      <c r="U340" s="86">
        <f ca="1">IFERROR(__xludf.DUMMYFUNCTION("""COMPUTED_VALUE"""),9)</f>
        <v>9</v>
      </c>
      <c r="V340" s="84"/>
      <c r="W340" s="87"/>
      <c r="X340" s="84"/>
      <c r="Y340" s="84" t="str">
        <f ca="1">IFERROR(__xludf.DUMMYFUNCTION("""COMPUTED_VALUE"""),"Street View")</f>
        <v>Street View</v>
      </c>
      <c r="Z340" s="66" t="s">
        <v>2292</v>
      </c>
    </row>
    <row r="341" spans="1:26" ht="15.75" customHeight="1">
      <c r="A341" s="83" t="str">
        <f ca="1">IFERROR(__xludf.DUMMYFUNCTION("""COMPUTED_VALUE"""),"E34SW")</f>
        <v>E34SW</v>
      </c>
      <c r="B341" s="84">
        <f ca="1">IFERROR(__xludf.DUMMYFUNCTION("""COMPUTED_VALUE"""),34)</f>
        <v>34</v>
      </c>
      <c r="C341" s="84" t="str">
        <f ca="1">IFERROR(__xludf.DUMMYFUNCTION("""COMPUTED_VALUE"""),"SW")</f>
        <v>SW</v>
      </c>
      <c r="D341" s="339">
        <f ca="1">IFERROR(__xludf.DUMMYFUNCTION("""COMPUTED_VALUE"""),7000)</f>
        <v>7000</v>
      </c>
      <c r="E341" s="84" t="str">
        <f ca="1">IFERROR(__xludf.DUMMYFUNCTION("""COMPUTED_VALUE"""),"3969716622T20050430")</f>
        <v>3969716622T20050430</v>
      </c>
      <c r="F341" s="84">
        <f ca="1">IFERROR(__xludf.DUMMYFUNCTION("""COMPUTED_VALUE"""),1103120812)</f>
        <v>1103120812</v>
      </c>
      <c r="G341" s="83" t="str">
        <f ca="1">IFERROR(__xludf.DUMMYFUNCTION("""COMPUTED_VALUE"""),"Wai Fong Court")</f>
        <v>Wai Fong Court</v>
      </c>
      <c r="H341" s="84" t="str">
        <f ca="1">IFERROR(__xludf.DUMMYFUNCTION("""COMPUTED_VALUE"""),"惠芳閣")</f>
        <v>惠芳閣</v>
      </c>
      <c r="I341" s="84">
        <f ca="1">IFERROR(__xludf.DUMMYFUNCTION("""COMPUTED_VALUE"""),114.210133)</f>
        <v>114.210133</v>
      </c>
      <c r="J341" s="84">
        <f ca="1">IFERROR(__xludf.DUMMYFUNCTION("""COMPUTED_VALUE"""),22.2885325)</f>
        <v>22.288532499999999</v>
      </c>
      <c r="K341" s="88">
        <f ca="1">IFERROR(__xludf.DUMMYFUNCTION("""COMPUTED_VALUE"""),14.2)</f>
        <v>14.2</v>
      </c>
      <c r="L341" s="84" t="str">
        <f ca="1">IFERROR(__xludf.DUMMYFUNCTION("""COMPUTED_VALUE"""),"p")</f>
        <v>p</v>
      </c>
      <c r="M341" s="88">
        <f ca="1">IFERROR(__xludf.DUMMYFUNCTION("""COMPUTED_VALUE"""),72.6)</f>
        <v>72.599999999999994</v>
      </c>
      <c r="N341" s="84" t="str">
        <f ca="1">IFERROR(__xludf.DUMMYFUNCTION("""COMPUTED_VALUE"""),"3")</f>
        <v>3</v>
      </c>
      <c r="O341" s="88">
        <f ca="1">IFERROR(__xludf.DUMMYFUNCTION("""COMPUTED_VALUE"""),58.4)</f>
        <v>58.4</v>
      </c>
      <c r="P341" s="85"/>
      <c r="Q341" s="75" t="b">
        <f ca="1">IFERROR(__xludf.DUMMYFUNCTION("""COMPUTED_VALUE"""),FALSE)</f>
        <v>0</v>
      </c>
      <c r="R341" s="75" t="b">
        <f ca="1">IFERROR(__xludf.DUMMYFUNCTION("""COMPUTED_VALUE"""),FALSE)</f>
        <v>0</v>
      </c>
      <c r="S341" s="75" t="b">
        <f ca="1">IFERROR(__xludf.DUMMYFUNCTION("""COMPUTED_VALUE"""),FALSE)</f>
        <v>0</v>
      </c>
      <c r="T341" s="75" t="b">
        <f ca="1">IFERROR(__xludf.DUMMYFUNCTION("""COMPUTED_VALUE"""),FALSE)</f>
        <v>0</v>
      </c>
      <c r="U341" s="86">
        <f ca="1">IFERROR(__xludf.DUMMYFUNCTION("""COMPUTED_VALUE"""),23)</f>
        <v>23</v>
      </c>
      <c r="V341" s="84">
        <f ca="1">IFERROR(__xludf.DUMMYFUNCTION("""COMPUTED_VALUE"""),0)</f>
        <v>0</v>
      </c>
      <c r="W341" s="87">
        <f ca="1">IFERROR(__xludf.DUMMYFUNCTION("""COMPUTED_VALUE"""),46)</f>
        <v>46</v>
      </c>
      <c r="X341" s="84">
        <f ca="1">IFERROR(__xludf.DUMMYFUNCTION("""COMPUTED_VALUE"""),1987)</f>
        <v>1987</v>
      </c>
      <c r="Y341" s="84" t="str">
        <f ca="1">IFERROR(__xludf.DUMMYFUNCTION("""COMPUTED_VALUE"""),"BMIS_auto")</f>
        <v>BMIS_auto</v>
      </c>
      <c r="Z341" s="66" t="s">
        <v>2294</v>
      </c>
    </row>
    <row r="342" spans="1:26" ht="15.75" customHeight="1">
      <c r="A342" s="83" t="str">
        <f ca="1">IFERROR(__xludf.DUMMYFUNCTION("""COMPUTED_VALUE"""),"E34NW")</f>
        <v>E34NW</v>
      </c>
      <c r="B342" s="84">
        <f ca="1">IFERROR(__xludf.DUMMYFUNCTION("""COMPUTED_VALUE"""),34)</f>
        <v>34</v>
      </c>
      <c r="C342" s="84" t="str">
        <f ca="1">IFERROR(__xludf.DUMMYFUNCTION("""COMPUTED_VALUE"""),"NW")</f>
        <v>NW</v>
      </c>
      <c r="D342" s="339">
        <f ca="1">IFERROR(__xludf.DUMMYFUNCTION("""COMPUTED_VALUE"""),7000)</f>
        <v>7000</v>
      </c>
      <c r="E342" s="84" t="str">
        <f ca="1">IFERROR(__xludf.DUMMYFUNCTION("""COMPUTED_VALUE"""),"3964516625T20060213")</f>
        <v>3964516625T20060213</v>
      </c>
      <c r="F342" s="84">
        <f ca="1">IFERROR(__xludf.DUMMYFUNCTION("""COMPUTED_VALUE"""),1103120796)</f>
        <v>1103120796</v>
      </c>
      <c r="G342" s="83" t="str">
        <f ca="1">IFERROR(__xludf.DUMMYFUNCTION("""COMPUTED_VALUE"""),"Tor Po Mansion")</f>
        <v>Tor Po Mansion</v>
      </c>
      <c r="H342" s="84"/>
      <c r="I342" s="84">
        <f ca="1">IFERROR(__xludf.DUMMYFUNCTION("""COMPUTED_VALUE"""),114.2096365)</f>
        <v>114.2096365</v>
      </c>
      <c r="J342" s="84">
        <f ca="1">IFERROR(__xludf.DUMMYFUNCTION("""COMPUTED_VALUE"""),22.28853595)</f>
        <v>22.28853595</v>
      </c>
      <c r="K342" s="88">
        <f ca="1">IFERROR(__xludf.DUMMYFUNCTION("""COMPUTED_VALUE"""),4.5)</f>
        <v>4.5</v>
      </c>
      <c r="L342" s="84" t="str">
        <f ca="1">IFERROR(__xludf.DUMMYFUNCTION("""COMPUTED_VALUE"""),"l")</f>
        <v>l</v>
      </c>
      <c r="M342" s="88">
        <f ca="1">IFERROR(__xludf.DUMMYFUNCTION("""COMPUTED_VALUE"""),31.5)</f>
        <v>31.5</v>
      </c>
      <c r="N342" s="84" t="str">
        <f ca="1">IFERROR(__xludf.DUMMYFUNCTION("""COMPUTED_VALUE"""),"p")</f>
        <v>p</v>
      </c>
      <c r="O342" s="88">
        <f ca="1">IFERROR(__xludf.DUMMYFUNCTION("""COMPUTED_VALUE"""),27)</f>
        <v>27</v>
      </c>
      <c r="P342" s="85"/>
      <c r="Q342" s="75" t="b">
        <f ca="1">IFERROR(__xludf.DUMMYFUNCTION("""COMPUTED_VALUE"""),FALSE)</f>
        <v>0</v>
      </c>
      <c r="R342" s="75" t="b">
        <f ca="1">IFERROR(__xludf.DUMMYFUNCTION("""COMPUTED_VALUE"""),FALSE)</f>
        <v>0</v>
      </c>
      <c r="S342" s="75" t="b">
        <f ca="1">IFERROR(__xludf.DUMMYFUNCTION("""COMPUTED_VALUE"""),FALSE)</f>
        <v>0</v>
      </c>
      <c r="T342" s="75" t="b">
        <f ca="1">IFERROR(__xludf.DUMMYFUNCTION("""COMPUTED_VALUE"""),FALSE)</f>
        <v>0</v>
      </c>
      <c r="U342" s="86">
        <f ca="1">IFERROR(__xludf.DUMMYFUNCTION("""COMPUTED_VALUE"""),9)</f>
        <v>9</v>
      </c>
      <c r="V342" s="84"/>
      <c r="W342" s="87"/>
      <c r="X342" s="84">
        <f ca="1">IFERROR(__xludf.DUMMYFUNCTION("""COMPUTED_VALUE"""),1987)</f>
        <v>1987</v>
      </c>
      <c r="Y342" s="84" t="str">
        <f ca="1">IFERROR(__xludf.DUMMYFUNCTION("""COMPUTED_VALUE"""),"Google Earth")</f>
        <v>Google Earth</v>
      </c>
      <c r="Z342" s="66" t="s">
        <v>2296</v>
      </c>
    </row>
    <row r="343" spans="1:26" ht="15.75" customHeight="1">
      <c r="A343" s="83" t="str">
        <f ca="1">IFERROR(__xludf.DUMMYFUNCTION("""COMPUTED_VALUE"""),"N27NE")</f>
        <v>N27NE</v>
      </c>
      <c r="B343" s="84">
        <f ca="1">IFERROR(__xludf.DUMMYFUNCTION("""COMPUTED_VALUE"""),27)</f>
        <v>27</v>
      </c>
      <c r="C343" s="84" t="str">
        <f ca="1">IFERROR(__xludf.DUMMYFUNCTION("""COMPUTED_VALUE"""),"NE")</f>
        <v>NE</v>
      </c>
      <c r="D343" s="339">
        <f ca="1">IFERROR(__xludf.DUMMYFUNCTION("""COMPUTED_VALUE"""),7200)</f>
        <v>7200</v>
      </c>
      <c r="E343" s="84" t="str">
        <f ca="1">IFERROR(__xludf.DUMMYFUNCTION("""COMPUTED_VALUE"""),"3411322206T20150818")</f>
        <v>3411322206T20150818</v>
      </c>
      <c r="F343" s="84">
        <f ca="1">IFERROR(__xludf.DUMMYFUNCTION("""COMPUTED_VALUE"""),1810145002)</f>
        <v>1810145002</v>
      </c>
      <c r="G343" s="83" t="str">
        <f ca="1">IFERROR(__xludf.DUMMYFUNCTION("""COMPUTED_VALUE"""),"Heya Star Tower 2")</f>
        <v>Heya Star Tower 2</v>
      </c>
      <c r="H343" s="84" t="str">
        <f ca="1">IFERROR(__xludf.DUMMYFUNCTION("""COMPUTED_VALUE"""),"喜韻第二座")</f>
        <v>喜韻第二座</v>
      </c>
      <c r="I343" s="84">
        <f ca="1">IFERROR(__xludf.DUMMYFUNCTION("""COMPUTED_VALUE"""),114.1558051)</f>
        <v>114.15580509999999</v>
      </c>
      <c r="J343" s="84">
        <f ca="1">IFERROR(__xludf.DUMMYFUNCTION("""COMPUTED_VALUE"""),22.33908525)</f>
        <v>22.33908525</v>
      </c>
      <c r="K343" s="88">
        <f ca="1">IFERROR(__xludf.DUMMYFUNCTION("""COMPUTED_VALUE"""),6.2)</f>
        <v>6.2</v>
      </c>
      <c r="L343" s="84" t="str">
        <f ca="1">IFERROR(__xludf.DUMMYFUNCTION("""COMPUTED_VALUE"""),"b")</f>
        <v>b</v>
      </c>
      <c r="M343" s="88">
        <f ca="1">IFERROR(__xludf.DUMMYFUNCTION("""COMPUTED_VALUE"""),120.1)</f>
        <v>120.1</v>
      </c>
      <c r="N343" s="84" t="str">
        <f ca="1">IFERROR(__xludf.DUMMYFUNCTION("""COMPUTED_VALUE"""),"b")</f>
        <v>b</v>
      </c>
      <c r="O343" s="88">
        <f ca="1">IFERROR(__xludf.DUMMYFUNCTION("""COMPUTED_VALUE"""),113.899999999999)</f>
        <v>113.899999999999</v>
      </c>
      <c r="P343" s="85" t="str">
        <f ca="1">IFERROR(__xludf.DUMMYFUNCTION("""COMPUTED_VALUE"""),"Manually edited due to API failing to attribute tower to podium as a child attribute.")</f>
        <v>Manually edited due to API failing to attribute tower to podium as a child attribute.</v>
      </c>
      <c r="Q343" s="75" t="b">
        <f ca="1">IFERROR(__xludf.DUMMYFUNCTION("""COMPUTED_VALUE"""),FALSE)</f>
        <v>0</v>
      </c>
      <c r="R343" s="75" t="b">
        <f ca="1">IFERROR(__xludf.DUMMYFUNCTION("""COMPUTED_VALUE"""),FALSE)</f>
        <v>0</v>
      </c>
      <c r="S343" s="75" t="b">
        <f ca="1">IFERROR(__xludf.DUMMYFUNCTION("""COMPUTED_VALUE"""),FALSE)</f>
        <v>0</v>
      </c>
      <c r="T343" s="75"/>
      <c r="U343" s="86">
        <f ca="1">IFERROR(__xludf.DUMMYFUNCTION("""COMPUTED_VALUE"""),31)</f>
        <v>31</v>
      </c>
      <c r="V343" s="84">
        <f ca="1">IFERROR(__xludf.DUMMYFUNCTION("""COMPUTED_VALUE"""),0)</f>
        <v>0</v>
      </c>
      <c r="W343" s="87">
        <f ca="1">IFERROR(__xludf.DUMMYFUNCTION("""COMPUTED_VALUE"""),175)</f>
        <v>175</v>
      </c>
      <c r="X343" s="84">
        <f ca="1">IFERROR(__xludf.DUMMYFUNCTION("""COMPUTED_VALUE"""),2015)</f>
        <v>2015</v>
      </c>
      <c r="Y343" s="84" t="str">
        <f ca="1">IFERROR(__xludf.DUMMYFUNCTION("""COMPUTED_VALUE"""),"BMIS")</f>
        <v>BMIS</v>
      </c>
      <c r="Z343" s="66" t="s">
        <v>2298</v>
      </c>
    </row>
    <row r="344" spans="1:26" ht="15.75" customHeight="1">
      <c r="A344" s="83" t="str">
        <f ca="1">IFERROR(__xludf.DUMMYFUNCTION("""COMPUTED_VALUE"""),"N27SE")</f>
        <v>N27SE</v>
      </c>
      <c r="B344" s="84">
        <f ca="1">IFERROR(__xludf.DUMMYFUNCTION("""COMPUTED_VALUE"""),27)</f>
        <v>27</v>
      </c>
      <c r="C344" s="84" t="str">
        <f ca="1">IFERROR(__xludf.DUMMYFUNCTION("""COMPUTED_VALUE"""),"SE")</f>
        <v>SE</v>
      </c>
      <c r="D344" s="339">
        <f ca="1">IFERROR(__xludf.DUMMYFUNCTION("""COMPUTED_VALUE"""),7200)</f>
        <v>7200</v>
      </c>
      <c r="E344" s="84" t="str">
        <f ca="1">IFERROR(__xludf.DUMMYFUNCTION("""COMPUTED_VALUE"""),"3412322196T20050430")</f>
        <v>3412322196T20050430</v>
      </c>
      <c r="F344" s="84">
        <f ca="1">IFERROR(__xludf.DUMMYFUNCTION("""COMPUTED_VALUE"""),1108222564)</f>
        <v>1108222564</v>
      </c>
      <c r="G344" s="83" t="str">
        <f ca="1">IFERROR(__xludf.DUMMYFUNCTION("""COMPUTED_VALUE"""),"Shun Lee Commercial Building")</f>
        <v>Shun Lee Commercial Building</v>
      </c>
      <c r="H344" s="84" t="str">
        <f ca="1">IFERROR(__xludf.DUMMYFUNCTION("""COMPUTED_VALUE"""),"順利商業大廈")</f>
        <v>順利商業大廈</v>
      </c>
      <c r="I344" s="84">
        <f ca="1">IFERROR(__xludf.DUMMYFUNCTION("""COMPUTED_VALUE"""),114.156074)</f>
        <v>114.156074</v>
      </c>
      <c r="J344" s="84">
        <f ca="1">IFERROR(__xludf.DUMMYFUNCTION("""COMPUTED_VALUE"""),22.33887784)</f>
        <v>22.338877839999999</v>
      </c>
      <c r="K344" s="88">
        <f ca="1">IFERROR(__xludf.DUMMYFUNCTION("""COMPUTED_VALUE"""),19.200001)</f>
        <v>19.200001</v>
      </c>
      <c r="L344" s="84" t="str">
        <f ca="1">IFERROR(__xludf.DUMMYFUNCTION("""COMPUTED_VALUE"""),"e")</f>
        <v>e</v>
      </c>
      <c r="M344" s="88">
        <f ca="1">IFERROR(__xludf.DUMMYFUNCTION("""COMPUTED_VALUE"""),84.199997)</f>
        <v>84.199996999999996</v>
      </c>
      <c r="N344" s="84" t="str">
        <f ca="1">IFERROR(__xludf.DUMMYFUNCTION("""COMPUTED_VALUE"""),"p")</f>
        <v>p</v>
      </c>
      <c r="O344" s="88">
        <f ca="1">IFERROR(__xludf.DUMMYFUNCTION("""COMPUTED_VALUE"""),64.999996)</f>
        <v>64.999995999999996</v>
      </c>
      <c r="P344" s="85"/>
      <c r="Q344" s="75" t="b">
        <f ca="1">IFERROR(__xludf.DUMMYFUNCTION("""COMPUTED_VALUE"""),FALSE)</f>
        <v>0</v>
      </c>
      <c r="R344" s="75" t="b">
        <f ca="1">IFERROR(__xludf.DUMMYFUNCTION("""COMPUTED_VALUE"""),FALSE)</f>
        <v>0</v>
      </c>
      <c r="S344" s="75" t="b">
        <f ca="1">IFERROR(__xludf.DUMMYFUNCTION("""COMPUTED_VALUE"""),FALSE)</f>
        <v>0</v>
      </c>
      <c r="T344" s="75"/>
      <c r="U344" s="86">
        <f ca="1">IFERROR(__xludf.DUMMYFUNCTION("""COMPUTED_VALUE"""),23)</f>
        <v>23</v>
      </c>
      <c r="V344" s="84">
        <f ca="1">IFERROR(__xludf.DUMMYFUNCTION("""COMPUTED_VALUE"""),0)</f>
        <v>0</v>
      </c>
      <c r="W344" s="87">
        <f ca="1">IFERROR(__xludf.DUMMYFUNCTION("""COMPUTED_VALUE"""),84)</f>
        <v>84</v>
      </c>
      <c r="X344" s="84">
        <f ca="1">IFERROR(__xludf.DUMMYFUNCTION("""COMPUTED_VALUE"""),1983)</f>
        <v>1983</v>
      </c>
      <c r="Y344" s="84" t="str">
        <f ca="1">IFERROR(__xludf.DUMMYFUNCTION("""COMPUTED_VALUE"""),"BMIS_auto")</f>
        <v>BMIS_auto</v>
      </c>
      <c r="Z344" s="66" t="s">
        <v>2300</v>
      </c>
    </row>
    <row r="345" spans="1:26" ht="15.75" customHeight="1">
      <c r="A345" s="83" t="str">
        <f ca="1">IFERROR(__xludf.DUMMYFUNCTION("""COMPUTED_VALUE"""),"N27SW")</f>
        <v>N27SW</v>
      </c>
      <c r="B345" s="84">
        <f ca="1">IFERROR(__xludf.DUMMYFUNCTION("""COMPUTED_VALUE"""),27)</f>
        <v>27</v>
      </c>
      <c r="C345" s="84" t="str">
        <f ca="1">IFERROR(__xludf.DUMMYFUNCTION("""COMPUTED_VALUE"""),"SW")</f>
        <v>SW</v>
      </c>
      <c r="D345" s="339">
        <f ca="1">IFERROR(__xludf.DUMMYFUNCTION("""COMPUTED_VALUE"""),7200)</f>
        <v>7200</v>
      </c>
      <c r="E345" s="84" t="str">
        <f ca="1">IFERROR(__xludf.DUMMYFUNCTION("""COMPUTED_VALUE"""),"3409522184T20050430")</f>
        <v>3409522184T20050430</v>
      </c>
      <c r="F345" s="84">
        <f ca="1">IFERROR(__xludf.DUMMYFUNCTION("""COMPUTED_VALUE"""),1108222663)</f>
        <v>1108222663</v>
      </c>
      <c r="G345" s="83" t="str">
        <f ca="1">IFERROR(__xludf.DUMMYFUNCTION("""COMPUTED_VALUE"""),"363 Castle Peak Road")</f>
        <v>363 Castle Peak Road</v>
      </c>
      <c r="H345" s="84"/>
      <c r="I345" s="84">
        <f ca="1">IFERROR(__xludf.DUMMYFUNCTION("""COMPUTED_VALUE"""),114.1557407)</f>
        <v>114.1557407</v>
      </c>
      <c r="J345" s="84">
        <f ca="1">IFERROR(__xludf.DUMMYFUNCTION("""COMPUTED_VALUE"""),22.33867798)</f>
        <v>22.33867798</v>
      </c>
      <c r="K345" s="88">
        <f ca="1">IFERROR(__xludf.DUMMYFUNCTION("""COMPUTED_VALUE"""),6)</f>
        <v>6</v>
      </c>
      <c r="L345" s="84" t="str">
        <f ca="1">IFERROR(__xludf.DUMMYFUNCTION("""COMPUTED_VALUE"""),"l")</f>
        <v>l</v>
      </c>
      <c r="M345" s="88">
        <f ca="1">IFERROR(__xludf.DUMMYFUNCTION("""COMPUTED_VALUE"""),31.700001)</f>
        <v>31.700001</v>
      </c>
      <c r="N345" s="84" t="str">
        <f ca="1">IFERROR(__xludf.DUMMYFUNCTION("""COMPUTED_VALUE"""),"p")</f>
        <v>p</v>
      </c>
      <c r="O345" s="88">
        <f ca="1">IFERROR(__xludf.DUMMYFUNCTION("""COMPUTED_VALUE"""),25.700001)</f>
        <v>25.700001</v>
      </c>
      <c r="P345" s="85"/>
      <c r="Q345" s="75" t="b">
        <f ca="1">IFERROR(__xludf.DUMMYFUNCTION("""COMPUTED_VALUE"""),FALSE)</f>
        <v>0</v>
      </c>
      <c r="R345" s="75" t="b">
        <f ca="1">IFERROR(__xludf.DUMMYFUNCTION("""COMPUTED_VALUE"""),FALSE)</f>
        <v>0</v>
      </c>
      <c r="S345" s="75" t="b">
        <f ca="1">IFERROR(__xludf.DUMMYFUNCTION("""COMPUTED_VALUE"""),TRUE)</f>
        <v>1</v>
      </c>
      <c r="T345" s="75"/>
      <c r="U345" s="86">
        <f ca="1">IFERROR(__xludf.DUMMYFUNCTION("""COMPUTED_VALUE"""),8)</f>
        <v>8</v>
      </c>
      <c r="V345" s="84">
        <f ca="1">IFERROR(__xludf.DUMMYFUNCTION("""COMPUTED_VALUE"""),0)</f>
        <v>0</v>
      </c>
      <c r="W345" s="87">
        <f ca="1">IFERROR(__xludf.DUMMYFUNCTION("""COMPUTED_VALUE"""),16)</f>
        <v>16</v>
      </c>
      <c r="X345" s="84">
        <f ca="1">IFERROR(__xludf.DUMMYFUNCTION("""COMPUTED_VALUE"""),1961)</f>
        <v>1961</v>
      </c>
      <c r="Y345" s="84" t="str">
        <f ca="1">IFERROR(__xludf.DUMMYFUNCTION("""COMPUTED_VALUE"""),"BMIS_auto")</f>
        <v>BMIS_auto</v>
      </c>
      <c r="Z345" s="66" t="s">
        <v>2302</v>
      </c>
    </row>
    <row r="346" spans="1:26" ht="15.75" customHeight="1">
      <c r="A346" s="83" t="str">
        <f ca="1">IFERROR(__xludf.DUMMYFUNCTION("""COMPUTED_VALUE"""),"N27NW")</f>
        <v>N27NW</v>
      </c>
      <c r="B346" s="84">
        <f ca="1">IFERROR(__xludf.DUMMYFUNCTION("""COMPUTED_VALUE"""),27)</f>
        <v>27</v>
      </c>
      <c r="C346" s="84" t="str">
        <f ca="1">IFERROR(__xludf.DUMMYFUNCTION("""COMPUTED_VALUE"""),"NW")</f>
        <v>NW</v>
      </c>
      <c r="D346" s="339">
        <f ca="1">IFERROR(__xludf.DUMMYFUNCTION("""COMPUTED_VALUE"""),7200)</f>
        <v>7200</v>
      </c>
      <c r="E346" s="84" t="str">
        <f ca="1">IFERROR(__xludf.DUMMYFUNCTION("""COMPUTED_VALUE"""),"3408022184T20050430")</f>
        <v>3408022184T20050430</v>
      </c>
      <c r="F346" s="84">
        <f ca="1">IFERROR(__xludf.DUMMYFUNCTION("""COMPUTED_VALUE"""),1108222641)</f>
        <v>1108222641</v>
      </c>
      <c r="G346" s="83" t="str">
        <f ca="1">IFERROR(__xludf.DUMMYFUNCTION("""COMPUTED_VALUE"""),"Po Sang Bank Building")</f>
        <v>Po Sang Bank Building</v>
      </c>
      <c r="H346" s="84" t="str">
        <f ca="1">IFERROR(__xludf.DUMMYFUNCTION("""COMPUTED_VALUE"""),"寶生銀行大廈")</f>
        <v>寶生銀行大廈</v>
      </c>
      <c r="I346" s="84">
        <f ca="1">IFERROR(__xludf.DUMMYFUNCTION("""COMPUTED_VALUE"""),114.1556512)</f>
        <v>114.15565119999999</v>
      </c>
      <c r="J346" s="84">
        <f ca="1">IFERROR(__xludf.DUMMYFUNCTION("""COMPUTED_VALUE"""),22.33873942)</f>
        <v>22.33873942</v>
      </c>
      <c r="K346" s="88">
        <f ca="1">IFERROR(__xludf.DUMMYFUNCTION("""COMPUTED_VALUE"""),19.799999)</f>
        <v>19.799999</v>
      </c>
      <c r="L346" s="84" t="str">
        <f ca="1">IFERROR(__xludf.DUMMYFUNCTION("""COMPUTED_VALUE"""),"p")</f>
        <v>p</v>
      </c>
      <c r="M346" s="88">
        <f ca="1">IFERROR(__xludf.DUMMYFUNCTION("""COMPUTED_VALUE"""),42.799999)</f>
        <v>42.799999</v>
      </c>
      <c r="N346" s="84" t="str">
        <f ca="1">IFERROR(__xludf.DUMMYFUNCTION("""COMPUTED_VALUE"""),"p")</f>
        <v>p</v>
      </c>
      <c r="O346" s="88">
        <f ca="1">IFERROR(__xludf.DUMMYFUNCTION("""COMPUTED_VALUE"""),23)</f>
        <v>23</v>
      </c>
      <c r="P346" s="85"/>
      <c r="Q346" s="75" t="b">
        <f ca="1">IFERROR(__xludf.DUMMYFUNCTION("""COMPUTED_VALUE"""),FALSE)</f>
        <v>0</v>
      </c>
      <c r="R346" s="75" t="b">
        <f ca="1">IFERROR(__xludf.DUMMYFUNCTION("""COMPUTED_VALUE"""),FALSE)</f>
        <v>0</v>
      </c>
      <c r="S346" s="75" t="b">
        <f ca="1">IFERROR(__xludf.DUMMYFUNCTION("""COMPUTED_VALUE"""),FALSE)</f>
        <v>0</v>
      </c>
      <c r="T346" s="75"/>
      <c r="U346" s="86">
        <f ca="1">IFERROR(__xludf.DUMMYFUNCTION("""COMPUTED_VALUE"""),11)</f>
        <v>11</v>
      </c>
      <c r="V346" s="84">
        <f ca="1">IFERROR(__xludf.DUMMYFUNCTION("""COMPUTED_VALUE"""),0)</f>
        <v>0</v>
      </c>
      <c r="W346" s="87">
        <f ca="1">IFERROR(__xludf.DUMMYFUNCTION("""COMPUTED_VALUE"""),44)</f>
        <v>44</v>
      </c>
      <c r="X346" s="84">
        <f ca="1">IFERROR(__xludf.DUMMYFUNCTION("""COMPUTED_VALUE"""),1985)</f>
        <v>1985</v>
      </c>
      <c r="Y346" s="84" t="str">
        <f ca="1">IFERROR(__xludf.DUMMYFUNCTION("""COMPUTED_VALUE"""),"BMIS_auto")</f>
        <v>BMIS_auto</v>
      </c>
      <c r="Z346" s="66" t="s">
        <v>2304</v>
      </c>
    </row>
    <row r="347" spans="1:26" ht="15.75" customHeight="1">
      <c r="A347" s="83" t="str">
        <f ca="1">IFERROR(__xludf.DUMMYFUNCTION("""COMPUTED_VALUE"""),"N28NE")</f>
        <v>N28NE</v>
      </c>
      <c r="B347" s="84">
        <f ca="1">IFERROR(__xludf.DUMMYFUNCTION("""COMPUTED_VALUE"""),28)</f>
        <v>28</v>
      </c>
      <c r="C347" s="84" t="str">
        <f ca="1">IFERROR(__xludf.DUMMYFUNCTION("""COMPUTED_VALUE"""),"NE")</f>
        <v>NE</v>
      </c>
      <c r="D347" s="339">
        <f ca="1">IFERROR(__xludf.DUMMYFUNCTION("""COMPUTED_VALUE"""),7400)</f>
        <v>7400</v>
      </c>
      <c r="E347" s="84" t="str">
        <f ca="1">IFERROR(__xludf.DUMMYFUNCTION("""COMPUTED_VALUE"""),"3394622348T20050430")</f>
        <v>3394622348T20050430</v>
      </c>
      <c r="F347" s="84">
        <f ca="1">IFERROR(__xludf.DUMMYFUNCTION("""COMPUTED_VALUE"""),1108222012)</f>
        <v>1108222012</v>
      </c>
      <c r="G347" s="83" t="str">
        <f ca="1">IFERROR(__xludf.DUMMYFUNCTION("""COMPUTED_VALUE"""),"Kincheng Commercial Centre")</f>
        <v>Kincheng Commercial Centre</v>
      </c>
      <c r="H347" s="84" t="str">
        <f ca="1">IFERROR(__xludf.DUMMYFUNCTION("""COMPUTED_VALUE"""),"金城商業中心")</f>
        <v>金城商業中心</v>
      </c>
      <c r="I347" s="84">
        <f ca="1">IFERROR(__xludf.DUMMYFUNCTION("""COMPUTED_VALUE"""),114.1543454)</f>
        <v>114.1543454</v>
      </c>
      <c r="J347" s="84">
        <f ca="1">IFERROR(__xludf.DUMMYFUNCTION("""COMPUTED_VALUE"""),22.34021483)</f>
        <v>22.340214830000001</v>
      </c>
      <c r="K347" s="88">
        <f ca="1">IFERROR(__xludf.DUMMYFUNCTION("""COMPUTED_VALUE"""),20.299999)</f>
        <v>20.299999</v>
      </c>
      <c r="L347" s="84" t="str">
        <f ca="1">IFERROR(__xludf.DUMMYFUNCTION("""COMPUTED_VALUE"""),"e")</f>
        <v>e</v>
      </c>
      <c r="M347" s="88">
        <f ca="1">IFERROR(__xludf.DUMMYFUNCTION("""COMPUTED_VALUE"""),84.699997)</f>
        <v>84.699996999999996</v>
      </c>
      <c r="N347" s="84" t="str">
        <f ca="1">IFERROR(__xludf.DUMMYFUNCTION("""COMPUTED_VALUE"""),"3")</f>
        <v>3</v>
      </c>
      <c r="O347" s="88">
        <f ca="1">IFERROR(__xludf.DUMMYFUNCTION("""COMPUTED_VALUE"""),64.399998)</f>
        <v>64.399997999999997</v>
      </c>
      <c r="P347" s="85"/>
      <c r="Q347" s="75" t="b">
        <f ca="1">IFERROR(__xludf.DUMMYFUNCTION("""COMPUTED_VALUE"""),FALSE)</f>
        <v>0</v>
      </c>
      <c r="R347" s="75" t="b">
        <f ca="1">IFERROR(__xludf.DUMMYFUNCTION("""COMPUTED_VALUE"""),FALSE)</f>
        <v>0</v>
      </c>
      <c r="S347" s="75" t="b">
        <f ca="1">IFERROR(__xludf.DUMMYFUNCTION("""COMPUTED_VALUE"""),FALSE)</f>
        <v>0</v>
      </c>
      <c r="T347" s="75"/>
      <c r="U347" s="86">
        <f ca="1">IFERROR(__xludf.DUMMYFUNCTION("""COMPUTED_VALUE"""),25)</f>
        <v>25</v>
      </c>
      <c r="V347" s="84">
        <f ca="1">IFERROR(__xludf.DUMMYFUNCTION("""COMPUTED_VALUE"""),0)</f>
        <v>0</v>
      </c>
      <c r="W347" s="87">
        <f ca="1">IFERROR(__xludf.DUMMYFUNCTION("""COMPUTED_VALUE"""),73)</f>
        <v>73</v>
      </c>
      <c r="X347" s="84">
        <f ca="1">IFERROR(__xludf.DUMMYFUNCTION("""COMPUTED_VALUE"""),1983)</f>
        <v>1983</v>
      </c>
      <c r="Y347" s="84" t="str">
        <f ca="1">IFERROR(__xludf.DUMMYFUNCTION("""COMPUTED_VALUE"""),"BMIS_auto")</f>
        <v>BMIS_auto</v>
      </c>
      <c r="Z347" s="66" t="s">
        <v>2306</v>
      </c>
    </row>
    <row r="348" spans="1:26" ht="15.75" customHeight="1">
      <c r="A348" s="83" t="str">
        <f ca="1">IFERROR(__xludf.DUMMYFUNCTION("""COMPUTED_VALUE"""),"N28SE")</f>
        <v>N28SE</v>
      </c>
      <c r="B348" s="84">
        <f ca="1">IFERROR(__xludf.DUMMYFUNCTION("""COMPUTED_VALUE"""),28)</f>
        <v>28</v>
      </c>
      <c r="C348" s="84" t="str">
        <f ca="1">IFERROR(__xludf.DUMMYFUNCTION("""COMPUTED_VALUE"""),"SE")</f>
        <v>SE</v>
      </c>
      <c r="D348" s="339">
        <f ca="1">IFERROR(__xludf.DUMMYFUNCTION("""COMPUTED_VALUE"""),7400)</f>
        <v>7400</v>
      </c>
      <c r="E348" s="84" t="str">
        <f ca="1">IFERROR(__xludf.DUMMYFUNCTION("""COMPUTED_VALUE"""),"3396422284T20050430")</f>
        <v>3396422284T20050430</v>
      </c>
      <c r="F348" s="84">
        <f ca="1">IFERROR(__xludf.DUMMYFUNCTION("""COMPUTED_VALUE"""),1108222229)</f>
        <v>1108222229</v>
      </c>
      <c r="G348" s="83" t="str">
        <f ca="1">IFERROR(__xludf.DUMMYFUNCTION("""COMPUTED_VALUE"""),"Tone King Building")</f>
        <v>Tone King Building</v>
      </c>
      <c r="H348" s="84" t="str">
        <f ca="1">IFERROR(__xludf.DUMMYFUNCTION("""COMPUTED_VALUE"""),"東景大廈")</f>
        <v>東景大廈</v>
      </c>
      <c r="I348" s="84">
        <f ca="1">IFERROR(__xludf.DUMMYFUNCTION("""COMPUTED_VALUE"""),114.1544415)</f>
        <v>114.1544415</v>
      </c>
      <c r="J348" s="84">
        <f ca="1">IFERROR(__xludf.DUMMYFUNCTION("""COMPUTED_VALUE"""),22.33967251)</f>
        <v>22.33967251</v>
      </c>
      <c r="K348" s="88">
        <f ca="1">IFERROR(__xludf.DUMMYFUNCTION("""COMPUTED_VALUE"""),21.200001)</f>
        <v>21.200001</v>
      </c>
      <c r="L348" s="84" t="str">
        <f ca="1">IFERROR(__xludf.DUMMYFUNCTION("""COMPUTED_VALUE"""),"e")</f>
        <v>e</v>
      </c>
      <c r="M348" s="88">
        <f ca="1">IFERROR(__xludf.DUMMYFUNCTION("""COMPUTED_VALUE"""),89.099998)</f>
        <v>89.099997999999999</v>
      </c>
      <c r="N348" s="84" t="str">
        <f ca="1">IFERROR(__xludf.DUMMYFUNCTION("""COMPUTED_VALUE"""),"p")</f>
        <v>p</v>
      </c>
      <c r="O348" s="88">
        <f ca="1">IFERROR(__xludf.DUMMYFUNCTION("""COMPUTED_VALUE"""),67.899997)</f>
        <v>67.899996999999999</v>
      </c>
      <c r="P348" s="85"/>
      <c r="Q348" s="75" t="b">
        <f ca="1">IFERROR(__xludf.DUMMYFUNCTION("""COMPUTED_VALUE"""),FALSE)</f>
        <v>0</v>
      </c>
      <c r="R348" s="75" t="b">
        <f ca="1">IFERROR(__xludf.DUMMYFUNCTION("""COMPUTED_VALUE"""),FALSE)</f>
        <v>0</v>
      </c>
      <c r="S348" s="75" t="b">
        <f ca="1">IFERROR(__xludf.DUMMYFUNCTION("""COMPUTED_VALUE"""),FALSE)</f>
        <v>0</v>
      </c>
      <c r="T348" s="75"/>
      <c r="U348" s="86">
        <f ca="1">IFERROR(__xludf.DUMMYFUNCTION("""COMPUTED_VALUE"""),26)</f>
        <v>26</v>
      </c>
      <c r="V348" s="84">
        <f ca="1">IFERROR(__xludf.DUMMYFUNCTION("""COMPUTED_VALUE"""),0)</f>
        <v>0</v>
      </c>
      <c r="W348" s="87">
        <f ca="1">IFERROR(__xludf.DUMMYFUNCTION("""COMPUTED_VALUE"""),92)</f>
        <v>92</v>
      </c>
      <c r="X348" s="84">
        <f ca="1">IFERROR(__xludf.DUMMYFUNCTION("""COMPUTED_VALUE"""),1990)</f>
        <v>1990</v>
      </c>
      <c r="Y348" s="84" t="str">
        <f ca="1">IFERROR(__xludf.DUMMYFUNCTION("""COMPUTED_VALUE"""),"BMIS")</f>
        <v>BMIS</v>
      </c>
      <c r="Z348" s="66" t="s">
        <v>2308</v>
      </c>
    </row>
    <row r="349" spans="1:26" ht="15.75" customHeight="1">
      <c r="A349" s="83" t="str">
        <f ca="1">IFERROR(__xludf.DUMMYFUNCTION("""COMPUTED_VALUE"""),"N28SW")</f>
        <v>N28SW</v>
      </c>
      <c r="B349" s="84">
        <f ca="1">IFERROR(__xludf.DUMMYFUNCTION("""COMPUTED_VALUE"""),28)</f>
        <v>28</v>
      </c>
      <c r="C349" s="84" t="str">
        <f ca="1">IFERROR(__xludf.DUMMYFUNCTION("""COMPUTED_VALUE"""),"SW")</f>
        <v>SW</v>
      </c>
      <c r="D349" s="339">
        <f ca="1">IFERROR(__xludf.DUMMYFUNCTION("""COMPUTED_VALUE"""),7400)</f>
        <v>7400</v>
      </c>
      <c r="E349" s="84" t="str">
        <f ca="1">IFERROR(__xludf.DUMMYFUNCTION("""COMPUTED_VALUE"""),"3398322310T20150522")</f>
        <v>3398322310T20150522</v>
      </c>
      <c r="F349" s="84">
        <f ca="1">IFERROR(__xludf.DUMMYFUNCTION("""COMPUTED_VALUE"""),1810142493)</f>
        <v>1810142493</v>
      </c>
      <c r="G349" s="83" t="str">
        <f ca="1">IFERROR(__xludf.DUMMYFUNCTION("""COMPUTED_VALUE"""),"Heya Delight")</f>
        <v>Heya Delight</v>
      </c>
      <c r="H349" s="84" t="str">
        <f ca="1">IFERROR(__xludf.DUMMYFUNCTION("""COMPUTED_VALUE"""),"喜盈")</f>
        <v>喜盈</v>
      </c>
      <c r="I349" s="84">
        <f ca="1">IFERROR(__xludf.DUMMYFUNCTION("""COMPUTED_VALUE"""),114.1547453)</f>
        <v>114.1547453</v>
      </c>
      <c r="J349" s="84">
        <f ca="1">IFERROR(__xludf.DUMMYFUNCTION("""COMPUTED_VALUE"""),22.33990773)</f>
        <v>22.33990773</v>
      </c>
      <c r="K349" s="88">
        <f ca="1">IFERROR(__xludf.DUMMYFUNCTION("""COMPUTED_VALUE"""),33.200001)</f>
        <v>33.200001</v>
      </c>
      <c r="L349" s="84" t="str">
        <f ca="1">IFERROR(__xludf.DUMMYFUNCTION("""COMPUTED_VALUE"""),"b")</f>
        <v>b</v>
      </c>
      <c r="M349" s="88">
        <f ca="1">IFERROR(__xludf.DUMMYFUNCTION("""COMPUTED_VALUE"""),120.099998)</f>
        <v>120.099998</v>
      </c>
      <c r="N349" s="84" t="str">
        <f ca="1">IFERROR(__xludf.DUMMYFUNCTION("""COMPUTED_VALUE"""),"g")</f>
        <v>g</v>
      </c>
      <c r="O349" s="88">
        <f ca="1">IFERROR(__xludf.DUMMYFUNCTION("""COMPUTED_VALUE"""),86.899997)</f>
        <v>86.899996999999999</v>
      </c>
      <c r="P349" s="85"/>
      <c r="Q349" s="75" t="b">
        <f ca="1">IFERROR(__xludf.DUMMYFUNCTION("""COMPUTED_VALUE"""),FALSE)</f>
        <v>0</v>
      </c>
      <c r="R349" s="75" t="b">
        <f ca="1">IFERROR(__xludf.DUMMYFUNCTION("""COMPUTED_VALUE"""),FALSE)</f>
        <v>0</v>
      </c>
      <c r="S349" s="75" t="b">
        <f ca="1">IFERROR(__xludf.DUMMYFUNCTION("""COMPUTED_VALUE"""),FALSE)</f>
        <v>0</v>
      </c>
      <c r="T349" s="75"/>
      <c r="U349" s="86">
        <f ca="1">IFERROR(__xludf.DUMMYFUNCTION("""COMPUTED_VALUE"""),33)</f>
        <v>33</v>
      </c>
      <c r="V349" s="84">
        <f ca="1">IFERROR(__xludf.DUMMYFUNCTION("""COMPUTED_VALUE"""),0)</f>
        <v>0</v>
      </c>
      <c r="W349" s="87">
        <f ca="1">IFERROR(__xludf.DUMMYFUNCTION("""COMPUTED_VALUE"""),130)</f>
        <v>130</v>
      </c>
      <c r="X349" s="84">
        <f ca="1">IFERROR(__xludf.DUMMYFUNCTION("""COMPUTED_VALUE"""),2015)</f>
        <v>2015</v>
      </c>
      <c r="Y349" s="84" t="str">
        <f ca="1">IFERROR(__xludf.DUMMYFUNCTION("""COMPUTED_VALUE"""),"BMIS")</f>
        <v>BMIS</v>
      </c>
      <c r="Z349" s="66" t="s">
        <v>2310</v>
      </c>
    </row>
    <row r="350" spans="1:26" ht="15.75" customHeight="1">
      <c r="A350" s="83" t="str">
        <f ca="1">IFERROR(__xludf.DUMMYFUNCTION("""COMPUTED_VALUE"""),"N28NW")</f>
        <v>N28NW</v>
      </c>
      <c r="B350" s="84">
        <f ca="1">IFERROR(__xludf.DUMMYFUNCTION("""COMPUTED_VALUE"""),28)</f>
        <v>28</v>
      </c>
      <c r="C350" s="84" t="str">
        <f ca="1">IFERROR(__xludf.DUMMYFUNCTION("""COMPUTED_VALUE"""),"NW")</f>
        <v>NW</v>
      </c>
      <c r="D350" s="339">
        <f ca="1">IFERROR(__xludf.DUMMYFUNCTION("""COMPUTED_VALUE"""),7400)</f>
        <v>7400</v>
      </c>
      <c r="E350" s="84" t="str">
        <f ca="1">IFERROR(__xludf.DUMMYFUNCTION("""COMPUTED_VALUE"""),"3392222314T20050430")</f>
        <v>3392222314T20050430</v>
      </c>
      <c r="F350" s="84">
        <f ca="1">IFERROR(__xludf.DUMMYFUNCTION("""COMPUTED_VALUE"""),1108222109)</f>
        <v>1108222109</v>
      </c>
      <c r="G350" s="83" t="str">
        <f ca="1">IFERROR(__xludf.DUMMYFUNCTION("""COMPUTED_VALUE"""),"Florence Plaza")</f>
        <v>Florence Plaza</v>
      </c>
      <c r="H350" s="84" t="str">
        <f ca="1">IFERROR(__xludf.DUMMYFUNCTION("""COMPUTED_VALUE"""),"富華廣場")</f>
        <v>富華廣場</v>
      </c>
      <c r="I350" s="84">
        <f ca="1">IFERROR(__xludf.DUMMYFUNCTION("""COMPUTED_VALUE"""),114.1540382)</f>
        <v>114.1540382</v>
      </c>
      <c r="J350" s="84">
        <f ca="1">IFERROR(__xludf.DUMMYFUNCTION("""COMPUTED_VALUE"""),22.33988632)</f>
        <v>22.339886320000002</v>
      </c>
      <c r="K350" s="88">
        <f ca="1">IFERROR(__xludf.DUMMYFUNCTION("""COMPUTED_VALUE"""),19.299999)</f>
        <v>19.299999</v>
      </c>
      <c r="L350" s="84" t="str">
        <f ca="1">IFERROR(__xludf.DUMMYFUNCTION("""COMPUTED_VALUE"""),"e")</f>
        <v>e</v>
      </c>
      <c r="M350" s="88">
        <f ca="1">IFERROR(__xludf.DUMMYFUNCTION("""COMPUTED_VALUE"""),115.099998)</f>
        <v>115.099998</v>
      </c>
      <c r="N350" s="84" t="str">
        <f ca="1">IFERROR(__xludf.DUMMYFUNCTION("""COMPUTED_VALUE"""),"3")</f>
        <v>3</v>
      </c>
      <c r="O350" s="88">
        <f ca="1">IFERROR(__xludf.DUMMYFUNCTION("""COMPUTED_VALUE"""),95.799999)</f>
        <v>95.799999</v>
      </c>
      <c r="P350" s="85"/>
      <c r="Q350" s="75" t="b">
        <f ca="1">IFERROR(__xludf.DUMMYFUNCTION("""COMPUTED_VALUE"""),FALSE)</f>
        <v>0</v>
      </c>
      <c r="R350" s="75" t="b">
        <f ca="1">IFERROR(__xludf.DUMMYFUNCTION("""COMPUTED_VALUE"""),FALSE)</f>
        <v>0</v>
      </c>
      <c r="S350" s="75" t="b">
        <f ca="1">IFERROR(__xludf.DUMMYFUNCTION("""COMPUTED_VALUE"""),FALSE)</f>
        <v>0</v>
      </c>
      <c r="T350" s="75"/>
      <c r="U350" s="86">
        <f ca="1">IFERROR(__xludf.DUMMYFUNCTION("""COMPUTED_VALUE"""),36)</f>
        <v>36</v>
      </c>
      <c r="V350" s="84"/>
      <c r="W350" s="87">
        <f ca="1">IFERROR(__xludf.DUMMYFUNCTION("""COMPUTED_VALUE"""),198)</f>
        <v>198</v>
      </c>
      <c r="X350" s="84">
        <f ca="1">IFERROR(__xludf.DUMMYFUNCTION("""COMPUTED_VALUE"""),1997)</f>
        <v>1997</v>
      </c>
      <c r="Y350" s="84" t="str">
        <f ca="1">IFERROR(__xludf.DUMMYFUNCTION("""COMPUTED_VALUE"""),"BMIS_auto")</f>
        <v>BMIS_auto</v>
      </c>
      <c r="Z350" s="66" t="s">
        <v>2312</v>
      </c>
    </row>
    <row r="351" spans="1:26" ht="15.75" customHeight="1">
      <c r="A351" s="83" t="str">
        <f ca="1">IFERROR(__xludf.DUMMYFUNCTION("""COMPUTED_VALUE"""),"N29NE")</f>
        <v>N29NE</v>
      </c>
      <c r="B351" s="84">
        <f ca="1">IFERROR(__xludf.DUMMYFUNCTION("""COMPUTED_VALUE"""),29)</f>
        <v>29</v>
      </c>
      <c r="C351" s="84" t="str">
        <f ca="1">IFERROR(__xludf.DUMMYFUNCTION("""COMPUTED_VALUE"""),"NE")</f>
        <v>NE</v>
      </c>
      <c r="D351" s="339">
        <f ca="1">IFERROR(__xludf.DUMMYFUNCTION("""COMPUTED_VALUE"""),7600)</f>
        <v>7600</v>
      </c>
      <c r="E351" s="84" t="str">
        <f ca="1">IFERROR(__xludf.DUMMYFUNCTION("""COMPUTED_VALUE"""),"3374022339T20050430")</f>
        <v>3374022339T20050430</v>
      </c>
      <c r="F351" s="84">
        <f ca="1">IFERROR(__xludf.DUMMYFUNCTION("""COMPUTED_VALUE"""),1108222026)</f>
        <v>1108222026</v>
      </c>
      <c r="G351" s="83" t="str">
        <f ca="1">IFERROR(__xludf.DUMMYFUNCTION("""COMPUTED_VALUE"""),"Por Yen Building")</f>
        <v>Por Yen Building</v>
      </c>
      <c r="H351" s="84" t="str">
        <f ca="1">IFERROR(__xludf.DUMMYFUNCTION("""COMPUTED_VALUE"""),"百欣大廈")</f>
        <v>百欣大廈</v>
      </c>
      <c r="I351" s="84">
        <f ca="1">IFERROR(__xludf.DUMMYFUNCTION("""COMPUTED_VALUE"""),114.1523486)</f>
        <v>114.1523486</v>
      </c>
      <c r="J351" s="84">
        <f ca="1">IFERROR(__xludf.DUMMYFUNCTION("""COMPUTED_VALUE"""),22.34009309)</f>
        <v>22.34009309</v>
      </c>
      <c r="K351" s="88">
        <f ca="1">IFERROR(__xludf.DUMMYFUNCTION("""COMPUTED_VALUE"""),6.1)</f>
        <v>6.1</v>
      </c>
      <c r="L351" s="84" t="str">
        <f ca="1">IFERROR(__xludf.DUMMYFUNCTION("""COMPUTED_VALUE"""),"e")</f>
        <v>e</v>
      </c>
      <c r="M351" s="88">
        <f ca="1">IFERROR(__xludf.DUMMYFUNCTION("""COMPUTED_VALUE"""),54.599998)</f>
        <v>54.599997999999999</v>
      </c>
      <c r="N351" s="84" t="str">
        <f ca="1">IFERROR(__xludf.DUMMYFUNCTION("""COMPUTED_VALUE"""),"p")</f>
        <v>p</v>
      </c>
      <c r="O351" s="88">
        <f ca="1">IFERROR(__xludf.DUMMYFUNCTION("""COMPUTED_VALUE"""),48.499998)</f>
        <v>48.499997999999998</v>
      </c>
      <c r="P351" s="85"/>
      <c r="Q351" s="75" t="b">
        <f ca="1">IFERROR(__xludf.DUMMYFUNCTION("""COMPUTED_VALUE"""),FALSE)</f>
        <v>0</v>
      </c>
      <c r="R351" s="75" t="b">
        <f ca="1">IFERROR(__xludf.DUMMYFUNCTION("""COMPUTED_VALUE"""),FALSE)</f>
        <v>0</v>
      </c>
      <c r="S351" s="75" t="b">
        <f ca="1">IFERROR(__xludf.DUMMYFUNCTION("""COMPUTED_VALUE"""),FALSE)</f>
        <v>0</v>
      </c>
      <c r="T351" s="75"/>
      <c r="U351" s="86">
        <f ca="1">IFERROR(__xludf.DUMMYFUNCTION("""COMPUTED_VALUE"""),14)</f>
        <v>14</v>
      </c>
      <c r="V351" s="84">
        <f ca="1">IFERROR(__xludf.DUMMYFUNCTION("""COMPUTED_VALUE"""),0)</f>
        <v>0</v>
      </c>
      <c r="W351" s="87">
        <f ca="1">IFERROR(__xludf.DUMMYFUNCTION("""COMPUTED_VALUE"""),18)</f>
        <v>18</v>
      </c>
      <c r="X351" s="84">
        <f ca="1">IFERROR(__xludf.DUMMYFUNCTION("""COMPUTED_VALUE"""),1971)</f>
        <v>1971</v>
      </c>
      <c r="Y351" s="84" t="str">
        <f ca="1">IFERROR(__xludf.DUMMYFUNCTION("""COMPUTED_VALUE"""),"BMIS")</f>
        <v>BMIS</v>
      </c>
      <c r="Z351" s="66" t="s">
        <v>2314</v>
      </c>
    </row>
    <row r="352" spans="1:26" ht="15.75" customHeight="1">
      <c r="A352" s="83" t="str">
        <f ca="1">IFERROR(__xludf.DUMMYFUNCTION("""COMPUTED_VALUE"""),"N29SE")</f>
        <v>N29SE</v>
      </c>
      <c r="B352" s="84">
        <f ca="1">IFERROR(__xludf.DUMMYFUNCTION("""COMPUTED_VALUE"""),29)</f>
        <v>29</v>
      </c>
      <c r="C352" s="84" t="str">
        <f ca="1">IFERROR(__xludf.DUMMYFUNCTION("""COMPUTED_VALUE"""),"SE")</f>
        <v>SE</v>
      </c>
      <c r="D352" s="339">
        <f ca="1">IFERROR(__xludf.DUMMYFUNCTION("""COMPUTED_VALUE"""),7600)</f>
        <v>7600</v>
      </c>
      <c r="E352" s="84" t="str">
        <f ca="1">IFERROR(__xludf.DUMMYFUNCTION("""COMPUTED_VALUE"""),"3376022337T20050430")</f>
        <v>3376022337T20050430</v>
      </c>
      <c r="F352" s="84">
        <f ca="1">IFERROR(__xludf.DUMMYFUNCTION("""COMPUTED_VALUE"""),1108222031)</f>
        <v>1108222031</v>
      </c>
      <c r="G352" s="83" t="str">
        <f ca="1">IFERROR(__xludf.DUMMYFUNCTION("""COMPUTED_VALUE"""),"Park Building")</f>
        <v>Park Building</v>
      </c>
      <c r="H352" s="84" t="str">
        <f ca="1">IFERROR(__xludf.DUMMYFUNCTION("""COMPUTED_VALUE"""),"百佳商業中心")</f>
        <v>百佳商業中心</v>
      </c>
      <c r="I352" s="84">
        <f ca="1">IFERROR(__xludf.DUMMYFUNCTION("""COMPUTED_VALUE"""),114.1525312)</f>
        <v>114.1525312</v>
      </c>
      <c r="J352" s="84">
        <f ca="1">IFERROR(__xludf.DUMMYFUNCTION("""COMPUTED_VALUE"""),22.34015824)</f>
        <v>22.340158240000001</v>
      </c>
      <c r="K352" s="88">
        <f ca="1">IFERROR(__xludf.DUMMYFUNCTION("""COMPUTED_VALUE"""),21.1)</f>
        <v>21.1</v>
      </c>
      <c r="L352" s="84" t="str">
        <f ca="1">IFERROR(__xludf.DUMMYFUNCTION("""COMPUTED_VALUE"""),"e")</f>
        <v>e</v>
      </c>
      <c r="M352" s="88">
        <f ca="1">IFERROR(__xludf.DUMMYFUNCTION("""COMPUTED_VALUE"""),81.199997)</f>
        <v>81.199996999999996</v>
      </c>
      <c r="N352" s="84" t="str">
        <f ca="1">IFERROR(__xludf.DUMMYFUNCTION("""COMPUTED_VALUE"""),"3")</f>
        <v>3</v>
      </c>
      <c r="O352" s="88">
        <f ca="1">IFERROR(__xludf.DUMMYFUNCTION("""COMPUTED_VALUE"""),60.099997)</f>
        <v>60.099997000000002</v>
      </c>
      <c r="P352" s="85"/>
      <c r="Q352" s="75" t="b">
        <f ca="1">IFERROR(__xludf.DUMMYFUNCTION("""COMPUTED_VALUE"""),FALSE)</f>
        <v>0</v>
      </c>
      <c r="R352" s="75" t="b">
        <f ca="1">IFERROR(__xludf.DUMMYFUNCTION("""COMPUTED_VALUE"""),FALSE)</f>
        <v>0</v>
      </c>
      <c r="S352" s="75" t="b">
        <f ca="1">IFERROR(__xludf.DUMMYFUNCTION("""COMPUTED_VALUE"""),FALSE)</f>
        <v>0</v>
      </c>
      <c r="T352" s="75"/>
      <c r="U352" s="86">
        <f ca="1">IFERROR(__xludf.DUMMYFUNCTION("""COMPUTED_VALUE"""),22)</f>
        <v>22</v>
      </c>
      <c r="V352" s="84">
        <f ca="1">IFERROR(__xludf.DUMMYFUNCTION("""COMPUTED_VALUE"""),0)</f>
        <v>0</v>
      </c>
      <c r="W352" s="87">
        <f ca="1">IFERROR(__xludf.DUMMYFUNCTION("""COMPUTED_VALUE"""),88)</f>
        <v>88</v>
      </c>
      <c r="X352" s="84">
        <f ca="1">IFERROR(__xludf.DUMMYFUNCTION("""COMPUTED_VALUE"""),1984)</f>
        <v>1984</v>
      </c>
      <c r="Y352" s="84" t="str">
        <f ca="1">IFERROR(__xludf.DUMMYFUNCTION("""COMPUTED_VALUE"""),"BMIS_auto")</f>
        <v>BMIS_auto</v>
      </c>
      <c r="Z352" s="66" t="s">
        <v>2316</v>
      </c>
    </row>
    <row r="353" spans="1:26" ht="15.75" customHeight="1">
      <c r="A353" s="83" t="str">
        <f ca="1">IFERROR(__xludf.DUMMYFUNCTION("""COMPUTED_VALUE"""),"N29SW")</f>
        <v>N29SW</v>
      </c>
      <c r="B353" s="84">
        <f ca="1">IFERROR(__xludf.DUMMYFUNCTION("""COMPUTED_VALUE"""),29)</f>
        <v>29</v>
      </c>
      <c r="C353" s="84" t="str">
        <f ca="1">IFERROR(__xludf.DUMMYFUNCTION("""COMPUTED_VALUE"""),"SW")</f>
        <v>SW</v>
      </c>
      <c r="D353" s="339">
        <f ca="1">IFERROR(__xludf.DUMMYFUNCTION("""COMPUTED_VALUE"""),7600)</f>
        <v>7600</v>
      </c>
      <c r="E353" s="84" t="str">
        <f ca="1">IFERROR(__xludf.DUMMYFUNCTION("""COMPUTED_VALUE"""),"3380722302T20050511")</f>
        <v>3380722302T20050511</v>
      </c>
      <c r="F353" s="84">
        <f ca="1">IFERROR(__xludf.DUMMYFUNCTION("""COMPUTED_VALUE"""),1108222149)</f>
        <v>1108222149</v>
      </c>
      <c r="G353" s="83" t="str">
        <f ca="1">IFERROR(__xludf.DUMMYFUNCTION("""COMPUTED_VALUE"""),"Federal Mansion Block A")</f>
        <v>Federal Mansion Block A</v>
      </c>
      <c r="H353" s="84" t="str">
        <f ca="1">IFERROR(__xludf.DUMMYFUNCTION("""COMPUTED_VALUE"""),"聯邦閣Ａ座")</f>
        <v>聯邦閣Ａ座</v>
      </c>
      <c r="I353" s="84">
        <f ca="1">IFERROR(__xludf.DUMMYFUNCTION("""COMPUTED_VALUE"""),114.1530379)</f>
        <v>114.1530379</v>
      </c>
      <c r="J353" s="84">
        <f ca="1">IFERROR(__xludf.DUMMYFUNCTION("""COMPUTED_VALUE"""),22.33972013)</f>
        <v>22.33972013</v>
      </c>
      <c r="K353" s="88">
        <f ca="1">IFERROR(__xludf.DUMMYFUNCTION("""COMPUTED_VALUE"""),6)</f>
        <v>6</v>
      </c>
      <c r="L353" s="84" t="str">
        <f ca="1">IFERROR(__xludf.DUMMYFUNCTION("""COMPUTED_VALUE"""),"l")</f>
        <v>l</v>
      </c>
      <c r="M353" s="88">
        <f ca="1">IFERROR(__xludf.DUMMYFUNCTION("""COMPUTED_VALUE"""),43.5)</f>
        <v>43.5</v>
      </c>
      <c r="N353" s="84" t="str">
        <f ca="1">IFERROR(__xludf.DUMMYFUNCTION("""COMPUTED_VALUE"""),"e")</f>
        <v>e</v>
      </c>
      <c r="O353" s="88">
        <f ca="1">IFERROR(__xludf.DUMMYFUNCTION("""COMPUTED_VALUE"""),37.5)</f>
        <v>37.5</v>
      </c>
      <c r="P353" s="85" t="str">
        <f ca="1">IFERROR(__xludf.DUMMYFUNCTION("""COMPUTED_VALUE"""),"Manually edited due to API failing to attribute tower to podium as a child attribute.")</f>
        <v>Manually edited due to API failing to attribute tower to podium as a child attribute.</v>
      </c>
      <c r="Q353" s="75" t="b">
        <f ca="1">IFERROR(__xludf.DUMMYFUNCTION("""COMPUTED_VALUE"""),FALSE)</f>
        <v>0</v>
      </c>
      <c r="R353" s="75" t="b">
        <f ca="1">IFERROR(__xludf.DUMMYFUNCTION("""COMPUTED_VALUE"""),FALSE)</f>
        <v>0</v>
      </c>
      <c r="S353" s="75" t="b">
        <f ca="1">IFERROR(__xludf.DUMMYFUNCTION("""COMPUTED_VALUE"""),FALSE)</f>
        <v>0</v>
      </c>
      <c r="T353" s="75"/>
      <c r="U353" s="86">
        <f ca="1">IFERROR(__xludf.DUMMYFUNCTION("""COMPUTED_VALUE"""),12)</f>
        <v>12</v>
      </c>
      <c r="V353" s="84">
        <f ca="1">IFERROR(__xludf.DUMMYFUNCTION("""COMPUTED_VALUE"""),0)</f>
        <v>0</v>
      </c>
      <c r="W353" s="87">
        <f ca="1">IFERROR(__xludf.DUMMYFUNCTION("""COMPUTED_VALUE"""),32)</f>
        <v>32</v>
      </c>
      <c r="X353" s="84">
        <f ca="1">IFERROR(__xludf.DUMMYFUNCTION("""COMPUTED_VALUE"""),1981)</f>
        <v>1981</v>
      </c>
      <c r="Y353" s="84" t="str">
        <f ca="1">IFERROR(__xludf.DUMMYFUNCTION("""COMPUTED_VALUE"""),"Google Earth+BMIS")</f>
        <v>Google Earth+BMIS</v>
      </c>
      <c r="Z353" s="66" t="s">
        <v>2318</v>
      </c>
    </row>
    <row r="354" spans="1:26" ht="15.75" customHeight="1">
      <c r="A354" s="83" t="str">
        <f ca="1">IFERROR(__xludf.DUMMYFUNCTION("""COMPUTED_VALUE"""),"N29NW")</f>
        <v>N29NW</v>
      </c>
      <c r="B354" s="84">
        <f ca="1">IFERROR(__xludf.DUMMYFUNCTION("""COMPUTED_VALUE"""),29)</f>
        <v>29</v>
      </c>
      <c r="C354" s="84" t="str">
        <f ca="1">IFERROR(__xludf.DUMMYFUNCTION("""COMPUTED_VALUE"""),"NW")</f>
        <v>NW</v>
      </c>
      <c r="D354" s="339">
        <f ca="1">IFERROR(__xludf.DUMMYFUNCTION("""COMPUTED_VALUE"""),7600)</f>
        <v>7600</v>
      </c>
      <c r="E354" s="84" t="str">
        <f ca="1">IFERROR(__xludf.DUMMYFUNCTION("""COMPUTED_VALUE"""),"3376122297T20050430")</f>
        <v>3376122297T20050430</v>
      </c>
      <c r="F354" s="84">
        <f ca="1">IFERROR(__xludf.DUMMYFUNCTION("""COMPUTED_VALUE"""),1108222206)</f>
        <v>1108222206</v>
      </c>
      <c r="G354" s="83" t="str">
        <f ca="1">IFERROR(__xludf.DUMMYFUNCTION("""COMPUTED_VALUE"""),"473 Castle Peak Road")</f>
        <v>473 Castle Peak Road</v>
      </c>
      <c r="H354" s="84"/>
      <c r="I354" s="84">
        <f ca="1">IFERROR(__xludf.DUMMYFUNCTION("""COMPUTED_VALUE"""),114.1525137)</f>
        <v>114.1525137</v>
      </c>
      <c r="J354" s="84">
        <f ca="1">IFERROR(__xludf.DUMMYFUNCTION("""COMPUTED_VALUE"""),22.33972609)</f>
        <v>22.339726089999999</v>
      </c>
      <c r="K354" s="88">
        <f ca="1">IFERROR(__xludf.DUMMYFUNCTION("""COMPUTED_VALUE"""),6.1)</f>
        <v>6.1</v>
      </c>
      <c r="L354" s="84" t="str">
        <f ca="1">IFERROR(__xludf.DUMMYFUNCTION("""COMPUTED_VALUE"""),"o")</f>
        <v>o</v>
      </c>
      <c r="M354" s="88">
        <f ca="1">IFERROR(__xludf.DUMMYFUNCTION("""COMPUTED_VALUE"""),32.599998)</f>
        <v>32.599997999999999</v>
      </c>
      <c r="N354" s="84" t="str">
        <f ca="1">IFERROR(__xludf.DUMMYFUNCTION("""COMPUTED_VALUE"""),"p")</f>
        <v>p</v>
      </c>
      <c r="O354" s="88">
        <f ca="1">IFERROR(__xludf.DUMMYFUNCTION("""COMPUTED_VALUE"""),26.499998)</f>
        <v>26.499998000000001</v>
      </c>
      <c r="P354" s="85"/>
      <c r="Q354" s="75" t="b">
        <f ca="1">IFERROR(__xludf.DUMMYFUNCTION("""COMPUTED_VALUE"""),FALSE)</f>
        <v>0</v>
      </c>
      <c r="R354" s="75" t="b">
        <f ca="1">IFERROR(__xludf.DUMMYFUNCTION("""COMPUTED_VALUE"""),FALSE)</f>
        <v>0</v>
      </c>
      <c r="S354" s="75" t="b">
        <f ca="1">IFERROR(__xludf.DUMMYFUNCTION("""COMPUTED_VALUE"""),TRUE)</f>
        <v>1</v>
      </c>
      <c r="T354" s="75"/>
      <c r="U354" s="86">
        <f ca="1">IFERROR(__xludf.DUMMYFUNCTION("""COMPUTED_VALUE"""),9)</f>
        <v>9</v>
      </c>
      <c r="V354" s="84">
        <f ca="1">IFERROR(__xludf.DUMMYFUNCTION("""COMPUTED_VALUE"""),0)</f>
        <v>0</v>
      </c>
      <c r="W354" s="87">
        <f ca="1">IFERROR(__xludf.DUMMYFUNCTION("""COMPUTED_VALUE"""),52)</f>
        <v>52</v>
      </c>
      <c r="X354" s="84">
        <f ca="1">IFERROR(__xludf.DUMMYFUNCTION("""COMPUTED_VALUE"""),1959)</f>
        <v>1959</v>
      </c>
      <c r="Y354" s="84" t="str">
        <f ca="1">IFERROR(__xludf.DUMMYFUNCTION("""COMPUTED_VALUE"""),"BMIS_auto")</f>
        <v>BMIS_auto</v>
      </c>
      <c r="Z354" s="66" t="s">
        <v>2320</v>
      </c>
    </row>
    <row r="355" spans="1:26" ht="15.75" customHeight="1">
      <c r="A355" s="83" t="str">
        <f ca="1">IFERROR(__xludf.DUMMYFUNCTION("""COMPUTED_VALUE"""),"N30NE")</f>
        <v>N30NE</v>
      </c>
      <c r="B355" s="84">
        <f ca="1">IFERROR(__xludf.DUMMYFUNCTION("""COMPUTED_VALUE"""),30)</f>
        <v>30</v>
      </c>
      <c r="C355" s="84" t="str">
        <f ca="1">IFERROR(__xludf.DUMMYFUNCTION("""COMPUTED_VALUE"""),"NE")</f>
        <v>NE</v>
      </c>
      <c r="D355" s="339">
        <f ca="1">IFERROR(__xludf.DUMMYFUNCTION("""COMPUTED_VALUE"""),7800)</f>
        <v>7800</v>
      </c>
      <c r="E355" s="84" t="str">
        <f ca="1">IFERROR(__xludf.DUMMYFUNCTION("""COMPUTED_VALUE"""),"3357322267T20050430")</f>
        <v>3357322267T20050430</v>
      </c>
      <c r="F355" s="84">
        <f ca="1">IFERROR(__xludf.DUMMYFUNCTION("""COMPUTED_VALUE"""),1108222285)</f>
        <v>1108222285</v>
      </c>
      <c r="G355" s="83" t="str">
        <f ca="1">IFERROR(__xludf.DUMMYFUNCTION("""COMPUTED_VALUE"""),"Peninsula Tower")</f>
        <v>Peninsula Tower</v>
      </c>
      <c r="H355" s="84" t="str">
        <f ca="1">IFERROR(__xludf.DUMMYFUNCTION("""COMPUTED_VALUE"""),"半島大廈")</f>
        <v>半島大廈</v>
      </c>
      <c r="I355" s="84">
        <f ca="1">IFERROR(__xludf.DUMMYFUNCTION("""COMPUTED_VALUE"""),114.1507259)</f>
        <v>114.1507259</v>
      </c>
      <c r="J355" s="84">
        <f ca="1">IFERROR(__xludf.DUMMYFUNCTION("""COMPUTED_VALUE"""),22.33953921)</f>
        <v>22.339539210000002</v>
      </c>
      <c r="K355" s="88">
        <f ca="1">IFERROR(__xludf.DUMMYFUNCTION("""COMPUTED_VALUE"""),19.9)</f>
        <v>19.899999999999999</v>
      </c>
      <c r="L355" s="84" t="str">
        <f ca="1">IFERROR(__xludf.DUMMYFUNCTION("""COMPUTED_VALUE"""),"l")</f>
        <v>l</v>
      </c>
      <c r="M355" s="88">
        <f ca="1">IFERROR(__xludf.DUMMYFUNCTION("""COMPUTED_VALUE"""),123)</f>
        <v>123</v>
      </c>
      <c r="N355" s="84" t="str">
        <f ca="1">IFERROR(__xludf.DUMMYFUNCTION("""COMPUTED_VALUE"""),"e")</f>
        <v>e</v>
      </c>
      <c r="O355" s="88">
        <f ca="1">IFERROR(__xludf.DUMMYFUNCTION("""COMPUTED_VALUE"""),103.1)</f>
        <v>103.1</v>
      </c>
      <c r="P355" s="85"/>
      <c r="Q355" s="75" t="b">
        <f ca="1">IFERROR(__xludf.DUMMYFUNCTION("""COMPUTED_VALUE"""),FALSE)</f>
        <v>0</v>
      </c>
      <c r="R355" s="75" t="b">
        <f ca="1">IFERROR(__xludf.DUMMYFUNCTION("""COMPUTED_VALUE"""),FALSE)</f>
        <v>0</v>
      </c>
      <c r="S355" s="75" t="b">
        <f ca="1">IFERROR(__xludf.DUMMYFUNCTION("""COMPUTED_VALUE"""),FALSE)</f>
        <v>0</v>
      </c>
      <c r="T355" s="75"/>
      <c r="U355" s="86">
        <f ca="1">IFERROR(__xludf.DUMMYFUNCTION("""COMPUTED_VALUE"""),26)</f>
        <v>26</v>
      </c>
      <c r="V355" s="84">
        <f ca="1">IFERROR(__xludf.DUMMYFUNCTION("""COMPUTED_VALUE"""),0)</f>
        <v>0</v>
      </c>
      <c r="W355" s="87">
        <f ca="1">IFERROR(__xludf.DUMMYFUNCTION("""COMPUTED_VALUE"""),100)</f>
        <v>100</v>
      </c>
      <c r="X355" s="84">
        <f ca="1">IFERROR(__xludf.DUMMYFUNCTION("""COMPUTED_VALUE"""),1998)</f>
        <v>1998</v>
      </c>
      <c r="Y355" s="84" t="str">
        <f ca="1">IFERROR(__xludf.DUMMYFUNCTION("""COMPUTED_VALUE"""),"BMIS_auto")</f>
        <v>BMIS_auto</v>
      </c>
      <c r="Z355" s="66" t="s">
        <v>2322</v>
      </c>
    </row>
    <row r="356" spans="1:26" ht="15.75" customHeight="1">
      <c r="A356" s="83" t="str">
        <f ca="1">IFERROR(__xludf.DUMMYFUNCTION("""COMPUTED_VALUE"""),"N30SE")</f>
        <v>N30SE</v>
      </c>
      <c r="B356" s="84">
        <f ca="1">IFERROR(__xludf.DUMMYFUNCTION("""COMPUTED_VALUE"""),30)</f>
        <v>30</v>
      </c>
      <c r="C356" s="84" t="str">
        <f ca="1">IFERROR(__xludf.DUMMYFUNCTION("""COMPUTED_VALUE"""),"SE")</f>
        <v>SE</v>
      </c>
      <c r="D356" s="339">
        <f ca="1">IFERROR(__xludf.DUMMYFUNCTION("""COMPUTED_VALUE"""),7800)</f>
        <v>7800</v>
      </c>
      <c r="E356" s="84" t="str">
        <f ca="1">IFERROR(__xludf.DUMMYFUNCTION("""COMPUTED_VALUE"""),"3360322301T20050430")</f>
        <v>3360322301T20050430</v>
      </c>
      <c r="F356" s="84">
        <f ca="1">IFERROR(__xludf.DUMMYFUNCTION("""COMPUTED_VALUE"""),1108222155)</f>
        <v>1108222155</v>
      </c>
      <c r="G356" s="83" t="str">
        <f ca="1">IFERROR(__xludf.DUMMYFUNCTION("""COMPUTED_VALUE"""),"V GA Building")</f>
        <v>V GA Building</v>
      </c>
      <c r="H356" s="84" t="str">
        <f ca="1">IFERROR(__xludf.DUMMYFUNCTION("""COMPUTED_VALUE"""),"偉基大廈")</f>
        <v>偉基大廈</v>
      </c>
      <c r="I356" s="84">
        <f ca="1">IFERROR(__xludf.DUMMYFUNCTION("""COMPUTED_VALUE"""),114.1510496)</f>
        <v>114.15104959999999</v>
      </c>
      <c r="J356" s="84">
        <f ca="1">IFERROR(__xludf.DUMMYFUNCTION("""COMPUTED_VALUE"""),22.33964642)</f>
        <v>22.339646420000001</v>
      </c>
      <c r="K356" s="88">
        <f ca="1">IFERROR(__xludf.DUMMYFUNCTION("""COMPUTED_VALUE"""),5.7)</f>
        <v>5.7</v>
      </c>
      <c r="L356" s="84" t="str">
        <f ca="1">IFERROR(__xludf.DUMMYFUNCTION("""COMPUTED_VALUE"""),"l")</f>
        <v>l</v>
      </c>
      <c r="M356" s="88">
        <f ca="1">IFERROR(__xludf.DUMMYFUNCTION("""COMPUTED_VALUE"""),71.900002)</f>
        <v>71.900002000000001</v>
      </c>
      <c r="N356" s="84" t="str">
        <f ca="1">IFERROR(__xludf.DUMMYFUNCTION("""COMPUTED_VALUE"""),"p")</f>
        <v>p</v>
      </c>
      <c r="O356" s="88">
        <f ca="1">IFERROR(__xludf.DUMMYFUNCTION("""COMPUTED_VALUE"""),66.200002)</f>
        <v>66.200001999999998</v>
      </c>
      <c r="P356" s="85"/>
      <c r="Q356" s="75" t="b">
        <f ca="1">IFERROR(__xludf.DUMMYFUNCTION("""COMPUTED_VALUE"""),FALSE)</f>
        <v>0</v>
      </c>
      <c r="R356" s="75" t="b">
        <f ca="1">IFERROR(__xludf.DUMMYFUNCTION("""COMPUTED_VALUE"""),FALSE)</f>
        <v>0</v>
      </c>
      <c r="S356" s="75" t="b">
        <f ca="1">IFERROR(__xludf.DUMMYFUNCTION("""COMPUTED_VALUE"""),FALSE)</f>
        <v>0</v>
      </c>
      <c r="T356" s="75"/>
      <c r="U356" s="86">
        <f ca="1">IFERROR(__xludf.DUMMYFUNCTION("""COMPUTED_VALUE"""),20)</f>
        <v>20</v>
      </c>
      <c r="V356" s="84">
        <f ca="1">IFERROR(__xludf.DUMMYFUNCTION("""COMPUTED_VALUE"""),0)</f>
        <v>0</v>
      </c>
      <c r="W356" s="87">
        <f ca="1">IFERROR(__xludf.DUMMYFUNCTION("""COMPUTED_VALUE"""),68)</f>
        <v>68</v>
      </c>
      <c r="X356" s="84">
        <f ca="1">IFERROR(__xludf.DUMMYFUNCTION("""COMPUTED_VALUE"""),1994)</f>
        <v>1994</v>
      </c>
      <c r="Y356" s="84" t="str">
        <f ca="1">IFERROR(__xludf.DUMMYFUNCTION("""COMPUTED_VALUE"""),"Google Earth+BMIS")</f>
        <v>Google Earth+BMIS</v>
      </c>
      <c r="Z356" s="66" t="s">
        <v>2324</v>
      </c>
    </row>
    <row r="357" spans="1:26" ht="15.75" customHeight="1">
      <c r="A357" s="83" t="str">
        <f ca="1">IFERROR(__xludf.DUMMYFUNCTION("""COMPUTED_VALUE"""),"N30SW")</f>
        <v>N30SW</v>
      </c>
      <c r="B357" s="84">
        <f ca="1">IFERROR(__xludf.DUMMYFUNCTION("""COMPUTED_VALUE"""),30)</f>
        <v>30</v>
      </c>
      <c r="C357" s="84" t="str">
        <f ca="1">IFERROR(__xludf.DUMMYFUNCTION("""COMPUTED_VALUE"""),"SW")</f>
        <v>SW</v>
      </c>
      <c r="D357" s="339">
        <f ca="1">IFERROR(__xludf.DUMMYFUNCTION("""COMPUTED_VALUE"""),7800)</f>
        <v>7800</v>
      </c>
      <c r="E357" s="84" t="str">
        <f ca="1">IFERROR(__xludf.DUMMYFUNCTION("""COMPUTED_VALUE"""),"3362922228T20050430")</f>
        <v>3362922228T20050430</v>
      </c>
      <c r="F357" s="84">
        <f ca="1">IFERROR(__xludf.DUMMYFUNCTION("""COMPUTED_VALUE"""),1108222376)</f>
        <v>1108222376</v>
      </c>
      <c r="G357" s="83" t="str">
        <f ca="1">IFERROR(__xludf.DUMMYFUNCTION("""COMPUTED_VALUE"""),"Lai Cheong Factory Building")</f>
        <v>Lai Cheong Factory Building</v>
      </c>
      <c r="H357" s="84" t="str">
        <f ca="1">IFERROR(__xludf.DUMMYFUNCTION("""COMPUTED_VALUE"""),"麗昌工廠大廈")</f>
        <v>麗昌工廠大廈</v>
      </c>
      <c r="I357" s="84">
        <f ca="1">IFERROR(__xludf.DUMMYFUNCTION("""COMPUTED_VALUE"""),114.151262)</f>
        <v>114.151262</v>
      </c>
      <c r="J357" s="84">
        <f ca="1">IFERROR(__xludf.DUMMYFUNCTION("""COMPUTED_VALUE"""),22.33911472)</f>
        <v>22.339114720000001</v>
      </c>
      <c r="K357" s="88">
        <f ca="1">IFERROR(__xludf.DUMMYFUNCTION("""COMPUTED_VALUE"""),5.1)</f>
        <v>5.0999999999999996</v>
      </c>
      <c r="L357" s="84" t="str">
        <f ca="1">IFERROR(__xludf.DUMMYFUNCTION("""COMPUTED_VALUE"""),"p")</f>
        <v>p</v>
      </c>
      <c r="M357" s="88">
        <f ca="1">IFERROR(__xludf.DUMMYFUNCTION("""COMPUTED_VALUE"""),37)</f>
        <v>37</v>
      </c>
      <c r="N357" s="84" t="str">
        <f ca="1">IFERROR(__xludf.DUMMYFUNCTION("""COMPUTED_VALUE"""),"p")</f>
        <v>p</v>
      </c>
      <c r="O357" s="88">
        <f ca="1">IFERROR(__xludf.DUMMYFUNCTION("""COMPUTED_VALUE"""),31.9)</f>
        <v>31.9</v>
      </c>
      <c r="P357" s="85"/>
      <c r="Q357" s="75" t="b">
        <f ca="1">IFERROR(__xludf.DUMMYFUNCTION("""COMPUTED_VALUE"""),FALSE)</f>
        <v>0</v>
      </c>
      <c r="R357" s="75" t="b">
        <f ca="1">IFERROR(__xludf.DUMMYFUNCTION("""COMPUTED_VALUE"""),FALSE)</f>
        <v>0</v>
      </c>
      <c r="S357" s="75" t="b">
        <f ca="1">IFERROR(__xludf.DUMMYFUNCTION("""COMPUTED_VALUE"""),FALSE)</f>
        <v>0</v>
      </c>
      <c r="T357" s="75"/>
      <c r="U357" s="86">
        <f ca="1">IFERROR(__xludf.DUMMYFUNCTION("""COMPUTED_VALUE"""),8)</f>
        <v>8</v>
      </c>
      <c r="V357" s="84"/>
      <c r="W357" s="87">
        <f ca="1">IFERROR(__xludf.DUMMYFUNCTION("""COMPUTED_VALUE"""),8)</f>
        <v>8</v>
      </c>
      <c r="X357" s="84">
        <f ca="1">IFERROR(__xludf.DUMMYFUNCTION("""COMPUTED_VALUE"""),1961)</f>
        <v>1961</v>
      </c>
      <c r="Y357" s="84" t="str">
        <f ca="1">IFERROR(__xludf.DUMMYFUNCTION("""COMPUTED_VALUE"""),"BMIS_auto")</f>
        <v>BMIS_auto</v>
      </c>
      <c r="Z357" s="66" t="s">
        <v>2326</v>
      </c>
    </row>
    <row r="358" spans="1:26" ht="15.75" customHeight="1">
      <c r="A358" s="83" t="str">
        <f ca="1">IFERROR(__xludf.DUMMYFUNCTION("""COMPUTED_VALUE"""),"N30NW")</f>
        <v>N30NW</v>
      </c>
      <c r="B358" s="84">
        <f ca="1">IFERROR(__xludf.DUMMYFUNCTION("""COMPUTED_VALUE"""),30)</f>
        <v>30</v>
      </c>
      <c r="C358" s="84" t="str">
        <f ca="1">IFERROR(__xludf.DUMMYFUNCTION("""COMPUTED_VALUE"""),"NW")</f>
        <v>NW</v>
      </c>
      <c r="D358" s="339">
        <f ca="1">IFERROR(__xludf.DUMMYFUNCTION("""COMPUTED_VALUE"""),7800)</f>
        <v>7800</v>
      </c>
      <c r="E358" s="84" t="str">
        <f ca="1">IFERROR(__xludf.DUMMYFUNCTION("""COMPUTED_VALUE"""),"3357022211T20050430")</f>
        <v>3357022211T20050430</v>
      </c>
      <c r="F358" s="84">
        <f ca="1">IFERROR(__xludf.DUMMYFUNCTION("""COMPUTED_VALUE"""),1108222452)</f>
        <v>1108222452</v>
      </c>
      <c r="G358" s="83" t="str">
        <f ca="1">IFERROR(__xludf.DUMMYFUNCTION("""COMPUTED_VALUE"""),"Hong Kong Spinners Industrial Building Phase VI")</f>
        <v>Hong Kong Spinners Industrial Building Phase VI</v>
      </c>
      <c r="H358" s="84" t="str">
        <f ca="1">IFERROR(__xludf.DUMMYFUNCTION("""COMPUTED_VALUE"""),"香港紗廠工業大廈第六期")</f>
        <v>香港紗廠工業大廈第六期</v>
      </c>
      <c r="I358" s="84">
        <f ca="1">IFERROR(__xludf.DUMMYFUNCTION("""COMPUTED_VALUE"""),114.150607)</f>
        <v>114.15060699999999</v>
      </c>
      <c r="J358" s="84">
        <f ca="1">IFERROR(__xludf.DUMMYFUNCTION("""COMPUTED_VALUE"""),22.33892109)</f>
        <v>22.338921089999999</v>
      </c>
      <c r="K358" s="88">
        <f ca="1">IFERROR(__xludf.DUMMYFUNCTION("""COMPUTED_VALUE"""),19.6)</f>
        <v>19.600000000000001</v>
      </c>
      <c r="L358" s="84" t="str">
        <f ca="1">IFERROR(__xludf.DUMMYFUNCTION("""COMPUTED_VALUE"""),"p")</f>
        <v>p</v>
      </c>
      <c r="M358" s="88">
        <f ca="1">IFERROR(__xludf.DUMMYFUNCTION("""COMPUTED_VALUE"""),45.200001)</f>
        <v>45.200001</v>
      </c>
      <c r="N358" s="84" t="str">
        <f ca="1">IFERROR(__xludf.DUMMYFUNCTION("""COMPUTED_VALUE"""),"p")</f>
        <v>p</v>
      </c>
      <c r="O358" s="88">
        <f ca="1">IFERROR(__xludf.DUMMYFUNCTION("""COMPUTED_VALUE"""),25.600001)</f>
        <v>25.600000999999999</v>
      </c>
      <c r="P358" s="85"/>
      <c r="Q358" s="75" t="b">
        <f ca="1">IFERROR(__xludf.DUMMYFUNCTION("""COMPUTED_VALUE"""),FALSE)</f>
        <v>0</v>
      </c>
      <c r="R358" s="75" t="b">
        <f ca="1">IFERROR(__xludf.DUMMYFUNCTION("""COMPUTED_VALUE"""),FALSE)</f>
        <v>0</v>
      </c>
      <c r="S358" s="75" t="b">
        <f ca="1">IFERROR(__xludf.DUMMYFUNCTION("""COMPUTED_VALUE"""),FALSE)</f>
        <v>0</v>
      </c>
      <c r="T358" s="75"/>
      <c r="U358" s="86">
        <f ca="1">IFERROR(__xludf.DUMMYFUNCTION("""COMPUTED_VALUE"""),10)</f>
        <v>10</v>
      </c>
      <c r="V358" s="84">
        <f ca="1">IFERROR(__xludf.DUMMYFUNCTION("""COMPUTED_VALUE"""),0)</f>
        <v>0</v>
      </c>
      <c r="W358" s="87">
        <f ca="1">IFERROR(__xludf.DUMMYFUNCTION("""COMPUTED_VALUE"""),17)</f>
        <v>17</v>
      </c>
      <c r="X358" s="84">
        <f ca="1">IFERROR(__xludf.DUMMYFUNCTION("""COMPUTED_VALUE"""),1980)</f>
        <v>1980</v>
      </c>
      <c r="Y358" s="84" t="str">
        <f ca="1">IFERROR(__xludf.DUMMYFUNCTION("""COMPUTED_VALUE"""),"BMIS_auto")</f>
        <v>BMIS_auto</v>
      </c>
      <c r="Z358" s="66" t="s">
        <v>2328</v>
      </c>
    </row>
    <row r="359" spans="1:26" ht="15.75" customHeight="1">
      <c r="A359" s="83" t="str">
        <f ca="1">IFERROR(__xludf.DUMMYFUNCTION("""COMPUTED_VALUE"""),"N31NE")</f>
        <v>N31NE</v>
      </c>
      <c r="B359" s="84">
        <f ca="1">IFERROR(__xludf.DUMMYFUNCTION("""COMPUTED_VALUE"""),31)</f>
        <v>31</v>
      </c>
      <c r="C359" s="84" t="str">
        <f ca="1">IFERROR(__xludf.DUMMYFUNCTION("""COMPUTED_VALUE"""),"NE")</f>
        <v>NE</v>
      </c>
      <c r="D359" s="339">
        <f ca="1">IFERROR(__xludf.DUMMYFUNCTION("""COMPUTED_VALUE"""),8000)</f>
        <v>8000</v>
      </c>
      <c r="E359" s="84" t="str">
        <f ca="1">IFERROR(__xludf.DUMMYFUNCTION("""COMPUTED_VALUE"""),"3336622184T20050430")</f>
        <v>3336622184T20050430</v>
      </c>
      <c r="F359" s="84">
        <f ca="1">IFERROR(__xludf.DUMMYFUNCTION("""COMPUTED_VALUE"""),1108222607)</f>
        <v>1108222607</v>
      </c>
      <c r="G359" s="83" t="str">
        <f ca="1">IFERROR(__xludf.DUMMYFUNCTION("""COMPUTED_VALUE"""),"Fung Wah Factorial Building")</f>
        <v>Fung Wah Factorial Building</v>
      </c>
      <c r="H359" s="84" t="str">
        <f ca="1">IFERROR(__xludf.DUMMYFUNCTION("""COMPUTED_VALUE"""),"豐華工業大廈")</f>
        <v>豐華工業大廈</v>
      </c>
      <c r="I359" s="84">
        <f ca="1">IFERROR(__xludf.DUMMYFUNCTION("""COMPUTED_VALUE"""),114.1486998)</f>
        <v>114.1486998</v>
      </c>
      <c r="J359" s="84">
        <f ca="1">IFERROR(__xludf.DUMMYFUNCTION("""COMPUTED_VALUE"""),22.33871245)</f>
        <v>22.338712449999999</v>
      </c>
      <c r="K359" s="88">
        <f ca="1">IFERROR(__xludf.DUMMYFUNCTION("""COMPUTED_VALUE"""),5.6)</f>
        <v>5.6</v>
      </c>
      <c r="L359" s="84" t="str">
        <f ca="1">IFERROR(__xludf.DUMMYFUNCTION("""COMPUTED_VALUE"""),"p")</f>
        <v>p</v>
      </c>
      <c r="M359" s="88">
        <f ca="1">IFERROR(__xludf.DUMMYFUNCTION("""COMPUTED_VALUE"""),33.299999)</f>
        <v>33.299999</v>
      </c>
      <c r="N359" s="84" t="str">
        <f ca="1">IFERROR(__xludf.DUMMYFUNCTION("""COMPUTED_VALUE"""),"p")</f>
        <v>p</v>
      </c>
      <c r="O359" s="88">
        <f ca="1">IFERROR(__xludf.DUMMYFUNCTION("""COMPUTED_VALUE"""),27.699999)</f>
        <v>27.699998999999998</v>
      </c>
      <c r="P359" s="85"/>
      <c r="Q359" s="75" t="b">
        <f ca="1">IFERROR(__xludf.DUMMYFUNCTION("""COMPUTED_VALUE"""),FALSE)</f>
        <v>0</v>
      </c>
      <c r="R359" s="75" t="b">
        <f ca="1">IFERROR(__xludf.DUMMYFUNCTION("""COMPUTED_VALUE"""),FALSE)</f>
        <v>0</v>
      </c>
      <c r="S359" s="75" t="b">
        <f ca="1">IFERROR(__xludf.DUMMYFUNCTION("""COMPUTED_VALUE"""),FALSE)</f>
        <v>0</v>
      </c>
      <c r="T359" s="75"/>
      <c r="U359" s="86">
        <f ca="1">IFERROR(__xludf.DUMMYFUNCTION("""COMPUTED_VALUE"""),7)</f>
        <v>7</v>
      </c>
      <c r="V359" s="84">
        <f ca="1">IFERROR(__xludf.DUMMYFUNCTION("""COMPUTED_VALUE"""),0)</f>
        <v>0</v>
      </c>
      <c r="W359" s="87">
        <f ca="1">IFERROR(__xludf.DUMMYFUNCTION("""COMPUTED_VALUE"""),28)</f>
        <v>28</v>
      </c>
      <c r="X359" s="84">
        <f ca="1">IFERROR(__xludf.DUMMYFUNCTION("""COMPUTED_VALUE"""),1960)</f>
        <v>1960</v>
      </c>
      <c r="Y359" s="84" t="str">
        <f ca="1">IFERROR(__xludf.DUMMYFUNCTION("""COMPUTED_VALUE"""),"BMIS")</f>
        <v>BMIS</v>
      </c>
      <c r="Z359" s="66" t="s">
        <v>2330</v>
      </c>
    </row>
    <row r="360" spans="1:26" ht="15.75" customHeight="1">
      <c r="A360" s="83" t="str">
        <f ca="1">IFERROR(__xludf.DUMMYFUNCTION("""COMPUTED_VALUE"""),"N31SE")</f>
        <v>N31SE</v>
      </c>
      <c r="B360" s="84">
        <f ca="1">IFERROR(__xludf.DUMMYFUNCTION("""COMPUTED_VALUE"""),31)</f>
        <v>31</v>
      </c>
      <c r="C360" s="84" t="str">
        <f ca="1">IFERROR(__xludf.DUMMYFUNCTION("""COMPUTED_VALUE"""),"SE")</f>
        <v>SE</v>
      </c>
      <c r="D360" s="339">
        <f ca="1">IFERROR(__xludf.DUMMYFUNCTION("""COMPUTED_VALUE"""),8000)</f>
        <v>8000</v>
      </c>
      <c r="E360" s="84" t="str">
        <f ca="1">IFERROR(__xludf.DUMMYFUNCTION("""COMPUTED_VALUE"""),"3341422216T20050430")</f>
        <v>3341422216T20050430</v>
      </c>
      <c r="F360" s="84">
        <f ca="1">IFERROR(__xludf.DUMMYFUNCTION("""COMPUTED_VALUE"""),1108222447)</f>
        <v>1108222447</v>
      </c>
      <c r="G360" s="83" t="str">
        <f ca="1">IFERROR(__xludf.DUMMYFUNCTION("""COMPUTED_VALUE"""),"Wing Kut Industrial Building")</f>
        <v>Wing Kut Industrial Building</v>
      </c>
      <c r="H360" s="84" t="str">
        <f ca="1">IFERROR(__xludf.DUMMYFUNCTION("""COMPUTED_VALUE"""),"榮吉工業大廈")</f>
        <v>榮吉工業大廈</v>
      </c>
      <c r="I360" s="84">
        <f ca="1">IFERROR(__xludf.DUMMYFUNCTION("""COMPUTED_VALUE"""),114.1491667)</f>
        <v>114.14916669999999</v>
      </c>
      <c r="J360" s="84">
        <f ca="1">IFERROR(__xludf.DUMMYFUNCTION("""COMPUTED_VALUE"""),22.33900247)</f>
        <v>22.33900247</v>
      </c>
      <c r="K360" s="88">
        <f ca="1">IFERROR(__xludf.DUMMYFUNCTION("""COMPUTED_VALUE"""),19.6)</f>
        <v>19.600000000000001</v>
      </c>
      <c r="L360" s="84" t="str">
        <f ca="1">IFERROR(__xludf.DUMMYFUNCTION("""COMPUTED_VALUE"""),"p")</f>
        <v>p</v>
      </c>
      <c r="M360" s="88">
        <f ca="1">IFERROR(__xludf.DUMMYFUNCTION("""COMPUTED_VALUE"""),45.299999)</f>
        <v>45.299999</v>
      </c>
      <c r="N360" s="84" t="str">
        <f ca="1">IFERROR(__xludf.DUMMYFUNCTION("""COMPUTED_VALUE"""),"p")</f>
        <v>p</v>
      </c>
      <c r="O360" s="88">
        <f ca="1">IFERROR(__xludf.DUMMYFUNCTION("""COMPUTED_VALUE"""),25.699999)</f>
        <v>25.699998999999998</v>
      </c>
      <c r="P360" s="85"/>
      <c r="Q360" s="75" t="b">
        <f ca="1">IFERROR(__xludf.DUMMYFUNCTION("""COMPUTED_VALUE"""),FALSE)</f>
        <v>0</v>
      </c>
      <c r="R360" s="75" t="b">
        <f ca="1">IFERROR(__xludf.DUMMYFUNCTION("""COMPUTED_VALUE"""),FALSE)</f>
        <v>0</v>
      </c>
      <c r="S360" s="75" t="b">
        <f ca="1">IFERROR(__xludf.DUMMYFUNCTION("""COMPUTED_VALUE"""),FALSE)</f>
        <v>0</v>
      </c>
      <c r="T360" s="75"/>
      <c r="U360" s="86">
        <f ca="1">IFERROR(__xludf.DUMMYFUNCTION("""COMPUTED_VALUE"""),12)</f>
        <v>12</v>
      </c>
      <c r="V360" s="84">
        <f ca="1">IFERROR(__xludf.DUMMYFUNCTION("""COMPUTED_VALUE"""),0)</f>
        <v>0</v>
      </c>
      <c r="W360" s="87">
        <f ca="1">IFERROR(__xludf.DUMMYFUNCTION("""COMPUTED_VALUE"""),72)</f>
        <v>72</v>
      </c>
      <c r="X360" s="84">
        <f ca="1">IFERROR(__xludf.DUMMYFUNCTION("""COMPUTED_VALUE"""),1983)</f>
        <v>1983</v>
      </c>
      <c r="Y360" s="84" t="str">
        <f ca="1">IFERROR(__xludf.DUMMYFUNCTION("""COMPUTED_VALUE"""),"BMIS_auto")</f>
        <v>BMIS_auto</v>
      </c>
      <c r="Z360" s="66" t="s">
        <v>2332</v>
      </c>
    </row>
    <row r="361" spans="1:26" ht="15.75" customHeight="1">
      <c r="A361" s="83" t="str">
        <f ca="1">IFERROR(__xludf.DUMMYFUNCTION("""COMPUTED_VALUE"""),"N31SW")</f>
        <v>N31SW</v>
      </c>
      <c r="B361" s="84">
        <f ca="1">IFERROR(__xludf.DUMMYFUNCTION("""COMPUTED_VALUE"""),31)</f>
        <v>31</v>
      </c>
      <c r="C361" s="84" t="str">
        <f ca="1">IFERROR(__xludf.DUMMYFUNCTION("""COMPUTED_VALUE"""),"SW")</f>
        <v>SW</v>
      </c>
      <c r="D361" s="339">
        <f ca="1">IFERROR(__xludf.DUMMYFUNCTION("""COMPUTED_VALUE"""),8000)</f>
        <v>8000</v>
      </c>
      <c r="E361" s="84" t="str">
        <f ca="1">IFERROR(__xludf.DUMMYFUNCTION("""COMPUTED_VALUE"""),"3343922161T20050430")</f>
        <v>3343922161T20050430</v>
      </c>
      <c r="F361" s="84">
        <f ca="1">IFERROR(__xludf.DUMMYFUNCTION("""COMPUTED_VALUE"""),1108222674)</f>
        <v>1108222674</v>
      </c>
      <c r="G361" s="83" t="str">
        <f ca="1">IFERROR(__xludf.DUMMYFUNCTION("""COMPUTED_VALUE"""),"Kowloon Plaza")</f>
        <v>Kowloon Plaza</v>
      </c>
      <c r="H361" s="84" t="str">
        <f ca="1">IFERROR(__xludf.DUMMYFUNCTION("""COMPUTED_VALUE"""),"九龍廣場")</f>
        <v>九龍廣場</v>
      </c>
      <c r="I361" s="84">
        <f ca="1">IFERROR(__xludf.DUMMYFUNCTION("""COMPUTED_VALUE"""),114.1494156)</f>
        <v>114.1494156</v>
      </c>
      <c r="J361" s="84">
        <f ca="1">IFERROR(__xludf.DUMMYFUNCTION("""COMPUTED_VALUE"""),22.33851061)</f>
        <v>22.33851061</v>
      </c>
      <c r="K361" s="88">
        <f ca="1">IFERROR(__xludf.DUMMYFUNCTION("""COMPUTED_VALUE"""),19.4)</f>
        <v>19.399999999999999</v>
      </c>
      <c r="L361" s="84" t="str">
        <f ca="1">IFERROR(__xludf.DUMMYFUNCTION("""COMPUTED_VALUE"""),"p")</f>
        <v>p</v>
      </c>
      <c r="M361" s="88">
        <f ca="1">IFERROR(__xludf.DUMMYFUNCTION("""COMPUTED_VALUE"""),69.699997)</f>
        <v>69.699996999999996</v>
      </c>
      <c r="N361" s="84" t="str">
        <f ca="1">IFERROR(__xludf.DUMMYFUNCTION("""COMPUTED_VALUE"""),"p")</f>
        <v>p</v>
      </c>
      <c r="O361" s="88">
        <f ca="1">IFERROR(__xludf.DUMMYFUNCTION("""COMPUTED_VALUE"""),50.299997)</f>
        <v>50.299996999999998</v>
      </c>
      <c r="P361" s="85"/>
      <c r="Q361" s="75" t="b">
        <f ca="1">IFERROR(__xludf.DUMMYFUNCTION("""COMPUTED_VALUE"""),FALSE)</f>
        <v>0</v>
      </c>
      <c r="R361" s="75" t="b">
        <f ca="1">IFERROR(__xludf.DUMMYFUNCTION("""COMPUTED_VALUE"""),FALSE)</f>
        <v>0</v>
      </c>
      <c r="S361" s="75" t="b">
        <f ca="1">IFERROR(__xludf.DUMMYFUNCTION("""COMPUTED_VALUE"""),FALSE)</f>
        <v>0</v>
      </c>
      <c r="T361" s="75"/>
      <c r="U361" s="86">
        <f ca="1">IFERROR(__xludf.DUMMYFUNCTION("""COMPUTED_VALUE"""),17)</f>
        <v>17</v>
      </c>
      <c r="V361" s="84"/>
      <c r="W361" s="87">
        <f ca="1">IFERROR(__xludf.DUMMYFUNCTION("""COMPUTED_VALUE"""),18)</f>
        <v>18</v>
      </c>
      <c r="X361" s="84">
        <f ca="1">IFERROR(__xludf.DUMMYFUNCTION("""COMPUTED_VALUE"""),1990)</f>
        <v>1990</v>
      </c>
      <c r="Y361" s="84" t="str">
        <f ca="1">IFERROR(__xludf.DUMMYFUNCTION("""COMPUTED_VALUE"""),"BMIS_auto")</f>
        <v>BMIS_auto</v>
      </c>
      <c r="Z361" s="66" t="s">
        <v>2334</v>
      </c>
    </row>
    <row r="362" spans="1:26" ht="15.75" customHeight="1">
      <c r="A362" s="83" t="str">
        <f ca="1">IFERROR(__xludf.DUMMYFUNCTION("""COMPUTED_VALUE"""),"N31NW")</f>
        <v>N31NW</v>
      </c>
      <c r="B362" s="84">
        <f ca="1">IFERROR(__xludf.DUMMYFUNCTION("""COMPUTED_VALUE"""),31)</f>
        <v>31</v>
      </c>
      <c r="C362" s="84" t="str">
        <f ca="1">IFERROR(__xludf.DUMMYFUNCTION("""COMPUTED_VALUE"""),"NW")</f>
        <v>NW</v>
      </c>
      <c r="D362" s="339">
        <f ca="1">IFERROR(__xludf.DUMMYFUNCTION("""COMPUTED_VALUE"""),8000)</f>
        <v>8000</v>
      </c>
      <c r="E362" s="84" t="str">
        <f ca="1">IFERROR(__xludf.DUMMYFUNCTION("""COMPUTED_VALUE"""),"3337522084T20050430")</f>
        <v>3337522084T20050430</v>
      </c>
      <c r="F362" s="84">
        <f ca="1">IFERROR(__xludf.DUMMYFUNCTION("""COMPUTED_VALUE"""),1108222796)</f>
        <v>1108222796</v>
      </c>
      <c r="G362" s="83" t="str">
        <f ca="1">IFERROR(__xludf.DUMMYFUNCTION("""COMPUTED_VALUE"""),"Hong Kong Spinners Industrial Building Phase I And II")</f>
        <v>Hong Kong Spinners Industrial Building Phase I And II</v>
      </c>
      <c r="H362" s="84" t="str">
        <f ca="1">IFERROR(__xludf.DUMMYFUNCTION("""COMPUTED_VALUE"""),"香港紗廠工業大廈第一及二期")</f>
        <v>香港紗廠工業大廈第一及二期</v>
      </c>
      <c r="I362" s="84">
        <f ca="1">IFERROR(__xludf.DUMMYFUNCTION("""COMPUTED_VALUE"""),114.1486966)</f>
        <v>114.14869659999999</v>
      </c>
      <c r="J362" s="84">
        <f ca="1">IFERROR(__xludf.DUMMYFUNCTION("""COMPUTED_VALUE"""),22.33806508)</f>
        <v>22.33806508</v>
      </c>
      <c r="K362" s="88">
        <f ca="1">IFERROR(__xludf.DUMMYFUNCTION("""COMPUTED_VALUE"""),5.1)</f>
        <v>5.0999999999999996</v>
      </c>
      <c r="L362" s="84" t="str">
        <f ca="1">IFERROR(__xludf.DUMMYFUNCTION("""COMPUTED_VALUE"""),"p")</f>
        <v>p</v>
      </c>
      <c r="M362" s="88">
        <f ca="1">IFERROR(__xludf.DUMMYFUNCTION("""COMPUTED_VALUE"""),45.5)</f>
        <v>45.5</v>
      </c>
      <c r="N362" s="84" t="str">
        <f ca="1">IFERROR(__xludf.DUMMYFUNCTION("""COMPUTED_VALUE"""),"p")</f>
        <v>p</v>
      </c>
      <c r="O362" s="88">
        <f ca="1">IFERROR(__xludf.DUMMYFUNCTION("""COMPUTED_VALUE"""),40.4)</f>
        <v>40.4</v>
      </c>
      <c r="P362" s="85"/>
      <c r="Q362" s="75" t="b">
        <f ca="1">IFERROR(__xludf.DUMMYFUNCTION("""COMPUTED_VALUE"""),FALSE)</f>
        <v>0</v>
      </c>
      <c r="R362" s="75" t="b">
        <f ca="1">IFERROR(__xludf.DUMMYFUNCTION("""COMPUTED_VALUE"""),FALSE)</f>
        <v>0</v>
      </c>
      <c r="S362" s="75" t="b">
        <f ca="1">IFERROR(__xludf.DUMMYFUNCTION("""COMPUTED_VALUE"""),FALSE)</f>
        <v>0</v>
      </c>
      <c r="T362" s="75"/>
      <c r="U362" s="86">
        <f ca="1">IFERROR(__xludf.DUMMYFUNCTION("""COMPUTED_VALUE"""),10)</f>
        <v>10</v>
      </c>
      <c r="V362" s="84">
        <f ca="1">IFERROR(__xludf.DUMMYFUNCTION("""COMPUTED_VALUE"""),0)</f>
        <v>0</v>
      </c>
      <c r="W362" s="87">
        <f ca="1">IFERROR(__xludf.DUMMYFUNCTION("""COMPUTED_VALUE"""),40)</f>
        <v>40</v>
      </c>
      <c r="X362" s="84">
        <f ca="1">IFERROR(__xludf.DUMMYFUNCTION("""COMPUTED_VALUE"""),1972)</f>
        <v>1972</v>
      </c>
      <c r="Y362" s="84" t="str">
        <f ca="1">IFERROR(__xludf.DUMMYFUNCTION("""COMPUTED_VALUE"""),"BMIS_auto")</f>
        <v>BMIS_auto</v>
      </c>
      <c r="Z362" s="66" t="s">
        <v>2336</v>
      </c>
    </row>
    <row r="363" spans="1:26" ht="15.75" customHeight="1">
      <c r="A363" s="83" t="str">
        <f ca="1">IFERROR(__xludf.DUMMYFUNCTION("""COMPUTED_VALUE"""),"N32NE")</f>
        <v>N32NE</v>
      </c>
      <c r="B363" s="84">
        <f ca="1">IFERROR(__xludf.DUMMYFUNCTION("""COMPUTED_VALUE"""),32)</f>
        <v>32</v>
      </c>
      <c r="C363" s="84" t="str">
        <f ca="1">IFERROR(__xludf.DUMMYFUNCTION("""COMPUTED_VALUE"""),"NE")</f>
        <v>NE</v>
      </c>
      <c r="D363" s="339">
        <f ca="1">IFERROR(__xludf.DUMMYFUNCTION("""COMPUTED_VALUE"""),8200)</f>
        <v>8200</v>
      </c>
      <c r="E363" s="84" t="str">
        <f ca="1">IFERROR(__xludf.DUMMYFUNCTION("""COMPUTED_VALUE"""),"3314922112T20050430")</f>
        <v>3314922112T20050430</v>
      </c>
      <c r="F363" s="84">
        <f ca="1">IFERROR(__xludf.DUMMYFUNCTION("""COMPUTED_VALUE"""),1108222836)</f>
        <v>1108222836</v>
      </c>
      <c r="G363" s="83" t="str">
        <f ca="1">IFERROR(__xludf.DUMMYFUNCTION("""COMPUTED_VALUE"""),"Ka Ming Court")</f>
        <v>Ka Ming Court</v>
      </c>
      <c r="H363" s="84" t="str">
        <f ca="1">IFERROR(__xludf.DUMMYFUNCTION("""COMPUTED_VALUE"""),"嘉名工廠大廈")</f>
        <v>嘉名工廠大廈</v>
      </c>
      <c r="I363" s="84">
        <f ca="1">IFERROR(__xludf.DUMMYFUNCTION("""COMPUTED_VALUE"""),114.1465847)</f>
        <v>114.14658470000001</v>
      </c>
      <c r="J363" s="84">
        <f ca="1">IFERROR(__xludf.DUMMYFUNCTION("""COMPUTED_VALUE"""),22.33810889)</f>
        <v>22.338108890000001</v>
      </c>
      <c r="K363" s="88">
        <f ca="1">IFERROR(__xludf.DUMMYFUNCTION("""COMPUTED_VALUE"""),5.4)</f>
        <v>5.4</v>
      </c>
      <c r="L363" s="84" t="str">
        <f ca="1">IFERROR(__xludf.DUMMYFUNCTION("""COMPUTED_VALUE"""),"p")</f>
        <v>p</v>
      </c>
      <c r="M363" s="88">
        <f ca="1">IFERROR(__xludf.DUMMYFUNCTION("""COMPUTED_VALUE"""),45.299999)</f>
        <v>45.299999</v>
      </c>
      <c r="N363" s="84" t="str">
        <f ca="1">IFERROR(__xludf.DUMMYFUNCTION("""COMPUTED_VALUE"""),"3")</f>
        <v>3</v>
      </c>
      <c r="O363" s="88">
        <f ca="1">IFERROR(__xludf.DUMMYFUNCTION("""COMPUTED_VALUE"""),39.899999)</f>
        <v>39.899999000000001</v>
      </c>
      <c r="P363" s="85"/>
      <c r="Q363" s="75" t="b">
        <f ca="1">IFERROR(__xludf.DUMMYFUNCTION("""COMPUTED_VALUE"""),FALSE)</f>
        <v>0</v>
      </c>
      <c r="R363" s="75" t="b">
        <f ca="1">IFERROR(__xludf.DUMMYFUNCTION("""COMPUTED_VALUE"""),FALSE)</f>
        <v>0</v>
      </c>
      <c r="S363" s="75" t="b">
        <f ca="1">IFERROR(__xludf.DUMMYFUNCTION("""COMPUTED_VALUE"""),FALSE)</f>
        <v>0</v>
      </c>
      <c r="T363" s="75"/>
      <c r="U363" s="86">
        <f ca="1">IFERROR(__xludf.DUMMYFUNCTION("""COMPUTED_VALUE"""),12)</f>
        <v>12</v>
      </c>
      <c r="V363" s="84">
        <f ca="1">IFERROR(__xludf.DUMMYFUNCTION("""COMPUTED_VALUE"""),0)</f>
        <v>0</v>
      </c>
      <c r="W363" s="87">
        <f ca="1">IFERROR(__xludf.DUMMYFUNCTION("""COMPUTED_VALUE"""),88)</f>
        <v>88</v>
      </c>
      <c r="X363" s="84">
        <f ca="1">IFERROR(__xludf.DUMMYFUNCTION("""COMPUTED_VALUE"""),1969)</f>
        <v>1969</v>
      </c>
      <c r="Y363" s="84" t="str">
        <f ca="1">IFERROR(__xludf.DUMMYFUNCTION("""COMPUTED_VALUE"""),"BMIS_auto")</f>
        <v>BMIS_auto</v>
      </c>
      <c r="Z363" s="66" t="s">
        <v>2338</v>
      </c>
    </row>
    <row r="364" spans="1:26" ht="15.75" customHeight="1">
      <c r="A364" s="83" t="str">
        <f ca="1">IFERROR(__xludf.DUMMYFUNCTION("""COMPUTED_VALUE"""),"N32SE")</f>
        <v>N32SE</v>
      </c>
      <c r="B364" s="84">
        <f ca="1">IFERROR(__xludf.DUMMYFUNCTION("""COMPUTED_VALUE"""),32)</f>
        <v>32</v>
      </c>
      <c r="C364" s="84" t="str">
        <f ca="1">IFERROR(__xludf.DUMMYFUNCTION("""COMPUTED_VALUE"""),"SE")</f>
        <v>SE</v>
      </c>
      <c r="D364" s="339">
        <f ca="1">IFERROR(__xludf.DUMMYFUNCTION("""COMPUTED_VALUE"""),8200)</f>
        <v>8200</v>
      </c>
      <c r="E364" s="84" t="str">
        <f ca="1">IFERROR(__xludf.DUMMYFUNCTION("""COMPUTED_VALUE"""),"3319422119T20050430")</f>
        <v>3319422119T20050430</v>
      </c>
      <c r="F364" s="84">
        <f ca="1">IFERROR(__xludf.DUMMYFUNCTION("""COMPUTED_VALUE"""),1108222878)</f>
        <v>1108222878</v>
      </c>
      <c r="G364" s="83" t="str">
        <f ca="1">IFERROR(__xludf.DUMMYFUNCTION("""COMPUTED_VALUE"""),"Trendy Centre")</f>
        <v>Trendy Centre</v>
      </c>
      <c r="H364" s="84" t="str">
        <f ca="1">IFERROR(__xludf.DUMMYFUNCTION("""COMPUTED_VALUE"""),"潮流工貿中心")</f>
        <v>潮流工貿中心</v>
      </c>
      <c r="I364" s="84">
        <f ca="1">IFERROR(__xludf.DUMMYFUNCTION("""COMPUTED_VALUE"""),114.1470007)</f>
        <v>114.14700070000001</v>
      </c>
      <c r="J364" s="84">
        <f ca="1">IFERROR(__xludf.DUMMYFUNCTION("""COMPUTED_VALUE"""),22.33825197)</f>
        <v>22.338251970000002</v>
      </c>
      <c r="K364" s="88">
        <f ca="1">IFERROR(__xludf.DUMMYFUNCTION("""COMPUTED_VALUE"""),19.799999)</f>
        <v>19.799999</v>
      </c>
      <c r="L364" s="84" t="str">
        <f ca="1">IFERROR(__xludf.DUMMYFUNCTION("""COMPUTED_VALUE"""),"p")</f>
        <v>p</v>
      </c>
      <c r="M364" s="88">
        <f ca="1">IFERROR(__xludf.DUMMYFUNCTION("""COMPUTED_VALUE"""),123.900002)</f>
        <v>123.900002</v>
      </c>
      <c r="N364" s="84" t="str">
        <f ca="1">IFERROR(__xludf.DUMMYFUNCTION("""COMPUTED_VALUE"""),"3")</f>
        <v>3</v>
      </c>
      <c r="O364" s="88">
        <f ca="1">IFERROR(__xludf.DUMMYFUNCTION("""COMPUTED_VALUE"""),104.100003)</f>
        <v>104.100003</v>
      </c>
      <c r="P364" s="85"/>
      <c r="Q364" s="75" t="b">
        <f ca="1">IFERROR(__xludf.DUMMYFUNCTION("""COMPUTED_VALUE"""),FALSE)</f>
        <v>0</v>
      </c>
      <c r="R364" s="75" t="b">
        <f ca="1">IFERROR(__xludf.DUMMYFUNCTION("""COMPUTED_VALUE"""),FALSE)</f>
        <v>0</v>
      </c>
      <c r="S364" s="75" t="b">
        <f ca="1">IFERROR(__xludf.DUMMYFUNCTION("""COMPUTED_VALUE"""),FALSE)</f>
        <v>0</v>
      </c>
      <c r="T364" s="75"/>
      <c r="U364" s="86">
        <f ca="1">IFERROR(__xludf.DUMMYFUNCTION("""COMPUTED_VALUE"""),34)</f>
        <v>34</v>
      </c>
      <c r="V364" s="84">
        <f ca="1">IFERROR(__xludf.DUMMYFUNCTION("""COMPUTED_VALUE"""),0)</f>
        <v>0</v>
      </c>
      <c r="W364" s="87">
        <f ca="1">IFERROR(__xludf.DUMMYFUNCTION("""COMPUTED_VALUE"""),363)</f>
        <v>363</v>
      </c>
      <c r="X364" s="84">
        <f ca="1">IFERROR(__xludf.DUMMYFUNCTION("""COMPUTED_VALUE"""),1998)</f>
        <v>1998</v>
      </c>
      <c r="Y364" s="84" t="str">
        <f ca="1">IFERROR(__xludf.DUMMYFUNCTION("""COMPUTED_VALUE"""),"BMIS_auto")</f>
        <v>BMIS_auto</v>
      </c>
      <c r="Z364" s="66" t="s">
        <v>2340</v>
      </c>
    </row>
    <row r="365" spans="1:26" ht="15.75" customHeight="1">
      <c r="A365" s="83" t="str">
        <f ca="1">IFERROR(__xludf.DUMMYFUNCTION("""COMPUTED_VALUE"""),"N32SW")</f>
        <v>N32SW</v>
      </c>
      <c r="B365" s="84">
        <f ca="1">IFERROR(__xludf.DUMMYFUNCTION("""COMPUTED_VALUE"""),32)</f>
        <v>32</v>
      </c>
      <c r="C365" s="84" t="str">
        <f ca="1">IFERROR(__xludf.DUMMYFUNCTION("""COMPUTED_VALUE"""),"SW")</f>
        <v>SW</v>
      </c>
      <c r="D365" s="339">
        <f ca="1">IFERROR(__xludf.DUMMYFUNCTION("""COMPUTED_VALUE"""),8200)</f>
        <v>8200</v>
      </c>
      <c r="E365" s="84" t="str">
        <f ca="1">IFERROR(__xludf.DUMMYFUNCTION("""COMPUTED_VALUE"""),"3316422025T20050430")</f>
        <v>3316422025T20050430</v>
      </c>
      <c r="F365" s="84">
        <f ca="1">IFERROR(__xludf.DUMMYFUNCTION("""COMPUTED_VALUE"""),1108223122)</f>
        <v>1108223122</v>
      </c>
      <c r="G365" s="83" t="str">
        <f ca="1">IFERROR(__xludf.DUMMYFUNCTION("""COMPUTED_VALUE"""),"Hong Kong Industrial Centre Block A")</f>
        <v>Hong Kong Industrial Centre Block A</v>
      </c>
      <c r="H365" s="84" t="str">
        <f ca="1">IFERROR(__xludf.DUMMYFUNCTION("""COMPUTED_VALUE"""),"香港工業中心Ａ座")</f>
        <v>香港工業中心Ａ座</v>
      </c>
      <c r="I365" s="84">
        <f ca="1">IFERROR(__xludf.DUMMYFUNCTION("""COMPUTED_VALUE"""),114.146736)</f>
        <v>114.146736</v>
      </c>
      <c r="J365" s="84">
        <f ca="1">IFERROR(__xludf.DUMMYFUNCTION("""COMPUTED_VALUE"""),22.3373997)</f>
        <v>22.337399699999999</v>
      </c>
      <c r="K365" s="88">
        <f ca="1">IFERROR(__xludf.DUMMYFUNCTION("""COMPUTED_VALUE"""),5.1)</f>
        <v>5.0999999999999996</v>
      </c>
      <c r="L365" s="84" t="str">
        <f ca="1">IFERROR(__xludf.DUMMYFUNCTION("""COMPUTED_VALUE"""),"p")</f>
        <v>p</v>
      </c>
      <c r="M365" s="88">
        <f ca="1">IFERROR(__xludf.DUMMYFUNCTION("""COMPUTED_VALUE"""),45.299999)</f>
        <v>45.299999</v>
      </c>
      <c r="N365" s="84" t="str">
        <f ca="1">IFERROR(__xludf.DUMMYFUNCTION("""COMPUTED_VALUE"""),"p")</f>
        <v>p</v>
      </c>
      <c r="O365" s="88">
        <f ca="1">IFERROR(__xludf.DUMMYFUNCTION("""COMPUTED_VALUE"""),40.199999)</f>
        <v>40.199998999999998</v>
      </c>
      <c r="P365" s="85"/>
      <c r="Q365" s="75" t="b">
        <f ca="1">IFERROR(__xludf.DUMMYFUNCTION("""COMPUTED_VALUE"""),FALSE)</f>
        <v>0</v>
      </c>
      <c r="R365" s="75" t="b">
        <f ca="1">IFERROR(__xludf.DUMMYFUNCTION("""COMPUTED_VALUE"""),FALSE)</f>
        <v>0</v>
      </c>
      <c r="S365" s="75" t="b">
        <f ca="1">IFERROR(__xludf.DUMMYFUNCTION("""COMPUTED_VALUE"""),FALSE)</f>
        <v>0</v>
      </c>
      <c r="T365" s="75"/>
      <c r="U365" s="86">
        <f ca="1">IFERROR(__xludf.DUMMYFUNCTION("""COMPUTED_VALUE"""),12)</f>
        <v>12</v>
      </c>
      <c r="V365" s="84">
        <f ca="1">IFERROR(__xludf.DUMMYFUNCTION("""COMPUTED_VALUE"""),1)</f>
        <v>1</v>
      </c>
      <c r="W365" s="87">
        <f ca="1">IFERROR(__xludf.DUMMYFUNCTION("""COMPUTED_VALUE"""),144)</f>
        <v>144</v>
      </c>
      <c r="X365" s="84">
        <f ca="1">IFERROR(__xludf.DUMMYFUNCTION("""COMPUTED_VALUE"""),1982)</f>
        <v>1982</v>
      </c>
      <c r="Y365" s="84" t="str">
        <f ca="1">IFERROR(__xludf.DUMMYFUNCTION("""COMPUTED_VALUE"""),"BMIS_auto")</f>
        <v>BMIS_auto</v>
      </c>
      <c r="Z365" s="66" t="s">
        <v>2342</v>
      </c>
    </row>
    <row r="366" spans="1:26" ht="15.75" customHeight="1">
      <c r="A366" s="83" t="str">
        <f ca="1">IFERROR(__xludf.DUMMYFUNCTION("""COMPUTED_VALUE"""),"N32NW")</f>
        <v>N32NW</v>
      </c>
      <c r="B366" s="84">
        <f ca="1">IFERROR(__xludf.DUMMYFUNCTION("""COMPUTED_VALUE"""),32)</f>
        <v>32</v>
      </c>
      <c r="C366" s="84" t="str">
        <f ca="1">IFERROR(__xludf.DUMMYFUNCTION("""COMPUTED_VALUE"""),"NW")</f>
        <v>NW</v>
      </c>
      <c r="D366" s="339">
        <f ca="1">IFERROR(__xludf.DUMMYFUNCTION("""COMPUTED_VALUE"""),8200)</f>
        <v>8200</v>
      </c>
      <c r="E366" s="84" t="str">
        <f ca="1">IFERROR(__xludf.DUMMYFUNCTION("""COMPUTED_VALUE"""),"3319422052T20050430")</f>
        <v>3319422052T20050430</v>
      </c>
      <c r="F366" s="84">
        <f ca="1">IFERROR(__xludf.DUMMYFUNCTION("""COMPUTED_VALUE"""),1108223015)</f>
        <v>1108223015</v>
      </c>
      <c r="G366" s="83" t="str">
        <f ca="1">IFERROR(__xludf.DUMMYFUNCTION("""COMPUTED_VALUE"""),"Hong Kong Industrial Centre Block B")</f>
        <v>Hong Kong Industrial Centre Block B</v>
      </c>
      <c r="H366" s="84" t="str">
        <f ca="1">IFERROR(__xludf.DUMMYFUNCTION("""COMPUTED_VALUE"""),"香港工業中心Ｂ座")</f>
        <v>香港工業中心Ｂ座</v>
      </c>
      <c r="I366" s="84">
        <f ca="1">IFERROR(__xludf.DUMMYFUNCTION("""COMPUTED_VALUE"""),114.1472246)</f>
        <v>114.1472246</v>
      </c>
      <c r="J366" s="84">
        <f ca="1">IFERROR(__xludf.DUMMYFUNCTION("""COMPUTED_VALUE"""),22.33768955)</f>
        <v>22.33768955</v>
      </c>
      <c r="K366" s="88">
        <f ca="1">IFERROR(__xludf.DUMMYFUNCTION("""COMPUTED_VALUE"""),19.299999)</f>
        <v>19.299999</v>
      </c>
      <c r="L366" s="84" t="str">
        <f ca="1">IFERROR(__xludf.DUMMYFUNCTION("""COMPUTED_VALUE"""),"p")</f>
        <v>p</v>
      </c>
      <c r="M366" s="88">
        <f ca="1">IFERROR(__xludf.DUMMYFUNCTION("""COMPUTED_VALUE"""),45.299999)</f>
        <v>45.299999</v>
      </c>
      <c r="N366" s="84" t="str">
        <f ca="1">IFERROR(__xludf.DUMMYFUNCTION("""COMPUTED_VALUE"""),"p")</f>
        <v>p</v>
      </c>
      <c r="O366" s="88">
        <f ca="1">IFERROR(__xludf.DUMMYFUNCTION("""COMPUTED_VALUE"""),26)</f>
        <v>26</v>
      </c>
      <c r="P366" s="85"/>
      <c r="Q366" s="75" t="b">
        <f ca="1">IFERROR(__xludf.DUMMYFUNCTION("""COMPUTED_VALUE"""),FALSE)</f>
        <v>0</v>
      </c>
      <c r="R366" s="75" t="b">
        <f ca="1">IFERROR(__xludf.DUMMYFUNCTION("""COMPUTED_VALUE"""),FALSE)</f>
        <v>0</v>
      </c>
      <c r="S366" s="75" t="b">
        <f ca="1">IFERROR(__xludf.DUMMYFUNCTION("""COMPUTED_VALUE"""),FALSE)</f>
        <v>0</v>
      </c>
      <c r="T366" s="75"/>
      <c r="U366" s="86">
        <f ca="1">IFERROR(__xludf.DUMMYFUNCTION("""COMPUTED_VALUE"""),12)</f>
        <v>12</v>
      </c>
      <c r="V366" s="84">
        <f ca="1">IFERROR(__xludf.DUMMYFUNCTION("""COMPUTED_VALUE"""),1)</f>
        <v>1</v>
      </c>
      <c r="W366" s="87">
        <f ca="1">IFERROR(__xludf.DUMMYFUNCTION("""COMPUTED_VALUE"""),191)</f>
        <v>191</v>
      </c>
      <c r="X366" s="84">
        <f ca="1">IFERROR(__xludf.DUMMYFUNCTION("""COMPUTED_VALUE"""),1982)</f>
        <v>1982</v>
      </c>
      <c r="Y366" s="84" t="str">
        <f ca="1">IFERROR(__xludf.DUMMYFUNCTION("""COMPUTED_VALUE"""),"BMIS_auto")</f>
        <v>BMIS_auto</v>
      </c>
      <c r="Z366" s="66" t="s">
        <v>2342</v>
      </c>
    </row>
    <row r="367" spans="1:26" ht="15.75" customHeight="1">
      <c r="A367" s="83" t="str">
        <f ca="1">IFERROR(__xludf.DUMMYFUNCTION("""COMPUTED_VALUE"""),"N33NE")</f>
        <v>N33NE</v>
      </c>
      <c r="B367" s="84">
        <f ca="1">IFERROR(__xludf.DUMMYFUNCTION("""COMPUTED_VALUE"""),33)</f>
        <v>33</v>
      </c>
      <c r="C367" s="84" t="str">
        <f ca="1">IFERROR(__xludf.DUMMYFUNCTION("""COMPUTED_VALUE"""),"NE")</f>
        <v>NE</v>
      </c>
      <c r="D367" s="339">
        <f ca="1">IFERROR(__xludf.DUMMYFUNCTION("""COMPUTED_VALUE"""),8400)</f>
        <v>8400</v>
      </c>
      <c r="E367" s="84" t="str">
        <f ca="1">IFERROR(__xludf.DUMMYFUNCTION("""COMPUTED_VALUE"""),"3302022071T20050430")</f>
        <v>3302022071T20050430</v>
      </c>
      <c r="F367" s="84">
        <f ca="1">IFERROR(__xludf.DUMMYFUNCTION("""COMPUTED_VALUE"""),1108223041)</f>
        <v>1108223041</v>
      </c>
      <c r="G367" s="83" t="str">
        <f ca="1">IFERROR(__xludf.DUMMYFUNCTION("""COMPUTED_VALUE"""),"Hop Hing Industrial Building")</f>
        <v>Hop Hing Industrial Building</v>
      </c>
      <c r="H367" s="84" t="str">
        <f ca="1">IFERROR(__xludf.DUMMYFUNCTION("""COMPUTED_VALUE"""),"合興工業大廈")</f>
        <v>合興工業大廈</v>
      </c>
      <c r="I367" s="84">
        <f ca="1">IFERROR(__xludf.DUMMYFUNCTION("""COMPUTED_VALUE"""),114.1453029)</f>
        <v>114.1453029</v>
      </c>
      <c r="J367" s="84">
        <f ca="1">IFERROR(__xludf.DUMMYFUNCTION("""COMPUTED_VALUE"""),22.33766721)</f>
        <v>22.337667209999999</v>
      </c>
      <c r="K367" s="88">
        <f ca="1">IFERROR(__xludf.DUMMYFUNCTION("""COMPUTED_VALUE"""),5.2)</f>
        <v>5.2</v>
      </c>
      <c r="L367" s="84" t="str">
        <f ca="1">IFERROR(__xludf.DUMMYFUNCTION("""COMPUTED_VALUE"""),"p")</f>
        <v>p</v>
      </c>
      <c r="M367" s="88">
        <f ca="1">IFERROR(__xludf.DUMMYFUNCTION("""COMPUTED_VALUE"""),44.700001)</f>
        <v>44.700001</v>
      </c>
      <c r="N367" s="84" t="str">
        <f ca="1">IFERROR(__xludf.DUMMYFUNCTION("""COMPUTED_VALUE"""),"p")</f>
        <v>p</v>
      </c>
      <c r="O367" s="88">
        <f ca="1">IFERROR(__xludf.DUMMYFUNCTION("""COMPUTED_VALUE"""),39.500001)</f>
        <v>39.500000999999997</v>
      </c>
      <c r="P367" s="85"/>
      <c r="Q367" s="75" t="b">
        <f ca="1">IFERROR(__xludf.DUMMYFUNCTION("""COMPUTED_VALUE"""),FALSE)</f>
        <v>0</v>
      </c>
      <c r="R367" s="75" t="b">
        <f ca="1">IFERROR(__xludf.DUMMYFUNCTION("""COMPUTED_VALUE"""),FALSE)</f>
        <v>0</v>
      </c>
      <c r="S367" s="75" t="b">
        <f ca="1">IFERROR(__xludf.DUMMYFUNCTION("""COMPUTED_VALUE"""),FALSE)</f>
        <v>0</v>
      </c>
      <c r="T367" s="75"/>
      <c r="U367" s="86">
        <f ca="1">IFERROR(__xludf.DUMMYFUNCTION("""COMPUTED_VALUE"""),13)</f>
        <v>13</v>
      </c>
      <c r="V367" s="84">
        <f ca="1">IFERROR(__xludf.DUMMYFUNCTION("""COMPUTED_VALUE"""),0)</f>
        <v>0</v>
      </c>
      <c r="W367" s="87">
        <f ca="1">IFERROR(__xludf.DUMMYFUNCTION("""COMPUTED_VALUE"""),96)</f>
        <v>96</v>
      </c>
      <c r="X367" s="84">
        <f ca="1">IFERROR(__xludf.DUMMYFUNCTION("""COMPUTED_VALUE"""),1980)</f>
        <v>1980</v>
      </c>
      <c r="Y367" s="84" t="str">
        <f ca="1">IFERROR(__xludf.DUMMYFUNCTION("""COMPUTED_VALUE"""),"BMIS_auto")</f>
        <v>BMIS_auto</v>
      </c>
      <c r="Z367" s="66" t="s">
        <v>2345</v>
      </c>
    </row>
    <row r="368" spans="1:26" ht="15.75" customHeight="1">
      <c r="A368" s="83" t="str">
        <f ca="1">IFERROR(__xludf.DUMMYFUNCTION("""COMPUTED_VALUE"""),"N33SE")</f>
        <v>N33SE</v>
      </c>
      <c r="B368" s="84">
        <f ca="1">IFERROR(__xludf.DUMMYFUNCTION("""COMPUTED_VALUE"""),33)</f>
        <v>33</v>
      </c>
      <c r="C368" s="84" t="str">
        <f ca="1">IFERROR(__xludf.DUMMYFUNCTION("""COMPUTED_VALUE"""),"SE")</f>
        <v>SE</v>
      </c>
      <c r="D368" s="339">
        <f ca="1">IFERROR(__xludf.DUMMYFUNCTION("""COMPUTED_VALUE"""),8400)</f>
        <v>8400</v>
      </c>
      <c r="E368" s="84" t="str">
        <f ca="1">IFERROR(__xludf.DUMMYFUNCTION("""COMPUTED_VALUE"""),"3304322004T20050430")</f>
        <v>3304322004T20050430</v>
      </c>
      <c r="F368" s="84">
        <f ca="1">IFERROR(__xludf.DUMMYFUNCTION("""COMPUTED_VALUE"""),1108223284)</f>
        <v>1108223284</v>
      </c>
      <c r="G368" s="83" t="str">
        <f ca="1">IFERROR(__xludf.DUMMYFUNCTION("""COMPUTED_VALUE"""),"International Industrial Building")</f>
        <v>International Industrial Building</v>
      </c>
      <c r="H368" s="84" t="str">
        <f ca="1">IFERROR(__xludf.DUMMYFUNCTION("""COMPUTED_VALUE"""),"國際工業大廈")</f>
        <v>國際工業大廈</v>
      </c>
      <c r="I368" s="84">
        <f ca="1">IFERROR(__xludf.DUMMYFUNCTION("""COMPUTED_VALUE"""),114.1455451)</f>
        <v>114.14554510000001</v>
      </c>
      <c r="J368" s="84">
        <f ca="1">IFERROR(__xludf.DUMMYFUNCTION("""COMPUTED_VALUE"""),22.3371807)</f>
        <v>22.337180700000001</v>
      </c>
      <c r="K368" s="88">
        <f ca="1">IFERROR(__xludf.DUMMYFUNCTION("""COMPUTED_VALUE"""),19.9)</f>
        <v>19.899999999999999</v>
      </c>
      <c r="L368" s="84" t="str">
        <f ca="1">IFERROR(__xludf.DUMMYFUNCTION("""COMPUTED_VALUE"""),"p")</f>
        <v>p</v>
      </c>
      <c r="M368" s="88">
        <f ca="1">IFERROR(__xludf.DUMMYFUNCTION("""COMPUTED_VALUE"""),45.5)</f>
        <v>45.5</v>
      </c>
      <c r="N368" s="84" t="str">
        <f ca="1">IFERROR(__xludf.DUMMYFUNCTION("""COMPUTED_VALUE"""),"3")</f>
        <v>3</v>
      </c>
      <c r="O368" s="88">
        <f ca="1">IFERROR(__xludf.DUMMYFUNCTION("""COMPUTED_VALUE"""),25.6)</f>
        <v>25.6</v>
      </c>
      <c r="P368" s="85"/>
      <c r="Q368" s="75" t="b">
        <f ca="1">IFERROR(__xludf.DUMMYFUNCTION("""COMPUTED_VALUE"""),FALSE)</f>
        <v>0</v>
      </c>
      <c r="R368" s="75" t="b">
        <f ca="1">IFERROR(__xludf.DUMMYFUNCTION("""COMPUTED_VALUE"""),FALSE)</f>
        <v>0</v>
      </c>
      <c r="S368" s="75" t="b">
        <f ca="1">IFERROR(__xludf.DUMMYFUNCTION("""COMPUTED_VALUE"""),FALSE)</f>
        <v>0</v>
      </c>
      <c r="T368" s="75"/>
      <c r="U368" s="86">
        <f ca="1">IFERROR(__xludf.DUMMYFUNCTION("""COMPUTED_VALUE"""),12)</f>
        <v>12</v>
      </c>
      <c r="V368" s="84"/>
      <c r="W368" s="87">
        <f ca="1">IFERROR(__xludf.DUMMYFUNCTION("""COMPUTED_VALUE"""),25)</f>
        <v>25</v>
      </c>
      <c r="X368" s="84">
        <f ca="1">IFERROR(__xludf.DUMMYFUNCTION("""COMPUTED_VALUE"""),1976)</f>
        <v>1976</v>
      </c>
      <c r="Y368" s="84" t="str">
        <f ca="1">IFERROR(__xludf.DUMMYFUNCTION("""COMPUTED_VALUE"""),"BMIS")</f>
        <v>BMIS</v>
      </c>
      <c r="Z368" s="66" t="s">
        <v>2347</v>
      </c>
    </row>
    <row r="369" spans="1:26" ht="15.75" customHeight="1">
      <c r="A369" s="83" t="str">
        <f ca="1">IFERROR(__xludf.DUMMYFUNCTION("""COMPUTED_VALUE"""),"N33SW")</f>
        <v>N33SW</v>
      </c>
      <c r="B369" s="84">
        <f ca="1">IFERROR(__xludf.DUMMYFUNCTION("""COMPUTED_VALUE"""),33)</f>
        <v>33</v>
      </c>
      <c r="C369" s="84" t="str">
        <f ca="1">IFERROR(__xludf.DUMMYFUNCTION("""COMPUTED_VALUE"""),"SW")</f>
        <v>SW</v>
      </c>
      <c r="D369" s="339">
        <f ca="1">IFERROR(__xludf.DUMMYFUNCTION("""COMPUTED_VALUE"""),8400)</f>
        <v>8400</v>
      </c>
      <c r="E369" s="84" t="str">
        <f ca="1">IFERROR(__xludf.DUMMYFUNCTION("""COMPUTED_VALUE"""),"3305522081T20050430")</f>
        <v>3305522081T20050430</v>
      </c>
      <c r="F369" s="84">
        <f ca="1">IFERROR(__xludf.DUMMYFUNCTION("""COMPUTED_VALUE"""),1108223054)</f>
        <v>1108223054</v>
      </c>
      <c r="G369" s="83" t="str">
        <f ca="1">IFERROR(__xludf.DUMMYFUNCTION("""COMPUTED_VALUE"""),"Charm Centre")</f>
        <v>Charm Centre</v>
      </c>
      <c r="H369" s="84" t="str">
        <f ca="1">IFERROR(__xludf.DUMMYFUNCTION("""COMPUTED_VALUE"""),"時運中心")</f>
        <v>時運中心</v>
      </c>
      <c r="I369" s="84">
        <f ca="1">IFERROR(__xludf.DUMMYFUNCTION("""COMPUTED_VALUE"""),114.1456905)</f>
        <v>114.1456905</v>
      </c>
      <c r="J369" s="84">
        <f ca="1">IFERROR(__xludf.DUMMYFUNCTION("""COMPUTED_VALUE"""),22.33780246)</f>
        <v>22.337802459999999</v>
      </c>
      <c r="K369" s="88">
        <f ca="1">IFERROR(__xludf.DUMMYFUNCTION("""COMPUTED_VALUE"""),21.1)</f>
        <v>21.1</v>
      </c>
      <c r="L369" s="84" t="str">
        <f ca="1">IFERROR(__xludf.DUMMYFUNCTION("""COMPUTED_VALUE"""),"p")</f>
        <v>p</v>
      </c>
      <c r="M369" s="88">
        <f ca="1">IFERROR(__xludf.DUMMYFUNCTION("""COMPUTED_VALUE"""),75.800003)</f>
        <v>75.800003000000004</v>
      </c>
      <c r="N369" s="84" t="str">
        <f ca="1">IFERROR(__xludf.DUMMYFUNCTION("""COMPUTED_VALUE"""),"p")</f>
        <v>p</v>
      </c>
      <c r="O369" s="88">
        <f ca="1">IFERROR(__xludf.DUMMYFUNCTION("""COMPUTED_VALUE"""),54.700003)</f>
        <v>54.700003000000002</v>
      </c>
      <c r="P369" s="85"/>
      <c r="Q369" s="75" t="b">
        <f ca="1">IFERROR(__xludf.DUMMYFUNCTION("""COMPUTED_VALUE"""),FALSE)</f>
        <v>0</v>
      </c>
      <c r="R369" s="75" t="b">
        <f ca="1">IFERROR(__xludf.DUMMYFUNCTION("""COMPUTED_VALUE"""),FALSE)</f>
        <v>0</v>
      </c>
      <c r="S369" s="75" t="b">
        <f ca="1">IFERROR(__xludf.DUMMYFUNCTION("""COMPUTED_VALUE"""),FALSE)</f>
        <v>0</v>
      </c>
      <c r="T369" s="75"/>
      <c r="U369" s="86">
        <f ca="1">IFERROR(__xludf.DUMMYFUNCTION("""COMPUTED_VALUE"""),16)</f>
        <v>16</v>
      </c>
      <c r="V369" s="84">
        <f ca="1">IFERROR(__xludf.DUMMYFUNCTION("""COMPUTED_VALUE"""),0)</f>
        <v>0</v>
      </c>
      <c r="W369" s="87">
        <f ca="1">IFERROR(__xludf.DUMMYFUNCTION("""COMPUTED_VALUE"""),34)</f>
        <v>34</v>
      </c>
      <c r="X369" s="84">
        <f ca="1">IFERROR(__xludf.DUMMYFUNCTION("""COMPUTED_VALUE"""),1992)</f>
        <v>1992</v>
      </c>
      <c r="Y369" s="84" t="str">
        <f ca="1">IFERROR(__xludf.DUMMYFUNCTION("""COMPUTED_VALUE"""),"BMIS")</f>
        <v>BMIS</v>
      </c>
      <c r="Z369" s="66" t="s">
        <v>2349</v>
      </c>
    </row>
    <row r="370" spans="1:26" ht="15.75" customHeight="1">
      <c r="A370" s="83" t="str">
        <f ca="1">IFERROR(__xludf.DUMMYFUNCTION("""COMPUTED_VALUE"""),"N33NW")</f>
        <v>N33NW</v>
      </c>
      <c r="B370" s="84">
        <f ca="1">IFERROR(__xludf.DUMMYFUNCTION("""COMPUTED_VALUE"""),33)</f>
        <v>33</v>
      </c>
      <c r="C370" s="84" t="str">
        <f ca="1">IFERROR(__xludf.DUMMYFUNCTION("""COMPUTED_VALUE"""),"NW")</f>
        <v>NW</v>
      </c>
      <c r="D370" s="339">
        <f ca="1">IFERROR(__xludf.DUMMYFUNCTION("""COMPUTED_VALUE"""),8400)</f>
        <v>8400</v>
      </c>
      <c r="E370" s="84" t="str">
        <f ca="1">IFERROR(__xludf.DUMMYFUNCTION("""COMPUTED_VALUE"""),"3300922004T20050430")</f>
        <v>3300922004T20050430</v>
      </c>
      <c r="F370" s="84">
        <f ca="1">IFERROR(__xludf.DUMMYFUNCTION("""COMPUTED_VALUE"""),1108223340)</f>
        <v>1108223340</v>
      </c>
      <c r="G370" s="83" t="str">
        <f ca="1">IFERROR(__xludf.DUMMYFUNCTION("""COMPUTED_VALUE"""),"Tong Yuen Factory Building")</f>
        <v>Tong Yuen Factory Building</v>
      </c>
      <c r="H370" s="84" t="str">
        <f ca="1">IFERROR(__xludf.DUMMYFUNCTION("""COMPUTED_VALUE"""),"通源工業大廈")</f>
        <v>通源工業大廈</v>
      </c>
      <c r="I370" s="84">
        <f ca="1">IFERROR(__xludf.DUMMYFUNCTION("""COMPUTED_VALUE"""),114.1452799)</f>
        <v>114.14527990000001</v>
      </c>
      <c r="J370" s="84">
        <f ca="1">IFERROR(__xludf.DUMMYFUNCTION("""COMPUTED_VALUE"""),22.33707755)</f>
        <v>22.33707755</v>
      </c>
      <c r="K370" s="88">
        <f ca="1">IFERROR(__xludf.DUMMYFUNCTION("""COMPUTED_VALUE"""),5)</f>
        <v>5</v>
      </c>
      <c r="L370" s="84" t="str">
        <f ca="1">IFERROR(__xludf.DUMMYFUNCTION("""COMPUTED_VALUE"""),"p")</f>
        <v>p</v>
      </c>
      <c r="M370" s="88">
        <f ca="1">IFERROR(__xludf.DUMMYFUNCTION("""COMPUTED_VALUE"""),43.700001)</f>
        <v>43.700001</v>
      </c>
      <c r="N370" s="84" t="str">
        <f ca="1">IFERROR(__xludf.DUMMYFUNCTION("""COMPUTED_VALUE"""),"p")</f>
        <v>p</v>
      </c>
      <c r="O370" s="88">
        <f ca="1">IFERROR(__xludf.DUMMYFUNCTION("""COMPUTED_VALUE"""),38.700001)</f>
        <v>38.700001</v>
      </c>
      <c r="P370" s="85"/>
      <c r="Q370" s="75" t="b">
        <f ca="1">IFERROR(__xludf.DUMMYFUNCTION("""COMPUTED_VALUE"""),FALSE)</f>
        <v>0</v>
      </c>
      <c r="R370" s="75" t="b">
        <f ca="1">IFERROR(__xludf.DUMMYFUNCTION("""COMPUTED_VALUE"""),FALSE)</f>
        <v>0</v>
      </c>
      <c r="S370" s="75" t="b">
        <f ca="1">IFERROR(__xludf.DUMMYFUNCTION("""COMPUTED_VALUE"""),FALSE)</f>
        <v>0</v>
      </c>
      <c r="T370" s="75"/>
      <c r="U370" s="86">
        <f ca="1">IFERROR(__xludf.DUMMYFUNCTION("""COMPUTED_VALUE"""),12)</f>
        <v>12</v>
      </c>
      <c r="V370" s="84">
        <f ca="1">IFERROR(__xludf.DUMMYFUNCTION("""COMPUTED_VALUE"""),0)</f>
        <v>0</v>
      </c>
      <c r="W370" s="87">
        <f ca="1">IFERROR(__xludf.DUMMYFUNCTION("""COMPUTED_VALUE"""),25)</f>
        <v>25</v>
      </c>
      <c r="X370" s="84">
        <f ca="1">IFERROR(__xludf.DUMMYFUNCTION("""COMPUTED_VALUE"""),1970)</f>
        <v>1970</v>
      </c>
      <c r="Y370" s="84" t="str">
        <f ca="1">IFERROR(__xludf.DUMMYFUNCTION("""COMPUTED_VALUE"""),"BMIS_auto")</f>
        <v>BMIS_auto</v>
      </c>
      <c r="Z370" s="66" t="s">
        <v>2351</v>
      </c>
    </row>
    <row r="371" spans="1:26" ht="15.75" customHeight="1">
      <c r="A371" s="83"/>
      <c r="B371" s="84"/>
      <c r="C371" s="84"/>
      <c r="D371" s="83"/>
      <c r="E371" s="84"/>
      <c r="F371" s="84"/>
      <c r="G371" s="83"/>
      <c r="H371" s="84"/>
      <c r="I371" s="84"/>
      <c r="J371" s="84"/>
      <c r="K371" s="84"/>
      <c r="L371" s="84"/>
      <c r="M371" s="84"/>
      <c r="N371" s="84"/>
      <c r="O371" s="84"/>
      <c r="P371" s="85"/>
      <c r="Q371" s="75"/>
      <c r="R371" s="75"/>
      <c r="S371" s="75"/>
      <c r="T371" s="75"/>
      <c r="U371" s="89"/>
      <c r="V371" s="84"/>
      <c r="W371" s="84"/>
      <c r="X371" s="84"/>
      <c r="Y371" s="84"/>
      <c r="Z371" s="84"/>
    </row>
    <row r="372" spans="1:26" ht="15.75" customHeight="1">
      <c r="A372" s="83"/>
      <c r="B372" s="84"/>
      <c r="C372" s="84"/>
      <c r="D372" s="83"/>
      <c r="E372" s="84"/>
      <c r="F372" s="84"/>
      <c r="G372" s="83"/>
      <c r="H372" s="84"/>
      <c r="I372" s="84"/>
      <c r="J372" s="84"/>
      <c r="K372" s="84"/>
      <c r="L372" s="84"/>
      <c r="M372" s="84"/>
      <c r="N372" s="84"/>
      <c r="O372" s="84"/>
      <c r="P372" s="85"/>
      <c r="Q372" s="75"/>
      <c r="R372" s="75"/>
      <c r="S372" s="75"/>
      <c r="T372" s="75"/>
      <c r="U372" s="89"/>
      <c r="V372" s="84"/>
      <c r="W372" s="84"/>
      <c r="X372" s="84"/>
      <c r="Y372" s="84"/>
      <c r="Z372" s="84"/>
    </row>
    <row r="373" spans="1:26" ht="15.75" customHeight="1">
      <c r="A373" s="83"/>
      <c r="B373" s="84"/>
      <c r="C373" s="84"/>
      <c r="D373" s="83"/>
      <c r="E373" s="84"/>
      <c r="F373" s="84"/>
      <c r="G373" s="83"/>
      <c r="H373" s="84"/>
      <c r="I373" s="84"/>
      <c r="J373" s="84"/>
      <c r="K373" s="84"/>
      <c r="L373" s="84"/>
      <c r="M373" s="84"/>
      <c r="N373" s="84"/>
      <c r="O373" s="84"/>
      <c r="P373" s="85"/>
      <c r="Q373" s="75"/>
      <c r="R373" s="75"/>
      <c r="S373" s="75"/>
      <c r="T373" s="75"/>
      <c r="U373" s="89"/>
      <c r="V373" s="84"/>
      <c r="W373" s="84"/>
      <c r="X373" s="84"/>
      <c r="Y373" s="84"/>
      <c r="Z373" s="84"/>
    </row>
    <row r="374" spans="1:26" ht="15.75" customHeight="1">
      <c r="A374" s="83"/>
      <c r="B374" s="84"/>
      <c r="C374" s="84"/>
      <c r="D374" s="83"/>
      <c r="E374" s="84"/>
      <c r="F374" s="84"/>
      <c r="G374" s="83"/>
      <c r="H374" s="84"/>
      <c r="I374" s="84"/>
      <c r="J374" s="84"/>
      <c r="K374" s="84"/>
      <c r="L374" s="84"/>
      <c r="M374" s="84"/>
      <c r="N374" s="84"/>
      <c r="O374" s="84"/>
      <c r="P374" s="85"/>
      <c r="Q374" s="75"/>
      <c r="R374" s="75"/>
      <c r="S374" s="75"/>
      <c r="T374" s="75"/>
      <c r="U374" s="89"/>
      <c r="V374" s="84"/>
      <c r="W374" s="84"/>
      <c r="X374" s="84"/>
      <c r="Y374" s="84"/>
      <c r="Z374" s="84"/>
    </row>
    <row r="375" spans="1:26" ht="15.75" customHeight="1">
      <c r="A375" s="83"/>
      <c r="B375" s="84"/>
      <c r="C375" s="84"/>
      <c r="D375" s="83"/>
      <c r="E375" s="84"/>
      <c r="F375" s="84"/>
      <c r="G375" s="83"/>
      <c r="H375" s="84"/>
      <c r="I375" s="84"/>
      <c r="J375" s="84"/>
      <c r="K375" s="84"/>
      <c r="L375" s="84"/>
      <c r="M375" s="84"/>
      <c r="N375" s="84"/>
      <c r="O375" s="84"/>
      <c r="P375" s="85"/>
      <c r="Q375" s="75"/>
      <c r="R375" s="75"/>
      <c r="S375" s="75"/>
      <c r="T375" s="75"/>
      <c r="U375" s="89"/>
      <c r="V375" s="84"/>
      <c r="W375" s="84"/>
      <c r="X375" s="84"/>
      <c r="Y375" s="84"/>
      <c r="Z375" s="84"/>
    </row>
    <row r="376" spans="1:26" ht="15.75" customHeight="1">
      <c r="A376" s="83"/>
      <c r="B376" s="84"/>
      <c r="C376" s="84"/>
      <c r="D376" s="83"/>
      <c r="E376" s="84"/>
      <c r="F376" s="84"/>
      <c r="G376" s="83"/>
      <c r="H376" s="84"/>
      <c r="I376" s="84"/>
      <c r="J376" s="84"/>
      <c r="K376" s="84"/>
      <c r="L376" s="84"/>
      <c r="M376" s="84"/>
      <c r="N376" s="84"/>
      <c r="O376" s="84"/>
      <c r="P376" s="85"/>
      <c r="Q376" s="75"/>
      <c r="R376" s="75"/>
      <c r="S376" s="75"/>
      <c r="T376" s="75"/>
      <c r="U376" s="89"/>
      <c r="V376" s="84"/>
      <c r="W376" s="84"/>
      <c r="X376" s="84"/>
      <c r="Y376" s="84"/>
      <c r="Z376" s="84"/>
    </row>
    <row r="377" spans="1:26" ht="15.75" customHeight="1">
      <c r="A377" s="83"/>
      <c r="B377" s="84"/>
      <c r="C377" s="84"/>
      <c r="D377" s="83"/>
      <c r="E377" s="84"/>
      <c r="F377" s="84"/>
      <c r="G377" s="83"/>
      <c r="H377" s="84"/>
      <c r="I377" s="84"/>
      <c r="J377" s="84"/>
      <c r="K377" s="84"/>
      <c r="L377" s="84"/>
      <c r="M377" s="84"/>
      <c r="N377" s="84"/>
      <c r="O377" s="84"/>
      <c r="P377" s="85"/>
      <c r="Q377" s="75"/>
      <c r="R377" s="75"/>
      <c r="S377" s="75"/>
      <c r="T377" s="75"/>
      <c r="U377" s="89"/>
      <c r="V377" s="84"/>
      <c r="W377" s="84"/>
      <c r="X377" s="84"/>
      <c r="Y377" s="84"/>
      <c r="Z377" s="84"/>
    </row>
    <row r="378" spans="1:26" ht="15.75" customHeight="1">
      <c r="A378" s="83"/>
      <c r="B378" s="84"/>
      <c r="C378" s="84"/>
      <c r="D378" s="83"/>
      <c r="E378" s="84"/>
      <c r="F378" s="84"/>
      <c r="G378" s="83"/>
      <c r="H378" s="84"/>
      <c r="I378" s="84"/>
      <c r="J378" s="84"/>
      <c r="K378" s="84"/>
      <c r="L378" s="84"/>
      <c r="M378" s="84"/>
      <c r="N378" s="84"/>
      <c r="O378" s="84"/>
      <c r="P378" s="85"/>
      <c r="Q378" s="75"/>
      <c r="R378" s="75"/>
      <c r="S378" s="75"/>
      <c r="T378" s="75"/>
      <c r="U378" s="89"/>
      <c r="V378" s="84"/>
      <c r="W378" s="84"/>
      <c r="X378" s="84"/>
      <c r="Y378" s="84"/>
      <c r="Z378" s="84"/>
    </row>
    <row r="379" spans="1:26" ht="15.75" customHeight="1">
      <c r="A379" s="83"/>
      <c r="B379" s="84"/>
      <c r="C379" s="84"/>
      <c r="D379" s="83"/>
      <c r="E379" s="84"/>
      <c r="F379" s="84"/>
      <c r="G379" s="83"/>
      <c r="H379" s="84"/>
      <c r="I379" s="84"/>
      <c r="J379" s="84"/>
      <c r="K379" s="84"/>
      <c r="L379" s="84"/>
      <c r="M379" s="84"/>
      <c r="N379" s="84"/>
      <c r="O379" s="84"/>
      <c r="P379" s="85"/>
      <c r="Q379" s="75"/>
      <c r="R379" s="75"/>
      <c r="S379" s="75"/>
      <c r="T379" s="75"/>
      <c r="U379" s="89"/>
      <c r="V379" s="84"/>
      <c r="W379" s="84"/>
      <c r="X379" s="84"/>
      <c r="Y379" s="84"/>
      <c r="Z379" s="84"/>
    </row>
    <row r="380" spans="1:26" ht="15.75" customHeight="1">
      <c r="A380" s="83"/>
      <c r="B380" s="84"/>
      <c r="C380" s="84"/>
      <c r="D380" s="83"/>
      <c r="E380" s="84"/>
      <c r="F380" s="84"/>
      <c r="G380" s="83"/>
      <c r="H380" s="84"/>
      <c r="I380" s="84"/>
      <c r="J380" s="84"/>
      <c r="K380" s="84"/>
      <c r="L380" s="84"/>
      <c r="M380" s="84"/>
      <c r="N380" s="84"/>
      <c r="O380" s="84"/>
      <c r="P380" s="85"/>
      <c r="Q380" s="75"/>
      <c r="R380" s="75"/>
      <c r="S380" s="75"/>
      <c r="T380" s="75"/>
      <c r="U380" s="89"/>
      <c r="V380" s="84"/>
      <c r="W380" s="84"/>
      <c r="X380" s="84"/>
      <c r="Y380" s="84"/>
      <c r="Z380" s="84"/>
    </row>
    <row r="381" spans="1:26" ht="15.75" customHeight="1">
      <c r="A381" s="83"/>
      <c r="B381" s="84"/>
      <c r="C381" s="84"/>
      <c r="D381" s="83"/>
      <c r="E381" s="84"/>
      <c r="F381" s="84"/>
      <c r="G381" s="83"/>
      <c r="H381" s="84"/>
      <c r="I381" s="84"/>
      <c r="J381" s="84"/>
      <c r="K381" s="84"/>
      <c r="L381" s="84"/>
      <c r="M381" s="84"/>
      <c r="N381" s="84"/>
      <c r="O381" s="84"/>
      <c r="P381" s="85"/>
      <c r="Q381" s="75"/>
      <c r="R381" s="75"/>
      <c r="S381" s="75"/>
      <c r="T381" s="75"/>
      <c r="U381" s="89"/>
      <c r="V381" s="84"/>
      <c r="W381" s="84"/>
      <c r="X381" s="84"/>
      <c r="Y381" s="84"/>
      <c r="Z381" s="84"/>
    </row>
    <row r="382" spans="1:26" ht="15.75" customHeight="1">
      <c r="A382" s="83"/>
      <c r="B382" s="84"/>
      <c r="C382" s="84"/>
      <c r="D382" s="83"/>
      <c r="E382" s="84"/>
      <c r="F382" s="84"/>
      <c r="G382" s="83"/>
      <c r="H382" s="84"/>
      <c r="I382" s="84"/>
      <c r="J382" s="84"/>
      <c r="K382" s="84"/>
      <c r="L382" s="84"/>
      <c r="M382" s="84"/>
      <c r="N382" s="84"/>
      <c r="O382" s="84"/>
      <c r="P382" s="85"/>
      <c r="Q382" s="75"/>
      <c r="R382" s="75"/>
      <c r="S382" s="75"/>
      <c r="T382" s="75"/>
      <c r="U382" s="89"/>
      <c r="V382" s="84"/>
      <c r="W382" s="84"/>
      <c r="X382" s="84"/>
      <c r="Y382" s="84"/>
      <c r="Z382" s="84"/>
    </row>
    <row r="383" spans="1:26" ht="15.75" customHeight="1">
      <c r="A383" s="83"/>
      <c r="B383" s="84"/>
      <c r="C383" s="84"/>
      <c r="D383" s="83"/>
      <c r="E383" s="84"/>
      <c r="F383" s="84"/>
      <c r="G383" s="83"/>
      <c r="H383" s="84"/>
      <c r="I383" s="84"/>
      <c r="J383" s="84"/>
      <c r="K383" s="84"/>
      <c r="L383" s="84"/>
      <c r="M383" s="84"/>
      <c r="N383" s="84"/>
      <c r="O383" s="84"/>
      <c r="P383" s="85"/>
      <c r="Q383" s="75"/>
      <c r="R383" s="75"/>
      <c r="S383" s="75"/>
      <c r="T383" s="75"/>
      <c r="U383" s="89"/>
      <c r="V383" s="84"/>
      <c r="W383" s="84"/>
      <c r="X383" s="84"/>
      <c r="Y383" s="84"/>
      <c r="Z383" s="84"/>
    </row>
    <row r="384" spans="1:26" ht="15.75" customHeight="1">
      <c r="A384" s="83"/>
      <c r="B384" s="84"/>
      <c r="C384" s="84"/>
      <c r="D384" s="83"/>
      <c r="E384" s="84"/>
      <c r="F384" s="84"/>
      <c r="G384" s="83"/>
      <c r="H384" s="84"/>
      <c r="I384" s="84"/>
      <c r="J384" s="84"/>
      <c r="K384" s="84"/>
      <c r="L384" s="84"/>
      <c r="M384" s="84"/>
      <c r="N384" s="84"/>
      <c r="O384" s="84"/>
      <c r="P384" s="85"/>
      <c r="Q384" s="75"/>
      <c r="R384" s="75"/>
      <c r="S384" s="75"/>
      <c r="T384" s="75"/>
      <c r="U384" s="89"/>
      <c r="V384" s="84"/>
      <c r="W384" s="84"/>
      <c r="X384" s="84"/>
      <c r="Y384" s="84"/>
      <c r="Z384" s="84"/>
    </row>
    <row r="385" spans="1:26" ht="15.75" customHeight="1">
      <c r="A385" s="83"/>
      <c r="B385" s="84"/>
      <c r="C385" s="84"/>
      <c r="D385" s="83"/>
      <c r="E385" s="84"/>
      <c r="F385" s="84"/>
      <c r="G385" s="83"/>
      <c r="H385" s="84"/>
      <c r="I385" s="84"/>
      <c r="J385" s="84"/>
      <c r="K385" s="84"/>
      <c r="L385" s="84"/>
      <c r="M385" s="84"/>
      <c r="N385" s="84"/>
      <c r="O385" s="84"/>
      <c r="P385" s="85"/>
      <c r="Q385" s="75"/>
      <c r="R385" s="75"/>
      <c r="S385" s="75"/>
      <c r="T385" s="75"/>
      <c r="U385" s="89"/>
      <c r="V385" s="84"/>
      <c r="W385" s="84"/>
      <c r="X385" s="84"/>
      <c r="Y385" s="84"/>
      <c r="Z385" s="84"/>
    </row>
    <row r="386" spans="1:26" ht="15.75" customHeight="1">
      <c r="A386" s="83"/>
      <c r="B386" s="84"/>
      <c r="C386" s="84"/>
      <c r="D386" s="83"/>
      <c r="E386" s="84"/>
      <c r="F386" s="84"/>
      <c r="G386" s="83"/>
      <c r="H386" s="84"/>
      <c r="I386" s="84"/>
      <c r="J386" s="84"/>
      <c r="K386" s="84"/>
      <c r="L386" s="84"/>
      <c r="M386" s="84"/>
      <c r="N386" s="84"/>
      <c r="O386" s="84"/>
      <c r="P386" s="85"/>
      <c r="Q386" s="75"/>
      <c r="R386" s="75"/>
      <c r="S386" s="75"/>
      <c r="T386" s="75"/>
      <c r="U386" s="89"/>
      <c r="V386" s="84"/>
      <c r="W386" s="84"/>
      <c r="X386" s="84"/>
      <c r="Y386" s="84"/>
      <c r="Z386" s="84"/>
    </row>
    <row r="387" spans="1:26" ht="15.75" customHeight="1">
      <c r="A387" s="83"/>
      <c r="B387" s="84"/>
      <c r="C387" s="84"/>
      <c r="D387" s="83"/>
      <c r="E387" s="84"/>
      <c r="F387" s="84"/>
      <c r="G387" s="83"/>
      <c r="H387" s="84"/>
      <c r="I387" s="84"/>
      <c r="J387" s="84"/>
      <c r="K387" s="84"/>
      <c r="L387" s="84"/>
      <c r="M387" s="84"/>
      <c r="N387" s="84"/>
      <c r="O387" s="84"/>
      <c r="P387" s="85"/>
      <c r="Q387" s="75"/>
      <c r="R387" s="75"/>
      <c r="S387" s="75"/>
      <c r="T387" s="75"/>
      <c r="U387" s="89"/>
      <c r="V387" s="84"/>
      <c r="W387" s="84"/>
      <c r="X387" s="84"/>
      <c r="Y387" s="84"/>
      <c r="Z387" s="84"/>
    </row>
    <row r="388" spans="1:26" ht="15.75" customHeight="1">
      <c r="A388" s="83"/>
      <c r="B388" s="84"/>
      <c r="C388" s="84"/>
      <c r="D388" s="83"/>
      <c r="E388" s="84"/>
      <c r="F388" s="84"/>
      <c r="G388" s="83"/>
      <c r="H388" s="84"/>
      <c r="I388" s="84"/>
      <c r="J388" s="84"/>
      <c r="K388" s="84"/>
      <c r="L388" s="84"/>
      <c r="M388" s="84"/>
      <c r="N388" s="84"/>
      <c r="O388" s="84"/>
      <c r="P388" s="85"/>
      <c r="Q388" s="75"/>
      <c r="R388" s="75"/>
      <c r="S388" s="75"/>
      <c r="T388" s="75"/>
      <c r="U388" s="89"/>
      <c r="V388" s="84"/>
      <c r="W388" s="84"/>
      <c r="X388" s="84"/>
      <c r="Y388" s="84"/>
      <c r="Z388" s="84"/>
    </row>
    <row r="389" spans="1:26" ht="15.75" customHeight="1">
      <c r="A389" s="83"/>
      <c r="B389" s="84"/>
      <c r="C389" s="84"/>
      <c r="D389" s="83"/>
      <c r="E389" s="84"/>
      <c r="F389" s="84"/>
      <c r="G389" s="83"/>
      <c r="H389" s="84"/>
      <c r="I389" s="84"/>
      <c r="J389" s="84"/>
      <c r="K389" s="84"/>
      <c r="L389" s="84"/>
      <c r="M389" s="84"/>
      <c r="N389" s="84"/>
      <c r="O389" s="84"/>
      <c r="P389" s="85"/>
      <c r="Q389" s="75"/>
      <c r="R389" s="75"/>
      <c r="S389" s="75"/>
      <c r="T389" s="75"/>
      <c r="U389" s="89"/>
      <c r="V389" s="84"/>
      <c r="W389" s="84"/>
      <c r="X389" s="84"/>
      <c r="Y389" s="84"/>
      <c r="Z389" s="84"/>
    </row>
    <row r="390" spans="1:26" ht="15.75" customHeight="1">
      <c r="A390" s="83"/>
      <c r="B390" s="84"/>
      <c r="C390" s="84"/>
      <c r="D390" s="83"/>
      <c r="E390" s="84"/>
      <c r="F390" s="84"/>
      <c r="G390" s="83"/>
      <c r="H390" s="84"/>
      <c r="I390" s="84"/>
      <c r="J390" s="84"/>
      <c r="K390" s="84"/>
      <c r="L390" s="84"/>
      <c r="M390" s="84"/>
      <c r="N390" s="84"/>
      <c r="O390" s="84"/>
      <c r="P390" s="85"/>
      <c r="Q390" s="75"/>
      <c r="R390" s="75"/>
      <c r="S390" s="75"/>
      <c r="T390" s="75"/>
      <c r="U390" s="89"/>
      <c r="V390" s="84"/>
      <c r="W390" s="84"/>
      <c r="X390" s="84"/>
      <c r="Y390" s="84"/>
      <c r="Z390" s="84"/>
    </row>
    <row r="391" spans="1:26" ht="15.75" customHeight="1">
      <c r="A391" s="83"/>
      <c r="B391" s="84"/>
      <c r="C391" s="84"/>
      <c r="D391" s="83"/>
      <c r="E391" s="84"/>
      <c r="F391" s="84"/>
      <c r="G391" s="83"/>
      <c r="H391" s="84"/>
      <c r="I391" s="84"/>
      <c r="J391" s="84"/>
      <c r="K391" s="84"/>
      <c r="L391" s="84"/>
      <c r="M391" s="84"/>
      <c r="N391" s="84"/>
      <c r="O391" s="84"/>
      <c r="P391" s="85"/>
      <c r="Q391" s="75"/>
      <c r="R391" s="75"/>
      <c r="S391" s="75"/>
      <c r="T391" s="75"/>
      <c r="U391" s="89"/>
      <c r="V391" s="84"/>
      <c r="W391" s="84"/>
      <c r="X391" s="84"/>
      <c r="Y391" s="84"/>
      <c r="Z391" s="84"/>
    </row>
    <row r="392" spans="1:26" ht="15.75" customHeight="1">
      <c r="A392" s="83"/>
      <c r="B392" s="84"/>
      <c r="C392" s="84"/>
      <c r="D392" s="83"/>
      <c r="E392" s="84"/>
      <c r="F392" s="84"/>
      <c r="G392" s="83"/>
      <c r="H392" s="84"/>
      <c r="I392" s="84"/>
      <c r="J392" s="84"/>
      <c r="K392" s="84"/>
      <c r="L392" s="84"/>
      <c r="M392" s="84"/>
      <c r="N392" s="84"/>
      <c r="O392" s="84"/>
      <c r="P392" s="85"/>
      <c r="Q392" s="75"/>
      <c r="R392" s="75"/>
      <c r="S392" s="75"/>
      <c r="T392" s="75"/>
      <c r="U392" s="89"/>
      <c r="V392" s="84"/>
      <c r="W392" s="84"/>
      <c r="X392" s="84"/>
      <c r="Y392" s="84"/>
      <c r="Z392" s="84"/>
    </row>
    <row r="393" spans="1:26" ht="15.75" customHeight="1">
      <c r="A393" s="83"/>
      <c r="B393" s="84"/>
      <c r="C393" s="84"/>
      <c r="D393" s="83"/>
      <c r="E393" s="84"/>
      <c r="F393" s="84"/>
      <c r="G393" s="83"/>
      <c r="H393" s="84"/>
      <c r="I393" s="84"/>
      <c r="J393" s="84"/>
      <c r="K393" s="84"/>
      <c r="L393" s="84"/>
      <c r="M393" s="84"/>
      <c r="N393" s="84"/>
      <c r="O393" s="84"/>
      <c r="P393" s="85"/>
      <c r="Q393" s="75"/>
      <c r="R393" s="75"/>
      <c r="S393" s="75"/>
      <c r="T393" s="75"/>
      <c r="U393" s="89"/>
      <c r="V393" s="84"/>
      <c r="W393" s="84"/>
      <c r="X393" s="84"/>
      <c r="Y393" s="84"/>
      <c r="Z393" s="84"/>
    </row>
    <row r="394" spans="1:26" ht="15.75" customHeight="1">
      <c r="A394" s="83"/>
      <c r="B394" s="84"/>
      <c r="C394" s="84"/>
      <c r="D394" s="83"/>
      <c r="E394" s="84"/>
      <c r="F394" s="84"/>
      <c r="G394" s="83"/>
      <c r="H394" s="84"/>
      <c r="I394" s="84"/>
      <c r="J394" s="84"/>
      <c r="K394" s="84"/>
      <c r="L394" s="84"/>
      <c r="M394" s="84"/>
      <c r="N394" s="84"/>
      <c r="O394" s="84"/>
      <c r="P394" s="85"/>
      <c r="Q394" s="75"/>
      <c r="R394" s="75"/>
      <c r="S394" s="75"/>
      <c r="T394" s="75"/>
      <c r="U394" s="89"/>
      <c r="V394" s="84"/>
      <c r="W394" s="84"/>
      <c r="X394" s="84"/>
      <c r="Y394" s="84"/>
      <c r="Z394" s="84"/>
    </row>
    <row r="395" spans="1:26" ht="15.75" customHeight="1">
      <c r="A395" s="83"/>
      <c r="B395" s="84"/>
      <c r="C395" s="84"/>
      <c r="D395" s="83"/>
      <c r="E395" s="84"/>
      <c r="F395" s="84"/>
      <c r="G395" s="83"/>
      <c r="H395" s="84"/>
      <c r="I395" s="84"/>
      <c r="J395" s="84"/>
      <c r="K395" s="84"/>
      <c r="L395" s="84"/>
      <c r="M395" s="84"/>
      <c r="N395" s="84"/>
      <c r="O395" s="84"/>
      <c r="P395" s="85"/>
      <c r="Q395" s="75"/>
      <c r="R395" s="75"/>
      <c r="S395" s="75"/>
      <c r="T395" s="75"/>
      <c r="U395" s="89"/>
      <c r="V395" s="84"/>
      <c r="W395" s="84"/>
      <c r="X395" s="84"/>
      <c r="Y395" s="84"/>
      <c r="Z395" s="84"/>
    </row>
    <row r="396" spans="1:26" ht="15.75" customHeight="1">
      <c r="A396" s="83"/>
      <c r="B396" s="84"/>
      <c r="C396" s="84"/>
      <c r="D396" s="83"/>
      <c r="E396" s="84"/>
      <c r="F396" s="84"/>
      <c r="G396" s="83"/>
      <c r="H396" s="84"/>
      <c r="I396" s="84"/>
      <c r="J396" s="84"/>
      <c r="K396" s="84"/>
      <c r="L396" s="84"/>
      <c r="M396" s="84"/>
      <c r="N396" s="84"/>
      <c r="O396" s="84"/>
      <c r="P396" s="85"/>
      <c r="Q396" s="75"/>
      <c r="R396" s="75"/>
      <c r="S396" s="75"/>
      <c r="T396" s="75"/>
      <c r="U396" s="89"/>
      <c r="V396" s="84"/>
      <c r="W396" s="84"/>
      <c r="X396" s="84"/>
      <c r="Y396" s="84"/>
      <c r="Z396" s="84"/>
    </row>
    <row r="397" spans="1:26" ht="15.75" customHeight="1">
      <c r="A397" s="83"/>
      <c r="B397" s="84"/>
      <c r="C397" s="84"/>
      <c r="D397" s="83"/>
      <c r="E397" s="84"/>
      <c r="F397" s="84"/>
      <c r="G397" s="83"/>
      <c r="H397" s="84"/>
      <c r="I397" s="84"/>
      <c r="J397" s="84"/>
      <c r="K397" s="84"/>
      <c r="L397" s="84"/>
      <c r="M397" s="84"/>
      <c r="N397" s="84"/>
      <c r="O397" s="84"/>
      <c r="P397" s="85"/>
      <c r="Q397" s="75"/>
      <c r="R397" s="75"/>
      <c r="S397" s="75"/>
      <c r="T397" s="75"/>
      <c r="U397" s="89"/>
      <c r="V397" s="84"/>
      <c r="W397" s="84"/>
      <c r="X397" s="84"/>
      <c r="Y397" s="84"/>
      <c r="Z397" s="84"/>
    </row>
    <row r="398" spans="1:26" ht="15.75" customHeight="1">
      <c r="A398" s="83"/>
      <c r="B398" s="84"/>
      <c r="C398" s="84"/>
      <c r="D398" s="83"/>
      <c r="E398" s="84"/>
      <c r="F398" s="84"/>
      <c r="G398" s="83"/>
      <c r="H398" s="84"/>
      <c r="I398" s="84"/>
      <c r="J398" s="84"/>
      <c r="K398" s="84"/>
      <c r="L398" s="84"/>
      <c r="M398" s="84"/>
      <c r="N398" s="84"/>
      <c r="O398" s="84"/>
      <c r="P398" s="85"/>
      <c r="Q398" s="75"/>
      <c r="R398" s="75"/>
      <c r="S398" s="75"/>
      <c r="T398" s="75"/>
      <c r="U398" s="89"/>
      <c r="V398" s="84"/>
      <c r="W398" s="84"/>
      <c r="X398" s="84"/>
      <c r="Y398" s="84"/>
      <c r="Z398" s="84"/>
    </row>
    <row r="399" spans="1:26" ht="15.75" customHeight="1">
      <c r="A399" s="83"/>
      <c r="B399" s="84"/>
      <c r="C399" s="84"/>
      <c r="D399" s="83"/>
      <c r="E399" s="84"/>
      <c r="F399" s="84"/>
      <c r="G399" s="83"/>
      <c r="H399" s="84"/>
      <c r="I399" s="84"/>
      <c r="J399" s="84"/>
      <c r="K399" s="84"/>
      <c r="L399" s="84"/>
      <c r="M399" s="84"/>
      <c r="N399" s="84"/>
      <c r="O399" s="84"/>
      <c r="P399" s="85"/>
      <c r="Q399" s="75"/>
      <c r="R399" s="75"/>
      <c r="S399" s="75"/>
      <c r="T399" s="75"/>
      <c r="U399" s="89"/>
      <c r="V399" s="84"/>
      <c r="W399" s="84"/>
      <c r="X399" s="84"/>
      <c r="Y399" s="84"/>
      <c r="Z399" s="84"/>
    </row>
    <row r="400" spans="1:26" ht="15.75" customHeight="1">
      <c r="A400" s="83"/>
      <c r="B400" s="84"/>
      <c r="C400" s="84"/>
      <c r="D400" s="83"/>
      <c r="E400" s="84"/>
      <c r="F400" s="84"/>
      <c r="G400" s="83"/>
      <c r="H400" s="84"/>
      <c r="I400" s="84"/>
      <c r="J400" s="84"/>
      <c r="K400" s="84"/>
      <c r="L400" s="84"/>
      <c r="M400" s="84"/>
      <c r="N400" s="84"/>
      <c r="O400" s="84"/>
      <c r="P400" s="85"/>
      <c r="Q400" s="75"/>
      <c r="R400" s="75"/>
      <c r="S400" s="75"/>
      <c r="T400" s="75"/>
      <c r="U400" s="89"/>
      <c r="V400" s="84"/>
      <c r="W400" s="84"/>
      <c r="X400" s="84"/>
      <c r="Y400" s="84"/>
      <c r="Z400" s="84"/>
    </row>
    <row r="401" spans="1:26" ht="15.75" customHeight="1">
      <c r="A401" s="83"/>
      <c r="B401" s="84"/>
      <c r="C401" s="84"/>
      <c r="D401" s="83"/>
      <c r="E401" s="84"/>
      <c r="F401" s="84"/>
      <c r="G401" s="83"/>
      <c r="H401" s="84"/>
      <c r="I401" s="84"/>
      <c r="J401" s="84"/>
      <c r="K401" s="84"/>
      <c r="L401" s="84"/>
      <c r="M401" s="84"/>
      <c r="N401" s="84"/>
      <c r="O401" s="84"/>
      <c r="P401" s="85"/>
      <c r="Q401" s="75"/>
      <c r="R401" s="75"/>
      <c r="S401" s="75"/>
      <c r="T401" s="75"/>
      <c r="U401" s="89"/>
      <c r="V401" s="84"/>
      <c r="W401" s="84"/>
      <c r="X401" s="84"/>
      <c r="Y401" s="84"/>
      <c r="Z401" s="84"/>
    </row>
    <row r="402" spans="1:26" ht="15.75" customHeight="1">
      <c r="A402" s="83"/>
      <c r="B402" s="84"/>
      <c r="C402" s="84"/>
      <c r="D402" s="83"/>
      <c r="E402" s="84"/>
      <c r="F402" s="84"/>
      <c r="G402" s="83"/>
      <c r="H402" s="84"/>
      <c r="I402" s="84"/>
      <c r="J402" s="84"/>
      <c r="K402" s="84"/>
      <c r="L402" s="84"/>
      <c r="M402" s="84"/>
      <c r="N402" s="84"/>
      <c r="O402" s="84"/>
      <c r="P402" s="85"/>
      <c r="Q402" s="75"/>
      <c r="R402" s="75"/>
      <c r="S402" s="75"/>
      <c r="T402" s="75"/>
      <c r="U402" s="89"/>
      <c r="V402" s="84"/>
      <c r="W402" s="84"/>
      <c r="X402" s="84"/>
      <c r="Y402" s="84"/>
      <c r="Z402" s="84"/>
    </row>
    <row r="403" spans="1:26" ht="15.75" customHeight="1">
      <c r="A403" s="83"/>
      <c r="B403" s="84"/>
      <c r="C403" s="84"/>
      <c r="D403" s="83"/>
      <c r="E403" s="84"/>
      <c r="F403" s="84"/>
      <c r="G403" s="83"/>
      <c r="H403" s="84"/>
      <c r="I403" s="84"/>
      <c r="J403" s="84"/>
      <c r="K403" s="84"/>
      <c r="L403" s="84"/>
      <c r="M403" s="84"/>
      <c r="N403" s="84"/>
      <c r="O403" s="84"/>
      <c r="P403" s="85"/>
      <c r="Q403" s="75"/>
      <c r="R403" s="75"/>
      <c r="S403" s="75"/>
      <c r="T403" s="75"/>
      <c r="U403" s="89"/>
      <c r="V403" s="84"/>
      <c r="W403" s="84"/>
      <c r="X403" s="84"/>
      <c r="Y403" s="84"/>
      <c r="Z403" s="84"/>
    </row>
    <row r="404" spans="1:26" ht="15.75" customHeight="1">
      <c r="A404" s="83"/>
      <c r="B404" s="84"/>
      <c r="C404" s="84"/>
      <c r="D404" s="83"/>
      <c r="E404" s="84"/>
      <c r="F404" s="84"/>
      <c r="G404" s="83"/>
      <c r="H404" s="84"/>
      <c r="I404" s="84"/>
      <c r="J404" s="84"/>
      <c r="K404" s="84"/>
      <c r="L404" s="84"/>
      <c r="M404" s="84"/>
      <c r="N404" s="84"/>
      <c r="O404" s="84"/>
      <c r="P404" s="85"/>
      <c r="Q404" s="75"/>
      <c r="R404" s="75"/>
      <c r="S404" s="75"/>
      <c r="T404" s="75"/>
      <c r="U404" s="89"/>
      <c r="V404" s="84"/>
      <c r="W404" s="84"/>
      <c r="X404" s="84"/>
      <c r="Y404" s="84"/>
      <c r="Z404" s="84"/>
    </row>
    <row r="405" spans="1:26" ht="15.75" customHeight="1">
      <c r="A405" s="83"/>
      <c r="B405" s="84"/>
      <c r="C405" s="84"/>
      <c r="D405" s="83"/>
      <c r="E405" s="84"/>
      <c r="F405" s="84"/>
      <c r="G405" s="83"/>
      <c r="H405" s="84"/>
      <c r="I405" s="84"/>
      <c r="J405" s="84"/>
      <c r="K405" s="84"/>
      <c r="L405" s="84"/>
      <c r="M405" s="84"/>
      <c r="N405" s="84"/>
      <c r="O405" s="84"/>
      <c r="P405" s="85"/>
      <c r="Q405" s="75"/>
      <c r="R405" s="75"/>
      <c r="S405" s="75"/>
      <c r="T405" s="75"/>
      <c r="U405" s="89"/>
      <c r="V405" s="84"/>
      <c r="W405" s="84"/>
      <c r="X405" s="84"/>
      <c r="Y405" s="84"/>
      <c r="Z405" s="84"/>
    </row>
    <row r="406" spans="1:26" ht="15.75" customHeight="1">
      <c r="A406" s="83"/>
      <c r="B406" s="84"/>
      <c r="C406" s="84"/>
      <c r="D406" s="83"/>
      <c r="E406" s="84"/>
      <c r="F406" s="84"/>
      <c r="G406" s="83"/>
      <c r="H406" s="84"/>
      <c r="I406" s="84"/>
      <c r="J406" s="84"/>
      <c r="K406" s="84"/>
      <c r="L406" s="84"/>
      <c r="M406" s="84"/>
      <c r="N406" s="84"/>
      <c r="O406" s="84"/>
      <c r="P406" s="85"/>
      <c r="Q406" s="75"/>
      <c r="R406" s="75"/>
      <c r="S406" s="75"/>
      <c r="T406" s="75"/>
      <c r="U406" s="89"/>
      <c r="V406" s="84"/>
      <c r="W406" s="84"/>
      <c r="X406" s="84"/>
      <c r="Y406" s="84"/>
      <c r="Z406" s="84"/>
    </row>
    <row r="407" spans="1:26" ht="15.75" customHeight="1">
      <c r="A407" s="83"/>
      <c r="B407" s="84"/>
      <c r="C407" s="84"/>
      <c r="D407" s="83"/>
      <c r="E407" s="84"/>
      <c r="F407" s="84"/>
      <c r="G407" s="83"/>
      <c r="H407" s="84"/>
      <c r="I407" s="84"/>
      <c r="J407" s="84"/>
      <c r="K407" s="84"/>
      <c r="L407" s="84"/>
      <c r="M407" s="84"/>
      <c r="N407" s="84"/>
      <c r="O407" s="84"/>
      <c r="P407" s="85"/>
      <c r="Q407" s="75"/>
      <c r="R407" s="75"/>
      <c r="S407" s="75"/>
      <c r="T407" s="75"/>
      <c r="U407" s="89"/>
      <c r="V407" s="84"/>
      <c r="W407" s="84"/>
      <c r="X407" s="84"/>
      <c r="Y407" s="84"/>
      <c r="Z407" s="84"/>
    </row>
    <row r="408" spans="1:26" ht="15.75" customHeight="1">
      <c r="A408" s="83"/>
      <c r="B408" s="84"/>
      <c r="C408" s="84"/>
      <c r="D408" s="83"/>
      <c r="E408" s="84"/>
      <c r="F408" s="84"/>
      <c r="G408" s="83"/>
      <c r="H408" s="84"/>
      <c r="I408" s="84"/>
      <c r="J408" s="84"/>
      <c r="K408" s="84"/>
      <c r="L408" s="84"/>
      <c r="M408" s="84"/>
      <c r="N408" s="84"/>
      <c r="O408" s="84"/>
      <c r="P408" s="85"/>
      <c r="Q408" s="75"/>
      <c r="R408" s="75"/>
      <c r="S408" s="75"/>
      <c r="T408" s="75"/>
      <c r="U408" s="89"/>
      <c r="V408" s="84"/>
      <c r="W408" s="84"/>
      <c r="X408" s="84"/>
      <c r="Y408" s="84"/>
      <c r="Z408" s="84"/>
    </row>
    <row r="409" spans="1:26" ht="15.75" customHeight="1">
      <c r="A409" s="83"/>
      <c r="B409" s="84"/>
      <c r="C409" s="84"/>
      <c r="D409" s="83"/>
      <c r="E409" s="84"/>
      <c r="F409" s="84"/>
      <c r="G409" s="83"/>
      <c r="H409" s="84"/>
      <c r="I409" s="84"/>
      <c r="J409" s="84"/>
      <c r="K409" s="84"/>
      <c r="L409" s="84"/>
      <c r="M409" s="84"/>
      <c r="N409" s="84"/>
      <c r="O409" s="84"/>
      <c r="P409" s="85"/>
      <c r="Q409" s="75"/>
      <c r="R409" s="75"/>
      <c r="S409" s="75"/>
      <c r="T409" s="75"/>
      <c r="U409" s="89"/>
      <c r="V409" s="84"/>
      <c r="W409" s="84"/>
      <c r="X409" s="84"/>
      <c r="Y409" s="84"/>
      <c r="Z409" s="84"/>
    </row>
    <row r="410" spans="1:26" ht="15.75" customHeight="1">
      <c r="A410" s="83"/>
      <c r="B410" s="84"/>
      <c r="C410" s="84"/>
      <c r="D410" s="83"/>
      <c r="E410" s="84"/>
      <c r="F410" s="84"/>
      <c r="G410" s="83"/>
      <c r="H410" s="84"/>
      <c r="I410" s="84"/>
      <c r="J410" s="84"/>
      <c r="K410" s="84"/>
      <c r="L410" s="84"/>
      <c r="M410" s="84"/>
      <c r="N410" s="84"/>
      <c r="O410" s="84"/>
      <c r="P410" s="85"/>
      <c r="Q410" s="75"/>
      <c r="R410" s="75"/>
      <c r="S410" s="75"/>
      <c r="T410" s="75"/>
      <c r="U410" s="89"/>
      <c r="V410" s="84"/>
      <c r="W410" s="84"/>
      <c r="X410" s="84"/>
      <c r="Y410" s="84"/>
      <c r="Z410" s="84"/>
    </row>
    <row r="411" spans="1:26" ht="15.75" customHeight="1">
      <c r="A411" s="83"/>
      <c r="B411" s="84"/>
      <c r="C411" s="84"/>
      <c r="D411" s="83"/>
      <c r="E411" s="84"/>
      <c r="F411" s="84"/>
      <c r="G411" s="83"/>
      <c r="H411" s="84"/>
      <c r="I411" s="84"/>
      <c r="J411" s="84"/>
      <c r="K411" s="84"/>
      <c r="L411" s="84"/>
      <c r="M411" s="84"/>
      <c r="N411" s="84"/>
      <c r="O411" s="84"/>
      <c r="P411" s="85"/>
      <c r="Q411" s="75"/>
      <c r="R411" s="75"/>
      <c r="S411" s="75"/>
      <c r="T411" s="75"/>
      <c r="U411" s="89"/>
      <c r="V411" s="84"/>
      <c r="W411" s="84"/>
      <c r="X411" s="84"/>
      <c r="Y411" s="84"/>
      <c r="Z411" s="84"/>
    </row>
    <row r="412" spans="1:26" ht="15.75" customHeight="1">
      <c r="A412" s="83"/>
      <c r="B412" s="84"/>
      <c r="C412" s="84"/>
      <c r="D412" s="83"/>
      <c r="E412" s="84"/>
      <c r="F412" s="84"/>
      <c r="G412" s="83"/>
      <c r="H412" s="84"/>
      <c r="I412" s="84"/>
      <c r="J412" s="84"/>
      <c r="K412" s="84"/>
      <c r="L412" s="84"/>
      <c r="M412" s="84"/>
      <c r="N412" s="84"/>
      <c r="O412" s="84"/>
      <c r="P412" s="85"/>
      <c r="Q412" s="75"/>
      <c r="R412" s="75"/>
      <c r="S412" s="75"/>
      <c r="T412" s="75"/>
      <c r="U412" s="89"/>
      <c r="V412" s="84"/>
      <c r="W412" s="84"/>
      <c r="X412" s="84"/>
      <c r="Y412" s="84"/>
      <c r="Z412" s="84"/>
    </row>
    <row r="413" spans="1:26" ht="15.75" customHeight="1">
      <c r="A413" s="83"/>
      <c r="B413" s="84"/>
      <c r="C413" s="84"/>
      <c r="D413" s="83"/>
      <c r="E413" s="84"/>
      <c r="F413" s="84"/>
      <c r="G413" s="83"/>
      <c r="H413" s="84"/>
      <c r="I413" s="84"/>
      <c r="J413" s="84"/>
      <c r="K413" s="84"/>
      <c r="L413" s="84"/>
      <c r="M413" s="84"/>
      <c r="N413" s="84"/>
      <c r="O413" s="84"/>
      <c r="P413" s="85"/>
      <c r="Q413" s="75"/>
      <c r="R413" s="75"/>
      <c r="S413" s="75"/>
      <c r="T413" s="75"/>
      <c r="U413" s="89"/>
      <c r="V413" s="84"/>
      <c r="W413" s="84"/>
      <c r="X413" s="84"/>
      <c r="Y413" s="84"/>
      <c r="Z413" s="84"/>
    </row>
    <row r="414" spans="1:26" ht="15.75" customHeight="1">
      <c r="A414" s="83"/>
      <c r="B414" s="84"/>
      <c r="C414" s="84"/>
      <c r="D414" s="83"/>
      <c r="E414" s="84"/>
      <c r="F414" s="84"/>
      <c r="G414" s="83"/>
      <c r="H414" s="84"/>
      <c r="I414" s="84"/>
      <c r="J414" s="84"/>
      <c r="K414" s="84"/>
      <c r="L414" s="84"/>
      <c r="M414" s="84"/>
      <c r="N414" s="84"/>
      <c r="O414" s="84"/>
      <c r="P414" s="85"/>
      <c r="Q414" s="75"/>
      <c r="R414" s="75"/>
      <c r="S414" s="75"/>
      <c r="T414" s="75"/>
      <c r="U414" s="89"/>
      <c r="V414" s="84"/>
      <c r="W414" s="84"/>
      <c r="X414" s="84"/>
      <c r="Y414" s="84"/>
      <c r="Z414" s="84"/>
    </row>
    <row r="415" spans="1:26" ht="15.75" customHeight="1">
      <c r="A415" s="83"/>
      <c r="B415" s="84"/>
      <c r="C415" s="84"/>
      <c r="D415" s="83"/>
      <c r="E415" s="84"/>
      <c r="F415" s="84"/>
      <c r="G415" s="83"/>
      <c r="H415" s="84"/>
      <c r="I415" s="84"/>
      <c r="J415" s="84"/>
      <c r="K415" s="84"/>
      <c r="L415" s="84"/>
      <c r="M415" s="84"/>
      <c r="N415" s="84"/>
      <c r="O415" s="84"/>
      <c r="P415" s="85"/>
      <c r="Q415" s="75"/>
      <c r="R415" s="75"/>
      <c r="S415" s="75"/>
      <c r="T415" s="75"/>
      <c r="U415" s="89"/>
      <c r="V415" s="84"/>
      <c r="W415" s="84"/>
      <c r="X415" s="84"/>
      <c r="Y415" s="84"/>
      <c r="Z415" s="84"/>
    </row>
    <row r="416" spans="1:26" ht="15.75" customHeight="1">
      <c r="A416" s="83"/>
      <c r="B416" s="84"/>
      <c r="C416" s="84"/>
      <c r="D416" s="83"/>
      <c r="E416" s="84"/>
      <c r="F416" s="84"/>
      <c r="G416" s="83"/>
      <c r="H416" s="84"/>
      <c r="I416" s="84"/>
      <c r="J416" s="84"/>
      <c r="K416" s="84"/>
      <c r="L416" s="84"/>
      <c r="M416" s="84"/>
      <c r="N416" s="84"/>
      <c r="O416" s="84"/>
      <c r="P416" s="85"/>
      <c r="Q416" s="75"/>
      <c r="R416" s="75"/>
      <c r="S416" s="75"/>
      <c r="T416" s="75"/>
      <c r="U416" s="89"/>
      <c r="V416" s="84"/>
      <c r="W416" s="84"/>
      <c r="X416" s="84"/>
      <c r="Y416" s="84"/>
      <c r="Z416" s="84"/>
    </row>
    <row r="417" spans="1:26" ht="15.75" customHeight="1">
      <c r="A417" s="83"/>
      <c r="B417" s="84"/>
      <c r="C417" s="84"/>
      <c r="D417" s="83"/>
      <c r="E417" s="84"/>
      <c r="F417" s="84"/>
      <c r="G417" s="83"/>
      <c r="H417" s="84"/>
      <c r="I417" s="84"/>
      <c r="J417" s="84"/>
      <c r="K417" s="84"/>
      <c r="L417" s="84"/>
      <c r="M417" s="84"/>
      <c r="N417" s="84"/>
      <c r="O417" s="84"/>
      <c r="P417" s="85"/>
      <c r="Q417" s="75"/>
      <c r="R417" s="75"/>
      <c r="S417" s="75"/>
      <c r="T417" s="75"/>
      <c r="U417" s="89"/>
      <c r="V417" s="84"/>
      <c r="W417" s="84"/>
      <c r="X417" s="84"/>
      <c r="Y417" s="84"/>
      <c r="Z417" s="84"/>
    </row>
    <row r="418" spans="1:26" ht="15.75" customHeight="1">
      <c r="A418" s="83"/>
      <c r="B418" s="84"/>
      <c r="C418" s="84"/>
      <c r="D418" s="83"/>
      <c r="E418" s="84"/>
      <c r="F418" s="84"/>
      <c r="G418" s="83"/>
      <c r="H418" s="84"/>
      <c r="I418" s="84"/>
      <c r="J418" s="84"/>
      <c r="K418" s="84"/>
      <c r="L418" s="84"/>
      <c r="M418" s="84"/>
      <c r="N418" s="84"/>
      <c r="O418" s="84"/>
      <c r="P418" s="85"/>
      <c r="Q418" s="75"/>
      <c r="R418" s="75"/>
      <c r="S418" s="75"/>
      <c r="T418" s="75"/>
      <c r="U418" s="89"/>
      <c r="V418" s="84"/>
      <c r="W418" s="84"/>
      <c r="X418" s="84"/>
      <c r="Y418" s="84"/>
      <c r="Z418" s="84"/>
    </row>
    <row r="419" spans="1:26" ht="15.75" customHeight="1">
      <c r="A419" s="83"/>
      <c r="B419" s="84"/>
      <c r="C419" s="84"/>
      <c r="D419" s="83"/>
      <c r="E419" s="84"/>
      <c r="F419" s="84"/>
      <c r="G419" s="83"/>
      <c r="H419" s="84"/>
      <c r="I419" s="84"/>
      <c r="J419" s="84"/>
      <c r="K419" s="84"/>
      <c r="L419" s="84"/>
      <c r="M419" s="84"/>
      <c r="N419" s="84"/>
      <c r="O419" s="84"/>
      <c r="P419" s="85"/>
      <c r="Q419" s="75"/>
      <c r="R419" s="75"/>
      <c r="S419" s="75"/>
      <c r="T419" s="75"/>
      <c r="U419" s="89"/>
      <c r="V419" s="84"/>
      <c r="W419" s="84"/>
      <c r="X419" s="84"/>
      <c r="Y419" s="84"/>
      <c r="Z419" s="84"/>
    </row>
    <row r="420" spans="1:26" ht="15.75" customHeight="1">
      <c r="A420" s="83"/>
      <c r="B420" s="84"/>
      <c r="C420" s="84"/>
      <c r="D420" s="83"/>
      <c r="E420" s="84"/>
      <c r="F420" s="84"/>
      <c r="G420" s="83"/>
      <c r="H420" s="84"/>
      <c r="I420" s="84"/>
      <c r="J420" s="84"/>
      <c r="K420" s="84"/>
      <c r="L420" s="84"/>
      <c r="M420" s="84"/>
      <c r="N420" s="84"/>
      <c r="O420" s="84"/>
      <c r="P420" s="85"/>
      <c r="Q420" s="75"/>
      <c r="R420" s="75"/>
      <c r="S420" s="75"/>
      <c r="T420" s="75"/>
      <c r="U420" s="89"/>
      <c r="V420" s="84"/>
      <c r="W420" s="84"/>
      <c r="X420" s="84"/>
      <c r="Y420" s="84"/>
      <c r="Z420" s="84"/>
    </row>
    <row r="421" spans="1:26" ht="15.75" customHeight="1">
      <c r="A421" s="83"/>
      <c r="B421" s="84"/>
      <c r="C421" s="84"/>
      <c r="D421" s="83"/>
      <c r="E421" s="84"/>
      <c r="F421" s="84"/>
      <c r="G421" s="83"/>
      <c r="H421" s="84"/>
      <c r="I421" s="84"/>
      <c r="J421" s="84"/>
      <c r="K421" s="84"/>
      <c r="L421" s="84"/>
      <c r="M421" s="84"/>
      <c r="N421" s="84"/>
      <c r="O421" s="84"/>
      <c r="P421" s="85"/>
      <c r="Q421" s="75"/>
      <c r="R421" s="75"/>
      <c r="S421" s="75"/>
      <c r="T421" s="75"/>
      <c r="U421" s="89"/>
      <c r="V421" s="84"/>
      <c r="W421" s="84"/>
      <c r="X421" s="84"/>
      <c r="Y421" s="84"/>
      <c r="Z421" s="84"/>
    </row>
    <row r="422" spans="1:26" ht="15.75" customHeight="1">
      <c r="A422" s="83"/>
      <c r="B422" s="84"/>
      <c r="C422" s="84"/>
      <c r="D422" s="83"/>
      <c r="E422" s="84"/>
      <c r="F422" s="84"/>
      <c r="G422" s="83"/>
      <c r="H422" s="84"/>
      <c r="I422" s="84"/>
      <c r="J422" s="84"/>
      <c r="K422" s="84"/>
      <c r="L422" s="84"/>
      <c r="M422" s="84"/>
      <c r="N422" s="84"/>
      <c r="O422" s="84"/>
      <c r="P422" s="85"/>
      <c r="Q422" s="75"/>
      <c r="R422" s="75"/>
      <c r="S422" s="75"/>
      <c r="T422" s="75"/>
      <c r="U422" s="89"/>
      <c r="V422" s="84"/>
      <c r="W422" s="84"/>
      <c r="X422" s="84"/>
      <c r="Y422" s="84"/>
      <c r="Z422" s="84"/>
    </row>
    <row r="423" spans="1:26" ht="15.75" customHeight="1">
      <c r="A423" s="83"/>
      <c r="B423" s="84"/>
      <c r="C423" s="84"/>
      <c r="D423" s="83"/>
      <c r="E423" s="84"/>
      <c r="F423" s="84"/>
      <c r="G423" s="83"/>
      <c r="H423" s="84"/>
      <c r="I423" s="84"/>
      <c r="J423" s="84"/>
      <c r="K423" s="84"/>
      <c r="L423" s="84"/>
      <c r="M423" s="84"/>
      <c r="N423" s="84"/>
      <c r="O423" s="84"/>
      <c r="P423" s="85"/>
      <c r="Q423" s="75"/>
      <c r="R423" s="75"/>
      <c r="S423" s="75"/>
      <c r="T423" s="75"/>
      <c r="U423" s="89"/>
      <c r="V423" s="84"/>
      <c r="W423" s="84"/>
      <c r="X423" s="84"/>
      <c r="Y423" s="84"/>
      <c r="Z423" s="84"/>
    </row>
    <row r="424" spans="1:26" ht="15.75" customHeight="1">
      <c r="A424" s="83"/>
      <c r="B424" s="84"/>
      <c r="C424" s="84"/>
      <c r="D424" s="83"/>
      <c r="E424" s="84"/>
      <c r="F424" s="84"/>
      <c r="G424" s="83"/>
      <c r="H424" s="84"/>
      <c r="I424" s="84"/>
      <c r="J424" s="84"/>
      <c r="K424" s="84"/>
      <c r="L424" s="84"/>
      <c r="M424" s="84"/>
      <c r="N424" s="84"/>
      <c r="O424" s="84"/>
      <c r="P424" s="85"/>
      <c r="Q424" s="75"/>
      <c r="R424" s="75"/>
      <c r="S424" s="75"/>
      <c r="T424" s="75"/>
      <c r="U424" s="89"/>
      <c r="V424" s="84"/>
      <c r="W424" s="84"/>
      <c r="X424" s="84"/>
      <c r="Y424" s="84"/>
      <c r="Z424" s="84"/>
    </row>
    <row r="425" spans="1:26" ht="15.75" customHeight="1">
      <c r="A425" s="83"/>
      <c r="B425" s="84"/>
      <c r="C425" s="84"/>
      <c r="D425" s="83"/>
      <c r="E425" s="84"/>
      <c r="F425" s="84"/>
      <c r="G425" s="83"/>
      <c r="H425" s="84"/>
      <c r="I425" s="84"/>
      <c r="J425" s="84"/>
      <c r="K425" s="84"/>
      <c r="L425" s="84"/>
      <c r="M425" s="84"/>
      <c r="N425" s="84"/>
      <c r="O425" s="84"/>
      <c r="P425" s="85"/>
      <c r="Q425" s="75"/>
      <c r="R425" s="75"/>
      <c r="S425" s="75"/>
      <c r="T425" s="75"/>
      <c r="U425" s="89"/>
      <c r="V425" s="84"/>
      <c r="W425" s="84"/>
      <c r="X425" s="84"/>
      <c r="Y425" s="84"/>
      <c r="Z425" s="84"/>
    </row>
    <row r="426" spans="1:26" ht="15.75" customHeight="1">
      <c r="A426" s="83"/>
      <c r="B426" s="84"/>
      <c r="C426" s="84"/>
      <c r="D426" s="83"/>
      <c r="E426" s="84"/>
      <c r="F426" s="84"/>
      <c r="G426" s="83"/>
      <c r="H426" s="84"/>
      <c r="I426" s="84"/>
      <c r="J426" s="84"/>
      <c r="K426" s="84"/>
      <c r="L426" s="84"/>
      <c r="M426" s="84"/>
      <c r="N426" s="84"/>
      <c r="O426" s="84"/>
      <c r="P426" s="85"/>
      <c r="Q426" s="75"/>
      <c r="R426" s="75"/>
      <c r="S426" s="75"/>
      <c r="T426" s="75"/>
      <c r="U426" s="89"/>
      <c r="V426" s="84"/>
      <c r="W426" s="84"/>
      <c r="X426" s="84"/>
      <c r="Y426" s="84"/>
      <c r="Z426" s="84"/>
    </row>
    <row r="427" spans="1:26" ht="15.75" customHeight="1">
      <c r="A427" s="83"/>
      <c r="B427" s="84"/>
      <c r="C427" s="84"/>
      <c r="D427" s="83"/>
      <c r="E427" s="84"/>
      <c r="F427" s="84"/>
      <c r="G427" s="83"/>
      <c r="H427" s="84"/>
      <c r="I427" s="84"/>
      <c r="J427" s="84"/>
      <c r="K427" s="84"/>
      <c r="L427" s="84"/>
      <c r="M427" s="84"/>
      <c r="N427" s="84"/>
      <c r="O427" s="84"/>
      <c r="P427" s="85"/>
      <c r="Q427" s="75"/>
      <c r="R427" s="75"/>
      <c r="S427" s="75"/>
      <c r="T427" s="75"/>
      <c r="U427" s="89"/>
      <c r="V427" s="84"/>
      <c r="W427" s="84"/>
      <c r="X427" s="84"/>
      <c r="Y427" s="84"/>
      <c r="Z427" s="84"/>
    </row>
    <row r="428" spans="1:26" ht="15.75" customHeight="1">
      <c r="A428" s="83"/>
      <c r="B428" s="84"/>
      <c r="C428" s="84"/>
      <c r="D428" s="83"/>
      <c r="E428" s="84"/>
      <c r="F428" s="84"/>
      <c r="G428" s="83"/>
      <c r="H428" s="84"/>
      <c r="I428" s="84"/>
      <c r="J428" s="84"/>
      <c r="K428" s="84"/>
      <c r="L428" s="84"/>
      <c r="M428" s="84"/>
      <c r="N428" s="84"/>
      <c r="O428" s="84"/>
      <c r="P428" s="85"/>
      <c r="Q428" s="75"/>
      <c r="R428" s="75"/>
      <c r="S428" s="75"/>
      <c r="T428" s="75"/>
      <c r="U428" s="89"/>
      <c r="V428" s="84"/>
      <c r="W428" s="84"/>
      <c r="X428" s="84"/>
      <c r="Y428" s="84"/>
      <c r="Z428" s="84"/>
    </row>
    <row r="429" spans="1:26" ht="15.75" customHeight="1">
      <c r="A429" s="83"/>
      <c r="B429" s="84"/>
      <c r="C429" s="84"/>
      <c r="D429" s="83"/>
      <c r="E429" s="84"/>
      <c r="F429" s="84"/>
      <c r="G429" s="83"/>
      <c r="H429" s="84"/>
      <c r="I429" s="84"/>
      <c r="J429" s="84"/>
      <c r="K429" s="84"/>
      <c r="L429" s="84"/>
      <c r="M429" s="84"/>
      <c r="N429" s="84"/>
      <c r="O429" s="84"/>
      <c r="P429" s="85"/>
      <c r="Q429" s="75"/>
      <c r="R429" s="75"/>
      <c r="S429" s="75"/>
      <c r="T429" s="75"/>
      <c r="U429" s="89"/>
      <c r="V429" s="84"/>
      <c r="W429" s="84"/>
      <c r="X429" s="84"/>
      <c r="Y429" s="84"/>
      <c r="Z429" s="84"/>
    </row>
    <row r="430" spans="1:26" ht="15.75" customHeight="1">
      <c r="A430" s="83"/>
      <c r="B430" s="84"/>
      <c r="C430" s="84"/>
      <c r="D430" s="83"/>
      <c r="E430" s="84"/>
      <c r="F430" s="84"/>
      <c r="G430" s="83"/>
      <c r="H430" s="84"/>
      <c r="I430" s="84"/>
      <c r="J430" s="84"/>
      <c r="K430" s="84"/>
      <c r="L430" s="84"/>
      <c r="M430" s="84"/>
      <c r="N430" s="84"/>
      <c r="O430" s="84"/>
      <c r="P430" s="85"/>
      <c r="Q430" s="75"/>
      <c r="R430" s="75"/>
      <c r="S430" s="75"/>
      <c r="T430" s="75"/>
      <c r="U430" s="89"/>
      <c r="V430" s="84"/>
      <c r="W430" s="84"/>
      <c r="X430" s="84"/>
      <c r="Y430" s="84"/>
      <c r="Z430" s="84"/>
    </row>
    <row r="431" spans="1:26" ht="15.75" customHeight="1">
      <c r="A431" s="83"/>
      <c r="B431" s="84"/>
      <c r="C431" s="84"/>
      <c r="D431" s="83"/>
      <c r="E431" s="84"/>
      <c r="F431" s="84"/>
      <c r="G431" s="83"/>
      <c r="H431" s="84"/>
      <c r="I431" s="84"/>
      <c r="J431" s="84"/>
      <c r="K431" s="84"/>
      <c r="L431" s="84"/>
      <c r="M431" s="84"/>
      <c r="N431" s="84"/>
      <c r="O431" s="84"/>
      <c r="P431" s="85"/>
      <c r="Q431" s="75"/>
      <c r="R431" s="75"/>
      <c r="S431" s="75"/>
      <c r="T431" s="75"/>
      <c r="U431" s="89"/>
      <c r="V431" s="84"/>
      <c r="W431" s="84"/>
      <c r="X431" s="84"/>
      <c r="Y431" s="84"/>
      <c r="Z431" s="84"/>
    </row>
    <row r="432" spans="1:26" ht="15.75" customHeight="1">
      <c r="A432" s="83"/>
      <c r="B432" s="84"/>
      <c r="C432" s="84"/>
      <c r="D432" s="83"/>
      <c r="E432" s="84"/>
      <c r="F432" s="84"/>
      <c r="G432" s="83"/>
      <c r="H432" s="84"/>
      <c r="I432" s="84"/>
      <c r="J432" s="84"/>
      <c r="K432" s="84"/>
      <c r="L432" s="84"/>
      <c r="M432" s="84"/>
      <c r="N432" s="84"/>
      <c r="O432" s="84"/>
      <c r="P432" s="85"/>
      <c r="Q432" s="75"/>
      <c r="R432" s="75"/>
      <c r="S432" s="75"/>
      <c r="T432" s="75"/>
      <c r="U432" s="89"/>
      <c r="V432" s="84"/>
      <c r="W432" s="84"/>
      <c r="X432" s="84"/>
      <c r="Y432" s="84"/>
      <c r="Z432" s="84"/>
    </row>
    <row r="433" spans="1:26" ht="15.75" customHeight="1">
      <c r="A433" s="83"/>
      <c r="B433" s="84"/>
      <c r="C433" s="84"/>
      <c r="D433" s="83"/>
      <c r="E433" s="84"/>
      <c r="F433" s="84"/>
      <c r="G433" s="83"/>
      <c r="H433" s="84"/>
      <c r="I433" s="84"/>
      <c r="J433" s="84"/>
      <c r="K433" s="84"/>
      <c r="L433" s="84"/>
      <c r="M433" s="84"/>
      <c r="N433" s="84"/>
      <c r="O433" s="84"/>
      <c r="P433" s="85"/>
      <c r="Q433" s="75"/>
      <c r="R433" s="75"/>
      <c r="S433" s="75"/>
      <c r="T433" s="75"/>
      <c r="U433" s="89"/>
      <c r="V433" s="84"/>
      <c r="W433" s="84"/>
      <c r="X433" s="84"/>
      <c r="Y433" s="84"/>
      <c r="Z433" s="84"/>
    </row>
    <row r="434" spans="1:26" ht="15.75" customHeight="1">
      <c r="A434" s="83"/>
      <c r="B434" s="84"/>
      <c r="C434" s="84"/>
      <c r="D434" s="83"/>
      <c r="E434" s="84"/>
      <c r="F434" s="84"/>
      <c r="G434" s="83"/>
      <c r="H434" s="84"/>
      <c r="I434" s="84"/>
      <c r="J434" s="84"/>
      <c r="K434" s="84"/>
      <c r="L434" s="84"/>
      <c r="M434" s="84"/>
      <c r="N434" s="84"/>
      <c r="O434" s="84"/>
      <c r="P434" s="85"/>
      <c r="Q434" s="75"/>
      <c r="R434" s="75"/>
      <c r="S434" s="75"/>
      <c r="T434" s="75"/>
      <c r="U434" s="89"/>
      <c r="V434" s="84"/>
      <c r="W434" s="84"/>
      <c r="X434" s="84"/>
      <c r="Y434" s="84"/>
      <c r="Z434" s="84"/>
    </row>
    <row r="435" spans="1:26" ht="15.75" customHeight="1">
      <c r="A435" s="83"/>
      <c r="B435" s="84"/>
      <c r="C435" s="84"/>
      <c r="D435" s="83"/>
      <c r="E435" s="84"/>
      <c r="F435" s="84"/>
      <c r="G435" s="83"/>
      <c r="H435" s="84"/>
      <c r="I435" s="84"/>
      <c r="J435" s="84"/>
      <c r="K435" s="84"/>
      <c r="L435" s="84"/>
      <c r="M435" s="84"/>
      <c r="N435" s="84"/>
      <c r="O435" s="84"/>
      <c r="P435" s="85"/>
      <c r="Q435" s="75"/>
      <c r="R435" s="75"/>
      <c r="S435" s="75"/>
      <c r="T435" s="75"/>
      <c r="U435" s="89"/>
      <c r="V435" s="84"/>
      <c r="W435" s="84"/>
      <c r="X435" s="84"/>
      <c r="Y435" s="84"/>
      <c r="Z435" s="84"/>
    </row>
    <row r="436" spans="1:26" ht="15.75" customHeight="1">
      <c r="A436" s="83"/>
      <c r="B436" s="84"/>
      <c r="C436" s="84"/>
      <c r="D436" s="83"/>
      <c r="E436" s="84"/>
      <c r="F436" s="84"/>
      <c r="G436" s="83"/>
      <c r="H436" s="84"/>
      <c r="I436" s="84"/>
      <c r="J436" s="84"/>
      <c r="K436" s="84"/>
      <c r="L436" s="84"/>
      <c r="M436" s="84"/>
      <c r="N436" s="84"/>
      <c r="O436" s="84"/>
      <c r="P436" s="85"/>
      <c r="Q436" s="75"/>
      <c r="R436" s="75"/>
      <c r="S436" s="75"/>
      <c r="T436" s="75"/>
      <c r="U436" s="89"/>
      <c r="V436" s="84"/>
      <c r="W436" s="84"/>
      <c r="X436" s="84"/>
      <c r="Y436" s="84"/>
      <c r="Z436" s="84"/>
    </row>
    <row r="437" spans="1:26" ht="15.75" customHeight="1">
      <c r="A437" s="83"/>
      <c r="B437" s="84"/>
      <c r="C437" s="84"/>
      <c r="D437" s="83"/>
      <c r="E437" s="84"/>
      <c r="F437" s="84"/>
      <c r="G437" s="83"/>
      <c r="H437" s="84"/>
      <c r="I437" s="84"/>
      <c r="J437" s="84"/>
      <c r="K437" s="84"/>
      <c r="L437" s="84"/>
      <c r="M437" s="84"/>
      <c r="N437" s="84"/>
      <c r="O437" s="84"/>
      <c r="P437" s="85"/>
      <c r="Q437" s="75"/>
      <c r="R437" s="75"/>
      <c r="S437" s="75"/>
      <c r="T437" s="75"/>
      <c r="U437" s="89"/>
      <c r="V437" s="84"/>
      <c r="W437" s="84"/>
      <c r="X437" s="84"/>
      <c r="Y437" s="84"/>
      <c r="Z437" s="84"/>
    </row>
    <row r="438" spans="1:26" ht="15.75" customHeight="1">
      <c r="A438" s="83"/>
      <c r="B438" s="84"/>
      <c r="C438" s="84"/>
      <c r="D438" s="83"/>
      <c r="E438" s="84"/>
      <c r="F438" s="84"/>
      <c r="G438" s="83"/>
      <c r="H438" s="84"/>
      <c r="I438" s="84"/>
      <c r="J438" s="84"/>
      <c r="K438" s="84"/>
      <c r="L438" s="84"/>
      <c r="M438" s="84"/>
      <c r="N438" s="84"/>
      <c r="O438" s="84"/>
      <c r="P438" s="85"/>
      <c r="Q438" s="75"/>
      <c r="R438" s="75"/>
      <c r="S438" s="75"/>
      <c r="T438" s="75"/>
      <c r="U438" s="89"/>
      <c r="V438" s="84"/>
      <c r="W438" s="84"/>
      <c r="X438" s="84"/>
      <c r="Y438" s="84"/>
      <c r="Z438" s="84"/>
    </row>
    <row r="439" spans="1:26" ht="15.75" customHeight="1">
      <c r="A439" s="83"/>
      <c r="B439" s="84"/>
      <c r="C439" s="84"/>
      <c r="D439" s="83"/>
      <c r="E439" s="84"/>
      <c r="F439" s="84"/>
      <c r="G439" s="83"/>
      <c r="H439" s="84"/>
      <c r="I439" s="84"/>
      <c r="J439" s="84"/>
      <c r="K439" s="84"/>
      <c r="L439" s="84"/>
      <c r="M439" s="84"/>
      <c r="N439" s="84"/>
      <c r="O439" s="84"/>
      <c r="P439" s="85"/>
      <c r="Q439" s="75"/>
      <c r="R439" s="75"/>
      <c r="S439" s="75"/>
      <c r="T439" s="75"/>
      <c r="U439" s="89"/>
      <c r="V439" s="84"/>
      <c r="W439" s="84"/>
      <c r="X439" s="84"/>
      <c r="Y439" s="84"/>
      <c r="Z439" s="84"/>
    </row>
    <row r="440" spans="1:26" ht="15.75" customHeight="1">
      <c r="A440" s="83"/>
      <c r="B440" s="84"/>
      <c r="C440" s="84"/>
      <c r="D440" s="83"/>
      <c r="E440" s="84"/>
      <c r="F440" s="84"/>
      <c r="G440" s="83"/>
      <c r="H440" s="84"/>
      <c r="I440" s="84"/>
      <c r="J440" s="84"/>
      <c r="K440" s="84"/>
      <c r="L440" s="84"/>
      <c r="M440" s="84"/>
      <c r="N440" s="84"/>
      <c r="O440" s="84"/>
      <c r="P440" s="85"/>
      <c r="Q440" s="75"/>
      <c r="R440" s="75"/>
      <c r="S440" s="75"/>
      <c r="T440" s="75"/>
      <c r="U440" s="89"/>
      <c r="V440" s="84"/>
      <c r="W440" s="84"/>
      <c r="X440" s="84"/>
      <c r="Y440" s="84"/>
      <c r="Z440" s="84"/>
    </row>
    <row r="441" spans="1:26" ht="15.75" customHeight="1">
      <c r="A441" s="83"/>
      <c r="B441" s="84"/>
      <c r="C441" s="84"/>
      <c r="D441" s="83"/>
      <c r="E441" s="84"/>
      <c r="F441" s="84"/>
      <c r="G441" s="83"/>
      <c r="H441" s="84"/>
      <c r="I441" s="84"/>
      <c r="J441" s="84"/>
      <c r="K441" s="84"/>
      <c r="L441" s="84"/>
      <c r="M441" s="84"/>
      <c r="N441" s="84"/>
      <c r="O441" s="84"/>
      <c r="P441" s="85"/>
      <c r="Q441" s="75"/>
      <c r="R441" s="75"/>
      <c r="S441" s="75"/>
      <c r="T441" s="75"/>
      <c r="U441" s="89"/>
      <c r="V441" s="84"/>
      <c r="W441" s="84"/>
      <c r="X441" s="84"/>
      <c r="Y441" s="84"/>
      <c r="Z441" s="84"/>
    </row>
    <row r="442" spans="1:26" ht="15.75" customHeight="1">
      <c r="A442" s="83"/>
      <c r="B442" s="84"/>
      <c r="C442" s="84"/>
      <c r="D442" s="83"/>
      <c r="E442" s="84"/>
      <c r="F442" s="84"/>
      <c r="G442" s="83"/>
      <c r="H442" s="84"/>
      <c r="I442" s="84"/>
      <c r="J442" s="84"/>
      <c r="K442" s="84"/>
      <c r="L442" s="84"/>
      <c r="M442" s="84"/>
      <c r="N442" s="84"/>
      <c r="O442" s="84"/>
      <c r="P442" s="85"/>
      <c r="Q442" s="75"/>
      <c r="R442" s="75"/>
      <c r="S442" s="75"/>
      <c r="T442" s="75"/>
      <c r="U442" s="89"/>
      <c r="V442" s="84"/>
      <c r="W442" s="84"/>
      <c r="X442" s="84"/>
      <c r="Y442" s="84"/>
      <c r="Z442" s="84"/>
    </row>
    <row r="443" spans="1:26" ht="15.75" customHeight="1">
      <c r="A443" s="83"/>
      <c r="B443" s="84"/>
      <c r="C443" s="84"/>
      <c r="D443" s="83"/>
      <c r="E443" s="84"/>
      <c r="F443" s="84"/>
      <c r="G443" s="83"/>
      <c r="H443" s="84"/>
      <c r="I443" s="84"/>
      <c r="J443" s="84"/>
      <c r="K443" s="84"/>
      <c r="L443" s="84"/>
      <c r="M443" s="84"/>
      <c r="N443" s="84"/>
      <c r="O443" s="84"/>
      <c r="P443" s="85"/>
      <c r="Q443" s="75"/>
      <c r="R443" s="75"/>
      <c r="S443" s="75"/>
      <c r="T443" s="75"/>
      <c r="U443" s="89"/>
      <c r="V443" s="84"/>
      <c r="W443" s="84"/>
      <c r="X443" s="84"/>
      <c r="Y443" s="84"/>
      <c r="Z443" s="84"/>
    </row>
    <row r="444" spans="1:26" ht="15.75" customHeight="1">
      <c r="A444" s="83"/>
      <c r="B444" s="84"/>
      <c r="C444" s="84"/>
      <c r="D444" s="83"/>
      <c r="E444" s="84"/>
      <c r="F444" s="84"/>
      <c r="G444" s="83"/>
      <c r="H444" s="84"/>
      <c r="I444" s="84"/>
      <c r="J444" s="84"/>
      <c r="K444" s="84"/>
      <c r="L444" s="84"/>
      <c r="M444" s="84"/>
      <c r="N444" s="84"/>
      <c r="O444" s="84"/>
      <c r="P444" s="85"/>
      <c r="Q444" s="75"/>
      <c r="R444" s="75"/>
      <c r="S444" s="75"/>
      <c r="T444" s="75"/>
      <c r="U444" s="89"/>
      <c r="V444" s="84"/>
      <c r="W444" s="84"/>
      <c r="X444" s="84"/>
      <c r="Y444" s="84"/>
      <c r="Z444" s="84"/>
    </row>
    <row r="445" spans="1:26" ht="15.75" customHeight="1">
      <c r="A445" s="83"/>
      <c r="B445" s="84"/>
      <c r="C445" s="84"/>
      <c r="D445" s="83"/>
      <c r="E445" s="84"/>
      <c r="F445" s="84"/>
      <c r="G445" s="83"/>
      <c r="H445" s="84"/>
      <c r="I445" s="84"/>
      <c r="J445" s="84"/>
      <c r="K445" s="84"/>
      <c r="L445" s="84"/>
      <c r="M445" s="84"/>
      <c r="N445" s="84"/>
      <c r="O445" s="84"/>
      <c r="P445" s="85"/>
      <c r="Q445" s="75"/>
      <c r="R445" s="75"/>
      <c r="S445" s="75"/>
      <c r="T445" s="75"/>
      <c r="U445" s="89"/>
      <c r="V445" s="84"/>
      <c r="W445" s="84"/>
      <c r="X445" s="84"/>
      <c r="Y445" s="84"/>
      <c r="Z445" s="84"/>
    </row>
    <row r="446" spans="1:26" ht="15.75" customHeight="1">
      <c r="A446" s="83"/>
      <c r="B446" s="84"/>
      <c r="C446" s="84"/>
      <c r="D446" s="83"/>
      <c r="E446" s="84"/>
      <c r="F446" s="84"/>
      <c r="G446" s="83"/>
      <c r="H446" s="84"/>
      <c r="I446" s="84"/>
      <c r="J446" s="84"/>
      <c r="K446" s="84"/>
      <c r="L446" s="84"/>
      <c r="M446" s="84"/>
      <c r="N446" s="84"/>
      <c r="O446" s="84"/>
      <c r="P446" s="85"/>
      <c r="Q446" s="75"/>
      <c r="R446" s="75"/>
      <c r="S446" s="75"/>
      <c r="T446" s="75"/>
      <c r="U446" s="89"/>
      <c r="V446" s="84"/>
      <c r="W446" s="84"/>
      <c r="X446" s="84"/>
      <c r="Y446" s="84"/>
      <c r="Z446" s="84"/>
    </row>
    <row r="447" spans="1:26" ht="15.75" customHeight="1">
      <c r="A447" s="83"/>
      <c r="B447" s="84"/>
      <c r="C447" s="84"/>
      <c r="D447" s="83"/>
      <c r="E447" s="84"/>
      <c r="F447" s="84"/>
      <c r="G447" s="83"/>
      <c r="H447" s="84"/>
      <c r="I447" s="84"/>
      <c r="J447" s="84"/>
      <c r="K447" s="84"/>
      <c r="L447" s="84"/>
      <c r="M447" s="84"/>
      <c r="N447" s="84"/>
      <c r="O447" s="84"/>
      <c r="P447" s="85"/>
      <c r="Q447" s="75"/>
      <c r="R447" s="75"/>
      <c r="S447" s="75"/>
      <c r="T447" s="75"/>
      <c r="U447" s="89"/>
      <c r="V447" s="84"/>
      <c r="W447" s="84"/>
      <c r="X447" s="84"/>
      <c r="Y447" s="84"/>
      <c r="Z447" s="84"/>
    </row>
    <row r="448" spans="1:26" ht="15.75" customHeight="1">
      <c r="A448" s="83"/>
      <c r="B448" s="84"/>
      <c r="C448" s="84"/>
      <c r="D448" s="83"/>
      <c r="E448" s="84"/>
      <c r="F448" s="84"/>
      <c r="G448" s="83"/>
      <c r="H448" s="84"/>
      <c r="I448" s="84"/>
      <c r="J448" s="84"/>
      <c r="K448" s="84"/>
      <c r="L448" s="84"/>
      <c r="M448" s="84"/>
      <c r="N448" s="84"/>
      <c r="O448" s="84"/>
      <c r="P448" s="85"/>
      <c r="Q448" s="75"/>
      <c r="R448" s="75"/>
      <c r="S448" s="75"/>
      <c r="T448" s="75"/>
      <c r="U448" s="89"/>
      <c r="V448" s="84"/>
      <c r="W448" s="84"/>
      <c r="X448" s="84"/>
      <c r="Y448" s="84"/>
      <c r="Z448" s="84"/>
    </row>
    <row r="449" spans="1:26" ht="15.75" customHeight="1">
      <c r="A449" s="83"/>
      <c r="B449" s="84"/>
      <c r="C449" s="84"/>
      <c r="D449" s="83"/>
      <c r="E449" s="84"/>
      <c r="F449" s="84"/>
      <c r="G449" s="83"/>
      <c r="H449" s="84"/>
      <c r="I449" s="84"/>
      <c r="J449" s="84"/>
      <c r="K449" s="84"/>
      <c r="L449" s="84"/>
      <c r="M449" s="84"/>
      <c r="N449" s="84"/>
      <c r="O449" s="84"/>
      <c r="P449" s="85"/>
      <c r="Q449" s="75"/>
      <c r="R449" s="75"/>
      <c r="S449" s="75"/>
      <c r="T449" s="75"/>
      <c r="U449" s="89"/>
      <c r="V449" s="84"/>
      <c r="W449" s="84"/>
      <c r="X449" s="84"/>
      <c r="Y449" s="84"/>
      <c r="Z449" s="84"/>
    </row>
    <row r="450" spans="1:26" ht="15.75" customHeight="1">
      <c r="A450" s="83"/>
      <c r="B450" s="84"/>
      <c r="C450" s="84"/>
      <c r="D450" s="83"/>
      <c r="E450" s="84"/>
      <c r="F450" s="84"/>
      <c r="G450" s="83"/>
      <c r="H450" s="84"/>
      <c r="I450" s="84"/>
      <c r="J450" s="84"/>
      <c r="K450" s="84"/>
      <c r="L450" s="84"/>
      <c r="M450" s="84"/>
      <c r="N450" s="84"/>
      <c r="O450" s="84"/>
      <c r="P450" s="85"/>
      <c r="Q450" s="75"/>
      <c r="R450" s="75"/>
      <c r="S450" s="75"/>
      <c r="T450" s="75"/>
      <c r="U450" s="89"/>
      <c r="V450" s="84"/>
      <c r="W450" s="84"/>
      <c r="X450" s="84"/>
      <c r="Y450" s="84"/>
      <c r="Z450" s="84"/>
    </row>
    <row r="451" spans="1:26" ht="15.75" customHeight="1">
      <c r="A451" s="83"/>
      <c r="B451" s="84"/>
      <c r="C451" s="84"/>
      <c r="D451" s="83"/>
      <c r="E451" s="84"/>
      <c r="F451" s="84"/>
      <c r="G451" s="83"/>
      <c r="H451" s="84"/>
      <c r="I451" s="84"/>
      <c r="J451" s="84"/>
      <c r="K451" s="84"/>
      <c r="L451" s="84"/>
      <c r="M451" s="84"/>
      <c r="N451" s="84"/>
      <c r="O451" s="84"/>
      <c r="P451" s="85"/>
      <c r="Q451" s="75"/>
      <c r="R451" s="75"/>
      <c r="S451" s="75"/>
      <c r="T451" s="75"/>
      <c r="U451" s="89"/>
      <c r="V451" s="84"/>
      <c r="W451" s="84"/>
      <c r="X451" s="84"/>
      <c r="Y451" s="84"/>
      <c r="Z451" s="84"/>
    </row>
    <row r="452" spans="1:26" ht="15.75" customHeight="1">
      <c r="A452" s="83"/>
      <c r="B452" s="84"/>
      <c r="C452" s="84"/>
      <c r="D452" s="83"/>
      <c r="E452" s="84"/>
      <c r="F452" s="84"/>
      <c r="G452" s="83"/>
      <c r="H452" s="84"/>
      <c r="I452" s="84"/>
      <c r="J452" s="84"/>
      <c r="K452" s="84"/>
      <c r="L452" s="84"/>
      <c r="M452" s="84"/>
      <c r="N452" s="84"/>
      <c r="O452" s="84"/>
      <c r="P452" s="85"/>
      <c r="Q452" s="75"/>
      <c r="R452" s="75"/>
      <c r="S452" s="75"/>
      <c r="T452" s="75"/>
      <c r="U452" s="89"/>
      <c r="V452" s="84"/>
      <c r="W452" s="84"/>
      <c r="X452" s="84"/>
      <c r="Y452" s="84"/>
      <c r="Z452" s="84"/>
    </row>
    <row r="453" spans="1:26" ht="15.75" customHeight="1">
      <c r="A453" s="83"/>
      <c r="B453" s="84"/>
      <c r="C453" s="84"/>
      <c r="D453" s="83"/>
      <c r="E453" s="84"/>
      <c r="F453" s="84"/>
      <c r="G453" s="83"/>
      <c r="H453" s="84"/>
      <c r="I453" s="84"/>
      <c r="J453" s="84"/>
      <c r="K453" s="84"/>
      <c r="L453" s="84"/>
      <c r="M453" s="84"/>
      <c r="N453" s="84"/>
      <c r="O453" s="84"/>
      <c r="P453" s="85"/>
      <c r="Q453" s="75"/>
      <c r="R453" s="75"/>
      <c r="S453" s="75"/>
      <c r="T453" s="75"/>
      <c r="U453" s="89"/>
      <c r="V453" s="84"/>
      <c r="W453" s="84"/>
      <c r="X453" s="84"/>
      <c r="Y453" s="84"/>
      <c r="Z453" s="84"/>
    </row>
    <row r="454" spans="1:26" ht="15.75" customHeight="1">
      <c r="A454" s="83"/>
      <c r="B454" s="84"/>
      <c r="C454" s="84"/>
      <c r="D454" s="83"/>
      <c r="E454" s="84"/>
      <c r="F454" s="84"/>
      <c r="G454" s="83"/>
      <c r="H454" s="84"/>
      <c r="I454" s="84"/>
      <c r="J454" s="84"/>
      <c r="K454" s="84"/>
      <c r="L454" s="84"/>
      <c r="M454" s="84"/>
      <c r="N454" s="84"/>
      <c r="O454" s="84"/>
      <c r="P454" s="85"/>
      <c r="Q454" s="75"/>
      <c r="R454" s="75"/>
      <c r="S454" s="75"/>
      <c r="T454" s="75"/>
      <c r="U454" s="89"/>
      <c r="V454" s="84"/>
      <c r="W454" s="84"/>
      <c r="X454" s="84"/>
      <c r="Y454" s="84"/>
      <c r="Z454" s="84"/>
    </row>
    <row r="455" spans="1:26" ht="15.75" customHeight="1">
      <c r="A455" s="83"/>
      <c r="B455" s="84"/>
      <c r="C455" s="84"/>
      <c r="D455" s="83"/>
      <c r="E455" s="84"/>
      <c r="F455" s="84"/>
      <c r="G455" s="83"/>
      <c r="H455" s="84"/>
      <c r="I455" s="84"/>
      <c r="J455" s="84"/>
      <c r="K455" s="84"/>
      <c r="L455" s="84"/>
      <c r="M455" s="84"/>
      <c r="N455" s="84"/>
      <c r="O455" s="84"/>
      <c r="P455" s="85"/>
      <c r="Q455" s="75"/>
      <c r="R455" s="75"/>
      <c r="S455" s="75"/>
      <c r="T455" s="75"/>
      <c r="U455" s="89"/>
      <c r="V455" s="84"/>
      <c r="W455" s="84"/>
      <c r="X455" s="84"/>
      <c r="Y455" s="84"/>
      <c r="Z455" s="84"/>
    </row>
    <row r="456" spans="1:26" ht="15.75" customHeight="1">
      <c r="A456" s="83"/>
      <c r="B456" s="84"/>
      <c r="C456" s="84"/>
      <c r="D456" s="83"/>
      <c r="E456" s="84"/>
      <c r="F456" s="84"/>
      <c r="G456" s="83"/>
      <c r="H456" s="84"/>
      <c r="I456" s="84"/>
      <c r="J456" s="84"/>
      <c r="K456" s="84"/>
      <c r="L456" s="84"/>
      <c r="M456" s="84"/>
      <c r="N456" s="84"/>
      <c r="O456" s="84"/>
      <c r="P456" s="85"/>
      <c r="Q456" s="75"/>
      <c r="R456" s="75"/>
      <c r="S456" s="75"/>
      <c r="T456" s="75"/>
      <c r="U456" s="89"/>
      <c r="V456" s="84"/>
      <c r="W456" s="84"/>
      <c r="X456" s="84"/>
      <c r="Y456" s="84"/>
      <c r="Z456" s="84"/>
    </row>
    <row r="457" spans="1:26" ht="15.75" customHeight="1">
      <c r="A457" s="83"/>
      <c r="B457" s="84"/>
      <c r="C457" s="84"/>
      <c r="D457" s="83"/>
      <c r="E457" s="84"/>
      <c r="F457" s="84"/>
      <c r="G457" s="83"/>
      <c r="H457" s="84"/>
      <c r="I457" s="84"/>
      <c r="J457" s="84"/>
      <c r="K457" s="84"/>
      <c r="L457" s="84"/>
      <c r="M457" s="84"/>
      <c r="N457" s="84"/>
      <c r="O457" s="84"/>
      <c r="P457" s="85"/>
      <c r="Q457" s="75"/>
      <c r="R457" s="75"/>
      <c r="S457" s="75"/>
      <c r="T457" s="75"/>
      <c r="U457" s="89"/>
      <c r="V457" s="84"/>
      <c r="W457" s="84"/>
      <c r="X457" s="84"/>
      <c r="Y457" s="84"/>
      <c r="Z457" s="84"/>
    </row>
    <row r="458" spans="1:26" ht="15.75" customHeight="1">
      <c r="A458" s="83"/>
      <c r="B458" s="84"/>
      <c r="C458" s="84"/>
      <c r="D458" s="83"/>
      <c r="E458" s="84"/>
      <c r="F458" s="84"/>
      <c r="G458" s="83"/>
      <c r="H458" s="84"/>
      <c r="I458" s="84"/>
      <c r="J458" s="84"/>
      <c r="K458" s="84"/>
      <c r="L458" s="84"/>
      <c r="M458" s="84"/>
      <c r="N458" s="84"/>
      <c r="O458" s="84"/>
      <c r="P458" s="85"/>
      <c r="Q458" s="75"/>
      <c r="R458" s="75"/>
      <c r="S458" s="75"/>
      <c r="T458" s="75"/>
      <c r="U458" s="89"/>
      <c r="V458" s="84"/>
      <c r="W458" s="84"/>
      <c r="X458" s="84"/>
      <c r="Y458" s="84"/>
      <c r="Z458" s="84"/>
    </row>
    <row r="459" spans="1:26" ht="15.75" customHeight="1">
      <c r="A459" s="83"/>
      <c r="B459" s="84"/>
      <c r="C459" s="84"/>
      <c r="D459" s="83"/>
      <c r="E459" s="84"/>
      <c r="F459" s="84"/>
      <c r="G459" s="83"/>
      <c r="H459" s="84"/>
      <c r="I459" s="84"/>
      <c r="J459" s="84"/>
      <c r="K459" s="84"/>
      <c r="L459" s="84"/>
      <c r="M459" s="84"/>
      <c r="N459" s="84"/>
      <c r="O459" s="84"/>
      <c r="P459" s="85"/>
      <c r="Q459" s="75"/>
      <c r="R459" s="75"/>
      <c r="S459" s="75"/>
      <c r="T459" s="75"/>
      <c r="U459" s="89"/>
      <c r="V459" s="84"/>
      <c r="W459" s="84"/>
      <c r="X459" s="84"/>
      <c r="Y459" s="84"/>
      <c r="Z459" s="84"/>
    </row>
    <row r="460" spans="1:26" ht="15.75" customHeight="1">
      <c r="A460" s="83"/>
      <c r="B460" s="84"/>
      <c r="C460" s="84"/>
      <c r="D460" s="83"/>
      <c r="E460" s="84"/>
      <c r="F460" s="84"/>
      <c r="G460" s="83"/>
      <c r="H460" s="84"/>
      <c r="I460" s="84"/>
      <c r="J460" s="84"/>
      <c r="K460" s="84"/>
      <c r="L460" s="84"/>
      <c r="M460" s="84"/>
      <c r="N460" s="84"/>
      <c r="O460" s="84"/>
      <c r="P460" s="85"/>
      <c r="Q460" s="75"/>
      <c r="R460" s="75"/>
      <c r="S460" s="75"/>
      <c r="T460" s="75"/>
      <c r="U460" s="89"/>
      <c r="V460" s="84"/>
      <c r="W460" s="84"/>
      <c r="X460" s="84"/>
      <c r="Y460" s="84"/>
      <c r="Z460" s="84"/>
    </row>
    <row r="461" spans="1:26" ht="15.75" customHeight="1">
      <c r="A461" s="83"/>
      <c r="B461" s="84"/>
      <c r="C461" s="84"/>
      <c r="D461" s="83"/>
      <c r="E461" s="84"/>
      <c r="F461" s="84"/>
      <c r="G461" s="83"/>
      <c r="H461" s="84"/>
      <c r="I461" s="84"/>
      <c r="J461" s="84"/>
      <c r="K461" s="84"/>
      <c r="L461" s="84"/>
      <c r="M461" s="84"/>
      <c r="N461" s="84"/>
      <c r="O461" s="84"/>
      <c r="P461" s="85"/>
      <c r="Q461" s="75"/>
      <c r="R461" s="75"/>
      <c r="S461" s="75"/>
      <c r="T461" s="75"/>
      <c r="U461" s="89"/>
      <c r="V461" s="84"/>
      <c r="W461" s="84"/>
      <c r="X461" s="84"/>
      <c r="Y461" s="84"/>
      <c r="Z461" s="84"/>
    </row>
    <row r="462" spans="1:26" ht="15.75" customHeight="1">
      <c r="A462" s="83"/>
      <c r="B462" s="84"/>
      <c r="C462" s="84"/>
      <c r="D462" s="83"/>
      <c r="E462" s="84"/>
      <c r="F462" s="84"/>
      <c r="G462" s="83"/>
      <c r="H462" s="84"/>
      <c r="I462" s="84"/>
      <c r="J462" s="84"/>
      <c r="K462" s="84"/>
      <c r="L462" s="84"/>
      <c r="M462" s="84"/>
      <c r="N462" s="84"/>
      <c r="O462" s="84"/>
      <c r="P462" s="85"/>
      <c r="Q462" s="75"/>
      <c r="R462" s="75"/>
      <c r="S462" s="75"/>
      <c r="T462" s="75"/>
      <c r="U462" s="89"/>
      <c r="V462" s="84"/>
      <c r="W462" s="84"/>
      <c r="X462" s="84"/>
      <c r="Y462" s="84"/>
      <c r="Z462" s="84"/>
    </row>
    <row r="463" spans="1:26" ht="15.75" customHeight="1">
      <c r="A463" s="83"/>
      <c r="B463" s="84"/>
      <c r="C463" s="84"/>
      <c r="D463" s="83"/>
      <c r="E463" s="84"/>
      <c r="F463" s="84"/>
      <c r="G463" s="83"/>
      <c r="H463" s="84"/>
      <c r="I463" s="84"/>
      <c r="J463" s="84"/>
      <c r="K463" s="84"/>
      <c r="L463" s="84"/>
      <c r="M463" s="84"/>
      <c r="N463" s="84"/>
      <c r="O463" s="84"/>
      <c r="P463" s="85"/>
      <c r="Q463" s="75"/>
      <c r="R463" s="75"/>
      <c r="S463" s="75"/>
      <c r="T463" s="75"/>
      <c r="U463" s="89"/>
      <c r="V463" s="84"/>
      <c r="W463" s="84"/>
      <c r="X463" s="84"/>
      <c r="Y463" s="84"/>
      <c r="Z463" s="84"/>
    </row>
    <row r="464" spans="1:26" ht="15.75" customHeight="1">
      <c r="A464" s="83"/>
      <c r="B464" s="84"/>
      <c r="C464" s="84"/>
      <c r="D464" s="83"/>
      <c r="E464" s="84"/>
      <c r="F464" s="84"/>
      <c r="G464" s="83"/>
      <c r="H464" s="84"/>
      <c r="I464" s="84"/>
      <c r="J464" s="84"/>
      <c r="K464" s="84"/>
      <c r="L464" s="84"/>
      <c r="M464" s="84"/>
      <c r="N464" s="84"/>
      <c r="O464" s="84"/>
      <c r="P464" s="85"/>
      <c r="Q464" s="75"/>
      <c r="R464" s="75"/>
      <c r="S464" s="75"/>
      <c r="T464" s="75"/>
      <c r="U464" s="89"/>
      <c r="V464" s="84"/>
      <c r="W464" s="84"/>
      <c r="X464" s="84"/>
      <c r="Y464" s="84"/>
      <c r="Z464" s="84"/>
    </row>
    <row r="465" spans="1:26" ht="15.75" customHeight="1">
      <c r="A465" s="83"/>
      <c r="B465" s="84"/>
      <c r="C465" s="84"/>
      <c r="D465" s="83"/>
      <c r="E465" s="84"/>
      <c r="F465" s="84"/>
      <c r="G465" s="83"/>
      <c r="H465" s="84"/>
      <c r="I465" s="84"/>
      <c r="J465" s="84"/>
      <c r="K465" s="84"/>
      <c r="L465" s="84"/>
      <c r="M465" s="84"/>
      <c r="N465" s="84"/>
      <c r="O465" s="84"/>
      <c r="P465" s="85"/>
      <c r="Q465" s="75"/>
      <c r="R465" s="75"/>
      <c r="S465" s="75"/>
      <c r="T465" s="75"/>
      <c r="U465" s="89"/>
      <c r="V465" s="84"/>
      <c r="W465" s="84"/>
      <c r="X465" s="84"/>
      <c r="Y465" s="84"/>
      <c r="Z465" s="84"/>
    </row>
    <row r="466" spans="1:26" ht="15.75" customHeight="1">
      <c r="A466" s="83"/>
      <c r="B466" s="84"/>
      <c r="C466" s="84"/>
      <c r="D466" s="83"/>
      <c r="E466" s="84"/>
      <c r="F466" s="84"/>
      <c r="G466" s="83"/>
      <c r="H466" s="84"/>
      <c r="I466" s="84"/>
      <c r="J466" s="84"/>
      <c r="K466" s="84"/>
      <c r="L466" s="84"/>
      <c r="M466" s="84"/>
      <c r="N466" s="84"/>
      <c r="O466" s="84"/>
      <c r="P466" s="85"/>
      <c r="Q466" s="75"/>
      <c r="R466" s="75"/>
      <c r="S466" s="75"/>
      <c r="T466" s="75"/>
      <c r="U466" s="89"/>
      <c r="V466" s="84"/>
      <c r="W466" s="84"/>
      <c r="X466" s="84"/>
      <c r="Y466" s="84"/>
      <c r="Z466" s="84"/>
    </row>
    <row r="467" spans="1:26" ht="15.75" customHeight="1">
      <c r="A467" s="83"/>
      <c r="B467" s="84"/>
      <c r="C467" s="84"/>
      <c r="D467" s="83"/>
      <c r="E467" s="84"/>
      <c r="F467" s="84"/>
      <c r="G467" s="83"/>
      <c r="H467" s="84"/>
      <c r="I467" s="84"/>
      <c r="J467" s="84"/>
      <c r="K467" s="84"/>
      <c r="L467" s="84"/>
      <c r="M467" s="84"/>
      <c r="N467" s="84"/>
      <c r="O467" s="84"/>
      <c r="P467" s="85"/>
      <c r="Q467" s="75"/>
      <c r="R467" s="75"/>
      <c r="S467" s="75"/>
      <c r="T467" s="75"/>
      <c r="U467" s="89"/>
      <c r="V467" s="84"/>
      <c r="W467" s="84"/>
      <c r="X467" s="84"/>
      <c r="Y467" s="84"/>
      <c r="Z467" s="84"/>
    </row>
    <row r="468" spans="1:26" ht="15.75" customHeight="1">
      <c r="A468" s="83"/>
      <c r="B468" s="84"/>
      <c r="C468" s="84"/>
      <c r="D468" s="83"/>
      <c r="E468" s="84"/>
      <c r="F468" s="84"/>
      <c r="G468" s="83"/>
      <c r="H468" s="84"/>
      <c r="I468" s="84"/>
      <c r="J468" s="84"/>
      <c r="K468" s="84"/>
      <c r="L468" s="84"/>
      <c r="M468" s="84"/>
      <c r="N468" s="84"/>
      <c r="O468" s="84"/>
      <c r="P468" s="85"/>
      <c r="Q468" s="75"/>
      <c r="R468" s="75"/>
      <c r="S468" s="75"/>
      <c r="T468" s="75"/>
      <c r="U468" s="89"/>
      <c r="V468" s="84"/>
      <c r="W468" s="84"/>
      <c r="X468" s="84"/>
      <c r="Y468" s="84"/>
      <c r="Z468" s="84"/>
    </row>
    <row r="469" spans="1:26" ht="15.75" customHeight="1">
      <c r="A469" s="83"/>
      <c r="B469" s="84"/>
      <c r="C469" s="84"/>
      <c r="D469" s="83"/>
      <c r="E469" s="84"/>
      <c r="F469" s="84"/>
      <c r="G469" s="83"/>
      <c r="H469" s="84"/>
      <c r="I469" s="84"/>
      <c r="J469" s="84"/>
      <c r="K469" s="84"/>
      <c r="L469" s="84"/>
      <c r="M469" s="84"/>
      <c r="N469" s="84"/>
      <c r="O469" s="84"/>
      <c r="P469" s="85"/>
      <c r="Q469" s="75"/>
      <c r="R469" s="75"/>
      <c r="S469" s="75"/>
      <c r="T469" s="75"/>
      <c r="U469" s="89"/>
      <c r="V469" s="84"/>
      <c r="W469" s="84"/>
      <c r="X469" s="84"/>
      <c r="Y469" s="84"/>
      <c r="Z469" s="84"/>
    </row>
    <row r="470" spans="1:26" ht="15.75" customHeight="1">
      <c r="A470" s="83"/>
      <c r="B470" s="84"/>
      <c r="C470" s="84"/>
      <c r="D470" s="83"/>
      <c r="E470" s="84"/>
      <c r="F470" s="84"/>
      <c r="G470" s="83"/>
      <c r="H470" s="84"/>
      <c r="I470" s="84"/>
      <c r="J470" s="84"/>
      <c r="K470" s="84"/>
      <c r="L470" s="84"/>
      <c r="M470" s="84"/>
      <c r="N470" s="84"/>
      <c r="O470" s="84"/>
      <c r="P470" s="85"/>
      <c r="Q470" s="75"/>
      <c r="R470" s="75"/>
      <c r="S470" s="75"/>
      <c r="T470" s="75"/>
      <c r="U470" s="89"/>
      <c r="V470" s="84"/>
      <c r="W470" s="84"/>
      <c r="X470" s="84"/>
      <c r="Y470" s="84"/>
      <c r="Z470" s="84"/>
    </row>
    <row r="471" spans="1:26" ht="15.75" customHeight="1">
      <c r="A471" s="83"/>
      <c r="B471" s="84"/>
      <c r="C471" s="84"/>
      <c r="D471" s="83"/>
      <c r="E471" s="84"/>
      <c r="F471" s="84"/>
      <c r="G471" s="83"/>
      <c r="H471" s="84"/>
      <c r="I471" s="84"/>
      <c r="J471" s="84"/>
      <c r="K471" s="84"/>
      <c r="L471" s="84"/>
      <c r="M471" s="84"/>
      <c r="N471" s="84"/>
      <c r="O471" s="84"/>
      <c r="P471" s="85"/>
      <c r="Q471" s="75"/>
      <c r="R471" s="75"/>
      <c r="S471" s="75"/>
      <c r="T471" s="75"/>
      <c r="U471" s="89"/>
      <c r="V471" s="84"/>
      <c r="W471" s="84"/>
      <c r="X471" s="84"/>
      <c r="Y471" s="84"/>
      <c r="Z471" s="84"/>
    </row>
    <row r="472" spans="1:26" ht="15.75" customHeight="1">
      <c r="A472" s="83"/>
      <c r="B472" s="84"/>
      <c r="C472" s="84"/>
      <c r="D472" s="83"/>
      <c r="E472" s="84"/>
      <c r="F472" s="84"/>
      <c r="G472" s="83"/>
      <c r="H472" s="84"/>
      <c r="I472" s="84"/>
      <c r="J472" s="84"/>
      <c r="K472" s="84"/>
      <c r="L472" s="84"/>
      <c r="M472" s="84"/>
      <c r="N472" s="84"/>
      <c r="O472" s="84"/>
      <c r="P472" s="85"/>
      <c r="Q472" s="75"/>
      <c r="R472" s="75"/>
      <c r="S472" s="75"/>
      <c r="T472" s="75"/>
      <c r="U472" s="89"/>
      <c r="V472" s="84"/>
      <c r="W472" s="84"/>
      <c r="X472" s="84"/>
      <c r="Y472" s="84"/>
      <c r="Z472" s="84"/>
    </row>
    <row r="473" spans="1:26" ht="15.75" customHeight="1">
      <c r="A473" s="83"/>
      <c r="B473" s="84"/>
      <c r="C473" s="84"/>
      <c r="D473" s="83"/>
      <c r="E473" s="84"/>
      <c r="F473" s="84"/>
      <c r="G473" s="83"/>
      <c r="H473" s="84"/>
      <c r="I473" s="84"/>
      <c r="J473" s="84"/>
      <c r="K473" s="84"/>
      <c r="L473" s="84"/>
      <c r="M473" s="84"/>
      <c r="N473" s="84"/>
      <c r="O473" s="84"/>
      <c r="P473" s="85"/>
      <c r="Q473" s="75"/>
      <c r="R473" s="75"/>
      <c r="S473" s="75"/>
      <c r="T473" s="75"/>
      <c r="U473" s="89"/>
      <c r="V473" s="84"/>
      <c r="W473" s="84"/>
      <c r="X473" s="84"/>
      <c r="Y473" s="84"/>
      <c r="Z473" s="84"/>
    </row>
    <row r="474" spans="1:26" ht="15.75" customHeight="1">
      <c r="A474" s="83"/>
      <c r="B474" s="84"/>
      <c r="C474" s="84"/>
      <c r="D474" s="83"/>
      <c r="E474" s="84"/>
      <c r="F474" s="84"/>
      <c r="G474" s="83"/>
      <c r="H474" s="84"/>
      <c r="I474" s="84"/>
      <c r="J474" s="84"/>
      <c r="K474" s="84"/>
      <c r="L474" s="84"/>
      <c r="M474" s="84"/>
      <c r="N474" s="84"/>
      <c r="O474" s="84"/>
      <c r="P474" s="85"/>
      <c r="Q474" s="75"/>
      <c r="R474" s="75"/>
      <c r="S474" s="75"/>
      <c r="T474" s="75"/>
      <c r="U474" s="89"/>
      <c r="V474" s="84"/>
      <c r="W474" s="84"/>
      <c r="X474" s="84"/>
      <c r="Y474" s="84"/>
      <c r="Z474" s="84"/>
    </row>
    <row r="475" spans="1:26" ht="15.75" customHeight="1">
      <c r="A475" s="83"/>
      <c r="B475" s="84"/>
      <c r="C475" s="84"/>
      <c r="D475" s="83"/>
      <c r="E475" s="84"/>
      <c r="F475" s="84"/>
      <c r="G475" s="83"/>
      <c r="H475" s="84"/>
      <c r="I475" s="84"/>
      <c r="J475" s="84"/>
      <c r="K475" s="84"/>
      <c r="L475" s="84"/>
      <c r="M475" s="84"/>
      <c r="N475" s="84"/>
      <c r="O475" s="84"/>
      <c r="P475" s="85"/>
      <c r="Q475" s="75"/>
      <c r="R475" s="75"/>
      <c r="S475" s="75"/>
      <c r="T475" s="75"/>
      <c r="U475" s="89"/>
      <c r="V475" s="84"/>
      <c r="W475" s="84"/>
      <c r="X475" s="84"/>
      <c r="Y475" s="84"/>
      <c r="Z475" s="84"/>
    </row>
    <row r="476" spans="1:26" ht="15.75" customHeight="1">
      <c r="A476" s="83"/>
      <c r="B476" s="84"/>
      <c r="C476" s="84"/>
      <c r="D476" s="83"/>
      <c r="E476" s="84"/>
      <c r="F476" s="84"/>
      <c r="G476" s="83"/>
      <c r="H476" s="84"/>
      <c r="I476" s="84"/>
      <c r="J476" s="84"/>
      <c r="K476" s="84"/>
      <c r="L476" s="84"/>
      <c r="M476" s="84"/>
      <c r="N476" s="84"/>
      <c r="O476" s="84"/>
      <c r="P476" s="85"/>
      <c r="Q476" s="75"/>
      <c r="R476" s="75"/>
      <c r="S476" s="75"/>
      <c r="T476" s="75"/>
      <c r="U476" s="89"/>
      <c r="V476" s="84"/>
      <c r="W476" s="84"/>
      <c r="X476" s="84"/>
      <c r="Y476" s="84"/>
      <c r="Z476" s="84"/>
    </row>
    <row r="477" spans="1:26" ht="15.75" customHeight="1">
      <c r="A477" s="83"/>
      <c r="B477" s="84"/>
      <c r="C477" s="84"/>
      <c r="D477" s="83"/>
      <c r="E477" s="84"/>
      <c r="F477" s="84"/>
      <c r="G477" s="83"/>
      <c r="H477" s="84"/>
      <c r="I477" s="84"/>
      <c r="J477" s="84"/>
      <c r="K477" s="84"/>
      <c r="L477" s="84"/>
      <c r="M477" s="84"/>
      <c r="N477" s="84"/>
      <c r="O477" s="84"/>
      <c r="P477" s="85"/>
      <c r="Q477" s="75"/>
      <c r="R477" s="75"/>
      <c r="S477" s="75"/>
      <c r="T477" s="75"/>
      <c r="U477" s="89"/>
      <c r="V477" s="84"/>
      <c r="W477" s="84"/>
      <c r="X477" s="84"/>
      <c r="Y477" s="84"/>
      <c r="Z477" s="84"/>
    </row>
    <row r="478" spans="1:26" ht="15.75" customHeight="1">
      <c r="A478" s="83"/>
      <c r="B478" s="84"/>
      <c r="C478" s="84"/>
      <c r="D478" s="83"/>
      <c r="E478" s="84"/>
      <c r="F478" s="84"/>
      <c r="G478" s="83"/>
      <c r="H478" s="84"/>
      <c r="I478" s="84"/>
      <c r="J478" s="84"/>
      <c r="K478" s="84"/>
      <c r="L478" s="84"/>
      <c r="M478" s="84"/>
      <c r="N478" s="84"/>
      <c r="O478" s="84"/>
      <c r="P478" s="85"/>
      <c r="Q478" s="75"/>
      <c r="R478" s="75"/>
      <c r="S478" s="75"/>
      <c r="T478" s="75"/>
      <c r="U478" s="89"/>
      <c r="V478" s="84"/>
      <c r="W478" s="84"/>
      <c r="X478" s="84"/>
      <c r="Y478" s="84"/>
      <c r="Z478" s="84"/>
    </row>
    <row r="479" spans="1:26" ht="15.75" customHeight="1">
      <c r="A479" s="83"/>
      <c r="B479" s="84"/>
      <c r="C479" s="84"/>
      <c r="D479" s="83"/>
      <c r="E479" s="84"/>
      <c r="F479" s="84"/>
      <c r="G479" s="83"/>
      <c r="H479" s="84"/>
      <c r="I479" s="84"/>
      <c r="J479" s="84"/>
      <c r="K479" s="84"/>
      <c r="L479" s="84"/>
      <c r="M479" s="84"/>
      <c r="N479" s="84"/>
      <c r="O479" s="84"/>
      <c r="P479" s="85"/>
      <c r="Q479" s="75"/>
      <c r="R479" s="75"/>
      <c r="S479" s="75"/>
      <c r="T479" s="75"/>
      <c r="U479" s="89"/>
      <c r="V479" s="84"/>
      <c r="W479" s="84"/>
      <c r="X479" s="84"/>
      <c r="Y479" s="84"/>
      <c r="Z479" s="84"/>
    </row>
    <row r="480" spans="1:26" ht="15.75" customHeight="1">
      <c r="A480" s="83"/>
      <c r="B480" s="84"/>
      <c r="C480" s="84"/>
      <c r="D480" s="83"/>
      <c r="E480" s="84"/>
      <c r="F480" s="84"/>
      <c r="G480" s="83"/>
      <c r="H480" s="84"/>
      <c r="I480" s="84"/>
      <c r="J480" s="84"/>
      <c r="K480" s="84"/>
      <c r="L480" s="84"/>
      <c r="M480" s="84"/>
      <c r="N480" s="84"/>
      <c r="O480" s="84"/>
      <c r="P480" s="85"/>
      <c r="Q480" s="75"/>
      <c r="R480" s="75"/>
      <c r="S480" s="75"/>
      <c r="T480" s="75"/>
      <c r="U480" s="89"/>
      <c r="V480" s="84"/>
      <c r="W480" s="84"/>
      <c r="X480" s="84"/>
      <c r="Y480" s="84"/>
      <c r="Z480" s="84"/>
    </row>
    <row r="481" spans="1:26" ht="15.75" customHeight="1">
      <c r="A481" s="83"/>
      <c r="B481" s="84"/>
      <c r="C481" s="84"/>
      <c r="D481" s="83"/>
      <c r="E481" s="84"/>
      <c r="F481" s="84"/>
      <c r="G481" s="83"/>
      <c r="H481" s="84"/>
      <c r="I481" s="84"/>
      <c r="J481" s="84"/>
      <c r="K481" s="84"/>
      <c r="L481" s="84"/>
      <c r="M481" s="84"/>
      <c r="N481" s="84"/>
      <c r="O481" s="84"/>
      <c r="P481" s="85"/>
      <c r="Q481" s="75"/>
      <c r="R481" s="75"/>
      <c r="S481" s="75"/>
      <c r="T481" s="75"/>
      <c r="U481" s="89"/>
      <c r="V481" s="84"/>
      <c r="W481" s="84"/>
      <c r="X481" s="84"/>
      <c r="Y481" s="84"/>
      <c r="Z481" s="84"/>
    </row>
    <row r="482" spans="1:26" ht="15.75" customHeight="1">
      <c r="A482" s="83"/>
      <c r="B482" s="84"/>
      <c r="C482" s="84"/>
      <c r="D482" s="83"/>
      <c r="E482" s="84"/>
      <c r="F482" s="84"/>
      <c r="G482" s="83"/>
      <c r="H482" s="84"/>
      <c r="I482" s="84"/>
      <c r="J482" s="84"/>
      <c r="K482" s="84"/>
      <c r="L482" s="84"/>
      <c r="M482" s="84"/>
      <c r="N482" s="84"/>
      <c r="O482" s="84"/>
      <c r="P482" s="85"/>
      <c r="Q482" s="75"/>
      <c r="R482" s="75"/>
      <c r="S482" s="75"/>
      <c r="T482" s="75"/>
      <c r="U482" s="89"/>
      <c r="V482" s="84"/>
      <c r="W482" s="84"/>
      <c r="X482" s="84"/>
      <c r="Y482" s="84"/>
      <c r="Z482" s="84"/>
    </row>
    <row r="483" spans="1:26" ht="15.75" customHeight="1">
      <c r="A483" s="83"/>
      <c r="B483" s="84"/>
      <c r="C483" s="84"/>
      <c r="D483" s="83"/>
      <c r="E483" s="84"/>
      <c r="F483" s="84"/>
      <c r="G483" s="83"/>
      <c r="H483" s="84"/>
      <c r="I483" s="84"/>
      <c r="J483" s="84"/>
      <c r="K483" s="84"/>
      <c r="L483" s="84"/>
      <c r="M483" s="84"/>
      <c r="N483" s="84"/>
      <c r="O483" s="84"/>
      <c r="P483" s="85"/>
      <c r="Q483" s="75"/>
      <c r="R483" s="75"/>
      <c r="S483" s="75"/>
      <c r="T483" s="75"/>
      <c r="U483" s="89"/>
      <c r="V483" s="84"/>
      <c r="W483" s="84"/>
      <c r="X483" s="84"/>
      <c r="Y483" s="84"/>
      <c r="Z483" s="84"/>
    </row>
    <row r="484" spans="1:26" ht="15.75" customHeight="1">
      <c r="A484" s="83"/>
      <c r="B484" s="84"/>
      <c r="C484" s="84"/>
      <c r="D484" s="83"/>
      <c r="E484" s="84"/>
      <c r="F484" s="84"/>
      <c r="G484" s="83"/>
      <c r="H484" s="84"/>
      <c r="I484" s="84"/>
      <c r="J484" s="84"/>
      <c r="K484" s="84"/>
      <c r="L484" s="84"/>
      <c r="M484" s="84"/>
      <c r="N484" s="84"/>
      <c r="O484" s="84"/>
      <c r="P484" s="85"/>
      <c r="Q484" s="75"/>
      <c r="R484" s="75"/>
      <c r="S484" s="75"/>
      <c r="T484" s="75"/>
      <c r="U484" s="89"/>
      <c r="V484" s="84"/>
      <c r="W484" s="84"/>
      <c r="X484" s="84"/>
      <c r="Y484" s="84"/>
      <c r="Z484" s="84"/>
    </row>
    <row r="485" spans="1:26" ht="15.75" customHeight="1">
      <c r="A485" s="83"/>
      <c r="B485" s="84"/>
      <c r="C485" s="84"/>
      <c r="D485" s="83"/>
      <c r="E485" s="84"/>
      <c r="F485" s="84"/>
      <c r="G485" s="83"/>
      <c r="H485" s="84"/>
      <c r="I485" s="84"/>
      <c r="J485" s="84"/>
      <c r="K485" s="84"/>
      <c r="L485" s="84"/>
      <c r="M485" s="84"/>
      <c r="N485" s="84"/>
      <c r="O485" s="84"/>
      <c r="P485" s="85"/>
      <c r="Q485" s="75"/>
      <c r="R485" s="75"/>
      <c r="S485" s="75"/>
      <c r="T485" s="75"/>
      <c r="U485" s="89"/>
      <c r="V485" s="84"/>
      <c r="W485" s="84"/>
      <c r="X485" s="84"/>
      <c r="Y485" s="84"/>
      <c r="Z485" s="84"/>
    </row>
    <row r="486" spans="1:26" ht="15.75" customHeight="1">
      <c r="A486" s="83"/>
      <c r="B486" s="84"/>
      <c r="C486" s="84"/>
      <c r="D486" s="83"/>
      <c r="E486" s="84"/>
      <c r="F486" s="84"/>
      <c r="G486" s="83"/>
      <c r="H486" s="84"/>
      <c r="I486" s="84"/>
      <c r="J486" s="84"/>
      <c r="K486" s="84"/>
      <c r="L486" s="84"/>
      <c r="M486" s="84"/>
      <c r="N486" s="84"/>
      <c r="O486" s="84"/>
      <c r="P486" s="85"/>
      <c r="Q486" s="75"/>
      <c r="R486" s="75"/>
      <c r="S486" s="75"/>
      <c r="T486" s="75"/>
      <c r="U486" s="89"/>
      <c r="V486" s="84"/>
      <c r="W486" s="84"/>
      <c r="X486" s="84"/>
      <c r="Y486" s="84"/>
      <c r="Z486" s="84"/>
    </row>
    <row r="487" spans="1:26" ht="15.75" customHeight="1">
      <c r="A487" s="83"/>
      <c r="B487" s="84"/>
      <c r="C487" s="84"/>
      <c r="D487" s="83"/>
      <c r="E487" s="84"/>
      <c r="F487" s="84"/>
      <c r="G487" s="83"/>
      <c r="H487" s="84"/>
      <c r="I487" s="84"/>
      <c r="J487" s="84"/>
      <c r="K487" s="84"/>
      <c r="L487" s="84"/>
      <c r="M487" s="84"/>
      <c r="N487" s="84"/>
      <c r="O487" s="84"/>
      <c r="P487" s="85"/>
      <c r="Q487" s="75"/>
      <c r="R487" s="75"/>
      <c r="S487" s="75"/>
      <c r="T487" s="75"/>
      <c r="U487" s="89"/>
      <c r="V487" s="84"/>
      <c r="W487" s="84"/>
      <c r="X487" s="84"/>
      <c r="Y487" s="84"/>
      <c r="Z487" s="84"/>
    </row>
    <row r="488" spans="1:26" ht="15.75" customHeight="1">
      <c r="A488" s="83"/>
      <c r="B488" s="84"/>
      <c r="C488" s="84"/>
      <c r="D488" s="83"/>
      <c r="E488" s="84"/>
      <c r="F488" s="84"/>
      <c r="G488" s="83"/>
      <c r="H488" s="84"/>
      <c r="I488" s="84"/>
      <c r="J488" s="84"/>
      <c r="K488" s="84"/>
      <c r="L488" s="84"/>
      <c r="M488" s="84"/>
      <c r="N488" s="84"/>
      <c r="O488" s="84"/>
      <c r="P488" s="85"/>
      <c r="Q488" s="75"/>
      <c r="R488" s="75"/>
      <c r="S488" s="75"/>
      <c r="T488" s="75"/>
      <c r="U488" s="89"/>
      <c r="V488" s="84"/>
      <c r="W488" s="84"/>
      <c r="X488" s="84"/>
      <c r="Y488" s="84"/>
      <c r="Z488" s="84"/>
    </row>
    <row r="489" spans="1:26" ht="15.75" customHeight="1">
      <c r="A489" s="83"/>
      <c r="B489" s="84"/>
      <c r="C489" s="84"/>
      <c r="D489" s="83"/>
      <c r="E489" s="84"/>
      <c r="F489" s="84"/>
      <c r="G489" s="83"/>
      <c r="H489" s="84"/>
      <c r="I489" s="84"/>
      <c r="J489" s="84"/>
      <c r="K489" s="84"/>
      <c r="L489" s="84"/>
      <c r="M489" s="84"/>
      <c r="N489" s="84"/>
      <c r="O489" s="84"/>
      <c r="P489" s="85"/>
      <c r="Q489" s="75"/>
      <c r="R489" s="75"/>
      <c r="S489" s="75"/>
      <c r="T489" s="75"/>
      <c r="U489" s="89"/>
      <c r="V489" s="84"/>
      <c r="W489" s="84"/>
      <c r="X489" s="84"/>
      <c r="Y489" s="84"/>
      <c r="Z489" s="84"/>
    </row>
    <row r="490" spans="1:26" ht="15.75" customHeight="1">
      <c r="A490" s="83"/>
      <c r="B490" s="84"/>
      <c r="C490" s="84"/>
      <c r="D490" s="83"/>
      <c r="E490" s="84"/>
      <c r="F490" s="84"/>
      <c r="G490" s="83"/>
      <c r="H490" s="84"/>
      <c r="I490" s="84"/>
      <c r="J490" s="84"/>
      <c r="K490" s="84"/>
      <c r="L490" s="84"/>
      <c r="M490" s="84"/>
      <c r="N490" s="84"/>
      <c r="O490" s="84"/>
      <c r="P490" s="85"/>
      <c r="Q490" s="75"/>
      <c r="R490" s="75"/>
      <c r="S490" s="75"/>
      <c r="T490" s="75"/>
      <c r="U490" s="89"/>
      <c r="V490" s="84"/>
      <c r="W490" s="84"/>
      <c r="X490" s="84"/>
      <c r="Y490" s="84"/>
      <c r="Z490" s="84"/>
    </row>
    <row r="491" spans="1:26" ht="15.75" customHeight="1">
      <c r="A491" s="83"/>
      <c r="B491" s="84"/>
      <c r="C491" s="84"/>
      <c r="D491" s="83"/>
      <c r="E491" s="84"/>
      <c r="F491" s="84"/>
      <c r="G491" s="83"/>
      <c r="H491" s="84"/>
      <c r="I491" s="84"/>
      <c r="J491" s="84"/>
      <c r="K491" s="84"/>
      <c r="L491" s="84"/>
      <c r="M491" s="84"/>
      <c r="N491" s="84"/>
      <c r="O491" s="84"/>
      <c r="P491" s="85"/>
      <c r="Q491" s="75"/>
      <c r="R491" s="75"/>
      <c r="S491" s="75"/>
      <c r="T491" s="75"/>
      <c r="U491" s="89"/>
      <c r="V491" s="84"/>
      <c r="W491" s="84"/>
      <c r="X491" s="84"/>
      <c r="Y491" s="84"/>
      <c r="Z491" s="84"/>
    </row>
    <row r="492" spans="1:26" ht="15.75" customHeight="1">
      <c r="A492" s="83"/>
      <c r="B492" s="84"/>
      <c r="C492" s="84"/>
      <c r="D492" s="83"/>
      <c r="E492" s="84"/>
      <c r="F492" s="84"/>
      <c r="G492" s="83"/>
      <c r="H492" s="84"/>
      <c r="I492" s="84"/>
      <c r="J492" s="84"/>
      <c r="K492" s="84"/>
      <c r="L492" s="84"/>
      <c r="M492" s="84"/>
      <c r="N492" s="84"/>
      <c r="O492" s="84"/>
      <c r="P492" s="85"/>
      <c r="Q492" s="75"/>
      <c r="R492" s="75"/>
      <c r="S492" s="75"/>
      <c r="T492" s="75"/>
      <c r="U492" s="89"/>
      <c r="V492" s="84"/>
      <c r="W492" s="84"/>
      <c r="X492" s="84"/>
      <c r="Y492" s="84"/>
      <c r="Z492" s="84"/>
    </row>
    <row r="493" spans="1:26" ht="15.75" customHeight="1">
      <c r="A493" s="83"/>
      <c r="B493" s="84"/>
      <c r="C493" s="84"/>
      <c r="D493" s="83"/>
      <c r="E493" s="84"/>
      <c r="F493" s="84"/>
      <c r="G493" s="83"/>
      <c r="H493" s="84"/>
      <c r="I493" s="84"/>
      <c r="J493" s="84"/>
      <c r="K493" s="84"/>
      <c r="L493" s="84"/>
      <c r="M493" s="84"/>
      <c r="N493" s="84"/>
      <c r="O493" s="84"/>
      <c r="P493" s="85"/>
      <c r="Q493" s="75"/>
      <c r="R493" s="75"/>
      <c r="S493" s="75"/>
      <c r="T493" s="75"/>
      <c r="U493" s="89"/>
      <c r="V493" s="84"/>
      <c r="W493" s="84"/>
      <c r="X493" s="84"/>
      <c r="Y493" s="84"/>
      <c r="Z493" s="84"/>
    </row>
    <row r="494" spans="1:26" ht="15.75" customHeight="1">
      <c r="A494" s="83"/>
      <c r="B494" s="84"/>
      <c r="C494" s="84"/>
      <c r="D494" s="83"/>
      <c r="E494" s="84"/>
      <c r="F494" s="84"/>
      <c r="G494" s="83"/>
      <c r="H494" s="84"/>
      <c r="I494" s="84"/>
      <c r="J494" s="84"/>
      <c r="K494" s="84"/>
      <c r="L494" s="84"/>
      <c r="M494" s="84"/>
      <c r="N494" s="84"/>
      <c r="O494" s="84"/>
      <c r="P494" s="85"/>
      <c r="Q494" s="75"/>
      <c r="R494" s="75"/>
      <c r="S494" s="75"/>
      <c r="T494" s="75"/>
      <c r="U494" s="89"/>
      <c r="V494" s="84"/>
      <c r="W494" s="84"/>
      <c r="X494" s="84"/>
      <c r="Y494" s="84"/>
      <c r="Z494" s="84"/>
    </row>
    <row r="495" spans="1:26" ht="15.75" customHeight="1">
      <c r="A495" s="83"/>
      <c r="B495" s="84"/>
      <c r="C495" s="84"/>
      <c r="D495" s="83"/>
      <c r="E495" s="84"/>
      <c r="F495" s="84"/>
      <c r="G495" s="83"/>
      <c r="H495" s="84"/>
      <c r="I495" s="84"/>
      <c r="J495" s="84"/>
      <c r="K495" s="84"/>
      <c r="L495" s="84"/>
      <c r="M495" s="84"/>
      <c r="N495" s="84"/>
      <c r="O495" s="84"/>
      <c r="P495" s="85"/>
      <c r="Q495" s="75"/>
      <c r="R495" s="75"/>
      <c r="S495" s="75"/>
      <c r="T495" s="75"/>
      <c r="U495" s="89"/>
      <c r="V495" s="84"/>
      <c r="W495" s="84"/>
      <c r="X495" s="84"/>
      <c r="Y495" s="84"/>
      <c r="Z495" s="84"/>
    </row>
    <row r="496" spans="1:26" ht="15.75" customHeight="1">
      <c r="A496" s="83"/>
      <c r="B496" s="84"/>
      <c r="C496" s="84"/>
      <c r="D496" s="83"/>
      <c r="E496" s="84"/>
      <c r="F496" s="84"/>
      <c r="G496" s="83"/>
      <c r="H496" s="84"/>
      <c r="I496" s="84"/>
      <c r="J496" s="84"/>
      <c r="K496" s="84"/>
      <c r="L496" s="84"/>
      <c r="M496" s="84"/>
      <c r="N496" s="84"/>
      <c r="O496" s="84"/>
      <c r="P496" s="85"/>
      <c r="Q496" s="75"/>
      <c r="R496" s="75"/>
      <c r="S496" s="75"/>
      <c r="T496" s="75"/>
      <c r="U496" s="89"/>
      <c r="V496" s="84"/>
      <c r="W496" s="84"/>
      <c r="X496" s="84"/>
      <c r="Y496" s="84"/>
      <c r="Z496" s="84"/>
    </row>
    <row r="497" spans="1:26" ht="15.75" customHeight="1">
      <c r="A497" s="83"/>
      <c r="B497" s="84"/>
      <c r="C497" s="84"/>
      <c r="D497" s="83"/>
      <c r="E497" s="84"/>
      <c r="F497" s="84"/>
      <c r="G497" s="83"/>
      <c r="H497" s="84"/>
      <c r="I497" s="84"/>
      <c r="J497" s="84"/>
      <c r="K497" s="84"/>
      <c r="L497" s="84"/>
      <c r="M497" s="84"/>
      <c r="N497" s="84"/>
      <c r="O497" s="84"/>
      <c r="P497" s="85"/>
      <c r="Q497" s="75"/>
      <c r="R497" s="75"/>
      <c r="S497" s="75"/>
      <c r="T497" s="75"/>
      <c r="U497" s="89"/>
      <c r="V497" s="84"/>
      <c r="W497" s="84"/>
      <c r="X497" s="84"/>
      <c r="Y497" s="84"/>
      <c r="Z497" s="84"/>
    </row>
    <row r="498" spans="1:26" ht="15.75" customHeight="1">
      <c r="A498" s="83"/>
      <c r="B498" s="84"/>
      <c r="C498" s="84"/>
      <c r="D498" s="83"/>
      <c r="E498" s="84"/>
      <c r="F498" s="84"/>
      <c r="G498" s="83"/>
      <c r="H498" s="84"/>
      <c r="I498" s="84"/>
      <c r="J498" s="84"/>
      <c r="K498" s="84"/>
      <c r="L498" s="84"/>
      <c r="M498" s="84"/>
      <c r="N498" s="84"/>
      <c r="O498" s="84"/>
      <c r="P498" s="85"/>
      <c r="Q498" s="75"/>
      <c r="R498" s="75"/>
      <c r="S498" s="75"/>
      <c r="T498" s="75"/>
      <c r="U498" s="89"/>
      <c r="V498" s="84"/>
      <c r="W498" s="84"/>
      <c r="X498" s="84"/>
      <c r="Y498" s="84"/>
      <c r="Z498" s="84"/>
    </row>
    <row r="499" spans="1:26" ht="15.75" customHeight="1">
      <c r="A499" s="83"/>
      <c r="B499" s="84"/>
      <c r="C499" s="84"/>
      <c r="D499" s="83"/>
      <c r="E499" s="84"/>
      <c r="F499" s="84"/>
      <c r="G499" s="83"/>
      <c r="H499" s="84"/>
      <c r="I499" s="84"/>
      <c r="J499" s="84"/>
      <c r="K499" s="84"/>
      <c r="L499" s="84"/>
      <c r="M499" s="84"/>
      <c r="N499" s="84"/>
      <c r="O499" s="84"/>
      <c r="P499" s="85"/>
      <c r="Q499" s="75"/>
      <c r="R499" s="75"/>
      <c r="S499" s="75"/>
      <c r="T499" s="75"/>
      <c r="U499" s="89"/>
      <c r="V499" s="84"/>
      <c r="W499" s="84"/>
      <c r="X499" s="84"/>
      <c r="Y499" s="84"/>
      <c r="Z499" s="84"/>
    </row>
    <row r="500" spans="1:26" ht="15.75" customHeight="1">
      <c r="A500" s="83"/>
      <c r="B500" s="84"/>
      <c r="C500" s="84"/>
      <c r="D500" s="83"/>
      <c r="E500" s="84"/>
      <c r="F500" s="84"/>
      <c r="G500" s="83"/>
      <c r="H500" s="84"/>
      <c r="I500" s="84"/>
      <c r="J500" s="84"/>
      <c r="K500" s="84"/>
      <c r="L500" s="84"/>
      <c r="M500" s="84"/>
      <c r="N500" s="84"/>
      <c r="O500" s="84"/>
      <c r="P500" s="85"/>
      <c r="Q500" s="75"/>
      <c r="R500" s="75"/>
      <c r="S500" s="75"/>
      <c r="T500" s="75"/>
      <c r="U500" s="89"/>
      <c r="V500" s="84"/>
      <c r="W500" s="84"/>
      <c r="X500" s="84"/>
      <c r="Y500" s="84"/>
      <c r="Z500" s="84"/>
    </row>
    <row r="501" spans="1:26" ht="15.75" customHeight="1">
      <c r="A501" s="83"/>
      <c r="B501" s="84"/>
      <c r="C501" s="84"/>
      <c r="D501" s="83"/>
      <c r="E501" s="84"/>
      <c r="F501" s="84"/>
      <c r="G501" s="83"/>
      <c r="H501" s="84"/>
      <c r="I501" s="84"/>
      <c r="J501" s="84"/>
      <c r="K501" s="84"/>
      <c r="L501" s="84"/>
      <c r="M501" s="84"/>
      <c r="N501" s="84"/>
      <c r="O501" s="84"/>
      <c r="P501" s="85"/>
      <c r="Q501" s="75"/>
      <c r="R501" s="75"/>
      <c r="S501" s="75"/>
      <c r="T501" s="75"/>
      <c r="U501" s="89"/>
      <c r="V501" s="84"/>
      <c r="W501" s="84"/>
      <c r="X501" s="84"/>
      <c r="Y501" s="84"/>
      <c r="Z501" s="84"/>
    </row>
    <row r="502" spans="1:26" ht="15.75" customHeight="1">
      <c r="A502" s="83"/>
      <c r="B502" s="84"/>
      <c r="C502" s="84"/>
      <c r="D502" s="83"/>
      <c r="E502" s="84"/>
      <c r="F502" s="84"/>
      <c r="G502" s="83"/>
      <c r="H502" s="84"/>
      <c r="I502" s="84"/>
      <c r="J502" s="84"/>
      <c r="K502" s="84"/>
      <c r="L502" s="84"/>
      <c r="M502" s="84"/>
      <c r="N502" s="84"/>
      <c r="O502" s="84"/>
      <c r="P502" s="85"/>
      <c r="Q502" s="75"/>
      <c r="R502" s="75"/>
      <c r="S502" s="75"/>
      <c r="T502" s="75"/>
      <c r="U502" s="89"/>
      <c r="V502" s="84"/>
      <c r="W502" s="84"/>
      <c r="X502" s="84"/>
      <c r="Y502" s="84"/>
      <c r="Z502" s="84"/>
    </row>
    <row r="503" spans="1:26" ht="15.75" customHeight="1">
      <c r="A503" s="83"/>
      <c r="B503" s="84"/>
      <c r="C503" s="84"/>
      <c r="D503" s="83"/>
      <c r="E503" s="84"/>
      <c r="F503" s="84"/>
      <c r="G503" s="83"/>
      <c r="H503" s="84"/>
      <c r="I503" s="84"/>
      <c r="J503" s="84"/>
      <c r="K503" s="84"/>
      <c r="L503" s="84"/>
      <c r="M503" s="84"/>
      <c r="N503" s="84"/>
      <c r="O503" s="84"/>
      <c r="P503" s="85"/>
      <c r="Q503" s="75"/>
      <c r="R503" s="75"/>
      <c r="S503" s="75"/>
      <c r="T503" s="75"/>
      <c r="U503" s="89"/>
      <c r="V503" s="84"/>
      <c r="W503" s="84"/>
      <c r="X503" s="84"/>
      <c r="Y503" s="84"/>
      <c r="Z503" s="84"/>
    </row>
    <row r="504" spans="1:26" ht="15.75" customHeight="1">
      <c r="A504" s="83"/>
      <c r="B504" s="84"/>
      <c r="C504" s="84"/>
      <c r="D504" s="83"/>
      <c r="E504" s="84"/>
      <c r="F504" s="84"/>
      <c r="G504" s="83"/>
      <c r="H504" s="84"/>
      <c r="I504" s="84"/>
      <c r="J504" s="84"/>
      <c r="K504" s="84"/>
      <c r="L504" s="84"/>
      <c r="M504" s="84"/>
      <c r="N504" s="84"/>
      <c r="O504" s="84"/>
      <c r="P504" s="85"/>
      <c r="Q504" s="75"/>
      <c r="R504" s="75"/>
      <c r="S504" s="75"/>
      <c r="T504" s="75"/>
      <c r="U504" s="89"/>
      <c r="V504" s="84"/>
      <c r="W504" s="84"/>
      <c r="X504" s="84"/>
      <c r="Y504" s="84"/>
      <c r="Z504" s="84"/>
    </row>
    <row r="505" spans="1:26" ht="15.75" customHeight="1">
      <c r="A505" s="83"/>
      <c r="B505" s="84"/>
      <c r="C505" s="84"/>
      <c r="D505" s="83"/>
      <c r="E505" s="84"/>
      <c r="F505" s="84"/>
      <c r="G505" s="83"/>
      <c r="H505" s="84"/>
      <c r="I505" s="84"/>
      <c r="J505" s="84"/>
      <c r="K505" s="84"/>
      <c r="L505" s="84"/>
      <c r="M505" s="84"/>
      <c r="N505" s="84"/>
      <c r="O505" s="84"/>
      <c r="P505" s="85"/>
      <c r="Q505" s="75"/>
      <c r="R505" s="75"/>
      <c r="S505" s="75"/>
      <c r="T505" s="75"/>
      <c r="U505" s="89"/>
      <c r="V505" s="84"/>
      <c r="W505" s="84"/>
      <c r="X505" s="84"/>
      <c r="Y505" s="84"/>
      <c r="Z505" s="84"/>
    </row>
    <row r="506" spans="1:26" ht="15.75" customHeight="1">
      <c r="A506" s="83"/>
      <c r="B506" s="84"/>
      <c r="C506" s="84"/>
      <c r="D506" s="83"/>
      <c r="E506" s="84"/>
      <c r="F506" s="84"/>
      <c r="G506" s="83"/>
      <c r="H506" s="84"/>
      <c r="I506" s="84"/>
      <c r="J506" s="84"/>
      <c r="K506" s="84"/>
      <c r="L506" s="84"/>
      <c r="M506" s="84"/>
      <c r="N506" s="84"/>
      <c r="O506" s="84"/>
      <c r="P506" s="85"/>
      <c r="Q506" s="75"/>
      <c r="R506" s="75"/>
      <c r="S506" s="75"/>
      <c r="T506" s="75"/>
      <c r="U506" s="89"/>
      <c r="V506" s="84"/>
      <c r="W506" s="84"/>
      <c r="X506" s="84"/>
      <c r="Y506" s="84"/>
      <c r="Z506" s="84"/>
    </row>
    <row r="507" spans="1:26" ht="15.75" customHeight="1">
      <c r="A507" s="83"/>
      <c r="B507" s="84"/>
      <c r="C507" s="84"/>
      <c r="D507" s="83"/>
      <c r="E507" s="84"/>
      <c r="F507" s="84"/>
      <c r="G507" s="83"/>
      <c r="H507" s="84"/>
      <c r="I507" s="84"/>
      <c r="J507" s="84"/>
      <c r="K507" s="84"/>
      <c r="L507" s="84"/>
      <c r="M507" s="84"/>
      <c r="N507" s="84"/>
      <c r="O507" s="84"/>
      <c r="P507" s="85"/>
      <c r="Q507" s="75"/>
      <c r="R507" s="75"/>
      <c r="S507" s="75"/>
      <c r="T507" s="75"/>
      <c r="U507" s="89"/>
      <c r="V507" s="84"/>
      <c r="W507" s="84"/>
      <c r="X507" s="84"/>
      <c r="Y507" s="84"/>
      <c r="Z507" s="84"/>
    </row>
    <row r="508" spans="1:26" ht="15.75" customHeight="1">
      <c r="A508" s="83"/>
      <c r="B508" s="84"/>
      <c r="C508" s="84"/>
      <c r="D508" s="83"/>
      <c r="E508" s="84"/>
      <c r="F508" s="84"/>
      <c r="G508" s="83"/>
      <c r="H508" s="84"/>
      <c r="I508" s="84"/>
      <c r="J508" s="84"/>
      <c r="K508" s="84"/>
      <c r="L508" s="84"/>
      <c r="M508" s="84"/>
      <c r="N508" s="84"/>
      <c r="O508" s="84"/>
      <c r="P508" s="85"/>
      <c r="Q508" s="75"/>
      <c r="R508" s="75"/>
      <c r="S508" s="75"/>
      <c r="T508" s="75"/>
      <c r="U508" s="89"/>
      <c r="V508" s="84"/>
      <c r="W508" s="84"/>
      <c r="X508" s="84"/>
      <c r="Y508" s="84"/>
      <c r="Z508" s="84"/>
    </row>
    <row r="509" spans="1:26" ht="15.75" customHeight="1">
      <c r="A509" s="83"/>
      <c r="B509" s="84"/>
      <c r="C509" s="84"/>
      <c r="D509" s="83"/>
      <c r="E509" s="84"/>
      <c r="F509" s="84"/>
      <c r="G509" s="83"/>
      <c r="H509" s="84"/>
      <c r="I509" s="84"/>
      <c r="J509" s="84"/>
      <c r="K509" s="84"/>
      <c r="L509" s="84"/>
      <c r="M509" s="84"/>
      <c r="N509" s="84"/>
      <c r="O509" s="84"/>
      <c r="P509" s="85"/>
      <c r="Q509" s="75"/>
      <c r="R509" s="75"/>
      <c r="S509" s="75"/>
      <c r="T509" s="75"/>
      <c r="U509" s="89"/>
      <c r="V509" s="84"/>
      <c r="W509" s="84"/>
      <c r="X509" s="84"/>
      <c r="Y509" s="84"/>
      <c r="Z509" s="84"/>
    </row>
    <row r="510" spans="1:26" ht="15.75" customHeight="1">
      <c r="A510" s="83"/>
      <c r="B510" s="84"/>
      <c r="C510" s="84"/>
      <c r="D510" s="83"/>
      <c r="E510" s="84"/>
      <c r="F510" s="84"/>
      <c r="G510" s="83"/>
      <c r="H510" s="84"/>
      <c r="I510" s="84"/>
      <c r="J510" s="84"/>
      <c r="K510" s="84"/>
      <c r="L510" s="84"/>
      <c r="M510" s="84"/>
      <c r="N510" s="84"/>
      <c r="O510" s="84"/>
      <c r="P510" s="85"/>
      <c r="Q510" s="75"/>
      <c r="R510" s="75"/>
      <c r="S510" s="75"/>
      <c r="T510" s="75"/>
      <c r="U510" s="89"/>
      <c r="V510" s="84"/>
      <c r="W510" s="84"/>
      <c r="X510" s="84"/>
      <c r="Y510" s="84"/>
      <c r="Z510" s="84"/>
    </row>
    <row r="511" spans="1:26" ht="15.75" customHeight="1">
      <c r="A511" s="83"/>
      <c r="B511" s="84"/>
      <c r="C511" s="84"/>
      <c r="D511" s="83"/>
      <c r="E511" s="84"/>
      <c r="F511" s="84"/>
      <c r="G511" s="83"/>
      <c r="H511" s="84"/>
      <c r="I511" s="84"/>
      <c r="J511" s="84"/>
      <c r="K511" s="84"/>
      <c r="L511" s="84"/>
      <c r="M511" s="84"/>
      <c r="N511" s="84"/>
      <c r="O511" s="84"/>
      <c r="P511" s="85"/>
      <c r="Q511" s="75"/>
      <c r="R511" s="75"/>
      <c r="S511" s="75"/>
      <c r="T511" s="75"/>
      <c r="U511" s="89"/>
      <c r="V511" s="84"/>
      <c r="W511" s="84"/>
      <c r="X511" s="84"/>
      <c r="Y511" s="84"/>
      <c r="Z511" s="84"/>
    </row>
    <row r="512" spans="1:26" ht="15.75" customHeight="1">
      <c r="A512" s="83"/>
      <c r="B512" s="84"/>
      <c r="C512" s="84"/>
      <c r="D512" s="83"/>
      <c r="E512" s="84"/>
      <c r="F512" s="84"/>
      <c r="G512" s="83"/>
      <c r="H512" s="84"/>
      <c r="I512" s="84"/>
      <c r="J512" s="84"/>
      <c r="K512" s="84"/>
      <c r="L512" s="84"/>
      <c r="M512" s="84"/>
      <c r="N512" s="84"/>
      <c r="O512" s="84"/>
      <c r="P512" s="85"/>
      <c r="Q512" s="75"/>
      <c r="R512" s="75"/>
      <c r="S512" s="75"/>
      <c r="T512" s="75"/>
      <c r="U512" s="89"/>
      <c r="V512" s="84"/>
      <c r="W512" s="84"/>
      <c r="X512" s="84"/>
      <c r="Y512" s="84"/>
      <c r="Z512" s="84"/>
    </row>
    <row r="513" spans="1:26" ht="15.75" customHeight="1">
      <c r="A513" s="83"/>
      <c r="B513" s="84"/>
      <c r="C513" s="84"/>
      <c r="D513" s="83"/>
      <c r="E513" s="84"/>
      <c r="F513" s="84"/>
      <c r="G513" s="83"/>
      <c r="H513" s="84"/>
      <c r="I513" s="84"/>
      <c r="J513" s="84"/>
      <c r="K513" s="84"/>
      <c r="L513" s="84"/>
      <c r="M513" s="84"/>
      <c r="N513" s="84"/>
      <c r="O513" s="84"/>
      <c r="P513" s="85"/>
      <c r="Q513" s="75"/>
      <c r="R513" s="75"/>
      <c r="S513" s="75"/>
      <c r="T513" s="75"/>
      <c r="U513" s="89"/>
      <c r="V513" s="84"/>
      <c r="W513" s="84"/>
      <c r="X513" s="84"/>
      <c r="Y513" s="84"/>
      <c r="Z513" s="84"/>
    </row>
    <row r="514" spans="1:26" ht="15.75" customHeight="1">
      <c r="A514" s="83"/>
      <c r="B514" s="84"/>
      <c r="C514" s="84"/>
      <c r="D514" s="83"/>
      <c r="E514" s="84"/>
      <c r="F514" s="84"/>
      <c r="G514" s="83"/>
      <c r="H514" s="84"/>
      <c r="I514" s="84"/>
      <c r="J514" s="84"/>
      <c r="K514" s="84"/>
      <c r="L514" s="84"/>
      <c r="M514" s="84"/>
      <c r="N514" s="84"/>
      <c r="O514" s="84"/>
      <c r="P514" s="85"/>
      <c r="Q514" s="75"/>
      <c r="R514" s="75"/>
      <c r="S514" s="75"/>
      <c r="T514" s="75"/>
      <c r="U514" s="89"/>
      <c r="V514" s="84"/>
      <c r="W514" s="84"/>
      <c r="X514" s="84"/>
      <c r="Y514" s="84"/>
      <c r="Z514" s="84"/>
    </row>
    <row r="515" spans="1:26" ht="15.75" customHeight="1">
      <c r="A515" s="83"/>
      <c r="B515" s="84"/>
      <c r="C515" s="84"/>
      <c r="D515" s="83"/>
      <c r="E515" s="84"/>
      <c r="F515" s="84"/>
      <c r="G515" s="83"/>
      <c r="H515" s="84"/>
      <c r="I515" s="84"/>
      <c r="J515" s="84"/>
      <c r="K515" s="84"/>
      <c r="L515" s="84"/>
      <c r="M515" s="84"/>
      <c r="N515" s="84"/>
      <c r="O515" s="84"/>
      <c r="P515" s="85"/>
      <c r="Q515" s="75"/>
      <c r="R515" s="75"/>
      <c r="S515" s="75"/>
      <c r="T515" s="75"/>
      <c r="U515" s="89"/>
      <c r="V515" s="84"/>
      <c r="W515" s="84"/>
      <c r="X515" s="84"/>
      <c r="Y515" s="84"/>
      <c r="Z515" s="84"/>
    </row>
    <row r="516" spans="1:26" ht="15.75" customHeight="1">
      <c r="A516" s="83"/>
      <c r="B516" s="84"/>
      <c r="C516" s="84"/>
      <c r="D516" s="83"/>
      <c r="E516" s="84"/>
      <c r="F516" s="84"/>
      <c r="G516" s="83"/>
      <c r="H516" s="84"/>
      <c r="I516" s="84"/>
      <c r="J516" s="84"/>
      <c r="K516" s="84"/>
      <c r="L516" s="84"/>
      <c r="M516" s="84"/>
      <c r="N516" s="84"/>
      <c r="O516" s="84"/>
      <c r="P516" s="85"/>
      <c r="Q516" s="75"/>
      <c r="R516" s="75"/>
      <c r="S516" s="75"/>
      <c r="T516" s="75"/>
      <c r="U516" s="89"/>
      <c r="V516" s="84"/>
      <c r="W516" s="84"/>
      <c r="X516" s="84"/>
      <c r="Y516" s="84"/>
      <c r="Z516" s="84"/>
    </row>
    <row r="517" spans="1:26" ht="15.75" customHeight="1">
      <c r="A517" s="83"/>
      <c r="B517" s="84"/>
      <c r="C517" s="84"/>
      <c r="D517" s="83"/>
      <c r="E517" s="84"/>
      <c r="F517" s="84"/>
      <c r="G517" s="83"/>
      <c r="H517" s="84"/>
      <c r="I517" s="84"/>
      <c r="J517" s="84"/>
      <c r="K517" s="84"/>
      <c r="L517" s="84"/>
      <c r="M517" s="84"/>
      <c r="N517" s="84"/>
      <c r="O517" s="84"/>
      <c r="P517" s="85"/>
      <c r="Q517" s="75"/>
      <c r="R517" s="75"/>
      <c r="S517" s="75"/>
      <c r="T517" s="75"/>
      <c r="U517" s="89"/>
      <c r="V517" s="84"/>
      <c r="W517" s="84"/>
      <c r="X517" s="84"/>
      <c r="Y517" s="84"/>
      <c r="Z517" s="84"/>
    </row>
    <row r="518" spans="1:26" ht="15.75" customHeight="1">
      <c r="A518" s="83"/>
      <c r="B518" s="84"/>
      <c r="C518" s="84"/>
      <c r="D518" s="83"/>
      <c r="E518" s="84"/>
      <c r="F518" s="84"/>
      <c r="G518" s="83"/>
      <c r="H518" s="84"/>
      <c r="I518" s="84"/>
      <c r="J518" s="84"/>
      <c r="K518" s="84"/>
      <c r="L518" s="84"/>
      <c r="M518" s="84"/>
      <c r="N518" s="84"/>
      <c r="O518" s="84"/>
      <c r="P518" s="85"/>
      <c r="Q518" s="75"/>
      <c r="R518" s="75"/>
      <c r="S518" s="75"/>
      <c r="T518" s="75"/>
      <c r="U518" s="89"/>
      <c r="V518" s="84"/>
      <c r="W518" s="84"/>
      <c r="X518" s="84"/>
      <c r="Y518" s="84"/>
      <c r="Z518" s="84"/>
    </row>
    <row r="519" spans="1:26" ht="15.75" customHeight="1">
      <c r="A519" s="83"/>
      <c r="B519" s="84"/>
      <c r="C519" s="84"/>
      <c r="D519" s="83"/>
      <c r="E519" s="84"/>
      <c r="F519" s="84"/>
      <c r="G519" s="83"/>
      <c r="H519" s="84"/>
      <c r="I519" s="84"/>
      <c r="J519" s="84"/>
      <c r="K519" s="84"/>
      <c r="L519" s="84"/>
      <c r="M519" s="84"/>
      <c r="N519" s="84"/>
      <c r="O519" s="84"/>
      <c r="P519" s="85"/>
      <c r="Q519" s="75"/>
      <c r="R519" s="75"/>
      <c r="S519" s="75"/>
      <c r="T519" s="75"/>
      <c r="U519" s="89"/>
      <c r="V519" s="84"/>
      <c r="W519" s="84"/>
      <c r="X519" s="84"/>
      <c r="Y519" s="84"/>
      <c r="Z519" s="84"/>
    </row>
    <row r="520" spans="1:26" ht="15.75" customHeight="1">
      <c r="A520" s="83"/>
      <c r="B520" s="84"/>
      <c r="C520" s="84"/>
      <c r="D520" s="83"/>
      <c r="E520" s="84"/>
      <c r="F520" s="84"/>
      <c r="G520" s="83"/>
      <c r="H520" s="84"/>
      <c r="I520" s="84"/>
      <c r="J520" s="84"/>
      <c r="K520" s="84"/>
      <c r="L520" s="84"/>
      <c r="M520" s="84"/>
      <c r="N520" s="84"/>
      <c r="O520" s="84"/>
      <c r="P520" s="85"/>
      <c r="Q520" s="75"/>
      <c r="R520" s="75"/>
      <c r="S520" s="75"/>
      <c r="T520" s="75"/>
      <c r="U520" s="89"/>
      <c r="V520" s="84"/>
      <c r="W520" s="84"/>
      <c r="X520" s="84"/>
      <c r="Y520" s="84"/>
      <c r="Z520" s="84"/>
    </row>
    <row r="521" spans="1:26" ht="15.75" customHeight="1">
      <c r="A521" s="83"/>
      <c r="B521" s="84"/>
      <c r="C521" s="84"/>
      <c r="D521" s="83"/>
      <c r="E521" s="84"/>
      <c r="F521" s="84"/>
      <c r="G521" s="83"/>
      <c r="H521" s="84"/>
      <c r="I521" s="84"/>
      <c r="J521" s="84"/>
      <c r="K521" s="84"/>
      <c r="L521" s="84"/>
      <c r="M521" s="84"/>
      <c r="N521" s="84"/>
      <c r="O521" s="84"/>
      <c r="P521" s="85"/>
      <c r="Q521" s="75"/>
      <c r="R521" s="75"/>
      <c r="S521" s="75"/>
      <c r="T521" s="75"/>
      <c r="U521" s="89"/>
      <c r="V521" s="84"/>
      <c r="W521" s="84"/>
      <c r="X521" s="84"/>
      <c r="Y521" s="84"/>
      <c r="Z521" s="84"/>
    </row>
    <row r="522" spans="1:26" ht="15.75" customHeight="1">
      <c r="A522" s="83"/>
      <c r="B522" s="84"/>
      <c r="C522" s="84"/>
      <c r="D522" s="83"/>
      <c r="E522" s="84"/>
      <c r="F522" s="84"/>
      <c r="G522" s="83"/>
      <c r="H522" s="84"/>
      <c r="I522" s="84"/>
      <c r="J522" s="84"/>
      <c r="K522" s="84"/>
      <c r="L522" s="84"/>
      <c r="M522" s="84"/>
      <c r="N522" s="84"/>
      <c r="O522" s="84"/>
      <c r="P522" s="85"/>
      <c r="Q522" s="75"/>
      <c r="R522" s="75"/>
      <c r="S522" s="75"/>
      <c r="T522" s="75"/>
      <c r="U522" s="89"/>
      <c r="V522" s="84"/>
      <c r="W522" s="84"/>
      <c r="X522" s="84"/>
      <c r="Y522" s="84"/>
      <c r="Z522" s="84"/>
    </row>
    <row r="523" spans="1:26" ht="15.75" customHeight="1">
      <c r="A523" s="83"/>
      <c r="B523" s="84"/>
      <c r="C523" s="84"/>
      <c r="D523" s="83"/>
      <c r="E523" s="84"/>
      <c r="F523" s="84"/>
      <c r="G523" s="83"/>
      <c r="H523" s="84"/>
      <c r="I523" s="84"/>
      <c r="J523" s="84"/>
      <c r="K523" s="84"/>
      <c r="L523" s="84"/>
      <c r="M523" s="84"/>
      <c r="N523" s="84"/>
      <c r="O523" s="84"/>
      <c r="P523" s="85"/>
      <c r="Q523" s="75"/>
      <c r="R523" s="75"/>
      <c r="S523" s="75"/>
      <c r="T523" s="75"/>
      <c r="U523" s="89"/>
      <c r="V523" s="84"/>
      <c r="W523" s="84"/>
      <c r="X523" s="84"/>
      <c r="Y523" s="84"/>
      <c r="Z523" s="84"/>
    </row>
    <row r="524" spans="1:26" ht="15.75" customHeight="1">
      <c r="A524" s="83"/>
      <c r="B524" s="84"/>
      <c r="C524" s="84"/>
      <c r="D524" s="83"/>
      <c r="E524" s="84"/>
      <c r="F524" s="84"/>
      <c r="G524" s="83"/>
      <c r="H524" s="84"/>
      <c r="I524" s="84"/>
      <c r="J524" s="84"/>
      <c r="K524" s="84"/>
      <c r="L524" s="84"/>
      <c r="M524" s="84"/>
      <c r="N524" s="84"/>
      <c r="O524" s="84"/>
      <c r="P524" s="85"/>
      <c r="Q524" s="75"/>
      <c r="R524" s="75"/>
      <c r="S524" s="75"/>
      <c r="T524" s="75"/>
      <c r="U524" s="89"/>
      <c r="V524" s="84"/>
      <c r="W524" s="84"/>
      <c r="X524" s="84"/>
      <c r="Y524" s="84"/>
      <c r="Z524" s="84"/>
    </row>
    <row r="525" spans="1:26" ht="15.75" customHeight="1">
      <c r="A525" s="83"/>
      <c r="B525" s="84"/>
      <c r="C525" s="84"/>
      <c r="D525" s="83"/>
      <c r="E525" s="84"/>
      <c r="F525" s="84"/>
      <c r="G525" s="83"/>
      <c r="H525" s="84"/>
      <c r="I525" s="84"/>
      <c r="J525" s="84"/>
      <c r="K525" s="84"/>
      <c r="L525" s="84"/>
      <c r="M525" s="84"/>
      <c r="N525" s="84"/>
      <c r="O525" s="84"/>
      <c r="P525" s="85"/>
      <c r="Q525" s="75"/>
      <c r="R525" s="75"/>
      <c r="S525" s="75"/>
      <c r="T525" s="75"/>
      <c r="U525" s="89"/>
      <c r="V525" s="84"/>
      <c r="W525" s="84"/>
      <c r="X525" s="84"/>
      <c r="Y525" s="84"/>
      <c r="Z525" s="84"/>
    </row>
    <row r="526" spans="1:26" ht="15.75" customHeight="1">
      <c r="A526" s="83"/>
      <c r="B526" s="84"/>
      <c r="C526" s="84"/>
      <c r="D526" s="83"/>
      <c r="E526" s="84"/>
      <c r="F526" s="84"/>
      <c r="G526" s="83"/>
      <c r="H526" s="84"/>
      <c r="I526" s="84"/>
      <c r="J526" s="84"/>
      <c r="K526" s="84"/>
      <c r="L526" s="84"/>
      <c r="M526" s="84"/>
      <c r="N526" s="84"/>
      <c r="O526" s="84"/>
      <c r="P526" s="85"/>
      <c r="Q526" s="75"/>
      <c r="R526" s="75"/>
      <c r="S526" s="75"/>
      <c r="T526" s="75"/>
      <c r="U526" s="89"/>
      <c r="V526" s="84"/>
      <c r="W526" s="84"/>
      <c r="X526" s="84"/>
      <c r="Y526" s="84"/>
      <c r="Z526" s="84"/>
    </row>
    <row r="527" spans="1:26" ht="15.75" customHeight="1">
      <c r="A527" s="83"/>
      <c r="B527" s="84"/>
      <c r="C527" s="84"/>
      <c r="D527" s="83"/>
      <c r="E527" s="84"/>
      <c r="F527" s="84"/>
      <c r="G527" s="83"/>
      <c r="H527" s="84"/>
      <c r="I527" s="84"/>
      <c r="J527" s="84"/>
      <c r="K527" s="84"/>
      <c r="L527" s="84"/>
      <c r="M527" s="84"/>
      <c r="N527" s="84"/>
      <c r="O527" s="84"/>
      <c r="P527" s="85"/>
      <c r="Q527" s="75"/>
      <c r="R527" s="75"/>
      <c r="S527" s="75"/>
      <c r="T527" s="75"/>
      <c r="U527" s="89"/>
      <c r="V527" s="84"/>
      <c r="W527" s="84"/>
      <c r="X527" s="84"/>
      <c r="Y527" s="84"/>
      <c r="Z527" s="84"/>
    </row>
    <row r="528" spans="1:26" ht="15.75" customHeight="1">
      <c r="A528" s="83"/>
      <c r="B528" s="84"/>
      <c r="C528" s="84"/>
      <c r="D528" s="83"/>
      <c r="E528" s="84"/>
      <c r="F528" s="84"/>
      <c r="G528" s="83"/>
      <c r="H528" s="84"/>
      <c r="I528" s="84"/>
      <c r="J528" s="84"/>
      <c r="K528" s="84"/>
      <c r="L528" s="84"/>
      <c r="M528" s="84"/>
      <c r="N528" s="84"/>
      <c r="O528" s="84"/>
      <c r="P528" s="85"/>
      <c r="Q528" s="75"/>
      <c r="R528" s="75"/>
      <c r="S528" s="75"/>
      <c r="T528" s="75"/>
      <c r="U528" s="89"/>
      <c r="V528" s="84"/>
      <c r="W528" s="84"/>
      <c r="X528" s="84"/>
      <c r="Y528" s="84"/>
      <c r="Z528" s="84"/>
    </row>
    <row r="529" spans="1:26" ht="15.75" customHeight="1">
      <c r="A529" s="83"/>
      <c r="B529" s="84"/>
      <c r="C529" s="84"/>
      <c r="D529" s="83"/>
      <c r="E529" s="84"/>
      <c r="F529" s="84"/>
      <c r="G529" s="83"/>
      <c r="H529" s="84"/>
      <c r="I529" s="84"/>
      <c r="J529" s="84"/>
      <c r="K529" s="84"/>
      <c r="L529" s="84"/>
      <c r="M529" s="84"/>
      <c r="N529" s="84"/>
      <c r="O529" s="84"/>
      <c r="P529" s="85"/>
      <c r="Q529" s="75"/>
      <c r="R529" s="75"/>
      <c r="S529" s="75"/>
      <c r="T529" s="75"/>
      <c r="U529" s="89"/>
      <c r="V529" s="84"/>
      <c r="W529" s="84"/>
      <c r="X529" s="84"/>
      <c r="Y529" s="84"/>
      <c r="Z529" s="84"/>
    </row>
    <row r="530" spans="1:26" ht="15.75" customHeight="1">
      <c r="A530" s="83"/>
      <c r="B530" s="84"/>
      <c r="C530" s="84"/>
      <c r="D530" s="83"/>
      <c r="E530" s="84"/>
      <c r="F530" s="84"/>
      <c r="G530" s="83"/>
      <c r="H530" s="84"/>
      <c r="I530" s="84"/>
      <c r="J530" s="84"/>
      <c r="K530" s="84"/>
      <c r="L530" s="84"/>
      <c r="M530" s="84"/>
      <c r="N530" s="84"/>
      <c r="O530" s="84"/>
      <c r="P530" s="85"/>
      <c r="Q530" s="75"/>
      <c r="R530" s="75"/>
      <c r="S530" s="75"/>
      <c r="T530" s="75"/>
      <c r="U530" s="89"/>
      <c r="V530" s="84"/>
      <c r="W530" s="84"/>
      <c r="X530" s="84"/>
      <c r="Y530" s="84"/>
      <c r="Z530" s="84"/>
    </row>
    <row r="531" spans="1:26" ht="15.75" customHeight="1">
      <c r="A531" s="83"/>
      <c r="B531" s="84"/>
      <c r="C531" s="84"/>
      <c r="D531" s="83"/>
      <c r="E531" s="84"/>
      <c r="F531" s="84"/>
      <c r="G531" s="83"/>
      <c r="H531" s="84"/>
      <c r="I531" s="84"/>
      <c r="J531" s="84"/>
      <c r="K531" s="84"/>
      <c r="L531" s="84"/>
      <c r="M531" s="84"/>
      <c r="N531" s="84"/>
      <c r="O531" s="84"/>
      <c r="P531" s="85"/>
      <c r="Q531" s="75"/>
      <c r="R531" s="75"/>
      <c r="S531" s="75"/>
      <c r="T531" s="75"/>
      <c r="U531" s="89"/>
      <c r="V531" s="84"/>
      <c r="W531" s="84"/>
      <c r="X531" s="84"/>
      <c r="Y531" s="84"/>
      <c r="Z531" s="84"/>
    </row>
    <row r="532" spans="1:26" ht="15.75" customHeight="1">
      <c r="A532" s="83"/>
      <c r="B532" s="84"/>
      <c r="C532" s="84"/>
      <c r="D532" s="83"/>
      <c r="E532" s="84"/>
      <c r="F532" s="84"/>
      <c r="G532" s="83"/>
      <c r="H532" s="84"/>
      <c r="I532" s="84"/>
      <c r="J532" s="84"/>
      <c r="K532" s="84"/>
      <c r="L532" s="84"/>
      <c r="M532" s="84"/>
      <c r="N532" s="84"/>
      <c r="O532" s="84"/>
      <c r="P532" s="85"/>
      <c r="Q532" s="75"/>
      <c r="R532" s="75"/>
      <c r="S532" s="75"/>
      <c r="T532" s="75"/>
      <c r="U532" s="89"/>
      <c r="V532" s="84"/>
      <c r="W532" s="84"/>
      <c r="X532" s="84"/>
      <c r="Y532" s="84"/>
      <c r="Z532" s="84"/>
    </row>
    <row r="533" spans="1:26" ht="15.75" customHeight="1">
      <c r="A533" s="83"/>
      <c r="B533" s="84"/>
      <c r="C533" s="84"/>
      <c r="D533" s="83"/>
      <c r="E533" s="84"/>
      <c r="F533" s="84"/>
      <c r="G533" s="83"/>
      <c r="H533" s="84"/>
      <c r="I533" s="84"/>
      <c r="J533" s="84"/>
      <c r="K533" s="84"/>
      <c r="L533" s="84"/>
      <c r="M533" s="84"/>
      <c r="N533" s="84"/>
      <c r="O533" s="84"/>
      <c r="P533" s="85"/>
      <c r="Q533" s="75"/>
      <c r="R533" s="75"/>
      <c r="S533" s="75"/>
      <c r="T533" s="75"/>
      <c r="U533" s="89"/>
      <c r="V533" s="84"/>
      <c r="W533" s="84"/>
      <c r="X533" s="84"/>
      <c r="Y533" s="84"/>
      <c r="Z533" s="84"/>
    </row>
    <row r="534" spans="1:26" ht="15.75" customHeight="1">
      <c r="A534" s="83"/>
      <c r="B534" s="84"/>
      <c r="C534" s="84"/>
      <c r="D534" s="83"/>
      <c r="E534" s="84"/>
      <c r="F534" s="84"/>
      <c r="G534" s="83"/>
      <c r="H534" s="84"/>
      <c r="I534" s="84"/>
      <c r="J534" s="84"/>
      <c r="K534" s="84"/>
      <c r="L534" s="84"/>
      <c r="M534" s="84"/>
      <c r="N534" s="84"/>
      <c r="O534" s="84"/>
      <c r="P534" s="85"/>
      <c r="Q534" s="75"/>
      <c r="R534" s="75"/>
      <c r="S534" s="75"/>
      <c r="T534" s="75"/>
      <c r="U534" s="89"/>
      <c r="V534" s="84"/>
      <c r="W534" s="84"/>
      <c r="X534" s="84"/>
      <c r="Y534" s="84"/>
      <c r="Z534" s="84"/>
    </row>
    <row r="535" spans="1:26" ht="15.75" customHeight="1">
      <c r="A535" s="83"/>
      <c r="B535" s="84"/>
      <c r="C535" s="84"/>
      <c r="D535" s="83"/>
      <c r="E535" s="84"/>
      <c r="F535" s="84"/>
      <c r="G535" s="83"/>
      <c r="H535" s="84"/>
      <c r="I535" s="84"/>
      <c r="J535" s="84"/>
      <c r="K535" s="84"/>
      <c r="L535" s="84"/>
      <c r="M535" s="84"/>
      <c r="N535" s="84"/>
      <c r="O535" s="84"/>
      <c r="P535" s="85"/>
      <c r="Q535" s="75"/>
      <c r="R535" s="75"/>
      <c r="S535" s="75"/>
      <c r="T535" s="75"/>
      <c r="U535" s="89"/>
      <c r="V535" s="84"/>
      <c r="W535" s="84"/>
      <c r="X535" s="84"/>
      <c r="Y535" s="84"/>
      <c r="Z535" s="84"/>
    </row>
    <row r="536" spans="1:26" ht="15.75" customHeight="1">
      <c r="A536" s="83"/>
      <c r="B536" s="84"/>
      <c r="C536" s="84"/>
      <c r="D536" s="83"/>
      <c r="E536" s="84"/>
      <c r="F536" s="84"/>
      <c r="G536" s="83"/>
      <c r="H536" s="84"/>
      <c r="I536" s="84"/>
      <c r="J536" s="84"/>
      <c r="K536" s="84"/>
      <c r="L536" s="84"/>
      <c r="M536" s="84"/>
      <c r="N536" s="84"/>
      <c r="O536" s="84"/>
      <c r="P536" s="85"/>
      <c r="Q536" s="75"/>
      <c r="R536" s="75"/>
      <c r="S536" s="75"/>
      <c r="T536" s="75"/>
      <c r="U536" s="89"/>
      <c r="V536" s="84"/>
      <c r="W536" s="84"/>
      <c r="X536" s="84"/>
      <c r="Y536" s="84"/>
      <c r="Z536" s="84"/>
    </row>
    <row r="537" spans="1:26" ht="15.75" customHeight="1">
      <c r="A537" s="83"/>
      <c r="B537" s="84"/>
      <c r="C537" s="84"/>
      <c r="D537" s="83"/>
      <c r="E537" s="84"/>
      <c r="F537" s="84"/>
      <c r="G537" s="83"/>
      <c r="H537" s="84"/>
      <c r="I537" s="84"/>
      <c r="J537" s="84"/>
      <c r="K537" s="84"/>
      <c r="L537" s="84"/>
      <c r="M537" s="84"/>
      <c r="N537" s="84"/>
      <c r="O537" s="84"/>
      <c r="P537" s="85"/>
      <c r="Q537" s="75"/>
      <c r="R537" s="75"/>
      <c r="S537" s="75"/>
      <c r="T537" s="75"/>
      <c r="U537" s="89"/>
      <c r="V537" s="84"/>
      <c r="W537" s="84"/>
      <c r="X537" s="84"/>
      <c r="Y537" s="84"/>
      <c r="Z537" s="84"/>
    </row>
    <row r="538" spans="1:26" ht="15.75" customHeight="1">
      <c r="A538" s="83"/>
      <c r="B538" s="84"/>
      <c r="C538" s="84"/>
      <c r="D538" s="83"/>
      <c r="E538" s="84"/>
      <c r="F538" s="84"/>
      <c r="G538" s="83"/>
      <c r="H538" s="84"/>
      <c r="I538" s="84"/>
      <c r="J538" s="84"/>
      <c r="K538" s="84"/>
      <c r="L538" s="84"/>
      <c r="M538" s="84"/>
      <c r="N538" s="84"/>
      <c r="O538" s="84"/>
      <c r="P538" s="85"/>
      <c r="Q538" s="75"/>
      <c r="R538" s="75"/>
      <c r="S538" s="75"/>
      <c r="T538" s="75"/>
      <c r="U538" s="89"/>
      <c r="V538" s="84"/>
      <c r="W538" s="84"/>
      <c r="X538" s="84"/>
      <c r="Y538" s="84"/>
      <c r="Z538" s="84"/>
    </row>
    <row r="539" spans="1:26" ht="15.75" customHeight="1">
      <c r="A539" s="83"/>
      <c r="B539" s="84"/>
      <c r="C539" s="84"/>
      <c r="D539" s="83"/>
      <c r="E539" s="84"/>
      <c r="F539" s="84"/>
      <c r="G539" s="83"/>
      <c r="H539" s="84"/>
      <c r="I539" s="84"/>
      <c r="J539" s="84"/>
      <c r="K539" s="84"/>
      <c r="L539" s="84"/>
      <c r="M539" s="84"/>
      <c r="N539" s="84"/>
      <c r="O539" s="84"/>
      <c r="P539" s="85"/>
      <c r="Q539" s="75"/>
      <c r="R539" s="75"/>
      <c r="S539" s="75"/>
      <c r="T539" s="75"/>
      <c r="U539" s="89"/>
      <c r="V539" s="84"/>
      <c r="W539" s="84"/>
      <c r="X539" s="84"/>
      <c r="Y539" s="84"/>
      <c r="Z539" s="84"/>
    </row>
    <row r="540" spans="1:26" ht="15.75" customHeight="1">
      <c r="A540" s="83"/>
      <c r="B540" s="84"/>
      <c r="C540" s="84"/>
      <c r="D540" s="83"/>
      <c r="E540" s="84"/>
      <c r="F540" s="84"/>
      <c r="G540" s="83"/>
      <c r="H540" s="84"/>
      <c r="I540" s="84"/>
      <c r="J540" s="84"/>
      <c r="K540" s="84"/>
      <c r="L540" s="84"/>
      <c r="M540" s="84"/>
      <c r="N540" s="84"/>
      <c r="O540" s="84"/>
      <c r="P540" s="85"/>
      <c r="Q540" s="75"/>
      <c r="R540" s="75"/>
      <c r="S540" s="75"/>
      <c r="T540" s="75"/>
      <c r="U540" s="89"/>
      <c r="V540" s="84"/>
      <c r="W540" s="84"/>
      <c r="X540" s="84"/>
      <c r="Y540" s="84"/>
      <c r="Z540" s="84"/>
    </row>
    <row r="541" spans="1:26" ht="15.75" customHeight="1">
      <c r="A541" s="83"/>
      <c r="B541" s="84"/>
      <c r="C541" s="84"/>
      <c r="D541" s="83"/>
      <c r="E541" s="84"/>
      <c r="F541" s="84"/>
      <c r="G541" s="83"/>
      <c r="H541" s="84"/>
      <c r="I541" s="84"/>
      <c r="J541" s="84"/>
      <c r="K541" s="84"/>
      <c r="L541" s="84"/>
      <c r="M541" s="84"/>
      <c r="N541" s="84"/>
      <c r="O541" s="84"/>
      <c r="P541" s="85"/>
      <c r="Q541" s="75"/>
      <c r="R541" s="75"/>
      <c r="S541" s="75"/>
      <c r="T541" s="75"/>
      <c r="U541" s="89"/>
      <c r="V541" s="84"/>
      <c r="W541" s="84"/>
      <c r="X541" s="84"/>
      <c r="Y541" s="84"/>
      <c r="Z541" s="84"/>
    </row>
    <row r="542" spans="1:26" ht="15.75" customHeight="1">
      <c r="A542" s="83"/>
      <c r="B542" s="84"/>
      <c r="C542" s="84"/>
      <c r="D542" s="83"/>
      <c r="E542" s="84"/>
      <c r="F542" s="84"/>
      <c r="G542" s="83"/>
      <c r="H542" s="84"/>
      <c r="I542" s="84"/>
      <c r="J542" s="84"/>
      <c r="K542" s="84"/>
      <c r="L542" s="84"/>
      <c r="M542" s="84"/>
      <c r="N542" s="84"/>
      <c r="O542" s="84"/>
      <c r="P542" s="85"/>
      <c r="Q542" s="75"/>
      <c r="R542" s="75"/>
      <c r="S542" s="75"/>
      <c r="T542" s="75"/>
      <c r="U542" s="89"/>
      <c r="V542" s="84"/>
      <c r="W542" s="84"/>
      <c r="X542" s="84"/>
      <c r="Y542" s="84"/>
      <c r="Z542" s="84"/>
    </row>
    <row r="543" spans="1:26" ht="15.75" customHeight="1">
      <c r="A543" s="83"/>
      <c r="B543" s="84"/>
      <c r="C543" s="84"/>
      <c r="D543" s="83"/>
      <c r="E543" s="84"/>
      <c r="F543" s="84"/>
      <c r="G543" s="83"/>
      <c r="H543" s="84"/>
      <c r="I543" s="84"/>
      <c r="J543" s="84"/>
      <c r="K543" s="84"/>
      <c r="L543" s="84"/>
      <c r="M543" s="84"/>
      <c r="N543" s="84"/>
      <c r="O543" s="84"/>
      <c r="P543" s="85"/>
      <c r="Q543" s="75"/>
      <c r="R543" s="75"/>
      <c r="S543" s="75"/>
      <c r="T543" s="75"/>
      <c r="U543" s="89"/>
      <c r="V543" s="84"/>
      <c r="W543" s="84"/>
      <c r="X543" s="84"/>
      <c r="Y543" s="84"/>
      <c r="Z543" s="84"/>
    </row>
    <row r="544" spans="1:26" ht="15.75" customHeight="1">
      <c r="A544" s="83"/>
      <c r="B544" s="84"/>
      <c r="C544" s="84"/>
      <c r="D544" s="83"/>
      <c r="E544" s="84"/>
      <c r="F544" s="84"/>
      <c r="G544" s="83"/>
      <c r="H544" s="84"/>
      <c r="I544" s="84"/>
      <c r="J544" s="84"/>
      <c r="K544" s="84"/>
      <c r="L544" s="84"/>
      <c r="M544" s="84"/>
      <c r="N544" s="84"/>
      <c r="O544" s="84"/>
      <c r="P544" s="85"/>
      <c r="Q544" s="75"/>
      <c r="R544" s="75"/>
      <c r="S544" s="75"/>
      <c r="T544" s="75"/>
      <c r="U544" s="89"/>
      <c r="V544" s="84"/>
      <c r="W544" s="84"/>
      <c r="X544" s="84"/>
      <c r="Y544" s="84"/>
      <c r="Z544" s="84"/>
    </row>
    <row r="545" spans="1:26" ht="15.75" customHeight="1">
      <c r="A545" s="83"/>
      <c r="B545" s="84"/>
      <c r="C545" s="84"/>
      <c r="D545" s="83"/>
      <c r="E545" s="84"/>
      <c r="F545" s="84"/>
      <c r="G545" s="83"/>
      <c r="H545" s="84"/>
      <c r="I545" s="84"/>
      <c r="J545" s="84"/>
      <c r="K545" s="84"/>
      <c r="L545" s="84"/>
      <c r="M545" s="84"/>
      <c r="N545" s="84"/>
      <c r="O545" s="84"/>
      <c r="P545" s="85"/>
      <c r="Q545" s="75"/>
      <c r="R545" s="75"/>
      <c r="S545" s="75"/>
      <c r="T545" s="75"/>
      <c r="U545" s="89"/>
      <c r="V545" s="84"/>
      <c r="W545" s="84"/>
      <c r="X545" s="84"/>
      <c r="Y545" s="84"/>
      <c r="Z545" s="84"/>
    </row>
    <row r="546" spans="1:26" ht="15.75" customHeight="1">
      <c r="A546" s="83"/>
      <c r="B546" s="84"/>
      <c r="C546" s="84"/>
      <c r="D546" s="83"/>
      <c r="E546" s="84"/>
      <c r="F546" s="84"/>
      <c r="G546" s="83"/>
      <c r="H546" s="84"/>
      <c r="I546" s="84"/>
      <c r="J546" s="84"/>
      <c r="K546" s="84"/>
      <c r="L546" s="84"/>
      <c r="M546" s="84"/>
      <c r="N546" s="84"/>
      <c r="O546" s="84"/>
      <c r="P546" s="85"/>
      <c r="Q546" s="75"/>
      <c r="R546" s="75"/>
      <c r="S546" s="75"/>
      <c r="T546" s="75"/>
      <c r="U546" s="89"/>
      <c r="V546" s="84"/>
      <c r="W546" s="84"/>
      <c r="X546" s="84"/>
      <c r="Y546" s="84"/>
      <c r="Z546" s="84"/>
    </row>
    <row r="547" spans="1:26" ht="15.75" customHeight="1">
      <c r="A547" s="83"/>
      <c r="B547" s="84"/>
      <c r="C547" s="84"/>
      <c r="D547" s="83"/>
      <c r="E547" s="84"/>
      <c r="F547" s="84"/>
      <c r="G547" s="83"/>
      <c r="H547" s="84"/>
      <c r="I547" s="84"/>
      <c r="J547" s="84"/>
      <c r="K547" s="84"/>
      <c r="L547" s="84"/>
      <c r="M547" s="84"/>
      <c r="N547" s="84"/>
      <c r="O547" s="84"/>
      <c r="P547" s="85"/>
      <c r="Q547" s="75"/>
      <c r="R547" s="75"/>
      <c r="S547" s="75"/>
      <c r="T547" s="75"/>
      <c r="U547" s="89"/>
      <c r="V547" s="84"/>
      <c r="W547" s="84"/>
      <c r="X547" s="84"/>
      <c r="Y547" s="84"/>
      <c r="Z547" s="84"/>
    </row>
    <row r="548" spans="1:26" ht="15.75" customHeight="1">
      <c r="A548" s="83"/>
      <c r="B548" s="84"/>
      <c r="C548" s="84"/>
      <c r="D548" s="83"/>
      <c r="E548" s="84"/>
      <c r="F548" s="84"/>
      <c r="G548" s="83"/>
      <c r="H548" s="84"/>
      <c r="I548" s="84"/>
      <c r="J548" s="84"/>
      <c r="K548" s="84"/>
      <c r="L548" s="84"/>
      <c r="M548" s="84"/>
      <c r="N548" s="84"/>
      <c r="O548" s="84"/>
      <c r="P548" s="85"/>
      <c r="Q548" s="75"/>
      <c r="R548" s="75"/>
      <c r="S548" s="75"/>
      <c r="T548" s="75"/>
      <c r="U548" s="89"/>
      <c r="V548" s="84"/>
      <c r="W548" s="84"/>
      <c r="X548" s="84"/>
      <c r="Y548" s="84"/>
      <c r="Z548" s="84"/>
    </row>
    <row r="549" spans="1:26" ht="15.75" customHeight="1">
      <c r="A549" s="83"/>
      <c r="B549" s="84"/>
      <c r="C549" s="84"/>
      <c r="D549" s="83"/>
      <c r="E549" s="84"/>
      <c r="F549" s="84"/>
      <c r="G549" s="83"/>
      <c r="H549" s="84"/>
      <c r="I549" s="84"/>
      <c r="J549" s="84"/>
      <c r="K549" s="84"/>
      <c r="L549" s="84"/>
      <c r="M549" s="84"/>
      <c r="N549" s="84"/>
      <c r="O549" s="84"/>
      <c r="P549" s="85"/>
      <c r="Q549" s="75"/>
      <c r="R549" s="75"/>
      <c r="S549" s="75"/>
      <c r="T549" s="75"/>
      <c r="U549" s="89"/>
      <c r="V549" s="84"/>
      <c r="W549" s="84"/>
      <c r="X549" s="84"/>
      <c r="Y549" s="84"/>
      <c r="Z549" s="84"/>
    </row>
    <row r="550" spans="1:26" ht="15.75" customHeight="1">
      <c r="A550" s="83"/>
      <c r="B550" s="84"/>
      <c r="C550" s="84"/>
      <c r="D550" s="83"/>
      <c r="E550" s="84"/>
      <c r="F550" s="84"/>
      <c r="G550" s="83"/>
      <c r="H550" s="84"/>
      <c r="I550" s="84"/>
      <c r="J550" s="84"/>
      <c r="K550" s="84"/>
      <c r="L550" s="84"/>
      <c r="M550" s="84"/>
      <c r="N550" s="84"/>
      <c r="O550" s="84"/>
      <c r="P550" s="85"/>
      <c r="Q550" s="75"/>
      <c r="R550" s="75"/>
      <c r="S550" s="75"/>
      <c r="T550" s="75"/>
      <c r="U550" s="89"/>
      <c r="V550" s="84"/>
      <c r="W550" s="84"/>
      <c r="X550" s="84"/>
      <c r="Y550" s="84"/>
      <c r="Z550" s="84"/>
    </row>
    <row r="551" spans="1:26" ht="15.75" customHeight="1">
      <c r="A551" s="83"/>
      <c r="B551" s="84"/>
      <c r="C551" s="84"/>
      <c r="D551" s="83"/>
      <c r="E551" s="84"/>
      <c r="F551" s="84"/>
      <c r="G551" s="83"/>
      <c r="H551" s="84"/>
      <c r="I551" s="84"/>
      <c r="J551" s="84"/>
      <c r="K551" s="84"/>
      <c r="L551" s="84"/>
      <c r="M551" s="84"/>
      <c r="N551" s="84"/>
      <c r="O551" s="84"/>
      <c r="P551" s="85"/>
      <c r="Q551" s="75"/>
      <c r="R551" s="75"/>
      <c r="S551" s="75"/>
      <c r="T551" s="75"/>
      <c r="U551" s="89"/>
      <c r="V551" s="84"/>
      <c r="W551" s="84"/>
      <c r="X551" s="84"/>
      <c r="Y551" s="84"/>
      <c r="Z551" s="84"/>
    </row>
    <row r="552" spans="1:26" ht="15.75" customHeight="1">
      <c r="A552" s="83"/>
      <c r="B552" s="84"/>
      <c r="C552" s="84"/>
      <c r="D552" s="83"/>
      <c r="E552" s="84"/>
      <c r="F552" s="84"/>
      <c r="G552" s="83"/>
      <c r="H552" s="84"/>
      <c r="I552" s="84"/>
      <c r="J552" s="84"/>
      <c r="K552" s="84"/>
      <c r="L552" s="84"/>
      <c r="M552" s="84"/>
      <c r="N552" s="84"/>
      <c r="O552" s="84"/>
      <c r="P552" s="85"/>
      <c r="Q552" s="75"/>
      <c r="R552" s="75"/>
      <c r="S552" s="75"/>
      <c r="T552" s="75"/>
      <c r="U552" s="89"/>
      <c r="V552" s="84"/>
      <c r="W552" s="84"/>
      <c r="X552" s="84"/>
      <c r="Y552" s="84"/>
      <c r="Z552" s="84"/>
    </row>
    <row r="553" spans="1:26" ht="15.75" customHeight="1">
      <c r="A553" s="83"/>
      <c r="B553" s="84"/>
      <c r="C553" s="84"/>
      <c r="D553" s="83"/>
      <c r="E553" s="84"/>
      <c r="F553" s="84"/>
      <c r="G553" s="83"/>
      <c r="H553" s="84"/>
      <c r="I553" s="84"/>
      <c r="J553" s="84"/>
      <c r="K553" s="84"/>
      <c r="L553" s="84"/>
      <c r="M553" s="84"/>
      <c r="N553" s="84"/>
      <c r="O553" s="84"/>
      <c r="P553" s="85"/>
      <c r="Q553" s="75"/>
      <c r="R553" s="75"/>
      <c r="S553" s="75"/>
      <c r="T553" s="75"/>
      <c r="U553" s="89"/>
      <c r="V553" s="84"/>
      <c r="W553" s="84"/>
      <c r="X553" s="84"/>
      <c r="Y553" s="84"/>
      <c r="Z553" s="84"/>
    </row>
    <row r="554" spans="1:26" ht="15.75" customHeight="1">
      <c r="A554" s="83"/>
      <c r="B554" s="84"/>
      <c r="C554" s="84"/>
      <c r="D554" s="83"/>
      <c r="E554" s="84"/>
      <c r="F554" s="84"/>
      <c r="G554" s="83"/>
      <c r="H554" s="84"/>
      <c r="I554" s="84"/>
      <c r="J554" s="84"/>
      <c r="K554" s="84"/>
      <c r="L554" s="84"/>
      <c r="M554" s="84"/>
      <c r="N554" s="84"/>
      <c r="O554" s="84"/>
      <c r="P554" s="85"/>
      <c r="Q554" s="75"/>
      <c r="R554" s="75"/>
      <c r="S554" s="75"/>
      <c r="T554" s="75"/>
      <c r="U554" s="89"/>
      <c r="V554" s="84"/>
      <c r="W554" s="84"/>
      <c r="X554" s="84"/>
      <c r="Y554" s="84"/>
      <c r="Z554" s="84"/>
    </row>
    <row r="555" spans="1:26" ht="15.75" customHeight="1">
      <c r="A555" s="83"/>
      <c r="B555" s="84"/>
      <c r="C555" s="84"/>
      <c r="D555" s="83"/>
      <c r="E555" s="84"/>
      <c r="F555" s="84"/>
      <c r="G555" s="83"/>
      <c r="H555" s="84"/>
      <c r="I555" s="84"/>
      <c r="J555" s="84"/>
      <c r="K555" s="84"/>
      <c r="L555" s="84"/>
      <c r="M555" s="84"/>
      <c r="N555" s="84"/>
      <c r="O555" s="84"/>
      <c r="P555" s="85"/>
      <c r="Q555" s="75"/>
      <c r="R555" s="75"/>
      <c r="S555" s="75"/>
      <c r="T555" s="75"/>
      <c r="U555" s="89"/>
      <c r="V555" s="84"/>
      <c r="W555" s="84"/>
      <c r="X555" s="84"/>
      <c r="Y555" s="84"/>
      <c r="Z555" s="84"/>
    </row>
    <row r="556" spans="1:26" ht="15.75" customHeight="1">
      <c r="A556" s="83"/>
      <c r="B556" s="84"/>
      <c r="C556" s="84"/>
      <c r="D556" s="83"/>
      <c r="E556" s="84"/>
      <c r="F556" s="84"/>
      <c r="G556" s="83"/>
      <c r="H556" s="84"/>
      <c r="I556" s="84"/>
      <c r="J556" s="84"/>
      <c r="K556" s="84"/>
      <c r="L556" s="84"/>
      <c r="M556" s="84"/>
      <c r="N556" s="84"/>
      <c r="O556" s="84"/>
      <c r="P556" s="85"/>
      <c r="Q556" s="75"/>
      <c r="R556" s="75"/>
      <c r="S556" s="75"/>
      <c r="T556" s="75"/>
      <c r="U556" s="89"/>
      <c r="V556" s="84"/>
      <c r="W556" s="84"/>
      <c r="X556" s="84"/>
      <c r="Y556" s="84"/>
      <c r="Z556" s="84"/>
    </row>
    <row r="557" spans="1:26" ht="15.75" customHeight="1">
      <c r="A557" s="83"/>
      <c r="B557" s="84"/>
      <c r="C557" s="84"/>
      <c r="D557" s="83"/>
      <c r="E557" s="84"/>
      <c r="F557" s="84"/>
      <c r="G557" s="83"/>
      <c r="H557" s="84"/>
      <c r="I557" s="84"/>
      <c r="J557" s="84"/>
      <c r="K557" s="84"/>
      <c r="L557" s="84"/>
      <c r="M557" s="84"/>
      <c r="N557" s="84"/>
      <c r="O557" s="84"/>
      <c r="P557" s="85"/>
      <c r="Q557" s="75"/>
      <c r="R557" s="75"/>
      <c r="S557" s="75"/>
      <c r="T557" s="75"/>
      <c r="U557" s="89"/>
      <c r="V557" s="84"/>
      <c r="W557" s="84"/>
      <c r="X557" s="84"/>
      <c r="Y557" s="84"/>
      <c r="Z557" s="84"/>
    </row>
    <row r="558" spans="1:26" ht="15.75" customHeight="1">
      <c r="A558" s="83"/>
      <c r="B558" s="84"/>
      <c r="C558" s="84"/>
      <c r="D558" s="83"/>
      <c r="E558" s="84"/>
      <c r="F558" s="84"/>
      <c r="G558" s="83"/>
      <c r="H558" s="84"/>
      <c r="I558" s="84"/>
      <c r="J558" s="84"/>
      <c r="K558" s="84"/>
      <c r="L558" s="84"/>
      <c r="M558" s="84"/>
      <c r="N558" s="84"/>
      <c r="O558" s="84"/>
      <c r="P558" s="85"/>
      <c r="Q558" s="75"/>
      <c r="R558" s="75"/>
      <c r="S558" s="75"/>
      <c r="T558" s="75"/>
      <c r="U558" s="89"/>
      <c r="V558" s="84"/>
      <c r="W558" s="84"/>
      <c r="X558" s="84"/>
      <c r="Y558" s="84"/>
      <c r="Z558" s="84"/>
    </row>
    <row r="559" spans="1:26" ht="15.75" customHeight="1">
      <c r="A559" s="83"/>
      <c r="B559" s="84"/>
      <c r="C559" s="84"/>
      <c r="D559" s="83"/>
      <c r="E559" s="84"/>
      <c r="F559" s="84"/>
      <c r="G559" s="83"/>
      <c r="H559" s="84"/>
      <c r="I559" s="84"/>
      <c r="J559" s="84"/>
      <c r="K559" s="84"/>
      <c r="L559" s="84"/>
      <c r="M559" s="84"/>
      <c r="N559" s="84"/>
      <c r="O559" s="84"/>
      <c r="P559" s="85"/>
      <c r="Q559" s="75"/>
      <c r="R559" s="75"/>
      <c r="S559" s="75"/>
      <c r="T559" s="75"/>
      <c r="U559" s="89"/>
      <c r="V559" s="84"/>
      <c r="W559" s="84"/>
      <c r="X559" s="84"/>
      <c r="Y559" s="84"/>
      <c r="Z559" s="84"/>
    </row>
    <row r="560" spans="1:26" ht="15.75" customHeight="1">
      <c r="A560" s="83"/>
      <c r="B560" s="84"/>
      <c r="C560" s="84"/>
      <c r="D560" s="83"/>
      <c r="E560" s="84"/>
      <c r="F560" s="84"/>
      <c r="G560" s="83"/>
      <c r="H560" s="84"/>
      <c r="I560" s="84"/>
      <c r="J560" s="84"/>
      <c r="K560" s="84"/>
      <c r="L560" s="84"/>
      <c r="M560" s="84"/>
      <c r="N560" s="84"/>
      <c r="O560" s="84"/>
      <c r="P560" s="85"/>
      <c r="Q560" s="75"/>
      <c r="R560" s="75"/>
      <c r="S560" s="75"/>
      <c r="T560" s="75"/>
      <c r="U560" s="89"/>
      <c r="V560" s="84"/>
      <c r="W560" s="84"/>
      <c r="X560" s="84"/>
      <c r="Y560" s="84"/>
      <c r="Z560" s="84"/>
    </row>
    <row r="561" spans="1:26" ht="15.75" customHeight="1">
      <c r="A561" s="83"/>
      <c r="B561" s="84"/>
      <c r="C561" s="84"/>
      <c r="D561" s="83"/>
      <c r="E561" s="84"/>
      <c r="F561" s="84"/>
      <c r="G561" s="83"/>
      <c r="H561" s="84"/>
      <c r="I561" s="84"/>
      <c r="J561" s="84"/>
      <c r="K561" s="84"/>
      <c r="L561" s="84"/>
      <c r="M561" s="84"/>
      <c r="N561" s="84"/>
      <c r="O561" s="84"/>
      <c r="P561" s="85"/>
      <c r="Q561" s="75"/>
      <c r="R561" s="75"/>
      <c r="S561" s="75"/>
      <c r="T561" s="75"/>
      <c r="U561" s="89"/>
      <c r="V561" s="84"/>
      <c r="W561" s="84"/>
      <c r="X561" s="84"/>
      <c r="Y561" s="84"/>
      <c r="Z561" s="84"/>
    </row>
    <row r="562" spans="1:26" ht="15.75" customHeight="1">
      <c r="A562" s="83"/>
      <c r="B562" s="84"/>
      <c r="C562" s="84"/>
      <c r="D562" s="83"/>
      <c r="E562" s="84"/>
      <c r="F562" s="84"/>
      <c r="G562" s="83"/>
      <c r="H562" s="84"/>
      <c r="I562" s="84"/>
      <c r="J562" s="84"/>
      <c r="K562" s="84"/>
      <c r="L562" s="84"/>
      <c r="M562" s="84"/>
      <c r="N562" s="84"/>
      <c r="O562" s="84"/>
      <c r="P562" s="85"/>
      <c r="Q562" s="75"/>
      <c r="R562" s="75"/>
      <c r="S562" s="75"/>
      <c r="T562" s="75"/>
      <c r="U562" s="89"/>
      <c r="V562" s="84"/>
      <c r="W562" s="84"/>
      <c r="X562" s="84"/>
      <c r="Y562" s="84"/>
      <c r="Z562" s="84"/>
    </row>
    <row r="563" spans="1:26" ht="15.75" customHeight="1">
      <c r="A563" s="83"/>
      <c r="B563" s="84"/>
      <c r="C563" s="84"/>
      <c r="D563" s="83"/>
      <c r="E563" s="84"/>
      <c r="F563" s="84"/>
      <c r="G563" s="83"/>
      <c r="H563" s="84"/>
      <c r="I563" s="84"/>
      <c r="J563" s="84"/>
      <c r="K563" s="84"/>
      <c r="L563" s="84"/>
      <c r="M563" s="84"/>
      <c r="N563" s="84"/>
      <c r="O563" s="84"/>
      <c r="P563" s="85"/>
      <c r="Q563" s="75"/>
      <c r="R563" s="75"/>
      <c r="S563" s="75"/>
      <c r="T563" s="75"/>
      <c r="U563" s="89"/>
      <c r="V563" s="84"/>
      <c r="W563" s="84"/>
      <c r="X563" s="84"/>
      <c r="Y563" s="84"/>
      <c r="Z563" s="84"/>
    </row>
    <row r="564" spans="1:26" ht="15.75" customHeight="1">
      <c r="A564" s="83"/>
      <c r="B564" s="84"/>
      <c r="C564" s="84"/>
      <c r="D564" s="83"/>
      <c r="E564" s="84"/>
      <c r="F564" s="84"/>
      <c r="G564" s="83"/>
      <c r="H564" s="84"/>
      <c r="I564" s="84"/>
      <c r="J564" s="84"/>
      <c r="K564" s="84"/>
      <c r="L564" s="84"/>
      <c r="M564" s="84"/>
      <c r="N564" s="84"/>
      <c r="O564" s="84"/>
      <c r="P564" s="85"/>
      <c r="Q564" s="75"/>
      <c r="R564" s="75"/>
      <c r="S564" s="75"/>
      <c r="T564" s="75"/>
      <c r="U564" s="89"/>
      <c r="V564" s="84"/>
      <c r="W564" s="84"/>
      <c r="X564" s="84"/>
      <c r="Y564" s="84"/>
      <c r="Z564" s="84"/>
    </row>
    <row r="565" spans="1:26" ht="15.75" customHeight="1">
      <c r="A565" s="83"/>
      <c r="B565" s="84"/>
      <c r="C565" s="84"/>
      <c r="D565" s="83"/>
      <c r="E565" s="84"/>
      <c r="F565" s="84"/>
      <c r="G565" s="83"/>
      <c r="H565" s="84"/>
      <c r="I565" s="84"/>
      <c r="J565" s="84"/>
      <c r="K565" s="84"/>
      <c r="L565" s="84"/>
      <c r="M565" s="84"/>
      <c r="N565" s="84"/>
      <c r="O565" s="84"/>
      <c r="P565" s="85"/>
      <c r="Q565" s="75"/>
      <c r="R565" s="75"/>
      <c r="S565" s="75"/>
      <c r="T565" s="75"/>
      <c r="U565" s="89"/>
      <c r="V565" s="84"/>
      <c r="W565" s="84"/>
      <c r="X565" s="84"/>
      <c r="Y565" s="84"/>
      <c r="Z565" s="84"/>
    </row>
    <row r="566" spans="1:26" ht="15.75" customHeight="1">
      <c r="A566" s="83"/>
      <c r="B566" s="84"/>
      <c r="C566" s="84"/>
      <c r="D566" s="83"/>
      <c r="E566" s="84"/>
      <c r="F566" s="84"/>
      <c r="G566" s="83"/>
      <c r="H566" s="84"/>
      <c r="I566" s="84"/>
      <c r="J566" s="84"/>
      <c r="K566" s="84"/>
      <c r="L566" s="84"/>
      <c r="M566" s="84"/>
      <c r="N566" s="84"/>
      <c r="O566" s="84"/>
      <c r="P566" s="85"/>
      <c r="Q566" s="75"/>
      <c r="R566" s="75"/>
      <c r="S566" s="75"/>
      <c r="T566" s="75"/>
      <c r="U566" s="89"/>
      <c r="V566" s="84"/>
      <c r="W566" s="84"/>
      <c r="X566" s="84"/>
      <c r="Y566" s="84"/>
      <c r="Z566" s="84"/>
    </row>
    <row r="567" spans="1:26" ht="15.75" customHeight="1">
      <c r="A567" s="83"/>
      <c r="B567" s="84"/>
      <c r="C567" s="84"/>
      <c r="D567" s="83"/>
      <c r="E567" s="84"/>
      <c r="F567" s="84"/>
      <c r="G567" s="83"/>
      <c r="H567" s="84"/>
      <c r="I567" s="84"/>
      <c r="J567" s="84"/>
      <c r="K567" s="84"/>
      <c r="L567" s="84"/>
      <c r="M567" s="84"/>
      <c r="N567" s="84"/>
      <c r="O567" s="84"/>
      <c r="P567" s="85"/>
      <c r="Q567" s="75"/>
      <c r="R567" s="75"/>
      <c r="S567" s="75"/>
      <c r="T567" s="75"/>
      <c r="U567" s="89"/>
      <c r="V567" s="84"/>
      <c r="W567" s="84"/>
      <c r="X567" s="84"/>
      <c r="Y567" s="84"/>
      <c r="Z567" s="84"/>
    </row>
    <row r="568" spans="1:26" ht="15.75" customHeight="1">
      <c r="A568" s="83"/>
      <c r="B568" s="84"/>
      <c r="C568" s="84"/>
      <c r="D568" s="83"/>
      <c r="E568" s="84"/>
      <c r="F568" s="84"/>
      <c r="G568" s="83"/>
      <c r="H568" s="84"/>
      <c r="I568" s="84"/>
      <c r="J568" s="84"/>
      <c r="K568" s="84"/>
      <c r="L568" s="84"/>
      <c r="M568" s="84"/>
      <c r="N568" s="84"/>
      <c r="O568" s="84"/>
      <c r="P568" s="85"/>
      <c r="Q568" s="75"/>
      <c r="R568" s="75"/>
      <c r="S568" s="75"/>
      <c r="T568" s="75"/>
      <c r="U568" s="89"/>
      <c r="V568" s="84"/>
      <c r="W568" s="84"/>
      <c r="X568" s="84"/>
      <c r="Y568" s="84"/>
      <c r="Z568" s="84"/>
    </row>
    <row r="569" spans="1:26" ht="15.75" customHeight="1">
      <c r="A569" s="83"/>
      <c r="B569" s="84"/>
      <c r="C569" s="84"/>
      <c r="D569" s="83"/>
      <c r="E569" s="84"/>
      <c r="F569" s="84"/>
      <c r="G569" s="83"/>
      <c r="H569" s="84"/>
      <c r="I569" s="84"/>
      <c r="J569" s="84"/>
      <c r="K569" s="84"/>
      <c r="L569" s="84"/>
      <c r="M569" s="84"/>
      <c r="N569" s="84"/>
      <c r="O569" s="84"/>
      <c r="P569" s="85"/>
      <c r="Q569" s="75"/>
      <c r="R569" s="75"/>
      <c r="S569" s="75"/>
      <c r="T569" s="75"/>
      <c r="U569" s="89"/>
      <c r="V569" s="84"/>
      <c r="W569" s="84"/>
      <c r="X569" s="84"/>
      <c r="Y569" s="84"/>
      <c r="Z569" s="84"/>
    </row>
    <row r="570" spans="1:26" ht="15.75" customHeight="1">
      <c r="A570" s="83"/>
      <c r="B570" s="84"/>
      <c r="C570" s="84"/>
      <c r="D570" s="83"/>
      <c r="E570" s="84"/>
      <c r="F570" s="84"/>
      <c r="G570" s="83"/>
      <c r="H570" s="84"/>
      <c r="I570" s="84"/>
      <c r="J570" s="84"/>
      <c r="K570" s="84"/>
      <c r="L570" s="84"/>
      <c r="M570" s="84"/>
      <c r="N570" s="84"/>
      <c r="O570" s="84"/>
      <c r="P570" s="85"/>
      <c r="Q570" s="75"/>
      <c r="R570" s="75"/>
      <c r="S570" s="75"/>
      <c r="T570" s="75"/>
      <c r="U570" s="89"/>
      <c r="V570" s="84"/>
      <c r="W570" s="84"/>
      <c r="X570" s="84"/>
      <c r="Y570" s="84"/>
      <c r="Z570" s="84"/>
    </row>
    <row r="571" spans="1:26" ht="15.75" customHeight="1">
      <c r="A571" s="83"/>
      <c r="B571" s="84"/>
      <c r="C571" s="84"/>
      <c r="D571" s="83"/>
      <c r="E571" s="84"/>
      <c r="F571" s="84"/>
      <c r="G571" s="83"/>
      <c r="H571" s="84"/>
      <c r="I571" s="84"/>
      <c r="J571" s="84"/>
      <c r="K571" s="84"/>
      <c r="L571" s="84"/>
      <c r="M571" s="84"/>
      <c r="N571" s="84"/>
      <c r="O571" s="84"/>
      <c r="P571" s="85"/>
      <c r="Q571" s="75"/>
      <c r="R571" s="75"/>
      <c r="S571" s="75"/>
      <c r="T571" s="75"/>
      <c r="U571" s="89"/>
      <c r="V571" s="84"/>
      <c r="W571" s="84"/>
      <c r="X571" s="84"/>
      <c r="Y571" s="84"/>
      <c r="Z571" s="84"/>
    </row>
    <row r="572" spans="1:26" ht="15.75" customHeight="1">
      <c r="A572" s="83"/>
      <c r="B572" s="84"/>
      <c r="C572" s="84"/>
      <c r="D572" s="83"/>
      <c r="E572" s="84"/>
      <c r="F572" s="84"/>
      <c r="G572" s="83"/>
      <c r="H572" s="84"/>
      <c r="I572" s="84"/>
      <c r="J572" s="84"/>
      <c r="K572" s="84"/>
      <c r="L572" s="84"/>
      <c r="M572" s="84"/>
      <c r="N572" s="84"/>
      <c r="O572" s="84"/>
      <c r="P572" s="85"/>
      <c r="Q572" s="75"/>
      <c r="R572" s="75"/>
      <c r="S572" s="75"/>
      <c r="T572" s="75"/>
      <c r="U572" s="89"/>
      <c r="V572" s="84"/>
      <c r="W572" s="84"/>
      <c r="X572" s="84"/>
      <c r="Y572" s="84"/>
      <c r="Z572" s="84"/>
    </row>
    <row r="573" spans="1:26" ht="15.75" customHeight="1">
      <c r="A573" s="83"/>
      <c r="B573" s="84"/>
      <c r="C573" s="84"/>
      <c r="D573" s="83"/>
      <c r="E573" s="84"/>
      <c r="F573" s="84"/>
      <c r="G573" s="83"/>
      <c r="H573" s="84"/>
      <c r="I573" s="84"/>
      <c r="J573" s="84"/>
      <c r="K573" s="84"/>
      <c r="L573" s="84"/>
      <c r="M573" s="84"/>
      <c r="N573" s="84"/>
      <c r="O573" s="84"/>
      <c r="P573" s="85"/>
      <c r="Q573" s="75"/>
      <c r="R573" s="75"/>
      <c r="S573" s="75"/>
      <c r="T573" s="75"/>
      <c r="U573" s="89"/>
      <c r="V573" s="84"/>
      <c r="W573" s="84"/>
      <c r="X573" s="84"/>
      <c r="Y573" s="84"/>
      <c r="Z573" s="84"/>
    </row>
    <row r="574" spans="1:26" ht="15.75" customHeight="1">
      <c r="A574" s="83"/>
      <c r="B574" s="84"/>
      <c r="C574" s="84"/>
      <c r="D574" s="83"/>
      <c r="E574" s="84"/>
      <c r="F574" s="84"/>
      <c r="G574" s="83"/>
      <c r="H574" s="84"/>
      <c r="I574" s="84"/>
      <c r="J574" s="84"/>
      <c r="K574" s="84"/>
      <c r="L574" s="84"/>
      <c r="M574" s="84"/>
      <c r="N574" s="84"/>
      <c r="O574" s="84"/>
      <c r="P574" s="85"/>
      <c r="Q574" s="75"/>
      <c r="R574" s="75"/>
      <c r="S574" s="75"/>
      <c r="T574" s="75"/>
      <c r="U574" s="89"/>
      <c r="V574" s="84"/>
      <c r="W574" s="84"/>
      <c r="X574" s="84"/>
      <c r="Y574" s="84"/>
      <c r="Z574" s="84"/>
    </row>
    <row r="575" spans="1:26" ht="15.75" customHeight="1">
      <c r="A575" s="83"/>
      <c r="B575" s="84"/>
      <c r="C575" s="84"/>
      <c r="D575" s="83"/>
      <c r="E575" s="84"/>
      <c r="F575" s="84"/>
      <c r="G575" s="83"/>
      <c r="H575" s="84"/>
      <c r="I575" s="84"/>
      <c r="J575" s="84"/>
      <c r="K575" s="84"/>
      <c r="L575" s="84"/>
      <c r="M575" s="84"/>
      <c r="N575" s="84"/>
      <c r="O575" s="84"/>
      <c r="P575" s="85"/>
      <c r="Q575" s="75"/>
      <c r="R575" s="75"/>
      <c r="S575" s="75"/>
      <c r="T575" s="75"/>
      <c r="U575" s="89"/>
      <c r="V575" s="84"/>
      <c r="W575" s="84"/>
      <c r="X575" s="84"/>
      <c r="Y575" s="84"/>
      <c r="Z575" s="84"/>
    </row>
    <row r="576" spans="1:26" ht="15.75" customHeight="1">
      <c r="A576" s="83"/>
      <c r="B576" s="84"/>
      <c r="C576" s="84"/>
      <c r="D576" s="83"/>
      <c r="E576" s="84"/>
      <c r="F576" s="84"/>
      <c r="G576" s="83"/>
      <c r="H576" s="84"/>
      <c r="I576" s="84"/>
      <c r="J576" s="84"/>
      <c r="K576" s="84"/>
      <c r="L576" s="84"/>
      <c r="M576" s="84"/>
      <c r="N576" s="84"/>
      <c r="O576" s="84"/>
      <c r="P576" s="85"/>
      <c r="Q576" s="75"/>
      <c r="R576" s="75"/>
      <c r="S576" s="75"/>
      <c r="T576" s="75"/>
      <c r="U576" s="89"/>
      <c r="V576" s="84"/>
      <c r="W576" s="84"/>
      <c r="X576" s="84"/>
      <c r="Y576" s="84"/>
      <c r="Z576" s="84"/>
    </row>
    <row r="577" spans="1:26" ht="15.75" customHeight="1">
      <c r="A577" s="83"/>
      <c r="B577" s="84"/>
      <c r="C577" s="84"/>
      <c r="D577" s="83"/>
      <c r="E577" s="84"/>
      <c r="F577" s="84"/>
      <c r="G577" s="83"/>
      <c r="H577" s="84"/>
      <c r="I577" s="84"/>
      <c r="J577" s="84"/>
      <c r="K577" s="84"/>
      <c r="L577" s="84"/>
      <c r="M577" s="84"/>
      <c r="N577" s="84"/>
      <c r="O577" s="84"/>
      <c r="P577" s="85"/>
      <c r="Q577" s="75"/>
      <c r="R577" s="75"/>
      <c r="S577" s="75"/>
      <c r="T577" s="75"/>
      <c r="U577" s="89"/>
      <c r="V577" s="84"/>
      <c r="W577" s="84"/>
      <c r="X577" s="84"/>
      <c r="Y577" s="84"/>
      <c r="Z577" s="84"/>
    </row>
    <row r="578" spans="1:26" ht="15.75" customHeight="1">
      <c r="A578" s="83"/>
      <c r="B578" s="84"/>
      <c r="C578" s="84"/>
      <c r="D578" s="83"/>
      <c r="E578" s="84"/>
      <c r="F578" s="84"/>
      <c r="G578" s="83"/>
      <c r="H578" s="84"/>
      <c r="I578" s="84"/>
      <c r="J578" s="84"/>
      <c r="K578" s="84"/>
      <c r="L578" s="84"/>
      <c r="M578" s="84"/>
      <c r="N578" s="84"/>
      <c r="O578" s="84"/>
      <c r="P578" s="85"/>
      <c r="Q578" s="75"/>
      <c r="R578" s="75"/>
      <c r="S578" s="75"/>
      <c r="T578" s="75"/>
      <c r="U578" s="89"/>
      <c r="V578" s="84"/>
      <c r="W578" s="84"/>
      <c r="X578" s="84"/>
      <c r="Y578" s="84"/>
      <c r="Z578" s="84"/>
    </row>
    <row r="579" spans="1:26" ht="15.75" customHeight="1">
      <c r="A579" s="83"/>
      <c r="B579" s="84"/>
      <c r="C579" s="84"/>
      <c r="D579" s="83"/>
      <c r="E579" s="84"/>
      <c r="F579" s="84"/>
      <c r="G579" s="83"/>
      <c r="H579" s="84"/>
      <c r="I579" s="84"/>
      <c r="J579" s="84"/>
      <c r="K579" s="84"/>
      <c r="L579" s="84"/>
      <c r="M579" s="84"/>
      <c r="N579" s="84"/>
      <c r="O579" s="84"/>
      <c r="P579" s="85"/>
      <c r="Q579" s="75"/>
      <c r="R579" s="75"/>
      <c r="S579" s="75"/>
      <c r="T579" s="75"/>
      <c r="U579" s="89"/>
      <c r="V579" s="84"/>
      <c r="W579" s="84"/>
      <c r="X579" s="84"/>
      <c r="Y579" s="84"/>
      <c r="Z579" s="84"/>
    </row>
    <row r="580" spans="1:26" ht="15.75" customHeight="1">
      <c r="A580" s="83"/>
      <c r="B580" s="84"/>
      <c r="C580" s="84"/>
      <c r="D580" s="83"/>
      <c r="E580" s="84"/>
      <c r="F580" s="84"/>
      <c r="G580" s="83"/>
      <c r="H580" s="84"/>
      <c r="I580" s="84"/>
      <c r="J580" s="84"/>
      <c r="K580" s="84"/>
      <c r="L580" s="84"/>
      <c r="M580" s="84"/>
      <c r="N580" s="84"/>
      <c r="O580" s="84"/>
      <c r="P580" s="85"/>
      <c r="Q580" s="75"/>
      <c r="R580" s="75"/>
      <c r="S580" s="75"/>
      <c r="T580" s="75"/>
      <c r="U580" s="89"/>
      <c r="V580" s="84"/>
      <c r="W580" s="84"/>
      <c r="X580" s="84"/>
      <c r="Y580" s="84"/>
      <c r="Z580" s="84"/>
    </row>
    <row r="581" spans="1:26" ht="15.75" customHeight="1">
      <c r="A581" s="83"/>
      <c r="B581" s="84"/>
      <c r="C581" s="84"/>
      <c r="D581" s="83"/>
      <c r="E581" s="84"/>
      <c r="F581" s="84"/>
      <c r="G581" s="83"/>
      <c r="H581" s="84"/>
      <c r="I581" s="84"/>
      <c r="J581" s="84"/>
      <c r="K581" s="84"/>
      <c r="L581" s="84"/>
      <c r="M581" s="84"/>
      <c r="N581" s="84"/>
      <c r="O581" s="84"/>
      <c r="P581" s="85"/>
      <c r="Q581" s="75"/>
      <c r="R581" s="75"/>
      <c r="S581" s="75"/>
      <c r="T581" s="75"/>
      <c r="U581" s="89"/>
      <c r="V581" s="84"/>
      <c r="W581" s="84"/>
      <c r="X581" s="84"/>
      <c r="Y581" s="84"/>
      <c r="Z581" s="84"/>
    </row>
    <row r="582" spans="1:26" ht="15.75" customHeight="1">
      <c r="A582" s="83"/>
      <c r="B582" s="84"/>
      <c r="C582" s="84"/>
      <c r="D582" s="83"/>
      <c r="E582" s="84"/>
      <c r="F582" s="84"/>
      <c r="G582" s="83"/>
      <c r="H582" s="84"/>
      <c r="I582" s="84"/>
      <c r="J582" s="84"/>
      <c r="K582" s="84"/>
      <c r="L582" s="84"/>
      <c r="M582" s="84"/>
      <c r="N582" s="84"/>
      <c r="O582" s="84"/>
      <c r="P582" s="85"/>
      <c r="Q582" s="75"/>
      <c r="R582" s="75"/>
      <c r="S582" s="75"/>
      <c r="T582" s="75"/>
      <c r="U582" s="89"/>
      <c r="V582" s="84"/>
      <c r="W582" s="84"/>
      <c r="X582" s="84"/>
      <c r="Y582" s="84"/>
      <c r="Z582" s="84"/>
    </row>
    <row r="583" spans="1:26" ht="15.75" customHeight="1">
      <c r="A583" s="83"/>
      <c r="B583" s="84"/>
      <c r="C583" s="84"/>
      <c r="D583" s="83"/>
      <c r="E583" s="84"/>
      <c r="F583" s="84"/>
      <c r="G583" s="83"/>
      <c r="H583" s="84"/>
      <c r="I583" s="84"/>
      <c r="J583" s="84"/>
      <c r="K583" s="84"/>
      <c r="L583" s="84"/>
      <c r="M583" s="84"/>
      <c r="N583" s="84"/>
      <c r="O583" s="84"/>
      <c r="P583" s="85"/>
      <c r="Q583" s="75"/>
      <c r="R583" s="75"/>
      <c r="S583" s="75"/>
      <c r="T583" s="75"/>
      <c r="U583" s="89"/>
      <c r="V583" s="84"/>
      <c r="W583" s="84"/>
      <c r="X583" s="84"/>
      <c r="Y583" s="84"/>
      <c r="Z583" s="84"/>
    </row>
    <row r="584" spans="1:26" ht="15.75" customHeight="1">
      <c r="A584" s="83"/>
      <c r="B584" s="84"/>
      <c r="C584" s="84"/>
      <c r="D584" s="83"/>
      <c r="E584" s="84"/>
      <c r="F584" s="84"/>
      <c r="G584" s="83"/>
      <c r="H584" s="84"/>
      <c r="I584" s="84"/>
      <c r="J584" s="84"/>
      <c r="K584" s="84"/>
      <c r="L584" s="84"/>
      <c r="M584" s="84"/>
      <c r="N584" s="84"/>
      <c r="O584" s="84"/>
      <c r="P584" s="85"/>
      <c r="Q584" s="75"/>
      <c r="R584" s="75"/>
      <c r="S584" s="75"/>
      <c r="T584" s="75"/>
      <c r="U584" s="89"/>
      <c r="V584" s="84"/>
      <c r="W584" s="84"/>
      <c r="X584" s="84"/>
      <c r="Y584" s="84"/>
      <c r="Z584" s="84"/>
    </row>
    <row r="585" spans="1:26" ht="15.75" customHeight="1">
      <c r="A585" s="83"/>
      <c r="B585" s="84"/>
      <c r="C585" s="84"/>
      <c r="D585" s="83"/>
      <c r="E585" s="84"/>
      <c r="F585" s="84"/>
      <c r="G585" s="83"/>
      <c r="H585" s="84"/>
      <c r="I585" s="84"/>
      <c r="J585" s="84"/>
      <c r="K585" s="84"/>
      <c r="L585" s="84"/>
      <c r="M585" s="84"/>
      <c r="N585" s="84"/>
      <c r="O585" s="84"/>
      <c r="P585" s="85"/>
      <c r="Q585" s="75"/>
      <c r="R585" s="75"/>
      <c r="S585" s="75"/>
      <c r="T585" s="75"/>
      <c r="U585" s="89"/>
      <c r="V585" s="84"/>
      <c r="W585" s="84"/>
      <c r="X585" s="84"/>
      <c r="Y585" s="84"/>
      <c r="Z585" s="84"/>
    </row>
    <row r="586" spans="1:26" ht="15.75" customHeight="1">
      <c r="A586" s="83"/>
      <c r="B586" s="84"/>
      <c r="C586" s="84"/>
      <c r="D586" s="83"/>
      <c r="E586" s="84"/>
      <c r="F586" s="84"/>
      <c r="G586" s="83"/>
      <c r="H586" s="84"/>
      <c r="I586" s="84"/>
      <c r="J586" s="84"/>
      <c r="K586" s="84"/>
      <c r="L586" s="84"/>
      <c r="M586" s="84"/>
      <c r="N586" s="84"/>
      <c r="O586" s="84"/>
      <c r="P586" s="85"/>
      <c r="Q586" s="75"/>
      <c r="R586" s="75"/>
      <c r="S586" s="75"/>
      <c r="T586" s="75"/>
      <c r="U586" s="89"/>
      <c r="V586" s="84"/>
      <c r="W586" s="84"/>
      <c r="X586" s="84"/>
      <c r="Y586" s="84"/>
      <c r="Z586" s="84"/>
    </row>
    <row r="587" spans="1:26" ht="15.75" customHeight="1">
      <c r="A587" s="83"/>
      <c r="B587" s="84"/>
      <c r="C587" s="84"/>
      <c r="D587" s="83"/>
      <c r="E587" s="84"/>
      <c r="F587" s="84"/>
      <c r="G587" s="83"/>
      <c r="H587" s="84"/>
      <c r="I587" s="84"/>
      <c r="J587" s="84"/>
      <c r="K587" s="84"/>
      <c r="L587" s="84"/>
      <c r="M587" s="84"/>
      <c r="N587" s="84"/>
      <c r="O587" s="84"/>
      <c r="P587" s="85"/>
      <c r="Q587" s="75"/>
      <c r="R587" s="75"/>
      <c r="S587" s="75"/>
      <c r="T587" s="75"/>
      <c r="U587" s="89"/>
      <c r="V587" s="84"/>
      <c r="W587" s="84"/>
      <c r="X587" s="84"/>
      <c r="Y587" s="84"/>
      <c r="Z587" s="84"/>
    </row>
    <row r="588" spans="1:26" ht="15.75" customHeight="1">
      <c r="A588" s="83"/>
      <c r="B588" s="84"/>
      <c r="C588" s="84"/>
      <c r="D588" s="83"/>
      <c r="E588" s="84"/>
      <c r="F588" s="84"/>
      <c r="G588" s="83"/>
      <c r="H588" s="84"/>
      <c r="I588" s="84"/>
      <c r="J588" s="84"/>
      <c r="K588" s="84"/>
      <c r="L588" s="84"/>
      <c r="M588" s="84"/>
      <c r="N588" s="84"/>
      <c r="O588" s="84"/>
      <c r="P588" s="85"/>
      <c r="Q588" s="75"/>
      <c r="R588" s="75"/>
      <c r="S588" s="75"/>
      <c r="T588" s="75"/>
      <c r="U588" s="89"/>
      <c r="V588" s="84"/>
      <c r="W588" s="84"/>
      <c r="X588" s="84"/>
      <c r="Y588" s="84"/>
      <c r="Z588" s="84"/>
    </row>
    <row r="589" spans="1:26" ht="15.75" customHeight="1">
      <c r="A589" s="83"/>
      <c r="B589" s="84"/>
      <c r="C589" s="84"/>
      <c r="D589" s="83"/>
      <c r="E589" s="84"/>
      <c r="F589" s="84"/>
      <c r="G589" s="83"/>
      <c r="H589" s="84"/>
      <c r="I589" s="84"/>
      <c r="J589" s="84"/>
      <c r="K589" s="84"/>
      <c r="L589" s="84"/>
      <c r="M589" s="84"/>
      <c r="N589" s="84"/>
      <c r="O589" s="84"/>
      <c r="P589" s="85"/>
      <c r="Q589" s="75"/>
      <c r="R589" s="75"/>
      <c r="S589" s="75"/>
      <c r="T589" s="75"/>
      <c r="U589" s="89"/>
      <c r="V589" s="84"/>
      <c r="W589" s="84"/>
      <c r="X589" s="84"/>
      <c r="Y589" s="84"/>
      <c r="Z589" s="84"/>
    </row>
    <row r="590" spans="1:26" ht="15.75" customHeight="1">
      <c r="A590" s="83"/>
      <c r="B590" s="84"/>
      <c r="C590" s="84"/>
      <c r="D590" s="83"/>
      <c r="E590" s="84"/>
      <c r="F590" s="84"/>
      <c r="G590" s="83"/>
      <c r="H590" s="84"/>
      <c r="I590" s="84"/>
      <c r="J590" s="84"/>
      <c r="K590" s="84"/>
      <c r="L590" s="84"/>
      <c r="M590" s="84"/>
      <c r="N590" s="84"/>
      <c r="O590" s="84"/>
      <c r="P590" s="85"/>
      <c r="Q590" s="75"/>
      <c r="R590" s="75"/>
      <c r="S590" s="75"/>
      <c r="T590" s="75"/>
      <c r="U590" s="89"/>
      <c r="V590" s="84"/>
      <c r="W590" s="84"/>
      <c r="X590" s="84"/>
      <c r="Y590" s="84"/>
      <c r="Z590" s="84"/>
    </row>
    <row r="591" spans="1:26" ht="15.75" customHeight="1">
      <c r="A591" s="83"/>
      <c r="B591" s="84"/>
      <c r="C591" s="84"/>
      <c r="D591" s="83"/>
      <c r="E591" s="84"/>
      <c r="F591" s="84"/>
      <c r="G591" s="83"/>
      <c r="H591" s="84"/>
      <c r="I591" s="84"/>
      <c r="J591" s="84"/>
      <c r="K591" s="84"/>
      <c r="L591" s="84"/>
      <c r="M591" s="84"/>
      <c r="N591" s="84"/>
      <c r="O591" s="84"/>
      <c r="P591" s="85"/>
      <c r="Q591" s="75"/>
      <c r="R591" s="75"/>
      <c r="S591" s="75"/>
      <c r="T591" s="75"/>
      <c r="U591" s="89"/>
      <c r="V591" s="84"/>
      <c r="W591" s="84"/>
      <c r="X591" s="84"/>
      <c r="Y591" s="84"/>
      <c r="Z591" s="84"/>
    </row>
    <row r="592" spans="1:26" ht="15.75" customHeight="1">
      <c r="A592" s="83"/>
      <c r="B592" s="84"/>
      <c r="C592" s="84"/>
      <c r="D592" s="83"/>
      <c r="E592" s="84"/>
      <c r="F592" s="84"/>
      <c r="G592" s="83"/>
      <c r="H592" s="84"/>
      <c r="I592" s="84"/>
      <c r="J592" s="84"/>
      <c r="K592" s="84"/>
      <c r="L592" s="84"/>
      <c r="M592" s="84"/>
      <c r="N592" s="84"/>
      <c r="O592" s="84"/>
      <c r="P592" s="85"/>
      <c r="Q592" s="75"/>
      <c r="R592" s="75"/>
      <c r="S592" s="75"/>
      <c r="T592" s="75"/>
      <c r="U592" s="89"/>
      <c r="V592" s="84"/>
      <c r="W592" s="84"/>
      <c r="X592" s="84"/>
      <c r="Y592" s="84"/>
      <c r="Z592" s="84"/>
    </row>
    <row r="593" spans="1:26" ht="15.75" customHeight="1">
      <c r="A593" s="83"/>
      <c r="B593" s="84"/>
      <c r="C593" s="84"/>
      <c r="D593" s="83"/>
      <c r="E593" s="84"/>
      <c r="F593" s="84"/>
      <c r="G593" s="83"/>
      <c r="H593" s="84"/>
      <c r="I593" s="84"/>
      <c r="J593" s="84"/>
      <c r="K593" s="84"/>
      <c r="L593" s="84"/>
      <c r="M593" s="84"/>
      <c r="N593" s="84"/>
      <c r="O593" s="84"/>
      <c r="P593" s="85"/>
      <c r="Q593" s="75"/>
      <c r="R593" s="75"/>
      <c r="S593" s="75"/>
      <c r="T593" s="75"/>
      <c r="U593" s="89"/>
      <c r="V593" s="84"/>
      <c r="W593" s="84"/>
      <c r="X593" s="84"/>
      <c r="Y593" s="84"/>
      <c r="Z593" s="84"/>
    </row>
    <row r="594" spans="1:26" ht="15.75" customHeight="1">
      <c r="A594" s="83"/>
      <c r="B594" s="84"/>
      <c r="C594" s="84"/>
      <c r="D594" s="83"/>
      <c r="E594" s="84"/>
      <c r="F594" s="84"/>
      <c r="G594" s="83"/>
      <c r="H594" s="84"/>
      <c r="I594" s="84"/>
      <c r="J594" s="84"/>
      <c r="K594" s="84"/>
      <c r="L594" s="84"/>
      <c r="M594" s="84"/>
      <c r="N594" s="84"/>
      <c r="O594" s="84"/>
      <c r="P594" s="85"/>
      <c r="Q594" s="75"/>
      <c r="R594" s="75"/>
      <c r="S594" s="75"/>
      <c r="T594" s="75"/>
      <c r="U594" s="89"/>
      <c r="V594" s="84"/>
      <c r="W594" s="84"/>
      <c r="X594" s="84"/>
      <c r="Y594" s="84"/>
      <c r="Z594" s="84"/>
    </row>
    <row r="595" spans="1:26" ht="15.75" customHeight="1">
      <c r="A595" s="83"/>
      <c r="B595" s="84"/>
      <c r="C595" s="84"/>
      <c r="D595" s="83"/>
      <c r="E595" s="84"/>
      <c r="F595" s="84"/>
      <c r="G595" s="83"/>
      <c r="H595" s="84"/>
      <c r="I595" s="84"/>
      <c r="J595" s="84"/>
      <c r="K595" s="84"/>
      <c r="L595" s="84"/>
      <c r="M595" s="84"/>
      <c r="N595" s="84"/>
      <c r="O595" s="84"/>
      <c r="P595" s="85"/>
      <c r="Q595" s="75"/>
      <c r="R595" s="75"/>
      <c r="S595" s="75"/>
      <c r="T595" s="75"/>
      <c r="U595" s="89"/>
      <c r="V595" s="84"/>
      <c r="W595" s="84"/>
      <c r="X595" s="84"/>
      <c r="Y595" s="84"/>
      <c r="Z595" s="84"/>
    </row>
    <row r="596" spans="1:26" ht="15.75" customHeight="1">
      <c r="A596" s="83"/>
      <c r="B596" s="84"/>
      <c r="C596" s="84"/>
      <c r="D596" s="83"/>
      <c r="E596" s="84"/>
      <c r="F596" s="84"/>
      <c r="G596" s="83"/>
      <c r="H596" s="84"/>
      <c r="I596" s="84"/>
      <c r="J596" s="84"/>
      <c r="K596" s="84"/>
      <c r="L596" s="84"/>
      <c r="M596" s="84"/>
      <c r="N596" s="84"/>
      <c r="O596" s="84"/>
      <c r="P596" s="85"/>
      <c r="Q596" s="75"/>
      <c r="R596" s="75"/>
      <c r="S596" s="75"/>
      <c r="T596" s="75"/>
      <c r="U596" s="89"/>
      <c r="V596" s="84"/>
      <c r="W596" s="84"/>
      <c r="X596" s="84"/>
      <c r="Y596" s="84"/>
      <c r="Z596" s="84"/>
    </row>
    <row r="597" spans="1:26" ht="15.75" customHeight="1">
      <c r="A597" s="83"/>
      <c r="B597" s="84"/>
      <c r="C597" s="84"/>
      <c r="D597" s="83"/>
      <c r="E597" s="84"/>
      <c r="F597" s="84"/>
      <c r="G597" s="83"/>
      <c r="H597" s="84"/>
      <c r="I597" s="84"/>
      <c r="J597" s="84"/>
      <c r="K597" s="84"/>
      <c r="L597" s="84"/>
      <c r="M597" s="84"/>
      <c r="N597" s="84"/>
      <c r="O597" s="84"/>
      <c r="P597" s="85"/>
      <c r="Q597" s="75"/>
      <c r="R597" s="75"/>
      <c r="S597" s="75"/>
      <c r="T597" s="75"/>
      <c r="U597" s="89"/>
      <c r="V597" s="84"/>
      <c r="W597" s="84"/>
      <c r="X597" s="84"/>
      <c r="Y597" s="84"/>
      <c r="Z597" s="84"/>
    </row>
    <row r="598" spans="1:26" ht="15.75" customHeight="1">
      <c r="A598" s="83"/>
      <c r="B598" s="84"/>
      <c r="C598" s="84"/>
      <c r="D598" s="83"/>
      <c r="E598" s="84"/>
      <c r="F598" s="84"/>
      <c r="G598" s="83"/>
      <c r="H598" s="84"/>
      <c r="I598" s="84"/>
      <c r="J598" s="84"/>
      <c r="K598" s="84"/>
      <c r="L598" s="84"/>
      <c r="M598" s="84"/>
      <c r="N598" s="84"/>
      <c r="O598" s="84"/>
      <c r="P598" s="85"/>
      <c r="Q598" s="75"/>
      <c r="R598" s="75"/>
      <c r="S598" s="75"/>
      <c r="T598" s="75"/>
      <c r="U598" s="89"/>
      <c r="V598" s="84"/>
      <c r="W598" s="84"/>
      <c r="X598" s="84"/>
      <c r="Y598" s="84"/>
      <c r="Z598" s="84"/>
    </row>
    <row r="599" spans="1:26" ht="15.75" customHeight="1">
      <c r="A599" s="83"/>
      <c r="B599" s="84"/>
      <c r="C599" s="84"/>
      <c r="D599" s="83"/>
      <c r="E599" s="84"/>
      <c r="F599" s="84"/>
      <c r="G599" s="83"/>
      <c r="H599" s="84"/>
      <c r="I599" s="84"/>
      <c r="J599" s="84"/>
      <c r="K599" s="84"/>
      <c r="L599" s="84"/>
      <c r="M599" s="84"/>
      <c r="N599" s="84"/>
      <c r="O599" s="84"/>
      <c r="P599" s="85"/>
      <c r="Q599" s="75"/>
      <c r="R599" s="75"/>
      <c r="S599" s="75"/>
      <c r="T599" s="75"/>
      <c r="U599" s="89"/>
      <c r="V599" s="84"/>
      <c r="W599" s="84"/>
      <c r="X599" s="84"/>
      <c r="Y599" s="84"/>
      <c r="Z599" s="84"/>
    </row>
    <row r="600" spans="1:26" ht="15.75" customHeight="1">
      <c r="A600" s="83"/>
      <c r="B600" s="84"/>
      <c r="C600" s="84"/>
      <c r="D600" s="83"/>
      <c r="E600" s="84"/>
      <c r="F600" s="84"/>
      <c r="G600" s="83"/>
      <c r="H600" s="84"/>
      <c r="I600" s="84"/>
      <c r="J600" s="84"/>
      <c r="K600" s="84"/>
      <c r="L600" s="84"/>
      <c r="M600" s="84"/>
      <c r="N600" s="84"/>
      <c r="O600" s="84"/>
      <c r="P600" s="85"/>
      <c r="Q600" s="75"/>
      <c r="R600" s="75"/>
      <c r="S600" s="75"/>
      <c r="T600" s="75"/>
      <c r="U600" s="89"/>
      <c r="V600" s="84"/>
      <c r="W600" s="84"/>
      <c r="X600" s="84"/>
      <c r="Y600" s="84"/>
      <c r="Z600" s="84"/>
    </row>
    <row r="601" spans="1:26" ht="15.75" customHeight="1">
      <c r="A601" s="83"/>
      <c r="B601" s="84"/>
      <c r="C601" s="84"/>
      <c r="D601" s="83"/>
      <c r="E601" s="84"/>
      <c r="F601" s="84"/>
      <c r="G601" s="83"/>
      <c r="H601" s="84"/>
      <c r="I601" s="84"/>
      <c r="J601" s="84"/>
      <c r="K601" s="84"/>
      <c r="L601" s="84"/>
      <c r="M601" s="84"/>
      <c r="N601" s="84"/>
      <c r="O601" s="84"/>
      <c r="P601" s="85"/>
      <c r="Q601" s="75"/>
      <c r="R601" s="75"/>
      <c r="S601" s="75"/>
      <c r="T601" s="75"/>
      <c r="U601" s="89"/>
      <c r="V601" s="84"/>
      <c r="W601" s="84"/>
      <c r="X601" s="84"/>
      <c r="Y601" s="84"/>
      <c r="Z601" s="84"/>
    </row>
    <row r="602" spans="1:26" ht="15.75" customHeight="1">
      <c r="A602" s="83"/>
      <c r="B602" s="84"/>
      <c r="C602" s="84"/>
      <c r="D602" s="83"/>
      <c r="E602" s="84"/>
      <c r="F602" s="84"/>
      <c r="G602" s="83"/>
      <c r="H602" s="84"/>
      <c r="I602" s="84"/>
      <c r="J602" s="84"/>
      <c r="K602" s="84"/>
      <c r="L602" s="84"/>
      <c r="M602" s="84"/>
      <c r="N602" s="84"/>
      <c r="O602" s="84"/>
      <c r="P602" s="85"/>
      <c r="Q602" s="75"/>
      <c r="R602" s="75"/>
      <c r="S602" s="75"/>
      <c r="T602" s="75"/>
      <c r="U602" s="89"/>
      <c r="V602" s="84"/>
      <c r="W602" s="84"/>
      <c r="X602" s="84"/>
      <c r="Y602" s="84"/>
      <c r="Z602" s="84"/>
    </row>
    <row r="603" spans="1:26" ht="15.75" customHeight="1">
      <c r="A603" s="83"/>
      <c r="B603" s="84"/>
      <c r="C603" s="84"/>
      <c r="D603" s="83"/>
      <c r="E603" s="84"/>
      <c r="F603" s="84"/>
      <c r="G603" s="83"/>
      <c r="H603" s="84"/>
      <c r="I603" s="84"/>
      <c r="J603" s="84"/>
      <c r="K603" s="84"/>
      <c r="L603" s="84"/>
      <c r="M603" s="84"/>
      <c r="N603" s="84"/>
      <c r="O603" s="84"/>
      <c r="P603" s="85"/>
      <c r="Q603" s="75"/>
      <c r="R603" s="75"/>
      <c r="S603" s="75"/>
      <c r="T603" s="75"/>
      <c r="U603" s="89"/>
      <c r="V603" s="84"/>
      <c r="W603" s="84"/>
      <c r="X603" s="84"/>
      <c r="Y603" s="84"/>
      <c r="Z603" s="84"/>
    </row>
    <row r="604" spans="1:26" ht="15.75" customHeight="1">
      <c r="A604" s="83"/>
      <c r="B604" s="84"/>
      <c r="C604" s="84"/>
      <c r="D604" s="83"/>
      <c r="E604" s="84"/>
      <c r="F604" s="84"/>
      <c r="G604" s="83"/>
      <c r="H604" s="84"/>
      <c r="I604" s="84"/>
      <c r="J604" s="84"/>
      <c r="K604" s="84"/>
      <c r="L604" s="84"/>
      <c r="M604" s="84"/>
      <c r="N604" s="84"/>
      <c r="O604" s="84"/>
      <c r="P604" s="85"/>
      <c r="Q604" s="75"/>
      <c r="R604" s="75"/>
      <c r="S604" s="75"/>
      <c r="T604" s="75"/>
      <c r="U604" s="89"/>
      <c r="V604" s="84"/>
      <c r="W604" s="84"/>
      <c r="X604" s="84"/>
      <c r="Y604" s="84"/>
      <c r="Z604" s="84"/>
    </row>
    <row r="605" spans="1:26" ht="15.75" customHeight="1">
      <c r="A605" s="83"/>
      <c r="B605" s="84"/>
      <c r="C605" s="84"/>
      <c r="D605" s="83"/>
      <c r="E605" s="84"/>
      <c r="F605" s="84"/>
      <c r="G605" s="83"/>
      <c r="H605" s="84"/>
      <c r="I605" s="84"/>
      <c r="J605" s="84"/>
      <c r="K605" s="84"/>
      <c r="L605" s="84"/>
      <c r="M605" s="84"/>
      <c r="N605" s="84"/>
      <c r="O605" s="84"/>
      <c r="P605" s="85"/>
      <c r="Q605" s="75"/>
      <c r="R605" s="75"/>
      <c r="S605" s="75"/>
      <c r="T605" s="75"/>
      <c r="U605" s="89"/>
      <c r="V605" s="84"/>
      <c r="W605" s="84"/>
      <c r="X605" s="84"/>
      <c r="Y605" s="84"/>
      <c r="Z605" s="84"/>
    </row>
    <row r="606" spans="1:26" ht="15.75" customHeight="1">
      <c r="A606" s="83"/>
      <c r="B606" s="84"/>
      <c r="C606" s="84"/>
      <c r="D606" s="83"/>
      <c r="E606" s="84"/>
      <c r="F606" s="84"/>
      <c r="G606" s="83"/>
      <c r="H606" s="84"/>
      <c r="I606" s="84"/>
      <c r="J606" s="84"/>
      <c r="K606" s="84"/>
      <c r="L606" s="84"/>
      <c r="M606" s="84"/>
      <c r="N606" s="84"/>
      <c r="O606" s="84"/>
      <c r="P606" s="85"/>
      <c r="Q606" s="75"/>
      <c r="R606" s="75"/>
      <c r="S606" s="75"/>
      <c r="T606" s="75"/>
      <c r="U606" s="89"/>
      <c r="V606" s="84"/>
      <c r="W606" s="84"/>
      <c r="X606" s="84"/>
      <c r="Y606" s="84"/>
      <c r="Z606" s="84"/>
    </row>
    <row r="607" spans="1:26" ht="15.75" customHeight="1">
      <c r="A607" s="83"/>
      <c r="B607" s="84"/>
      <c r="C607" s="84"/>
      <c r="D607" s="83"/>
      <c r="E607" s="84"/>
      <c r="F607" s="84"/>
      <c r="G607" s="83"/>
      <c r="H607" s="84"/>
      <c r="I607" s="84"/>
      <c r="J607" s="84"/>
      <c r="K607" s="84"/>
      <c r="L607" s="84"/>
      <c r="M607" s="84"/>
      <c r="N607" s="84"/>
      <c r="O607" s="84"/>
      <c r="P607" s="85"/>
      <c r="Q607" s="75"/>
      <c r="R607" s="75"/>
      <c r="S607" s="75"/>
      <c r="T607" s="75"/>
      <c r="U607" s="89"/>
      <c r="V607" s="84"/>
      <c r="W607" s="84"/>
      <c r="X607" s="84"/>
      <c r="Y607" s="84"/>
      <c r="Z607" s="84"/>
    </row>
    <row r="608" spans="1:26" ht="15.75" customHeight="1">
      <c r="A608" s="83"/>
      <c r="B608" s="84"/>
      <c r="C608" s="84"/>
      <c r="D608" s="83"/>
      <c r="E608" s="84"/>
      <c r="F608" s="84"/>
      <c r="G608" s="83"/>
      <c r="H608" s="84"/>
      <c r="I608" s="84"/>
      <c r="J608" s="84"/>
      <c r="K608" s="84"/>
      <c r="L608" s="84"/>
      <c r="M608" s="84"/>
      <c r="N608" s="84"/>
      <c r="O608" s="84"/>
      <c r="P608" s="85"/>
      <c r="Q608" s="75"/>
      <c r="R608" s="75"/>
      <c r="S608" s="75"/>
      <c r="T608" s="75"/>
      <c r="U608" s="89"/>
      <c r="V608" s="84"/>
      <c r="W608" s="84"/>
      <c r="X608" s="84"/>
      <c r="Y608" s="84"/>
      <c r="Z608" s="84"/>
    </row>
    <row r="609" spans="1:26" ht="15.75" customHeight="1">
      <c r="A609" s="83"/>
      <c r="B609" s="84"/>
      <c r="C609" s="84"/>
      <c r="D609" s="83"/>
      <c r="E609" s="84"/>
      <c r="F609" s="84"/>
      <c r="G609" s="83"/>
      <c r="H609" s="84"/>
      <c r="I609" s="84"/>
      <c r="J609" s="84"/>
      <c r="K609" s="84"/>
      <c r="L609" s="84"/>
      <c r="M609" s="84"/>
      <c r="N609" s="84"/>
      <c r="O609" s="84"/>
      <c r="P609" s="85"/>
      <c r="Q609" s="75"/>
      <c r="R609" s="75"/>
      <c r="S609" s="75"/>
      <c r="T609" s="75"/>
      <c r="U609" s="89"/>
      <c r="V609" s="84"/>
      <c r="W609" s="84"/>
      <c r="X609" s="84"/>
      <c r="Y609" s="84"/>
      <c r="Z609" s="84"/>
    </row>
    <row r="610" spans="1:26" ht="15.75" customHeight="1">
      <c r="A610" s="83"/>
      <c r="B610" s="84"/>
      <c r="C610" s="84"/>
      <c r="D610" s="83"/>
      <c r="E610" s="84"/>
      <c r="F610" s="84"/>
      <c r="G610" s="83"/>
      <c r="H610" s="84"/>
      <c r="I610" s="84"/>
      <c r="J610" s="84"/>
      <c r="K610" s="84"/>
      <c r="L610" s="84"/>
      <c r="M610" s="84"/>
      <c r="N610" s="84"/>
      <c r="O610" s="84"/>
      <c r="P610" s="85"/>
      <c r="Q610" s="75"/>
      <c r="R610" s="75"/>
      <c r="S610" s="75"/>
      <c r="T610" s="75"/>
      <c r="U610" s="89"/>
      <c r="V610" s="84"/>
      <c r="W610" s="84"/>
      <c r="X610" s="84"/>
      <c r="Y610" s="84"/>
      <c r="Z610" s="84"/>
    </row>
    <row r="611" spans="1:26" ht="15.75" customHeight="1">
      <c r="A611" s="83"/>
      <c r="B611" s="84"/>
      <c r="C611" s="84"/>
      <c r="D611" s="83"/>
      <c r="E611" s="84"/>
      <c r="F611" s="84"/>
      <c r="G611" s="83"/>
      <c r="H611" s="84"/>
      <c r="I611" s="84"/>
      <c r="J611" s="84"/>
      <c r="K611" s="84"/>
      <c r="L611" s="84"/>
      <c r="M611" s="84"/>
      <c r="N611" s="84"/>
      <c r="O611" s="84"/>
      <c r="P611" s="85"/>
      <c r="Q611" s="75"/>
      <c r="R611" s="75"/>
      <c r="S611" s="75"/>
      <c r="T611" s="75"/>
      <c r="U611" s="89"/>
      <c r="V611" s="84"/>
      <c r="W611" s="84"/>
      <c r="X611" s="84"/>
      <c r="Y611" s="84"/>
      <c r="Z611" s="84"/>
    </row>
    <row r="612" spans="1:26" ht="15.75" customHeight="1">
      <c r="A612" s="83"/>
      <c r="B612" s="84"/>
      <c r="C612" s="84"/>
      <c r="D612" s="83"/>
      <c r="E612" s="84"/>
      <c r="F612" s="84"/>
      <c r="G612" s="83"/>
      <c r="H612" s="84"/>
      <c r="I612" s="84"/>
      <c r="J612" s="84"/>
      <c r="K612" s="84"/>
      <c r="L612" s="84"/>
      <c r="M612" s="84"/>
      <c r="N612" s="84"/>
      <c r="O612" s="84"/>
      <c r="P612" s="85"/>
      <c r="Q612" s="75"/>
      <c r="R612" s="75"/>
      <c r="S612" s="75"/>
      <c r="T612" s="75"/>
      <c r="U612" s="89"/>
      <c r="V612" s="84"/>
      <c r="W612" s="84"/>
      <c r="X612" s="84"/>
      <c r="Y612" s="84"/>
      <c r="Z612" s="84"/>
    </row>
    <row r="613" spans="1:26" ht="15.75" customHeight="1">
      <c r="A613" s="83"/>
      <c r="B613" s="84"/>
      <c r="C613" s="84"/>
      <c r="D613" s="83"/>
      <c r="E613" s="84"/>
      <c r="F613" s="84"/>
      <c r="G613" s="83"/>
      <c r="H613" s="84"/>
      <c r="I613" s="84"/>
      <c r="J613" s="84"/>
      <c r="K613" s="84"/>
      <c r="L613" s="84"/>
      <c r="M613" s="84"/>
      <c r="N613" s="84"/>
      <c r="O613" s="84"/>
      <c r="P613" s="85"/>
      <c r="Q613" s="75"/>
      <c r="R613" s="75"/>
      <c r="S613" s="75"/>
      <c r="T613" s="75"/>
      <c r="U613" s="89"/>
      <c r="V613" s="84"/>
      <c r="W613" s="84"/>
      <c r="X613" s="84"/>
      <c r="Y613" s="84"/>
      <c r="Z613" s="84"/>
    </row>
    <row r="614" spans="1:26" ht="15.75" customHeight="1">
      <c r="A614" s="83"/>
      <c r="B614" s="84"/>
      <c r="C614" s="84"/>
      <c r="D614" s="83"/>
      <c r="E614" s="84"/>
      <c r="F614" s="84"/>
      <c r="G614" s="83"/>
      <c r="H614" s="84"/>
      <c r="I614" s="84"/>
      <c r="J614" s="84"/>
      <c r="K614" s="84"/>
      <c r="L614" s="84"/>
      <c r="M614" s="84"/>
      <c r="N614" s="84"/>
      <c r="O614" s="84"/>
      <c r="P614" s="85"/>
      <c r="Q614" s="75"/>
      <c r="R614" s="75"/>
      <c r="S614" s="75"/>
      <c r="T614" s="75"/>
      <c r="U614" s="89"/>
      <c r="V614" s="84"/>
      <c r="W614" s="84"/>
      <c r="X614" s="84"/>
      <c r="Y614" s="84"/>
      <c r="Z614" s="84"/>
    </row>
    <row r="615" spans="1:26" ht="15.75" customHeight="1">
      <c r="A615" s="83"/>
      <c r="B615" s="84"/>
      <c r="C615" s="84"/>
      <c r="D615" s="83"/>
      <c r="E615" s="84"/>
      <c r="F615" s="84"/>
      <c r="G615" s="83"/>
      <c r="H615" s="84"/>
      <c r="I615" s="84"/>
      <c r="J615" s="84"/>
      <c r="K615" s="84"/>
      <c r="L615" s="84"/>
      <c r="M615" s="84"/>
      <c r="N615" s="84"/>
      <c r="O615" s="84"/>
      <c r="P615" s="85"/>
      <c r="Q615" s="75"/>
      <c r="R615" s="75"/>
      <c r="S615" s="75"/>
      <c r="T615" s="75"/>
      <c r="U615" s="89"/>
      <c r="V615" s="84"/>
      <c r="W615" s="84"/>
      <c r="X615" s="84"/>
      <c r="Y615" s="84"/>
      <c r="Z615" s="84"/>
    </row>
    <row r="616" spans="1:26" ht="15.75" customHeight="1">
      <c r="A616" s="83"/>
      <c r="B616" s="84"/>
      <c r="C616" s="84"/>
      <c r="D616" s="83"/>
      <c r="E616" s="84"/>
      <c r="F616" s="84"/>
      <c r="G616" s="83"/>
      <c r="H616" s="84"/>
      <c r="I616" s="84"/>
      <c r="J616" s="84"/>
      <c r="K616" s="84"/>
      <c r="L616" s="84"/>
      <c r="M616" s="84"/>
      <c r="N616" s="84"/>
      <c r="O616" s="84"/>
      <c r="P616" s="85"/>
      <c r="Q616" s="75"/>
      <c r="R616" s="75"/>
      <c r="S616" s="75"/>
      <c r="T616" s="75"/>
      <c r="U616" s="89"/>
      <c r="V616" s="84"/>
      <c r="W616" s="84"/>
      <c r="X616" s="84"/>
      <c r="Y616" s="84"/>
      <c r="Z616" s="84"/>
    </row>
    <row r="617" spans="1:26" ht="15.75" customHeight="1">
      <c r="A617" s="83"/>
      <c r="B617" s="84"/>
      <c r="C617" s="84"/>
      <c r="D617" s="83"/>
      <c r="E617" s="84"/>
      <c r="F617" s="84"/>
      <c r="G617" s="83"/>
      <c r="H617" s="84"/>
      <c r="I617" s="84"/>
      <c r="J617" s="84"/>
      <c r="K617" s="84"/>
      <c r="L617" s="84"/>
      <c r="M617" s="84"/>
      <c r="N617" s="84"/>
      <c r="O617" s="84"/>
      <c r="P617" s="85"/>
      <c r="Q617" s="75"/>
      <c r="R617" s="75"/>
      <c r="S617" s="75"/>
      <c r="T617" s="75"/>
      <c r="U617" s="89"/>
      <c r="V617" s="84"/>
      <c r="W617" s="84"/>
      <c r="X617" s="84"/>
      <c r="Y617" s="84"/>
      <c r="Z617" s="84"/>
    </row>
    <row r="618" spans="1:26" ht="15.75" customHeight="1">
      <c r="A618" s="83"/>
      <c r="B618" s="84"/>
      <c r="C618" s="84"/>
      <c r="D618" s="83"/>
      <c r="E618" s="84"/>
      <c r="F618" s="84"/>
      <c r="G618" s="83"/>
      <c r="H618" s="84"/>
      <c r="I618" s="84"/>
      <c r="J618" s="84"/>
      <c r="K618" s="84"/>
      <c r="L618" s="84"/>
      <c r="M618" s="84"/>
      <c r="N618" s="84"/>
      <c r="O618" s="84"/>
      <c r="P618" s="85"/>
      <c r="Q618" s="75"/>
      <c r="R618" s="75"/>
      <c r="S618" s="75"/>
      <c r="T618" s="75"/>
      <c r="U618" s="89"/>
      <c r="V618" s="84"/>
      <c r="W618" s="84"/>
      <c r="X618" s="84"/>
      <c r="Y618" s="84"/>
      <c r="Z618" s="84"/>
    </row>
    <row r="619" spans="1:26" ht="15.75" customHeight="1">
      <c r="A619" s="83"/>
      <c r="B619" s="84"/>
      <c r="C619" s="84"/>
      <c r="D619" s="83"/>
      <c r="E619" s="84"/>
      <c r="F619" s="84"/>
      <c r="G619" s="83"/>
      <c r="H619" s="84"/>
      <c r="I619" s="84"/>
      <c r="J619" s="84"/>
      <c r="K619" s="84"/>
      <c r="L619" s="84"/>
      <c r="M619" s="84"/>
      <c r="N619" s="84"/>
      <c r="O619" s="84"/>
      <c r="P619" s="85"/>
      <c r="Q619" s="75"/>
      <c r="R619" s="75"/>
      <c r="S619" s="75"/>
      <c r="T619" s="75"/>
      <c r="U619" s="89"/>
      <c r="V619" s="84"/>
      <c r="W619" s="84"/>
      <c r="X619" s="84"/>
      <c r="Y619" s="84"/>
      <c r="Z619" s="84"/>
    </row>
    <row r="620" spans="1:26" ht="15.75" customHeight="1">
      <c r="A620" s="83"/>
      <c r="B620" s="84"/>
      <c r="C620" s="84"/>
      <c r="D620" s="83"/>
      <c r="E620" s="84"/>
      <c r="F620" s="84"/>
      <c r="G620" s="83"/>
      <c r="H620" s="84"/>
      <c r="I620" s="84"/>
      <c r="J620" s="84"/>
      <c r="K620" s="84"/>
      <c r="L620" s="84"/>
      <c r="M620" s="84"/>
      <c r="N620" s="84"/>
      <c r="O620" s="84"/>
      <c r="P620" s="85"/>
      <c r="Q620" s="75"/>
      <c r="R620" s="75"/>
      <c r="S620" s="75"/>
      <c r="T620" s="75"/>
      <c r="U620" s="89"/>
      <c r="V620" s="84"/>
      <c r="W620" s="84"/>
      <c r="X620" s="84"/>
      <c r="Y620" s="84"/>
      <c r="Z620" s="84"/>
    </row>
    <row r="621" spans="1:26" ht="15.75" customHeight="1">
      <c r="A621" s="83"/>
      <c r="B621" s="84"/>
      <c r="C621" s="84"/>
      <c r="D621" s="83"/>
      <c r="E621" s="84"/>
      <c r="F621" s="84"/>
      <c r="G621" s="83"/>
      <c r="H621" s="84"/>
      <c r="I621" s="84"/>
      <c r="J621" s="84"/>
      <c r="K621" s="84"/>
      <c r="L621" s="84"/>
      <c r="M621" s="84"/>
      <c r="N621" s="84"/>
      <c r="O621" s="84"/>
      <c r="P621" s="85"/>
      <c r="Q621" s="75"/>
      <c r="R621" s="75"/>
      <c r="S621" s="75"/>
      <c r="T621" s="75"/>
      <c r="U621" s="89"/>
      <c r="V621" s="84"/>
      <c r="W621" s="84"/>
      <c r="X621" s="84"/>
      <c r="Y621" s="84"/>
      <c r="Z621" s="84"/>
    </row>
    <row r="622" spans="1:26" ht="15.75" customHeight="1">
      <c r="A622" s="83"/>
      <c r="B622" s="84"/>
      <c r="C622" s="84"/>
      <c r="D622" s="83"/>
      <c r="E622" s="84"/>
      <c r="F622" s="84"/>
      <c r="G622" s="83"/>
      <c r="H622" s="84"/>
      <c r="I622" s="84"/>
      <c r="J622" s="84"/>
      <c r="K622" s="84"/>
      <c r="L622" s="84"/>
      <c r="M622" s="84"/>
      <c r="N622" s="84"/>
      <c r="O622" s="84"/>
      <c r="P622" s="85"/>
      <c r="Q622" s="75"/>
      <c r="R622" s="75"/>
      <c r="S622" s="75"/>
      <c r="T622" s="75"/>
      <c r="U622" s="89"/>
      <c r="V622" s="84"/>
      <c r="W622" s="84"/>
      <c r="X622" s="84"/>
      <c r="Y622" s="84"/>
      <c r="Z622" s="84"/>
    </row>
    <row r="623" spans="1:26" ht="15.75" customHeight="1">
      <c r="A623" s="83"/>
      <c r="B623" s="84"/>
      <c r="C623" s="84"/>
      <c r="D623" s="83"/>
      <c r="E623" s="84"/>
      <c r="F623" s="84"/>
      <c r="G623" s="83"/>
      <c r="H623" s="84"/>
      <c r="I623" s="84"/>
      <c r="J623" s="84"/>
      <c r="K623" s="84"/>
      <c r="L623" s="84"/>
      <c r="M623" s="84"/>
      <c r="N623" s="84"/>
      <c r="O623" s="84"/>
      <c r="P623" s="85"/>
      <c r="Q623" s="75"/>
      <c r="R623" s="75"/>
      <c r="S623" s="75"/>
      <c r="T623" s="75"/>
      <c r="U623" s="89"/>
      <c r="V623" s="84"/>
      <c r="W623" s="84"/>
      <c r="X623" s="84"/>
      <c r="Y623" s="84"/>
      <c r="Z623" s="84"/>
    </row>
    <row r="624" spans="1:26" ht="15.75" customHeight="1">
      <c r="A624" s="83"/>
      <c r="B624" s="84"/>
      <c r="C624" s="84"/>
      <c r="D624" s="83"/>
      <c r="E624" s="84"/>
      <c r="F624" s="84"/>
      <c r="G624" s="83"/>
      <c r="H624" s="84"/>
      <c r="I624" s="84"/>
      <c r="J624" s="84"/>
      <c r="K624" s="84"/>
      <c r="L624" s="84"/>
      <c r="M624" s="84"/>
      <c r="N624" s="84"/>
      <c r="O624" s="84"/>
      <c r="P624" s="85"/>
      <c r="Q624" s="75"/>
      <c r="R624" s="75"/>
      <c r="S624" s="75"/>
      <c r="T624" s="75"/>
      <c r="U624" s="89"/>
      <c r="V624" s="84"/>
      <c r="W624" s="84"/>
      <c r="X624" s="84"/>
      <c r="Y624" s="84"/>
      <c r="Z624" s="84"/>
    </row>
    <row r="625" spans="1:26" ht="15.75" customHeight="1">
      <c r="A625" s="83"/>
      <c r="B625" s="84"/>
      <c r="C625" s="84"/>
      <c r="D625" s="83"/>
      <c r="E625" s="84"/>
      <c r="F625" s="84"/>
      <c r="G625" s="83"/>
      <c r="H625" s="84"/>
      <c r="I625" s="84"/>
      <c r="J625" s="84"/>
      <c r="K625" s="84"/>
      <c r="L625" s="84"/>
      <c r="M625" s="84"/>
      <c r="N625" s="84"/>
      <c r="O625" s="84"/>
      <c r="P625" s="85"/>
      <c r="Q625" s="75"/>
      <c r="R625" s="75"/>
      <c r="S625" s="75"/>
      <c r="T625" s="75"/>
      <c r="U625" s="89"/>
      <c r="V625" s="84"/>
      <c r="W625" s="84"/>
      <c r="X625" s="84"/>
      <c r="Y625" s="84"/>
      <c r="Z625" s="84"/>
    </row>
    <row r="626" spans="1:26" ht="15.75" customHeight="1">
      <c r="A626" s="83"/>
      <c r="B626" s="84"/>
      <c r="C626" s="84"/>
      <c r="D626" s="83"/>
      <c r="E626" s="84"/>
      <c r="F626" s="84"/>
      <c r="G626" s="83"/>
      <c r="H626" s="84"/>
      <c r="I626" s="84"/>
      <c r="J626" s="84"/>
      <c r="K626" s="84"/>
      <c r="L626" s="84"/>
      <c r="M626" s="84"/>
      <c r="N626" s="84"/>
      <c r="O626" s="84"/>
      <c r="P626" s="85"/>
      <c r="Q626" s="75"/>
      <c r="R626" s="75"/>
      <c r="S626" s="75"/>
      <c r="T626" s="75"/>
      <c r="U626" s="89"/>
      <c r="V626" s="84"/>
      <c r="W626" s="84"/>
      <c r="X626" s="84"/>
      <c r="Y626" s="84"/>
      <c r="Z626" s="84"/>
    </row>
    <row r="627" spans="1:26" ht="15.75" customHeight="1">
      <c r="A627" s="83"/>
      <c r="B627" s="84"/>
      <c r="C627" s="84"/>
      <c r="D627" s="83"/>
      <c r="E627" s="84"/>
      <c r="F627" s="84"/>
      <c r="G627" s="83"/>
      <c r="H627" s="84"/>
      <c r="I627" s="84"/>
      <c r="J627" s="84"/>
      <c r="K627" s="84"/>
      <c r="L627" s="84"/>
      <c r="M627" s="84"/>
      <c r="N627" s="84"/>
      <c r="O627" s="84"/>
      <c r="P627" s="85"/>
      <c r="Q627" s="75"/>
      <c r="R627" s="75"/>
      <c r="S627" s="75"/>
      <c r="T627" s="75"/>
      <c r="U627" s="89"/>
      <c r="V627" s="84"/>
      <c r="W627" s="84"/>
      <c r="X627" s="84"/>
      <c r="Y627" s="84"/>
      <c r="Z627" s="84"/>
    </row>
    <row r="628" spans="1:26" ht="15.75" customHeight="1">
      <c r="A628" s="83"/>
      <c r="B628" s="84"/>
      <c r="C628" s="84"/>
      <c r="D628" s="83"/>
      <c r="E628" s="84"/>
      <c r="F628" s="84"/>
      <c r="G628" s="83"/>
      <c r="H628" s="84"/>
      <c r="I628" s="84"/>
      <c r="J628" s="84"/>
      <c r="K628" s="84"/>
      <c r="L628" s="84"/>
      <c r="M628" s="84"/>
      <c r="N628" s="84"/>
      <c r="O628" s="84"/>
      <c r="P628" s="85"/>
      <c r="Q628" s="75"/>
      <c r="R628" s="75"/>
      <c r="S628" s="75"/>
      <c r="T628" s="75"/>
      <c r="U628" s="89"/>
      <c r="V628" s="84"/>
      <c r="W628" s="84"/>
      <c r="X628" s="84"/>
      <c r="Y628" s="84"/>
      <c r="Z628" s="84"/>
    </row>
    <row r="629" spans="1:26" ht="15.75" customHeight="1">
      <c r="A629" s="83"/>
      <c r="B629" s="84"/>
      <c r="C629" s="84"/>
      <c r="D629" s="83"/>
      <c r="E629" s="84"/>
      <c r="F629" s="84"/>
      <c r="G629" s="83"/>
      <c r="H629" s="84"/>
      <c r="I629" s="84"/>
      <c r="J629" s="84"/>
      <c r="K629" s="84"/>
      <c r="L629" s="84"/>
      <c r="M629" s="84"/>
      <c r="N629" s="84"/>
      <c r="O629" s="84"/>
      <c r="P629" s="85"/>
      <c r="Q629" s="75"/>
      <c r="R629" s="75"/>
      <c r="S629" s="75"/>
      <c r="T629" s="75"/>
      <c r="U629" s="89"/>
      <c r="V629" s="84"/>
      <c r="W629" s="84"/>
      <c r="X629" s="84"/>
      <c r="Y629" s="84"/>
      <c r="Z629" s="84"/>
    </row>
    <row r="630" spans="1:26" ht="15.75" customHeight="1">
      <c r="A630" s="83"/>
      <c r="B630" s="84"/>
      <c r="C630" s="84"/>
      <c r="D630" s="83"/>
      <c r="E630" s="84"/>
      <c r="F630" s="84"/>
      <c r="G630" s="83"/>
      <c r="H630" s="84"/>
      <c r="I630" s="84"/>
      <c r="J630" s="84"/>
      <c r="K630" s="84"/>
      <c r="L630" s="84"/>
      <c r="M630" s="84"/>
      <c r="N630" s="84"/>
      <c r="O630" s="84"/>
      <c r="P630" s="85"/>
      <c r="Q630" s="75"/>
      <c r="R630" s="75"/>
      <c r="S630" s="75"/>
      <c r="T630" s="75"/>
      <c r="U630" s="89"/>
      <c r="V630" s="84"/>
      <c r="W630" s="84"/>
      <c r="X630" s="84"/>
      <c r="Y630" s="84"/>
      <c r="Z630" s="84"/>
    </row>
    <row r="631" spans="1:26" ht="15.75" customHeight="1">
      <c r="A631" s="83"/>
      <c r="B631" s="84"/>
      <c r="C631" s="84"/>
      <c r="D631" s="83"/>
      <c r="E631" s="84"/>
      <c r="F631" s="84"/>
      <c r="G631" s="83"/>
      <c r="H631" s="84"/>
      <c r="I631" s="84"/>
      <c r="J631" s="84"/>
      <c r="K631" s="84"/>
      <c r="L631" s="84"/>
      <c r="M631" s="84"/>
      <c r="N631" s="84"/>
      <c r="O631" s="84"/>
      <c r="P631" s="85"/>
      <c r="Q631" s="75"/>
      <c r="R631" s="75"/>
      <c r="S631" s="75"/>
      <c r="T631" s="75"/>
      <c r="U631" s="89"/>
      <c r="V631" s="84"/>
      <c r="W631" s="84"/>
      <c r="X631" s="84"/>
      <c r="Y631" s="84"/>
      <c r="Z631" s="84"/>
    </row>
    <row r="632" spans="1:26" ht="15.75" customHeight="1">
      <c r="A632" s="83"/>
      <c r="B632" s="84"/>
      <c r="C632" s="84"/>
      <c r="D632" s="83"/>
      <c r="E632" s="84"/>
      <c r="F632" s="84"/>
      <c r="G632" s="83"/>
      <c r="H632" s="84"/>
      <c r="I632" s="84"/>
      <c r="J632" s="84"/>
      <c r="K632" s="84"/>
      <c r="L632" s="84"/>
      <c r="M632" s="84"/>
      <c r="N632" s="84"/>
      <c r="O632" s="84"/>
      <c r="P632" s="85"/>
      <c r="Q632" s="75"/>
      <c r="R632" s="75"/>
      <c r="S632" s="75"/>
      <c r="T632" s="75"/>
      <c r="U632" s="89"/>
      <c r="V632" s="84"/>
      <c r="W632" s="84"/>
      <c r="X632" s="84"/>
      <c r="Y632" s="84"/>
      <c r="Z632" s="84"/>
    </row>
    <row r="633" spans="1:26" ht="15.75" customHeight="1">
      <c r="A633" s="83"/>
      <c r="B633" s="84"/>
      <c r="C633" s="84"/>
      <c r="D633" s="83"/>
      <c r="E633" s="84"/>
      <c r="F633" s="84"/>
      <c r="G633" s="83"/>
      <c r="H633" s="84"/>
      <c r="I633" s="84"/>
      <c r="J633" s="84"/>
      <c r="K633" s="84"/>
      <c r="L633" s="84"/>
      <c r="M633" s="84"/>
      <c r="N633" s="84"/>
      <c r="O633" s="84"/>
      <c r="P633" s="85"/>
      <c r="Q633" s="75"/>
      <c r="R633" s="75"/>
      <c r="S633" s="75"/>
      <c r="T633" s="75"/>
      <c r="U633" s="89"/>
      <c r="V633" s="84"/>
      <c r="W633" s="84"/>
      <c r="X633" s="84"/>
      <c r="Y633" s="84"/>
      <c r="Z633" s="84"/>
    </row>
    <row r="634" spans="1:26" ht="15.75" customHeight="1">
      <c r="A634" s="83"/>
      <c r="B634" s="84"/>
      <c r="C634" s="84"/>
      <c r="D634" s="83"/>
      <c r="E634" s="84"/>
      <c r="F634" s="84"/>
      <c r="G634" s="83"/>
      <c r="H634" s="84"/>
      <c r="I634" s="84"/>
      <c r="J634" s="84"/>
      <c r="K634" s="84"/>
      <c r="L634" s="84"/>
      <c r="M634" s="84"/>
      <c r="N634" s="84"/>
      <c r="O634" s="84"/>
      <c r="P634" s="85"/>
      <c r="Q634" s="75"/>
      <c r="R634" s="75"/>
      <c r="S634" s="75"/>
      <c r="T634" s="75"/>
      <c r="U634" s="89"/>
      <c r="V634" s="84"/>
      <c r="W634" s="84"/>
      <c r="X634" s="84"/>
      <c r="Y634" s="84"/>
      <c r="Z634" s="84"/>
    </row>
    <row r="635" spans="1:26" ht="15.75" customHeight="1">
      <c r="A635" s="83"/>
      <c r="B635" s="84"/>
      <c r="C635" s="84"/>
      <c r="D635" s="83"/>
      <c r="E635" s="84"/>
      <c r="F635" s="84"/>
      <c r="G635" s="83"/>
      <c r="H635" s="84"/>
      <c r="I635" s="84"/>
      <c r="J635" s="84"/>
      <c r="K635" s="84"/>
      <c r="L635" s="84"/>
      <c r="M635" s="84"/>
      <c r="N635" s="84"/>
      <c r="O635" s="84"/>
      <c r="P635" s="85"/>
      <c r="Q635" s="75"/>
      <c r="R635" s="75"/>
      <c r="S635" s="75"/>
      <c r="T635" s="75"/>
      <c r="U635" s="89"/>
      <c r="V635" s="84"/>
      <c r="W635" s="84"/>
      <c r="X635" s="84"/>
      <c r="Y635" s="84"/>
      <c r="Z635" s="84"/>
    </row>
    <row r="636" spans="1:26" ht="15.75" customHeight="1">
      <c r="A636" s="83"/>
      <c r="B636" s="84"/>
      <c r="C636" s="84"/>
      <c r="D636" s="83"/>
      <c r="E636" s="84"/>
      <c r="F636" s="84"/>
      <c r="G636" s="83"/>
      <c r="H636" s="84"/>
      <c r="I636" s="84"/>
      <c r="J636" s="84"/>
      <c r="K636" s="84"/>
      <c r="L636" s="84"/>
      <c r="M636" s="84"/>
      <c r="N636" s="84"/>
      <c r="O636" s="84"/>
      <c r="P636" s="85"/>
      <c r="Q636" s="75"/>
      <c r="R636" s="75"/>
      <c r="S636" s="75"/>
      <c r="T636" s="75"/>
      <c r="U636" s="89"/>
      <c r="V636" s="84"/>
      <c r="W636" s="84"/>
      <c r="X636" s="84"/>
      <c r="Y636" s="84"/>
      <c r="Z636" s="84"/>
    </row>
    <row r="637" spans="1:26" ht="15.75" customHeight="1">
      <c r="A637" s="83"/>
      <c r="B637" s="84"/>
      <c r="C637" s="84"/>
      <c r="D637" s="83"/>
      <c r="E637" s="84"/>
      <c r="F637" s="84"/>
      <c r="G637" s="83"/>
      <c r="H637" s="84"/>
      <c r="I637" s="84"/>
      <c r="J637" s="84"/>
      <c r="K637" s="84"/>
      <c r="L637" s="84"/>
      <c r="M637" s="84"/>
      <c r="N637" s="84"/>
      <c r="O637" s="84"/>
      <c r="P637" s="85"/>
      <c r="Q637" s="75"/>
      <c r="R637" s="75"/>
      <c r="S637" s="75"/>
      <c r="T637" s="75"/>
      <c r="U637" s="89"/>
      <c r="V637" s="84"/>
      <c r="W637" s="84"/>
      <c r="X637" s="84"/>
      <c r="Y637" s="84"/>
      <c r="Z637" s="84"/>
    </row>
    <row r="638" spans="1:26" ht="15.75" customHeight="1">
      <c r="A638" s="83"/>
      <c r="B638" s="84"/>
      <c r="C638" s="84"/>
      <c r="D638" s="83"/>
      <c r="E638" s="84"/>
      <c r="F638" s="84"/>
      <c r="G638" s="83"/>
      <c r="H638" s="84"/>
      <c r="I638" s="84"/>
      <c r="J638" s="84"/>
      <c r="K638" s="84"/>
      <c r="L638" s="84"/>
      <c r="M638" s="84"/>
      <c r="N638" s="84"/>
      <c r="O638" s="84"/>
      <c r="P638" s="85"/>
      <c r="Q638" s="75"/>
      <c r="R638" s="75"/>
      <c r="S638" s="75"/>
      <c r="T638" s="75"/>
      <c r="U638" s="89"/>
      <c r="V638" s="84"/>
      <c r="W638" s="84"/>
      <c r="X638" s="84"/>
      <c r="Y638" s="84"/>
      <c r="Z638" s="84"/>
    </row>
    <row r="639" spans="1:26" ht="15.75" customHeight="1">
      <c r="A639" s="83"/>
      <c r="B639" s="84"/>
      <c r="C639" s="84"/>
      <c r="D639" s="83"/>
      <c r="E639" s="84"/>
      <c r="F639" s="84"/>
      <c r="G639" s="83"/>
      <c r="H639" s="84"/>
      <c r="I639" s="84"/>
      <c r="J639" s="84"/>
      <c r="K639" s="84"/>
      <c r="L639" s="84"/>
      <c r="M639" s="84"/>
      <c r="N639" s="84"/>
      <c r="O639" s="84"/>
      <c r="P639" s="85"/>
      <c r="Q639" s="75"/>
      <c r="R639" s="75"/>
      <c r="S639" s="75"/>
      <c r="T639" s="75"/>
      <c r="U639" s="89"/>
      <c r="V639" s="84"/>
      <c r="W639" s="84"/>
      <c r="X639" s="84"/>
      <c r="Y639" s="84"/>
      <c r="Z639" s="84"/>
    </row>
    <row r="640" spans="1:26" ht="15.75" customHeight="1">
      <c r="A640" s="83"/>
      <c r="B640" s="84"/>
      <c r="C640" s="84"/>
      <c r="D640" s="83"/>
      <c r="E640" s="84"/>
      <c r="F640" s="84"/>
      <c r="G640" s="83"/>
      <c r="H640" s="84"/>
      <c r="I640" s="84"/>
      <c r="J640" s="84"/>
      <c r="K640" s="84"/>
      <c r="L640" s="84"/>
      <c r="M640" s="84"/>
      <c r="N640" s="84"/>
      <c r="O640" s="84"/>
      <c r="P640" s="85"/>
      <c r="Q640" s="75"/>
      <c r="R640" s="75"/>
      <c r="S640" s="75"/>
      <c r="T640" s="75"/>
      <c r="U640" s="89"/>
      <c r="V640" s="84"/>
      <c r="W640" s="84"/>
      <c r="X640" s="84"/>
      <c r="Y640" s="84"/>
      <c r="Z640" s="84"/>
    </row>
    <row r="641" spans="1:26" ht="15.75" customHeight="1">
      <c r="A641" s="83"/>
      <c r="B641" s="84"/>
      <c r="C641" s="84"/>
      <c r="D641" s="83"/>
      <c r="E641" s="84"/>
      <c r="F641" s="84"/>
      <c r="G641" s="83"/>
      <c r="H641" s="84"/>
      <c r="I641" s="84"/>
      <c r="J641" s="84"/>
      <c r="K641" s="84"/>
      <c r="L641" s="84"/>
      <c r="M641" s="84"/>
      <c r="N641" s="84"/>
      <c r="O641" s="84"/>
      <c r="P641" s="85"/>
      <c r="Q641" s="75"/>
      <c r="R641" s="75"/>
      <c r="S641" s="75"/>
      <c r="T641" s="75"/>
      <c r="U641" s="89"/>
      <c r="V641" s="84"/>
      <c r="W641" s="84"/>
      <c r="X641" s="84"/>
      <c r="Y641" s="84"/>
      <c r="Z641" s="84"/>
    </row>
    <row r="642" spans="1:26" ht="15.75" customHeight="1">
      <c r="A642" s="83"/>
      <c r="B642" s="84"/>
      <c r="C642" s="84"/>
      <c r="D642" s="83"/>
      <c r="E642" s="84"/>
      <c r="F642" s="84"/>
      <c r="G642" s="83"/>
      <c r="H642" s="84"/>
      <c r="I642" s="84"/>
      <c r="J642" s="84"/>
      <c r="K642" s="84"/>
      <c r="L642" s="84"/>
      <c r="M642" s="84"/>
      <c r="N642" s="84"/>
      <c r="O642" s="84"/>
      <c r="P642" s="85"/>
      <c r="Q642" s="75"/>
      <c r="R642" s="75"/>
      <c r="S642" s="75"/>
      <c r="T642" s="75"/>
      <c r="U642" s="89"/>
      <c r="V642" s="84"/>
      <c r="W642" s="84"/>
      <c r="X642" s="84"/>
      <c r="Y642" s="84"/>
      <c r="Z642" s="84"/>
    </row>
    <row r="643" spans="1:26" ht="15.75" customHeight="1">
      <c r="A643" s="83"/>
      <c r="B643" s="84"/>
      <c r="C643" s="84"/>
      <c r="D643" s="83"/>
      <c r="E643" s="84"/>
      <c r="F643" s="84"/>
      <c r="G643" s="83"/>
      <c r="H643" s="84"/>
      <c r="I643" s="84"/>
      <c r="J643" s="84"/>
      <c r="K643" s="84"/>
      <c r="L643" s="84"/>
      <c r="M643" s="84"/>
      <c r="N643" s="84"/>
      <c r="O643" s="84"/>
      <c r="P643" s="85"/>
      <c r="Q643" s="75"/>
      <c r="R643" s="75"/>
      <c r="S643" s="75"/>
      <c r="T643" s="75"/>
      <c r="U643" s="89"/>
      <c r="V643" s="84"/>
      <c r="W643" s="84"/>
      <c r="X643" s="84"/>
      <c r="Y643" s="84"/>
      <c r="Z643" s="84"/>
    </row>
    <row r="644" spans="1:26" ht="15.75" customHeight="1">
      <c r="A644" s="83"/>
      <c r="B644" s="84"/>
      <c r="C644" s="84"/>
      <c r="D644" s="83"/>
      <c r="E644" s="84"/>
      <c r="F644" s="84"/>
      <c r="G644" s="83"/>
      <c r="H644" s="84"/>
      <c r="I644" s="84"/>
      <c r="J644" s="84"/>
      <c r="K644" s="84"/>
      <c r="L644" s="84"/>
      <c r="M644" s="84"/>
      <c r="N644" s="84"/>
      <c r="O644" s="84"/>
      <c r="P644" s="85"/>
      <c r="Q644" s="75"/>
      <c r="R644" s="75"/>
      <c r="S644" s="75"/>
      <c r="T644" s="75"/>
      <c r="U644" s="89"/>
      <c r="V644" s="84"/>
      <c r="W644" s="84"/>
      <c r="X644" s="84"/>
      <c r="Y644" s="84"/>
      <c r="Z644" s="84"/>
    </row>
    <row r="645" spans="1:26" ht="15.75" customHeight="1">
      <c r="A645" s="83"/>
      <c r="B645" s="84"/>
      <c r="C645" s="84"/>
      <c r="D645" s="83"/>
      <c r="E645" s="84"/>
      <c r="F645" s="84"/>
      <c r="G645" s="83"/>
      <c r="H645" s="84"/>
      <c r="I645" s="84"/>
      <c r="J645" s="84"/>
      <c r="K645" s="84"/>
      <c r="L645" s="84"/>
      <c r="M645" s="84"/>
      <c r="N645" s="84"/>
      <c r="O645" s="84"/>
      <c r="P645" s="85"/>
      <c r="Q645" s="75"/>
      <c r="R645" s="75"/>
      <c r="S645" s="75"/>
      <c r="T645" s="75"/>
      <c r="U645" s="89"/>
      <c r="V645" s="84"/>
      <c r="W645" s="84"/>
      <c r="X645" s="84"/>
      <c r="Y645" s="84"/>
      <c r="Z645" s="84"/>
    </row>
    <row r="646" spans="1:26" ht="15.75" customHeight="1">
      <c r="A646" s="83"/>
      <c r="B646" s="84"/>
      <c r="C646" s="84"/>
      <c r="D646" s="83"/>
      <c r="E646" s="84"/>
      <c r="F646" s="84"/>
      <c r="G646" s="83"/>
      <c r="H646" s="84"/>
      <c r="I646" s="84"/>
      <c r="J646" s="84"/>
      <c r="K646" s="84"/>
      <c r="L646" s="84"/>
      <c r="M646" s="84"/>
      <c r="N646" s="84"/>
      <c r="O646" s="84"/>
      <c r="P646" s="85"/>
      <c r="Q646" s="75"/>
      <c r="R646" s="75"/>
      <c r="S646" s="75"/>
      <c r="T646" s="75"/>
      <c r="U646" s="89"/>
      <c r="V646" s="84"/>
      <c r="W646" s="84"/>
      <c r="X646" s="84"/>
      <c r="Y646" s="84"/>
      <c r="Z646" s="84"/>
    </row>
    <row r="647" spans="1:26" ht="15.75" customHeight="1">
      <c r="A647" s="83"/>
      <c r="B647" s="84"/>
      <c r="C647" s="84"/>
      <c r="D647" s="83"/>
      <c r="E647" s="84"/>
      <c r="F647" s="84"/>
      <c r="G647" s="83"/>
      <c r="H647" s="84"/>
      <c r="I647" s="84"/>
      <c r="J647" s="84"/>
      <c r="K647" s="84"/>
      <c r="L647" s="84"/>
      <c r="M647" s="84"/>
      <c r="N647" s="84"/>
      <c r="O647" s="84"/>
      <c r="P647" s="85"/>
      <c r="Q647" s="75"/>
      <c r="R647" s="75"/>
      <c r="S647" s="75"/>
      <c r="T647" s="75"/>
      <c r="U647" s="89"/>
      <c r="V647" s="84"/>
      <c r="W647" s="84"/>
      <c r="X647" s="84"/>
      <c r="Y647" s="84"/>
      <c r="Z647" s="84"/>
    </row>
    <row r="648" spans="1:26" ht="15.75" customHeight="1">
      <c r="A648" s="83"/>
      <c r="B648" s="84"/>
      <c r="C648" s="84"/>
      <c r="D648" s="83"/>
      <c r="E648" s="84"/>
      <c r="F648" s="84"/>
      <c r="G648" s="83"/>
      <c r="H648" s="84"/>
      <c r="I648" s="84"/>
      <c r="J648" s="84"/>
      <c r="K648" s="84"/>
      <c r="L648" s="84"/>
      <c r="M648" s="84"/>
      <c r="N648" s="84"/>
      <c r="O648" s="84"/>
      <c r="P648" s="85"/>
      <c r="Q648" s="75"/>
      <c r="R648" s="75"/>
      <c r="S648" s="75"/>
      <c r="T648" s="75"/>
      <c r="U648" s="89"/>
      <c r="V648" s="84"/>
      <c r="W648" s="84"/>
      <c r="X648" s="84"/>
      <c r="Y648" s="84"/>
      <c r="Z648" s="84"/>
    </row>
    <row r="649" spans="1:26" ht="15.75" customHeight="1">
      <c r="A649" s="83"/>
      <c r="B649" s="84"/>
      <c r="C649" s="84"/>
      <c r="D649" s="83"/>
      <c r="E649" s="84"/>
      <c r="F649" s="84"/>
      <c r="G649" s="83"/>
      <c r="H649" s="84"/>
      <c r="I649" s="84"/>
      <c r="J649" s="84"/>
      <c r="K649" s="84"/>
      <c r="L649" s="84"/>
      <c r="M649" s="84"/>
      <c r="N649" s="84"/>
      <c r="O649" s="84"/>
      <c r="P649" s="85"/>
      <c r="Q649" s="75"/>
      <c r="R649" s="75"/>
      <c r="S649" s="75"/>
      <c r="T649" s="75"/>
      <c r="U649" s="89"/>
      <c r="V649" s="84"/>
      <c r="W649" s="84"/>
      <c r="X649" s="84"/>
      <c r="Y649" s="84"/>
      <c r="Z649" s="84"/>
    </row>
    <row r="650" spans="1:26" ht="15.75" customHeight="1">
      <c r="A650" s="83"/>
      <c r="B650" s="84"/>
      <c r="C650" s="84"/>
      <c r="D650" s="83"/>
      <c r="E650" s="84"/>
      <c r="F650" s="84"/>
      <c r="G650" s="83"/>
      <c r="H650" s="84"/>
      <c r="I650" s="84"/>
      <c r="J650" s="84"/>
      <c r="K650" s="84"/>
      <c r="L650" s="84"/>
      <c r="M650" s="84"/>
      <c r="N650" s="84"/>
      <c r="O650" s="84"/>
      <c r="P650" s="85"/>
      <c r="Q650" s="75"/>
      <c r="R650" s="75"/>
      <c r="S650" s="75"/>
      <c r="T650" s="75"/>
      <c r="U650" s="89"/>
      <c r="V650" s="84"/>
      <c r="W650" s="84"/>
      <c r="X650" s="84"/>
      <c r="Y650" s="84"/>
      <c r="Z650" s="84"/>
    </row>
    <row r="651" spans="1:26" ht="15.75" customHeight="1">
      <c r="A651" s="83"/>
      <c r="B651" s="84"/>
      <c r="C651" s="84"/>
      <c r="D651" s="83"/>
      <c r="E651" s="84"/>
      <c r="F651" s="84"/>
      <c r="G651" s="83"/>
      <c r="H651" s="84"/>
      <c r="I651" s="84"/>
      <c r="J651" s="84"/>
      <c r="K651" s="84"/>
      <c r="L651" s="84"/>
      <c r="M651" s="84"/>
      <c r="N651" s="84"/>
      <c r="O651" s="84"/>
      <c r="P651" s="85"/>
      <c r="Q651" s="75"/>
      <c r="R651" s="75"/>
      <c r="S651" s="75"/>
      <c r="T651" s="75"/>
      <c r="U651" s="89"/>
      <c r="V651" s="84"/>
      <c r="W651" s="84"/>
      <c r="X651" s="84"/>
      <c r="Y651" s="84"/>
      <c r="Z651" s="84"/>
    </row>
    <row r="652" spans="1:26" ht="15.75" customHeight="1">
      <c r="A652" s="83"/>
      <c r="B652" s="84"/>
      <c r="C652" s="84"/>
      <c r="D652" s="83"/>
      <c r="E652" s="84"/>
      <c r="F652" s="84"/>
      <c r="G652" s="83"/>
      <c r="H652" s="84"/>
      <c r="I652" s="84"/>
      <c r="J652" s="84"/>
      <c r="K652" s="84"/>
      <c r="L652" s="84"/>
      <c r="M652" s="84"/>
      <c r="N652" s="84"/>
      <c r="O652" s="84"/>
      <c r="P652" s="85"/>
      <c r="Q652" s="75"/>
      <c r="R652" s="75"/>
      <c r="S652" s="75"/>
      <c r="T652" s="75"/>
      <c r="U652" s="89"/>
      <c r="V652" s="84"/>
      <c r="W652" s="84"/>
      <c r="X652" s="84"/>
      <c r="Y652" s="84"/>
      <c r="Z652" s="84"/>
    </row>
    <row r="653" spans="1:26" ht="15.75" customHeight="1">
      <c r="A653" s="83"/>
      <c r="B653" s="84"/>
      <c r="C653" s="84"/>
      <c r="D653" s="83"/>
      <c r="E653" s="84"/>
      <c r="F653" s="84"/>
      <c r="G653" s="83"/>
      <c r="H653" s="84"/>
      <c r="I653" s="84"/>
      <c r="J653" s="84"/>
      <c r="K653" s="84"/>
      <c r="L653" s="84"/>
      <c r="M653" s="84"/>
      <c r="N653" s="84"/>
      <c r="O653" s="84"/>
      <c r="P653" s="85"/>
      <c r="Q653" s="75"/>
      <c r="R653" s="75"/>
      <c r="S653" s="75"/>
      <c r="T653" s="75"/>
      <c r="U653" s="89"/>
      <c r="V653" s="84"/>
      <c r="W653" s="84"/>
      <c r="X653" s="84"/>
      <c r="Y653" s="84"/>
      <c r="Z653" s="84"/>
    </row>
    <row r="654" spans="1:26" ht="15.75" customHeight="1">
      <c r="A654" s="83"/>
      <c r="B654" s="84"/>
      <c r="C654" s="84"/>
      <c r="D654" s="83"/>
      <c r="E654" s="84"/>
      <c r="F654" s="84"/>
      <c r="G654" s="83"/>
      <c r="H654" s="84"/>
      <c r="I654" s="84"/>
      <c r="J654" s="84"/>
      <c r="K654" s="84"/>
      <c r="L654" s="84"/>
      <c r="M654" s="84"/>
      <c r="N654" s="84"/>
      <c r="O654" s="84"/>
      <c r="P654" s="85"/>
      <c r="Q654" s="75"/>
      <c r="R654" s="75"/>
      <c r="S654" s="75"/>
      <c r="T654" s="75"/>
      <c r="U654" s="89"/>
      <c r="V654" s="84"/>
      <c r="W654" s="84"/>
      <c r="X654" s="84"/>
      <c r="Y654" s="84"/>
      <c r="Z654" s="84"/>
    </row>
    <row r="655" spans="1:26" ht="15.75" customHeight="1">
      <c r="A655" s="83"/>
      <c r="B655" s="84"/>
      <c r="C655" s="84"/>
      <c r="D655" s="83"/>
      <c r="E655" s="84"/>
      <c r="F655" s="84"/>
      <c r="G655" s="83"/>
      <c r="H655" s="84"/>
      <c r="I655" s="84"/>
      <c r="J655" s="84"/>
      <c r="K655" s="84"/>
      <c r="L655" s="84"/>
      <c r="M655" s="84"/>
      <c r="N655" s="84"/>
      <c r="O655" s="84"/>
      <c r="P655" s="85"/>
      <c r="Q655" s="75"/>
      <c r="R655" s="75"/>
      <c r="S655" s="75"/>
      <c r="T655" s="75"/>
      <c r="U655" s="89"/>
      <c r="V655" s="84"/>
      <c r="W655" s="84"/>
      <c r="X655" s="84"/>
      <c r="Y655" s="84"/>
      <c r="Z655" s="84"/>
    </row>
    <row r="656" spans="1:26" ht="15.75" customHeight="1">
      <c r="A656" s="83"/>
      <c r="B656" s="84"/>
      <c r="C656" s="84"/>
      <c r="D656" s="83"/>
      <c r="E656" s="84"/>
      <c r="F656" s="84"/>
      <c r="G656" s="83"/>
      <c r="H656" s="84"/>
      <c r="I656" s="84"/>
      <c r="J656" s="84"/>
      <c r="K656" s="84"/>
      <c r="L656" s="84"/>
      <c r="M656" s="84"/>
      <c r="N656" s="84"/>
      <c r="O656" s="84"/>
      <c r="P656" s="85"/>
      <c r="Q656" s="75"/>
      <c r="R656" s="75"/>
      <c r="S656" s="75"/>
      <c r="T656" s="75"/>
      <c r="U656" s="89"/>
      <c r="V656" s="84"/>
      <c r="W656" s="84"/>
      <c r="X656" s="84"/>
      <c r="Y656" s="84"/>
      <c r="Z656" s="84"/>
    </row>
    <row r="657" spans="1:26" ht="15.75" customHeight="1">
      <c r="A657" s="83"/>
      <c r="B657" s="84"/>
      <c r="C657" s="84"/>
      <c r="D657" s="83"/>
      <c r="E657" s="84"/>
      <c r="F657" s="84"/>
      <c r="G657" s="83"/>
      <c r="H657" s="84"/>
      <c r="I657" s="84"/>
      <c r="J657" s="84"/>
      <c r="K657" s="84"/>
      <c r="L657" s="84"/>
      <c r="M657" s="84"/>
      <c r="N657" s="84"/>
      <c r="O657" s="84"/>
      <c r="P657" s="85"/>
      <c r="Q657" s="75"/>
      <c r="R657" s="75"/>
      <c r="S657" s="75"/>
      <c r="T657" s="75"/>
      <c r="U657" s="89"/>
      <c r="V657" s="84"/>
      <c r="W657" s="84"/>
      <c r="X657" s="84"/>
      <c r="Y657" s="84"/>
      <c r="Z657" s="84"/>
    </row>
    <row r="658" spans="1:26" ht="15.75" customHeight="1">
      <c r="A658" s="83"/>
      <c r="B658" s="84"/>
      <c r="C658" s="84"/>
      <c r="D658" s="83"/>
      <c r="E658" s="84"/>
      <c r="F658" s="84"/>
      <c r="G658" s="83"/>
      <c r="H658" s="84"/>
      <c r="I658" s="84"/>
      <c r="J658" s="84"/>
      <c r="K658" s="84"/>
      <c r="L658" s="84"/>
      <c r="M658" s="84"/>
      <c r="N658" s="84"/>
      <c r="O658" s="84"/>
      <c r="P658" s="85"/>
      <c r="Q658" s="75"/>
      <c r="R658" s="75"/>
      <c r="S658" s="75"/>
      <c r="T658" s="75"/>
      <c r="U658" s="89"/>
      <c r="V658" s="84"/>
      <c r="W658" s="84"/>
      <c r="X658" s="84"/>
      <c r="Y658" s="84"/>
      <c r="Z658" s="84"/>
    </row>
    <row r="659" spans="1:26" ht="15.75" customHeight="1">
      <c r="A659" s="83"/>
      <c r="B659" s="84"/>
      <c r="C659" s="84"/>
      <c r="D659" s="83"/>
      <c r="E659" s="84"/>
      <c r="F659" s="84"/>
      <c r="G659" s="83"/>
      <c r="H659" s="84"/>
      <c r="I659" s="84"/>
      <c r="J659" s="84"/>
      <c r="K659" s="84"/>
      <c r="L659" s="84"/>
      <c r="M659" s="84"/>
      <c r="N659" s="84"/>
      <c r="O659" s="84"/>
      <c r="P659" s="85"/>
      <c r="Q659" s="75"/>
      <c r="R659" s="75"/>
      <c r="S659" s="75"/>
      <c r="T659" s="75"/>
      <c r="U659" s="89"/>
      <c r="V659" s="84"/>
      <c r="W659" s="84"/>
      <c r="X659" s="84"/>
      <c r="Y659" s="84"/>
      <c r="Z659" s="84"/>
    </row>
    <row r="660" spans="1:26" ht="15.75" customHeight="1">
      <c r="A660" s="83"/>
      <c r="B660" s="84"/>
      <c r="C660" s="84"/>
      <c r="D660" s="83"/>
      <c r="E660" s="84"/>
      <c r="F660" s="84"/>
      <c r="G660" s="83"/>
      <c r="H660" s="84"/>
      <c r="I660" s="84"/>
      <c r="J660" s="84"/>
      <c r="K660" s="84"/>
      <c r="L660" s="84"/>
      <c r="M660" s="84"/>
      <c r="N660" s="84"/>
      <c r="O660" s="84"/>
      <c r="P660" s="85"/>
      <c r="Q660" s="75"/>
      <c r="R660" s="75"/>
      <c r="S660" s="75"/>
      <c r="T660" s="75"/>
      <c r="U660" s="89"/>
      <c r="V660" s="84"/>
      <c r="W660" s="84"/>
      <c r="X660" s="84"/>
      <c r="Y660" s="84"/>
      <c r="Z660" s="84"/>
    </row>
    <row r="661" spans="1:26" ht="15.75" customHeight="1">
      <c r="A661" s="83"/>
      <c r="B661" s="84"/>
      <c r="C661" s="84"/>
      <c r="D661" s="83"/>
      <c r="E661" s="84"/>
      <c r="F661" s="84"/>
      <c r="G661" s="83"/>
      <c r="H661" s="84"/>
      <c r="I661" s="84"/>
      <c r="J661" s="84"/>
      <c r="K661" s="84"/>
      <c r="L661" s="84"/>
      <c r="M661" s="84"/>
      <c r="N661" s="84"/>
      <c r="O661" s="84"/>
      <c r="P661" s="85"/>
      <c r="Q661" s="75"/>
      <c r="R661" s="75"/>
      <c r="S661" s="75"/>
      <c r="T661" s="75"/>
      <c r="U661" s="89"/>
      <c r="V661" s="84"/>
      <c r="W661" s="84"/>
      <c r="X661" s="84"/>
      <c r="Y661" s="84"/>
      <c r="Z661" s="84"/>
    </row>
    <row r="662" spans="1:26" ht="15.75" customHeight="1">
      <c r="A662" s="83"/>
      <c r="B662" s="84"/>
      <c r="C662" s="84"/>
      <c r="D662" s="83"/>
      <c r="E662" s="84"/>
      <c r="F662" s="84"/>
      <c r="G662" s="83"/>
      <c r="H662" s="84"/>
      <c r="I662" s="84"/>
      <c r="J662" s="84"/>
      <c r="K662" s="84"/>
      <c r="L662" s="84"/>
      <c r="M662" s="84"/>
      <c r="N662" s="84"/>
      <c r="O662" s="84"/>
      <c r="P662" s="85"/>
      <c r="Q662" s="75"/>
      <c r="R662" s="75"/>
      <c r="S662" s="75"/>
      <c r="T662" s="75"/>
      <c r="U662" s="89"/>
      <c r="V662" s="84"/>
      <c r="W662" s="84"/>
      <c r="X662" s="84"/>
      <c r="Y662" s="84"/>
      <c r="Z662" s="84"/>
    </row>
    <row r="663" spans="1:26" ht="15.75" customHeight="1">
      <c r="A663" s="83"/>
      <c r="B663" s="84"/>
      <c r="C663" s="84"/>
      <c r="D663" s="83"/>
      <c r="E663" s="84"/>
      <c r="F663" s="84"/>
      <c r="G663" s="83"/>
      <c r="H663" s="84"/>
      <c r="I663" s="84"/>
      <c r="J663" s="84"/>
      <c r="K663" s="84"/>
      <c r="L663" s="84"/>
      <c r="M663" s="84"/>
      <c r="N663" s="84"/>
      <c r="O663" s="84"/>
      <c r="P663" s="85"/>
      <c r="Q663" s="75"/>
      <c r="R663" s="75"/>
      <c r="S663" s="75"/>
      <c r="T663" s="75"/>
      <c r="U663" s="89"/>
      <c r="V663" s="84"/>
      <c r="W663" s="84"/>
      <c r="X663" s="84"/>
      <c r="Y663" s="84"/>
      <c r="Z663" s="84"/>
    </row>
    <row r="664" spans="1:26" ht="15.75" customHeight="1">
      <c r="A664" s="83"/>
      <c r="B664" s="84"/>
      <c r="C664" s="84"/>
      <c r="D664" s="83"/>
      <c r="E664" s="84"/>
      <c r="F664" s="84"/>
      <c r="G664" s="83"/>
      <c r="H664" s="84"/>
      <c r="I664" s="84"/>
      <c r="J664" s="84"/>
      <c r="K664" s="84"/>
      <c r="L664" s="84"/>
      <c r="M664" s="84"/>
      <c r="N664" s="84"/>
      <c r="O664" s="84"/>
      <c r="P664" s="85"/>
      <c r="Q664" s="75"/>
      <c r="R664" s="75"/>
      <c r="S664" s="75"/>
      <c r="T664" s="75"/>
      <c r="U664" s="89"/>
      <c r="V664" s="84"/>
      <c r="W664" s="84"/>
      <c r="X664" s="84"/>
      <c r="Y664" s="84"/>
      <c r="Z664" s="84"/>
    </row>
    <row r="665" spans="1:26" ht="15.75" customHeight="1">
      <c r="A665" s="83"/>
      <c r="B665" s="84"/>
      <c r="C665" s="84"/>
      <c r="D665" s="83"/>
      <c r="E665" s="84"/>
      <c r="F665" s="84"/>
      <c r="G665" s="83"/>
      <c r="H665" s="84"/>
      <c r="I665" s="84"/>
      <c r="J665" s="84"/>
      <c r="K665" s="84"/>
      <c r="L665" s="84"/>
      <c r="M665" s="84"/>
      <c r="N665" s="84"/>
      <c r="O665" s="84"/>
      <c r="P665" s="85"/>
      <c r="Q665" s="75"/>
      <c r="R665" s="75"/>
      <c r="S665" s="75"/>
      <c r="T665" s="75"/>
      <c r="U665" s="89"/>
      <c r="V665" s="84"/>
      <c r="W665" s="84"/>
      <c r="X665" s="84"/>
      <c r="Y665" s="84"/>
      <c r="Z665" s="84"/>
    </row>
    <row r="666" spans="1:26" ht="15.75" customHeight="1">
      <c r="A666" s="83"/>
      <c r="B666" s="84"/>
      <c r="C666" s="84"/>
      <c r="D666" s="83"/>
      <c r="E666" s="84"/>
      <c r="F666" s="84"/>
      <c r="G666" s="83"/>
      <c r="H666" s="84"/>
      <c r="I666" s="84"/>
      <c r="J666" s="84"/>
      <c r="K666" s="84"/>
      <c r="L666" s="84"/>
      <c r="M666" s="84"/>
      <c r="N666" s="84"/>
      <c r="O666" s="84"/>
      <c r="P666" s="85"/>
      <c r="Q666" s="75"/>
      <c r="R666" s="75"/>
      <c r="S666" s="75"/>
      <c r="T666" s="75"/>
      <c r="U666" s="89"/>
      <c r="V666" s="84"/>
      <c r="W666" s="84"/>
      <c r="X666" s="84"/>
      <c r="Y666" s="84"/>
      <c r="Z666" s="84"/>
    </row>
    <row r="667" spans="1:26" ht="15.75" customHeight="1">
      <c r="A667" s="83"/>
      <c r="B667" s="84"/>
      <c r="C667" s="84"/>
      <c r="D667" s="83"/>
      <c r="E667" s="84"/>
      <c r="F667" s="84"/>
      <c r="G667" s="83"/>
      <c r="H667" s="84"/>
      <c r="I667" s="84"/>
      <c r="J667" s="84"/>
      <c r="K667" s="84"/>
      <c r="L667" s="84"/>
      <c r="M667" s="84"/>
      <c r="N667" s="84"/>
      <c r="O667" s="84"/>
      <c r="P667" s="85"/>
      <c r="Q667" s="75"/>
      <c r="R667" s="75"/>
      <c r="S667" s="75"/>
      <c r="T667" s="75"/>
      <c r="U667" s="89"/>
      <c r="V667" s="84"/>
      <c r="W667" s="84"/>
      <c r="X667" s="84"/>
      <c r="Y667" s="84"/>
      <c r="Z667" s="84"/>
    </row>
    <row r="668" spans="1:26" ht="15.75" customHeight="1">
      <c r="A668" s="83"/>
      <c r="B668" s="84"/>
      <c r="C668" s="84"/>
      <c r="D668" s="83"/>
      <c r="E668" s="84"/>
      <c r="F668" s="84"/>
      <c r="G668" s="83"/>
      <c r="H668" s="84"/>
      <c r="I668" s="84"/>
      <c r="J668" s="84"/>
      <c r="K668" s="84"/>
      <c r="L668" s="84"/>
      <c r="M668" s="84"/>
      <c r="N668" s="84"/>
      <c r="O668" s="84"/>
      <c r="P668" s="85"/>
      <c r="Q668" s="75"/>
      <c r="R668" s="75"/>
      <c r="S668" s="75"/>
      <c r="T668" s="75"/>
      <c r="U668" s="89"/>
      <c r="V668" s="84"/>
      <c r="W668" s="84"/>
      <c r="X668" s="84"/>
      <c r="Y668" s="84"/>
      <c r="Z668" s="84"/>
    </row>
    <row r="669" spans="1:26" ht="15.75" customHeight="1">
      <c r="A669" s="83"/>
      <c r="B669" s="84"/>
      <c r="C669" s="84"/>
      <c r="D669" s="83"/>
      <c r="E669" s="84"/>
      <c r="F669" s="84"/>
      <c r="G669" s="83"/>
      <c r="H669" s="84"/>
      <c r="I669" s="84"/>
      <c r="J669" s="84"/>
      <c r="K669" s="84"/>
      <c r="L669" s="84"/>
      <c r="M669" s="84"/>
      <c r="N669" s="84"/>
      <c r="O669" s="84"/>
      <c r="P669" s="85"/>
      <c r="Q669" s="75"/>
      <c r="R669" s="75"/>
      <c r="S669" s="75"/>
      <c r="T669" s="75"/>
      <c r="U669" s="89"/>
      <c r="V669" s="84"/>
      <c r="W669" s="84"/>
      <c r="X669" s="84"/>
      <c r="Y669" s="84"/>
      <c r="Z669" s="84"/>
    </row>
    <row r="670" spans="1:26" ht="15.75" customHeight="1">
      <c r="A670" s="83"/>
      <c r="B670" s="84"/>
      <c r="C670" s="84"/>
      <c r="D670" s="83"/>
      <c r="E670" s="84"/>
      <c r="F670" s="84"/>
      <c r="G670" s="83"/>
      <c r="H670" s="84"/>
      <c r="I670" s="84"/>
      <c r="J670" s="84"/>
      <c r="K670" s="84"/>
      <c r="L670" s="84"/>
      <c r="M670" s="84"/>
      <c r="N670" s="84"/>
      <c r="O670" s="84"/>
      <c r="P670" s="85"/>
      <c r="Q670" s="75"/>
      <c r="R670" s="75"/>
      <c r="S670" s="75"/>
      <c r="T670" s="75"/>
      <c r="U670" s="89"/>
      <c r="V670" s="84"/>
      <c r="W670" s="84"/>
      <c r="X670" s="84"/>
      <c r="Y670" s="84"/>
      <c r="Z670" s="84"/>
    </row>
    <row r="671" spans="1:26" ht="15.75" customHeight="1">
      <c r="A671" s="83"/>
      <c r="B671" s="84"/>
      <c r="C671" s="84"/>
      <c r="D671" s="83"/>
      <c r="E671" s="84"/>
      <c r="F671" s="84"/>
      <c r="G671" s="83"/>
      <c r="H671" s="84"/>
      <c r="I671" s="84"/>
      <c r="J671" s="84"/>
      <c r="K671" s="84"/>
      <c r="L671" s="84"/>
      <c r="M671" s="84"/>
      <c r="N671" s="84"/>
      <c r="O671" s="84"/>
      <c r="P671" s="85"/>
      <c r="Q671" s="75"/>
      <c r="R671" s="75"/>
      <c r="S671" s="75"/>
      <c r="T671" s="75"/>
      <c r="U671" s="89"/>
      <c r="V671" s="84"/>
      <c r="W671" s="84"/>
      <c r="X671" s="84"/>
      <c r="Y671" s="84"/>
      <c r="Z671" s="84"/>
    </row>
    <row r="672" spans="1:26" ht="15.75" customHeight="1">
      <c r="A672" s="83"/>
      <c r="B672" s="84"/>
      <c r="C672" s="84"/>
      <c r="D672" s="83"/>
      <c r="E672" s="84"/>
      <c r="F672" s="84"/>
      <c r="G672" s="83"/>
      <c r="H672" s="84"/>
      <c r="I672" s="84"/>
      <c r="J672" s="84"/>
      <c r="K672" s="84"/>
      <c r="L672" s="84"/>
      <c r="M672" s="84"/>
      <c r="N672" s="84"/>
      <c r="O672" s="84"/>
      <c r="P672" s="85"/>
      <c r="Q672" s="75"/>
      <c r="R672" s="75"/>
      <c r="S672" s="75"/>
      <c r="T672" s="75"/>
      <c r="U672" s="89"/>
      <c r="V672" s="84"/>
      <c r="W672" s="84"/>
      <c r="X672" s="84"/>
      <c r="Y672" s="84"/>
      <c r="Z672" s="84"/>
    </row>
    <row r="673" spans="1:26" ht="15.75" customHeight="1">
      <c r="A673" s="83"/>
      <c r="B673" s="84"/>
      <c r="C673" s="84"/>
      <c r="D673" s="83"/>
      <c r="E673" s="84"/>
      <c r="F673" s="84"/>
      <c r="G673" s="83"/>
      <c r="H673" s="84"/>
      <c r="I673" s="84"/>
      <c r="J673" s="84"/>
      <c r="K673" s="84"/>
      <c r="L673" s="84"/>
      <c r="M673" s="84"/>
      <c r="N673" s="84"/>
      <c r="O673" s="84"/>
      <c r="P673" s="85"/>
      <c r="Q673" s="75"/>
      <c r="R673" s="75"/>
      <c r="S673" s="75"/>
      <c r="T673" s="75"/>
      <c r="U673" s="89"/>
      <c r="V673" s="84"/>
      <c r="W673" s="84"/>
      <c r="X673" s="84"/>
      <c r="Y673" s="84"/>
      <c r="Z673" s="84"/>
    </row>
    <row r="674" spans="1:26" ht="15.75" customHeight="1">
      <c r="A674" s="83"/>
      <c r="B674" s="84"/>
      <c r="C674" s="84"/>
      <c r="D674" s="83"/>
      <c r="E674" s="84"/>
      <c r="F674" s="84"/>
      <c r="G674" s="83"/>
      <c r="H674" s="84"/>
      <c r="I674" s="84"/>
      <c r="J674" s="84"/>
      <c r="K674" s="84"/>
      <c r="L674" s="84"/>
      <c r="M674" s="84"/>
      <c r="N674" s="84"/>
      <c r="O674" s="84"/>
      <c r="P674" s="85"/>
      <c r="Q674" s="75"/>
      <c r="R674" s="75"/>
      <c r="S674" s="75"/>
      <c r="T674" s="75"/>
      <c r="U674" s="89"/>
      <c r="V674" s="84"/>
      <c r="W674" s="84"/>
      <c r="X674" s="84"/>
      <c r="Y674" s="84"/>
      <c r="Z674" s="84"/>
    </row>
    <row r="675" spans="1:26" ht="15.75" customHeight="1">
      <c r="A675" s="83"/>
      <c r="B675" s="84"/>
      <c r="C675" s="84"/>
      <c r="D675" s="83"/>
      <c r="E675" s="84"/>
      <c r="F675" s="84"/>
      <c r="G675" s="83"/>
      <c r="H675" s="84"/>
      <c r="I675" s="84"/>
      <c r="J675" s="84"/>
      <c r="K675" s="84"/>
      <c r="L675" s="84"/>
      <c r="M675" s="84"/>
      <c r="N675" s="84"/>
      <c r="O675" s="84"/>
      <c r="P675" s="85"/>
      <c r="Q675" s="75"/>
      <c r="R675" s="75"/>
      <c r="S675" s="75"/>
      <c r="T675" s="75"/>
      <c r="U675" s="89"/>
      <c r="V675" s="84"/>
      <c r="W675" s="84"/>
      <c r="X675" s="84"/>
      <c r="Y675" s="84"/>
      <c r="Z675" s="84"/>
    </row>
    <row r="676" spans="1:26" ht="15.75" customHeight="1">
      <c r="A676" s="83"/>
      <c r="B676" s="84"/>
      <c r="C676" s="84"/>
      <c r="D676" s="83"/>
      <c r="E676" s="84"/>
      <c r="F676" s="84"/>
      <c r="G676" s="83"/>
      <c r="H676" s="84"/>
      <c r="I676" s="84"/>
      <c r="J676" s="84"/>
      <c r="K676" s="84"/>
      <c r="L676" s="84"/>
      <c r="M676" s="84"/>
      <c r="N676" s="84"/>
      <c r="O676" s="84"/>
      <c r="P676" s="85"/>
      <c r="Q676" s="75"/>
      <c r="R676" s="75"/>
      <c r="S676" s="75"/>
      <c r="T676" s="75"/>
      <c r="U676" s="89"/>
      <c r="V676" s="84"/>
      <c r="W676" s="84"/>
      <c r="X676" s="84"/>
      <c r="Y676" s="84"/>
      <c r="Z676" s="84"/>
    </row>
    <row r="677" spans="1:26" ht="15.75" customHeight="1">
      <c r="A677" s="83"/>
      <c r="B677" s="84"/>
      <c r="C677" s="84"/>
      <c r="D677" s="83"/>
      <c r="E677" s="84"/>
      <c r="F677" s="84"/>
      <c r="G677" s="83"/>
      <c r="H677" s="84"/>
      <c r="I677" s="84"/>
      <c r="J677" s="84"/>
      <c r="K677" s="84"/>
      <c r="L677" s="84"/>
      <c r="M677" s="84"/>
      <c r="N677" s="84"/>
      <c r="O677" s="84"/>
      <c r="P677" s="85"/>
      <c r="Q677" s="75"/>
      <c r="R677" s="75"/>
      <c r="S677" s="75"/>
      <c r="T677" s="75"/>
      <c r="U677" s="89"/>
      <c r="V677" s="84"/>
      <c r="W677" s="84"/>
      <c r="X677" s="84"/>
      <c r="Y677" s="84"/>
      <c r="Z677" s="84"/>
    </row>
    <row r="678" spans="1:26" ht="15.75" customHeight="1">
      <c r="A678" s="83"/>
      <c r="B678" s="84"/>
      <c r="C678" s="84"/>
      <c r="D678" s="83"/>
      <c r="E678" s="84"/>
      <c r="F678" s="84"/>
      <c r="G678" s="83"/>
      <c r="H678" s="84"/>
      <c r="I678" s="84"/>
      <c r="J678" s="84"/>
      <c r="K678" s="84"/>
      <c r="L678" s="84"/>
      <c r="M678" s="84"/>
      <c r="N678" s="84"/>
      <c r="O678" s="84"/>
      <c r="P678" s="85"/>
      <c r="Q678" s="75"/>
      <c r="R678" s="75"/>
      <c r="S678" s="75"/>
      <c r="T678" s="75"/>
      <c r="U678" s="89"/>
      <c r="V678" s="84"/>
      <c r="W678" s="84"/>
      <c r="X678" s="84"/>
      <c r="Y678" s="84"/>
      <c r="Z678" s="84"/>
    </row>
    <row r="679" spans="1:26" ht="15.75" customHeight="1">
      <c r="A679" s="83"/>
      <c r="B679" s="84"/>
      <c r="C679" s="84"/>
      <c r="D679" s="83"/>
      <c r="E679" s="84"/>
      <c r="F679" s="84"/>
      <c r="G679" s="83"/>
      <c r="H679" s="84"/>
      <c r="I679" s="84"/>
      <c r="J679" s="84"/>
      <c r="K679" s="84"/>
      <c r="L679" s="84"/>
      <c r="M679" s="84"/>
      <c r="N679" s="84"/>
      <c r="O679" s="84"/>
      <c r="P679" s="85"/>
      <c r="Q679" s="75"/>
      <c r="R679" s="75"/>
      <c r="S679" s="75"/>
      <c r="T679" s="75"/>
      <c r="U679" s="89"/>
      <c r="V679" s="84"/>
      <c r="W679" s="84"/>
      <c r="X679" s="84"/>
      <c r="Y679" s="84"/>
      <c r="Z679" s="84"/>
    </row>
    <row r="680" spans="1:26" ht="15.75" customHeight="1">
      <c r="A680" s="83"/>
      <c r="B680" s="84"/>
      <c r="C680" s="84"/>
      <c r="D680" s="83"/>
      <c r="E680" s="84"/>
      <c r="F680" s="84"/>
      <c r="G680" s="83"/>
      <c r="H680" s="84"/>
      <c r="I680" s="84"/>
      <c r="J680" s="84"/>
      <c r="K680" s="84"/>
      <c r="L680" s="84"/>
      <c r="M680" s="84"/>
      <c r="N680" s="84"/>
      <c r="O680" s="84"/>
      <c r="P680" s="85"/>
      <c r="Q680" s="75"/>
      <c r="R680" s="75"/>
      <c r="S680" s="75"/>
      <c r="T680" s="75"/>
      <c r="U680" s="89"/>
      <c r="V680" s="84"/>
      <c r="W680" s="84"/>
      <c r="X680" s="84"/>
      <c r="Y680" s="84"/>
      <c r="Z680" s="84"/>
    </row>
    <row r="681" spans="1:26" ht="15.75" customHeight="1">
      <c r="A681" s="83"/>
      <c r="B681" s="84"/>
      <c r="C681" s="84"/>
      <c r="D681" s="83"/>
      <c r="E681" s="84"/>
      <c r="F681" s="84"/>
      <c r="G681" s="83"/>
      <c r="H681" s="84"/>
      <c r="I681" s="84"/>
      <c r="J681" s="84"/>
      <c r="K681" s="84"/>
      <c r="L681" s="84"/>
      <c r="M681" s="84"/>
      <c r="N681" s="84"/>
      <c r="O681" s="84"/>
      <c r="P681" s="85"/>
      <c r="Q681" s="75"/>
      <c r="R681" s="75"/>
      <c r="S681" s="75"/>
      <c r="T681" s="75"/>
      <c r="U681" s="89"/>
      <c r="V681" s="84"/>
      <c r="W681" s="84"/>
      <c r="X681" s="84"/>
      <c r="Y681" s="84"/>
      <c r="Z681" s="84"/>
    </row>
    <row r="682" spans="1:26" ht="15.75" customHeight="1">
      <c r="A682" s="83"/>
      <c r="B682" s="84"/>
      <c r="C682" s="84"/>
      <c r="D682" s="83"/>
      <c r="E682" s="84"/>
      <c r="F682" s="84"/>
      <c r="G682" s="83"/>
      <c r="H682" s="84"/>
      <c r="I682" s="84"/>
      <c r="J682" s="84"/>
      <c r="K682" s="84"/>
      <c r="L682" s="84"/>
      <c r="M682" s="84"/>
      <c r="N682" s="84"/>
      <c r="O682" s="84"/>
      <c r="P682" s="85"/>
      <c r="Q682" s="75"/>
      <c r="R682" s="75"/>
      <c r="S682" s="75"/>
      <c r="T682" s="75"/>
      <c r="U682" s="89"/>
      <c r="V682" s="84"/>
      <c r="W682" s="84"/>
      <c r="X682" s="84"/>
      <c r="Y682" s="84"/>
      <c r="Z682" s="84"/>
    </row>
    <row r="683" spans="1:26" ht="15.75" customHeight="1">
      <c r="A683" s="83"/>
      <c r="B683" s="84"/>
      <c r="C683" s="84"/>
      <c r="D683" s="83"/>
      <c r="E683" s="84"/>
      <c r="F683" s="84"/>
      <c r="G683" s="83"/>
      <c r="H683" s="84"/>
      <c r="I683" s="84"/>
      <c r="J683" s="84"/>
      <c r="K683" s="84"/>
      <c r="L683" s="84"/>
      <c r="M683" s="84"/>
      <c r="N683" s="84"/>
      <c r="O683" s="84"/>
      <c r="P683" s="85"/>
      <c r="Q683" s="75"/>
      <c r="R683" s="75"/>
      <c r="S683" s="75"/>
      <c r="T683" s="75"/>
      <c r="U683" s="89"/>
      <c r="V683" s="84"/>
      <c r="W683" s="84"/>
      <c r="X683" s="84"/>
      <c r="Y683" s="84"/>
      <c r="Z683" s="84"/>
    </row>
    <row r="684" spans="1:26" ht="15.75" customHeight="1">
      <c r="A684" s="83"/>
      <c r="B684" s="84"/>
      <c r="C684" s="84"/>
      <c r="D684" s="83"/>
      <c r="E684" s="84"/>
      <c r="F684" s="84"/>
      <c r="G684" s="83"/>
      <c r="H684" s="84"/>
      <c r="I684" s="84"/>
      <c r="J684" s="84"/>
      <c r="K684" s="84"/>
      <c r="L684" s="84"/>
      <c r="M684" s="84"/>
      <c r="N684" s="84"/>
      <c r="O684" s="84"/>
      <c r="P684" s="85"/>
      <c r="Q684" s="75"/>
      <c r="R684" s="75"/>
      <c r="S684" s="75"/>
      <c r="T684" s="75"/>
      <c r="U684" s="89"/>
      <c r="V684" s="84"/>
      <c r="W684" s="84"/>
      <c r="X684" s="84"/>
      <c r="Y684" s="84"/>
      <c r="Z684" s="84"/>
    </row>
    <row r="685" spans="1:26" ht="15.75" customHeight="1">
      <c r="A685" s="83"/>
      <c r="B685" s="84"/>
      <c r="C685" s="84"/>
      <c r="D685" s="83"/>
      <c r="E685" s="84"/>
      <c r="F685" s="84"/>
      <c r="G685" s="83"/>
      <c r="H685" s="84"/>
      <c r="I685" s="84"/>
      <c r="J685" s="84"/>
      <c r="K685" s="84"/>
      <c r="L685" s="84"/>
      <c r="M685" s="84"/>
      <c r="N685" s="84"/>
      <c r="O685" s="84"/>
      <c r="P685" s="85"/>
      <c r="Q685" s="75"/>
      <c r="R685" s="75"/>
      <c r="S685" s="75"/>
      <c r="T685" s="75"/>
      <c r="U685" s="89"/>
      <c r="V685" s="84"/>
      <c r="W685" s="84"/>
      <c r="X685" s="84"/>
      <c r="Y685" s="84"/>
      <c r="Z685" s="84"/>
    </row>
    <row r="686" spans="1:26" ht="15.75" customHeight="1">
      <c r="A686" s="83"/>
      <c r="B686" s="84"/>
      <c r="C686" s="84"/>
      <c r="D686" s="83"/>
      <c r="E686" s="84"/>
      <c r="F686" s="84"/>
      <c r="G686" s="83"/>
      <c r="H686" s="84"/>
      <c r="I686" s="84"/>
      <c r="J686" s="84"/>
      <c r="K686" s="84"/>
      <c r="L686" s="84"/>
      <c r="M686" s="84"/>
      <c r="N686" s="84"/>
      <c r="O686" s="84"/>
      <c r="P686" s="85"/>
      <c r="Q686" s="75"/>
      <c r="R686" s="75"/>
      <c r="S686" s="75"/>
      <c r="T686" s="75"/>
      <c r="U686" s="89"/>
      <c r="V686" s="84"/>
      <c r="W686" s="84"/>
      <c r="X686" s="84"/>
      <c r="Y686" s="84"/>
      <c r="Z686" s="84"/>
    </row>
    <row r="687" spans="1:26" ht="15.75" customHeight="1">
      <c r="A687" s="83"/>
      <c r="B687" s="84"/>
      <c r="C687" s="84"/>
      <c r="D687" s="83"/>
      <c r="E687" s="84"/>
      <c r="F687" s="84"/>
      <c r="G687" s="83"/>
      <c r="H687" s="84"/>
      <c r="I687" s="84"/>
      <c r="J687" s="84"/>
      <c r="K687" s="84"/>
      <c r="L687" s="84"/>
      <c r="M687" s="84"/>
      <c r="N687" s="84"/>
      <c r="O687" s="84"/>
      <c r="P687" s="85"/>
      <c r="Q687" s="75"/>
      <c r="R687" s="75"/>
      <c r="S687" s="75"/>
      <c r="T687" s="75"/>
      <c r="U687" s="89"/>
      <c r="V687" s="84"/>
      <c r="W687" s="84"/>
      <c r="X687" s="84"/>
      <c r="Y687" s="84"/>
      <c r="Z687" s="84"/>
    </row>
    <row r="688" spans="1:26" ht="15.75" customHeight="1">
      <c r="A688" s="83"/>
      <c r="B688" s="84"/>
      <c r="C688" s="84"/>
      <c r="D688" s="83"/>
      <c r="E688" s="84"/>
      <c r="F688" s="84"/>
      <c r="G688" s="83"/>
      <c r="H688" s="84"/>
      <c r="I688" s="84"/>
      <c r="J688" s="84"/>
      <c r="K688" s="84"/>
      <c r="L688" s="84"/>
      <c r="M688" s="84"/>
      <c r="N688" s="84"/>
      <c r="O688" s="84"/>
      <c r="P688" s="85"/>
      <c r="Q688" s="75"/>
      <c r="R688" s="75"/>
      <c r="S688" s="75"/>
      <c r="T688" s="75"/>
      <c r="U688" s="89"/>
      <c r="V688" s="84"/>
      <c r="W688" s="84"/>
      <c r="X688" s="84"/>
      <c r="Y688" s="84"/>
      <c r="Z688" s="84"/>
    </row>
    <row r="689" spans="1:26" ht="15.75" customHeight="1">
      <c r="A689" s="83"/>
      <c r="B689" s="84"/>
      <c r="C689" s="84"/>
      <c r="D689" s="83"/>
      <c r="E689" s="84"/>
      <c r="F689" s="84"/>
      <c r="G689" s="83"/>
      <c r="H689" s="84"/>
      <c r="I689" s="84"/>
      <c r="J689" s="84"/>
      <c r="K689" s="84"/>
      <c r="L689" s="84"/>
      <c r="M689" s="84"/>
      <c r="N689" s="84"/>
      <c r="O689" s="84"/>
      <c r="P689" s="85"/>
      <c r="Q689" s="75"/>
      <c r="R689" s="75"/>
      <c r="S689" s="75"/>
      <c r="T689" s="75"/>
      <c r="U689" s="89"/>
      <c r="V689" s="84"/>
      <c r="W689" s="84"/>
      <c r="X689" s="84"/>
      <c r="Y689" s="84"/>
      <c r="Z689" s="84"/>
    </row>
    <row r="690" spans="1:26" ht="15.75" customHeight="1">
      <c r="A690" s="83"/>
      <c r="B690" s="84"/>
      <c r="C690" s="84"/>
      <c r="D690" s="83"/>
      <c r="E690" s="84"/>
      <c r="F690" s="84"/>
      <c r="G690" s="83"/>
      <c r="H690" s="84"/>
      <c r="I690" s="84"/>
      <c r="J690" s="84"/>
      <c r="K690" s="84"/>
      <c r="L690" s="84"/>
      <c r="M690" s="84"/>
      <c r="N690" s="84"/>
      <c r="O690" s="84"/>
      <c r="P690" s="85"/>
      <c r="Q690" s="75"/>
      <c r="R690" s="75"/>
      <c r="S690" s="75"/>
      <c r="T690" s="75"/>
      <c r="U690" s="89"/>
      <c r="V690" s="84"/>
      <c r="W690" s="84"/>
      <c r="X690" s="84"/>
      <c r="Y690" s="84"/>
      <c r="Z690" s="84"/>
    </row>
    <row r="691" spans="1:26" ht="15.75" customHeight="1">
      <c r="A691" s="83"/>
      <c r="B691" s="84"/>
      <c r="C691" s="84"/>
      <c r="D691" s="83"/>
      <c r="E691" s="84"/>
      <c r="F691" s="84"/>
      <c r="G691" s="83"/>
      <c r="H691" s="84"/>
      <c r="I691" s="84"/>
      <c r="J691" s="84"/>
      <c r="K691" s="84"/>
      <c r="L691" s="84"/>
      <c r="M691" s="84"/>
      <c r="N691" s="84"/>
      <c r="O691" s="84"/>
      <c r="P691" s="85"/>
      <c r="Q691" s="75"/>
      <c r="R691" s="75"/>
      <c r="S691" s="75"/>
      <c r="T691" s="75"/>
      <c r="U691" s="89"/>
      <c r="V691" s="84"/>
      <c r="W691" s="84"/>
      <c r="X691" s="84"/>
      <c r="Y691" s="84"/>
      <c r="Z691" s="84"/>
    </row>
    <row r="692" spans="1:26" ht="15.75" customHeight="1">
      <c r="A692" s="83"/>
      <c r="B692" s="84"/>
      <c r="C692" s="84"/>
      <c r="D692" s="83"/>
      <c r="E692" s="84"/>
      <c r="F692" s="84"/>
      <c r="G692" s="83"/>
      <c r="H692" s="84"/>
      <c r="I692" s="84"/>
      <c r="J692" s="84"/>
      <c r="K692" s="84"/>
      <c r="L692" s="84"/>
      <c r="M692" s="84"/>
      <c r="N692" s="84"/>
      <c r="O692" s="84"/>
      <c r="P692" s="85"/>
      <c r="Q692" s="75"/>
      <c r="R692" s="75"/>
      <c r="S692" s="75"/>
      <c r="T692" s="75"/>
      <c r="U692" s="89"/>
      <c r="V692" s="84"/>
      <c r="W692" s="84"/>
      <c r="X692" s="84"/>
      <c r="Y692" s="84"/>
      <c r="Z692" s="84"/>
    </row>
    <row r="693" spans="1:26" ht="15.75" customHeight="1">
      <c r="A693" s="83"/>
      <c r="B693" s="84"/>
      <c r="C693" s="84"/>
      <c r="D693" s="83"/>
      <c r="E693" s="84"/>
      <c r="F693" s="84"/>
      <c r="G693" s="83"/>
      <c r="H693" s="84"/>
      <c r="I693" s="84"/>
      <c r="J693" s="84"/>
      <c r="K693" s="84"/>
      <c r="L693" s="84"/>
      <c r="M693" s="84"/>
      <c r="N693" s="84"/>
      <c r="O693" s="84"/>
      <c r="P693" s="85"/>
      <c r="Q693" s="75"/>
      <c r="R693" s="75"/>
      <c r="S693" s="75"/>
      <c r="T693" s="75"/>
      <c r="U693" s="89"/>
      <c r="V693" s="84"/>
      <c r="W693" s="84"/>
      <c r="X693" s="84"/>
      <c r="Y693" s="84"/>
      <c r="Z693" s="84"/>
    </row>
    <row r="694" spans="1:26" ht="15.75" customHeight="1">
      <c r="A694" s="83"/>
      <c r="B694" s="84"/>
      <c r="C694" s="84"/>
      <c r="D694" s="83"/>
      <c r="E694" s="84"/>
      <c r="F694" s="84"/>
      <c r="G694" s="83"/>
      <c r="H694" s="84"/>
      <c r="I694" s="84"/>
      <c r="J694" s="84"/>
      <c r="K694" s="84"/>
      <c r="L694" s="84"/>
      <c r="M694" s="84"/>
      <c r="N694" s="84"/>
      <c r="O694" s="84"/>
      <c r="P694" s="85"/>
      <c r="Q694" s="75"/>
      <c r="R694" s="75"/>
      <c r="S694" s="75"/>
      <c r="T694" s="75"/>
      <c r="U694" s="89"/>
      <c r="V694" s="84"/>
      <c r="W694" s="84"/>
      <c r="X694" s="84"/>
      <c r="Y694" s="84"/>
      <c r="Z694" s="84"/>
    </row>
    <row r="695" spans="1:26" ht="15.75" customHeight="1">
      <c r="A695" s="83"/>
      <c r="B695" s="84"/>
      <c r="C695" s="84"/>
      <c r="D695" s="83"/>
      <c r="E695" s="84"/>
      <c r="F695" s="84"/>
      <c r="G695" s="83"/>
      <c r="H695" s="84"/>
      <c r="I695" s="84"/>
      <c r="J695" s="84"/>
      <c r="K695" s="84"/>
      <c r="L695" s="84"/>
      <c r="M695" s="84"/>
      <c r="N695" s="84"/>
      <c r="O695" s="84"/>
      <c r="P695" s="85"/>
      <c r="Q695" s="75"/>
      <c r="R695" s="75"/>
      <c r="S695" s="75"/>
      <c r="T695" s="75"/>
      <c r="U695" s="89"/>
      <c r="V695" s="84"/>
      <c r="W695" s="84"/>
      <c r="X695" s="84"/>
      <c r="Y695" s="84"/>
      <c r="Z695" s="84"/>
    </row>
    <row r="696" spans="1:26" ht="15.75" customHeight="1">
      <c r="A696" s="83"/>
      <c r="B696" s="84"/>
      <c r="C696" s="84"/>
      <c r="D696" s="83"/>
      <c r="E696" s="84"/>
      <c r="F696" s="84"/>
      <c r="G696" s="83"/>
      <c r="H696" s="84"/>
      <c r="I696" s="84"/>
      <c r="J696" s="84"/>
      <c r="K696" s="84"/>
      <c r="L696" s="84"/>
      <c r="M696" s="84"/>
      <c r="N696" s="84"/>
      <c r="O696" s="84"/>
      <c r="P696" s="85"/>
      <c r="Q696" s="75"/>
      <c r="R696" s="75"/>
      <c r="S696" s="75"/>
      <c r="T696" s="75"/>
      <c r="U696" s="89"/>
      <c r="V696" s="84"/>
      <c r="W696" s="84"/>
      <c r="X696" s="84"/>
      <c r="Y696" s="84"/>
      <c r="Z696" s="84"/>
    </row>
    <row r="697" spans="1:26" ht="15.75" customHeight="1">
      <c r="A697" s="83"/>
      <c r="B697" s="84"/>
      <c r="C697" s="84"/>
      <c r="D697" s="83"/>
      <c r="E697" s="84"/>
      <c r="F697" s="84"/>
      <c r="G697" s="83"/>
      <c r="H697" s="84"/>
      <c r="I697" s="84"/>
      <c r="J697" s="84"/>
      <c r="K697" s="84"/>
      <c r="L697" s="84"/>
      <c r="M697" s="84"/>
      <c r="N697" s="84"/>
      <c r="O697" s="84"/>
      <c r="P697" s="85"/>
      <c r="Q697" s="75"/>
      <c r="R697" s="75"/>
      <c r="S697" s="75"/>
      <c r="T697" s="75"/>
      <c r="U697" s="89"/>
      <c r="V697" s="84"/>
      <c r="W697" s="84"/>
      <c r="X697" s="84"/>
      <c r="Y697" s="84"/>
      <c r="Z697" s="84"/>
    </row>
    <row r="698" spans="1:26" ht="15.75" customHeight="1">
      <c r="A698" s="83"/>
      <c r="B698" s="84"/>
      <c r="C698" s="84"/>
      <c r="D698" s="83"/>
      <c r="E698" s="84"/>
      <c r="F698" s="84"/>
      <c r="G698" s="83"/>
      <c r="H698" s="84"/>
      <c r="I698" s="84"/>
      <c r="J698" s="84"/>
      <c r="K698" s="84"/>
      <c r="L698" s="84"/>
      <c r="M698" s="84"/>
      <c r="N698" s="84"/>
      <c r="O698" s="84"/>
      <c r="P698" s="85"/>
      <c r="Q698" s="75"/>
      <c r="R698" s="75"/>
      <c r="S698" s="75"/>
      <c r="T698" s="75"/>
      <c r="U698" s="89"/>
      <c r="V698" s="84"/>
      <c r="W698" s="84"/>
      <c r="X698" s="84"/>
      <c r="Y698" s="84"/>
      <c r="Z698" s="84"/>
    </row>
    <row r="699" spans="1:26" ht="15.75" customHeight="1">
      <c r="A699" s="83"/>
      <c r="B699" s="84"/>
      <c r="C699" s="84"/>
      <c r="D699" s="83"/>
      <c r="E699" s="84"/>
      <c r="F699" s="84"/>
      <c r="G699" s="83"/>
      <c r="H699" s="84"/>
      <c r="I699" s="84"/>
      <c r="J699" s="84"/>
      <c r="K699" s="84"/>
      <c r="L699" s="84"/>
      <c r="M699" s="84"/>
      <c r="N699" s="84"/>
      <c r="O699" s="84"/>
      <c r="P699" s="85"/>
      <c r="Q699" s="75"/>
      <c r="R699" s="75"/>
      <c r="S699" s="75"/>
      <c r="T699" s="75"/>
      <c r="U699" s="89"/>
      <c r="V699" s="84"/>
      <c r="W699" s="84"/>
      <c r="X699" s="84"/>
      <c r="Y699" s="84"/>
      <c r="Z699" s="84"/>
    </row>
    <row r="700" spans="1:26" ht="15.75" customHeight="1">
      <c r="A700" s="83"/>
      <c r="B700" s="84"/>
      <c r="C700" s="84"/>
      <c r="D700" s="83"/>
      <c r="E700" s="84"/>
      <c r="F700" s="84"/>
      <c r="G700" s="83"/>
      <c r="H700" s="84"/>
      <c r="I700" s="84"/>
      <c r="J700" s="84"/>
      <c r="K700" s="84"/>
      <c r="L700" s="84"/>
      <c r="M700" s="84"/>
      <c r="N700" s="84"/>
      <c r="O700" s="84"/>
      <c r="P700" s="85"/>
      <c r="Q700" s="75"/>
      <c r="R700" s="75"/>
      <c r="S700" s="75"/>
      <c r="T700" s="75"/>
      <c r="U700" s="89"/>
      <c r="V700" s="84"/>
      <c r="W700" s="84"/>
      <c r="X700" s="84"/>
      <c r="Y700" s="84"/>
      <c r="Z700" s="84"/>
    </row>
    <row r="701" spans="1:26" ht="15.75" customHeight="1">
      <c r="A701" s="83"/>
      <c r="B701" s="84"/>
      <c r="C701" s="84"/>
      <c r="D701" s="83"/>
      <c r="E701" s="84"/>
      <c r="F701" s="84"/>
      <c r="G701" s="83"/>
      <c r="H701" s="84"/>
      <c r="I701" s="84"/>
      <c r="J701" s="84"/>
      <c r="K701" s="84"/>
      <c r="L701" s="84"/>
      <c r="M701" s="84"/>
      <c r="N701" s="84"/>
      <c r="O701" s="84"/>
      <c r="P701" s="85"/>
      <c r="Q701" s="75"/>
      <c r="R701" s="75"/>
      <c r="S701" s="75"/>
      <c r="T701" s="75"/>
      <c r="U701" s="89"/>
      <c r="V701" s="84"/>
      <c r="W701" s="84"/>
      <c r="X701" s="84"/>
      <c r="Y701" s="84"/>
      <c r="Z701" s="84"/>
    </row>
    <row r="702" spans="1:26" ht="15.75" customHeight="1">
      <c r="A702" s="83"/>
      <c r="B702" s="84"/>
      <c r="C702" s="84"/>
      <c r="D702" s="83"/>
      <c r="E702" s="84"/>
      <c r="F702" s="84"/>
      <c r="G702" s="83"/>
      <c r="H702" s="84"/>
      <c r="I702" s="84"/>
      <c r="J702" s="84"/>
      <c r="K702" s="84"/>
      <c r="L702" s="84"/>
      <c r="M702" s="84"/>
      <c r="N702" s="84"/>
      <c r="O702" s="84"/>
      <c r="P702" s="85"/>
      <c r="Q702" s="75"/>
      <c r="R702" s="75"/>
      <c r="S702" s="75"/>
      <c r="T702" s="75"/>
      <c r="U702" s="89"/>
      <c r="V702" s="84"/>
      <c r="W702" s="84"/>
      <c r="X702" s="84"/>
      <c r="Y702" s="84"/>
      <c r="Z702" s="84"/>
    </row>
    <row r="703" spans="1:26" ht="15.75" customHeight="1">
      <c r="A703" s="83"/>
      <c r="B703" s="84"/>
      <c r="C703" s="84"/>
      <c r="D703" s="83"/>
      <c r="E703" s="84"/>
      <c r="F703" s="84"/>
      <c r="G703" s="83"/>
      <c r="H703" s="84"/>
      <c r="I703" s="84"/>
      <c r="J703" s="84"/>
      <c r="K703" s="84"/>
      <c r="L703" s="84"/>
      <c r="M703" s="84"/>
      <c r="N703" s="84"/>
      <c r="O703" s="84"/>
      <c r="P703" s="85"/>
      <c r="Q703" s="75"/>
      <c r="R703" s="75"/>
      <c r="S703" s="75"/>
      <c r="T703" s="75"/>
      <c r="U703" s="89"/>
      <c r="V703" s="84"/>
      <c r="W703" s="84"/>
      <c r="X703" s="84"/>
      <c r="Y703" s="84"/>
      <c r="Z703" s="84"/>
    </row>
    <row r="704" spans="1:26" ht="15.75" customHeight="1">
      <c r="A704" s="83"/>
      <c r="B704" s="84"/>
      <c r="C704" s="84"/>
      <c r="D704" s="83"/>
      <c r="E704" s="84"/>
      <c r="F704" s="84"/>
      <c r="G704" s="83"/>
      <c r="H704" s="84"/>
      <c r="I704" s="84"/>
      <c r="J704" s="84"/>
      <c r="K704" s="84"/>
      <c r="L704" s="84"/>
      <c r="M704" s="84"/>
      <c r="N704" s="84"/>
      <c r="O704" s="84"/>
      <c r="P704" s="85"/>
      <c r="Q704" s="75"/>
      <c r="R704" s="75"/>
      <c r="S704" s="75"/>
      <c r="T704" s="75"/>
      <c r="U704" s="89"/>
      <c r="V704" s="84"/>
      <c r="W704" s="84"/>
      <c r="X704" s="84"/>
      <c r="Y704" s="84"/>
      <c r="Z704" s="84"/>
    </row>
    <row r="705" spans="1:26" ht="15.75" customHeight="1">
      <c r="A705" s="83"/>
      <c r="B705" s="84"/>
      <c r="C705" s="84"/>
      <c r="D705" s="83"/>
      <c r="E705" s="84"/>
      <c r="F705" s="84"/>
      <c r="G705" s="83"/>
      <c r="H705" s="84"/>
      <c r="I705" s="84"/>
      <c r="J705" s="84"/>
      <c r="K705" s="84"/>
      <c r="L705" s="84"/>
      <c r="M705" s="84"/>
      <c r="N705" s="84"/>
      <c r="O705" s="84"/>
      <c r="P705" s="85"/>
      <c r="Q705" s="75"/>
      <c r="R705" s="75"/>
      <c r="S705" s="75"/>
      <c r="T705" s="75"/>
      <c r="U705" s="89"/>
      <c r="V705" s="84"/>
      <c r="W705" s="84"/>
      <c r="X705" s="84"/>
      <c r="Y705" s="84"/>
      <c r="Z705" s="84"/>
    </row>
    <row r="706" spans="1:26" ht="15.75" customHeight="1">
      <c r="A706" s="83"/>
      <c r="B706" s="84"/>
      <c r="C706" s="84"/>
      <c r="D706" s="83"/>
      <c r="E706" s="84"/>
      <c r="F706" s="84"/>
      <c r="G706" s="83"/>
      <c r="H706" s="84"/>
      <c r="I706" s="84"/>
      <c r="J706" s="84"/>
      <c r="K706" s="84"/>
      <c r="L706" s="84"/>
      <c r="M706" s="84"/>
      <c r="N706" s="84"/>
      <c r="O706" s="84"/>
      <c r="P706" s="85"/>
      <c r="Q706" s="75"/>
      <c r="R706" s="75"/>
      <c r="S706" s="75"/>
      <c r="T706" s="75"/>
      <c r="U706" s="89"/>
      <c r="V706" s="84"/>
      <c r="W706" s="84"/>
      <c r="X706" s="84"/>
      <c r="Y706" s="84"/>
      <c r="Z706" s="84"/>
    </row>
    <row r="707" spans="1:26" ht="15.75" customHeight="1">
      <c r="A707" s="83"/>
      <c r="B707" s="84"/>
      <c r="C707" s="84"/>
      <c r="D707" s="83"/>
      <c r="E707" s="84"/>
      <c r="F707" s="84"/>
      <c r="G707" s="83"/>
      <c r="H707" s="84"/>
      <c r="I707" s="84"/>
      <c r="J707" s="84"/>
      <c r="K707" s="84"/>
      <c r="L707" s="84"/>
      <c r="M707" s="84"/>
      <c r="N707" s="84"/>
      <c r="O707" s="84"/>
      <c r="P707" s="85"/>
      <c r="Q707" s="75"/>
      <c r="R707" s="75"/>
      <c r="S707" s="75"/>
      <c r="T707" s="75"/>
      <c r="U707" s="89"/>
      <c r="V707" s="84"/>
      <c r="W707" s="84"/>
      <c r="X707" s="84"/>
      <c r="Y707" s="84"/>
      <c r="Z707" s="84"/>
    </row>
    <row r="708" spans="1:26" ht="15.75" customHeight="1">
      <c r="A708" s="83"/>
      <c r="B708" s="84"/>
      <c r="C708" s="84"/>
      <c r="D708" s="83"/>
      <c r="E708" s="84"/>
      <c r="F708" s="84"/>
      <c r="G708" s="83"/>
      <c r="H708" s="84"/>
      <c r="I708" s="84"/>
      <c r="J708" s="84"/>
      <c r="K708" s="84"/>
      <c r="L708" s="84"/>
      <c r="M708" s="84"/>
      <c r="N708" s="84"/>
      <c r="O708" s="84"/>
      <c r="P708" s="85"/>
      <c r="Q708" s="75"/>
      <c r="R708" s="75"/>
      <c r="S708" s="75"/>
      <c r="T708" s="75"/>
      <c r="U708" s="89"/>
      <c r="V708" s="84"/>
      <c r="W708" s="84"/>
      <c r="X708" s="84"/>
      <c r="Y708" s="84"/>
      <c r="Z708" s="84"/>
    </row>
    <row r="709" spans="1:26" ht="15.75" customHeight="1">
      <c r="A709" s="83"/>
      <c r="B709" s="84"/>
      <c r="C709" s="84"/>
      <c r="D709" s="83"/>
      <c r="E709" s="84"/>
      <c r="F709" s="84"/>
      <c r="G709" s="83"/>
      <c r="H709" s="84"/>
      <c r="I709" s="84"/>
      <c r="J709" s="84"/>
      <c r="K709" s="84"/>
      <c r="L709" s="84"/>
      <c r="M709" s="84"/>
      <c r="N709" s="84"/>
      <c r="O709" s="84"/>
      <c r="P709" s="85"/>
      <c r="Q709" s="75"/>
      <c r="R709" s="75"/>
      <c r="S709" s="75"/>
      <c r="T709" s="75"/>
      <c r="U709" s="89"/>
      <c r="V709" s="84"/>
      <c r="W709" s="84"/>
      <c r="X709" s="84"/>
      <c r="Y709" s="84"/>
      <c r="Z709" s="84"/>
    </row>
    <row r="710" spans="1:26" ht="15.75" customHeight="1">
      <c r="A710" s="83"/>
      <c r="B710" s="84"/>
      <c r="C710" s="84"/>
      <c r="D710" s="83"/>
      <c r="E710" s="84"/>
      <c r="F710" s="84"/>
      <c r="G710" s="83"/>
      <c r="H710" s="84"/>
      <c r="I710" s="84"/>
      <c r="J710" s="84"/>
      <c r="K710" s="84"/>
      <c r="L710" s="84"/>
      <c r="M710" s="84"/>
      <c r="N710" s="84"/>
      <c r="O710" s="84"/>
      <c r="P710" s="85"/>
      <c r="Q710" s="75"/>
      <c r="R710" s="75"/>
      <c r="S710" s="75"/>
      <c r="T710" s="75"/>
      <c r="U710" s="89"/>
      <c r="V710" s="84"/>
      <c r="W710" s="84"/>
      <c r="X710" s="84"/>
      <c r="Y710" s="84"/>
      <c r="Z710" s="84"/>
    </row>
    <row r="711" spans="1:26" ht="15.75" customHeight="1">
      <c r="A711" s="83"/>
      <c r="B711" s="84"/>
      <c r="C711" s="84"/>
      <c r="D711" s="83"/>
      <c r="E711" s="84"/>
      <c r="F711" s="84"/>
      <c r="G711" s="83"/>
      <c r="H711" s="84"/>
      <c r="I711" s="84"/>
      <c r="J711" s="84"/>
      <c r="K711" s="84"/>
      <c r="L711" s="84"/>
      <c r="M711" s="84"/>
      <c r="N711" s="84"/>
      <c r="O711" s="84"/>
      <c r="P711" s="85"/>
      <c r="Q711" s="75"/>
      <c r="R711" s="75"/>
      <c r="S711" s="75"/>
      <c r="T711" s="75"/>
      <c r="U711" s="89"/>
      <c r="V711" s="84"/>
      <c r="W711" s="84"/>
      <c r="X711" s="84"/>
      <c r="Y711" s="84"/>
      <c r="Z711" s="84"/>
    </row>
    <row r="712" spans="1:26" ht="15.75" customHeight="1">
      <c r="A712" s="83"/>
      <c r="B712" s="84"/>
      <c r="C712" s="84"/>
      <c r="D712" s="83"/>
      <c r="E712" s="84"/>
      <c r="F712" s="84"/>
      <c r="G712" s="83"/>
      <c r="H712" s="84"/>
      <c r="I712" s="84"/>
      <c r="J712" s="84"/>
      <c r="K712" s="84"/>
      <c r="L712" s="84"/>
      <c r="M712" s="84"/>
      <c r="N712" s="84"/>
      <c r="O712" s="84"/>
      <c r="P712" s="85"/>
      <c r="Q712" s="75"/>
      <c r="R712" s="75"/>
      <c r="S712" s="75"/>
      <c r="T712" s="75"/>
      <c r="U712" s="89"/>
      <c r="V712" s="84"/>
      <c r="W712" s="84"/>
      <c r="X712" s="84"/>
      <c r="Y712" s="84"/>
      <c r="Z712" s="84"/>
    </row>
    <row r="713" spans="1:26" ht="15.75" customHeight="1">
      <c r="A713" s="83"/>
      <c r="B713" s="84"/>
      <c r="C713" s="84"/>
      <c r="D713" s="83"/>
      <c r="E713" s="84"/>
      <c r="F713" s="84"/>
      <c r="G713" s="83"/>
      <c r="H713" s="84"/>
      <c r="I713" s="84"/>
      <c r="J713" s="84"/>
      <c r="K713" s="84"/>
      <c r="L713" s="84"/>
      <c r="M713" s="84"/>
      <c r="N713" s="84"/>
      <c r="O713" s="84"/>
      <c r="P713" s="85"/>
      <c r="Q713" s="75"/>
      <c r="R713" s="75"/>
      <c r="S713" s="75"/>
      <c r="T713" s="75"/>
      <c r="U713" s="89"/>
      <c r="V713" s="84"/>
      <c r="W713" s="84"/>
      <c r="X713" s="84"/>
      <c r="Y713" s="84"/>
      <c r="Z713" s="84"/>
    </row>
    <row r="714" spans="1:26" ht="15.75" customHeight="1">
      <c r="A714" s="83"/>
      <c r="B714" s="84"/>
      <c r="C714" s="84"/>
      <c r="D714" s="83"/>
      <c r="E714" s="84"/>
      <c r="F714" s="84"/>
      <c r="G714" s="83"/>
      <c r="H714" s="84"/>
      <c r="I714" s="84"/>
      <c r="J714" s="84"/>
      <c r="K714" s="84"/>
      <c r="L714" s="84"/>
      <c r="M714" s="84"/>
      <c r="N714" s="84"/>
      <c r="O714" s="84"/>
      <c r="P714" s="85"/>
      <c r="Q714" s="75"/>
      <c r="R714" s="75"/>
      <c r="S714" s="75"/>
      <c r="T714" s="75"/>
      <c r="U714" s="89"/>
      <c r="V714" s="84"/>
      <c r="W714" s="84"/>
      <c r="X714" s="84"/>
      <c r="Y714" s="84"/>
      <c r="Z714" s="84"/>
    </row>
    <row r="715" spans="1:26" ht="15.75" customHeight="1">
      <c r="A715" s="83"/>
      <c r="B715" s="84"/>
      <c r="C715" s="84"/>
      <c r="D715" s="83"/>
      <c r="E715" s="84"/>
      <c r="F715" s="84"/>
      <c r="G715" s="83"/>
      <c r="H715" s="84"/>
      <c r="I715" s="84"/>
      <c r="J715" s="84"/>
      <c r="K715" s="84"/>
      <c r="L715" s="84"/>
      <c r="M715" s="84"/>
      <c r="N715" s="84"/>
      <c r="O715" s="84"/>
      <c r="P715" s="85"/>
      <c r="Q715" s="75"/>
      <c r="R715" s="75"/>
      <c r="S715" s="75"/>
      <c r="T715" s="75"/>
      <c r="U715" s="89"/>
      <c r="V715" s="84"/>
      <c r="W715" s="84"/>
      <c r="X715" s="84"/>
      <c r="Y715" s="84"/>
      <c r="Z715" s="84"/>
    </row>
    <row r="716" spans="1:26" ht="15.75" customHeight="1">
      <c r="A716" s="83"/>
      <c r="B716" s="84"/>
      <c r="C716" s="84"/>
      <c r="D716" s="83"/>
      <c r="E716" s="84"/>
      <c r="F716" s="84"/>
      <c r="G716" s="83"/>
      <c r="H716" s="84"/>
      <c r="I716" s="84"/>
      <c r="J716" s="84"/>
      <c r="K716" s="84"/>
      <c r="L716" s="84"/>
      <c r="M716" s="84"/>
      <c r="N716" s="84"/>
      <c r="O716" s="84"/>
      <c r="P716" s="85"/>
      <c r="Q716" s="75"/>
      <c r="R716" s="75"/>
      <c r="S716" s="75"/>
      <c r="T716" s="75"/>
      <c r="U716" s="89"/>
      <c r="V716" s="84"/>
      <c r="W716" s="84"/>
      <c r="X716" s="84"/>
      <c r="Y716" s="84"/>
      <c r="Z716" s="84"/>
    </row>
    <row r="717" spans="1:26" ht="15.75" customHeight="1">
      <c r="A717" s="83"/>
      <c r="B717" s="84"/>
      <c r="C717" s="84"/>
      <c r="D717" s="83"/>
      <c r="E717" s="84"/>
      <c r="F717" s="84"/>
      <c r="G717" s="83"/>
      <c r="H717" s="84"/>
      <c r="I717" s="84"/>
      <c r="J717" s="84"/>
      <c r="K717" s="84"/>
      <c r="L717" s="84"/>
      <c r="M717" s="84"/>
      <c r="N717" s="84"/>
      <c r="O717" s="84"/>
      <c r="P717" s="85"/>
      <c r="Q717" s="75"/>
      <c r="R717" s="75"/>
      <c r="S717" s="75"/>
      <c r="T717" s="75"/>
      <c r="U717" s="89"/>
      <c r="V717" s="84"/>
      <c r="W717" s="84"/>
      <c r="X717" s="84"/>
      <c r="Y717" s="84"/>
      <c r="Z717" s="84"/>
    </row>
    <row r="718" spans="1:26" ht="15.75" customHeight="1">
      <c r="A718" s="83"/>
      <c r="B718" s="84"/>
      <c r="C718" s="84"/>
      <c r="D718" s="83"/>
      <c r="E718" s="84"/>
      <c r="F718" s="84"/>
      <c r="G718" s="83"/>
      <c r="H718" s="84"/>
      <c r="I718" s="84"/>
      <c r="J718" s="84"/>
      <c r="K718" s="84"/>
      <c r="L718" s="84"/>
      <c r="M718" s="84"/>
      <c r="N718" s="84"/>
      <c r="O718" s="84"/>
      <c r="P718" s="85"/>
      <c r="Q718" s="75"/>
      <c r="R718" s="75"/>
      <c r="S718" s="75"/>
      <c r="T718" s="75"/>
      <c r="U718" s="89"/>
      <c r="V718" s="84"/>
      <c r="W718" s="84"/>
      <c r="X718" s="84"/>
      <c r="Y718" s="84"/>
      <c r="Z718" s="84"/>
    </row>
    <row r="719" spans="1:26" ht="15.75" customHeight="1">
      <c r="A719" s="83"/>
      <c r="B719" s="84"/>
      <c r="C719" s="84"/>
      <c r="D719" s="83"/>
      <c r="E719" s="84"/>
      <c r="F719" s="84"/>
      <c r="G719" s="83"/>
      <c r="H719" s="84"/>
      <c r="I719" s="84"/>
      <c r="J719" s="84"/>
      <c r="K719" s="84"/>
      <c r="L719" s="84"/>
      <c r="M719" s="84"/>
      <c r="N719" s="84"/>
      <c r="O719" s="84"/>
      <c r="P719" s="85"/>
      <c r="Q719" s="75"/>
      <c r="R719" s="75"/>
      <c r="S719" s="75"/>
      <c r="T719" s="75"/>
      <c r="U719" s="89"/>
      <c r="V719" s="84"/>
      <c r="W719" s="84"/>
      <c r="X719" s="84"/>
      <c r="Y719" s="84"/>
      <c r="Z719" s="84"/>
    </row>
    <row r="720" spans="1:26" ht="15.75" customHeight="1">
      <c r="A720" s="83"/>
      <c r="B720" s="84"/>
      <c r="C720" s="84"/>
      <c r="D720" s="83"/>
      <c r="E720" s="84"/>
      <c r="F720" s="84"/>
      <c r="G720" s="83"/>
      <c r="H720" s="84"/>
      <c r="I720" s="84"/>
      <c r="J720" s="84"/>
      <c r="K720" s="84"/>
      <c r="L720" s="84"/>
      <c r="M720" s="84"/>
      <c r="N720" s="84"/>
      <c r="O720" s="84"/>
      <c r="P720" s="85"/>
      <c r="Q720" s="75"/>
      <c r="R720" s="75"/>
      <c r="S720" s="75"/>
      <c r="T720" s="75"/>
      <c r="U720" s="89"/>
      <c r="V720" s="84"/>
      <c r="W720" s="84"/>
      <c r="X720" s="84"/>
      <c r="Y720" s="84"/>
      <c r="Z720" s="84"/>
    </row>
    <row r="721" spans="1:26" ht="15.75" customHeight="1">
      <c r="A721" s="83"/>
      <c r="B721" s="84"/>
      <c r="C721" s="84"/>
      <c r="D721" s="83"/>
      <c r="E721" s="84"/>
      <c r="F721" s="84"/>
      <c r="G721" s="83"/>
      <c r="H721" s="84"/>
      <c r="I721" s="84"/>
      <c r="J721" s="84"/>
      <c r="K721" s="84"/>
      <c r="L721" s="84"/>
      <c r="M721" s="84"/>
      <c r="N721" s="84"/>
      <c r="O721" s="84"/>
      <c r="P721" s="85"/>
      <c r="Q721" s="75"/>
      <c r="R721" s="75"/>
      <c r="S721" s="75"/>
      <c r="T721" s="75"/>
      <c r="U721" s="89"/>
      <c r="V721" s="84"/>
      <c r="W721" s="84"/>
      <c r="X721" s="84"/>
      <c r="Y721" s="84"/>
      <c r="Z721" s="84"/>
    </row>
    <row r="722" spans="1:26" ht="15.75" customHeight="1">
      <c r="A722" s="83"/>
      <c r="B722" s="84"/>
      <c r="C722" s="84"/>
      <c r="D722" s="83"/>
      <c r="E722" s="84"/>
      <c r="F722" s="84"/>
      <c r="G722" s="83"/>
      <c r="H722" s="84"/>
      <c r="I722" s="84"/>
      <c r="J722" s="84"/>
      <c r="K722" s="84"/>
      <c r="L722" s="84"/>
      <c r="M722" s="84"/>
      <c r="N722" s="84"/>
      <c r="O722" s="84"/>
      <c r="P722" s="85"/>
      <c r="Q722" s="75"/>
      <c r="R722" s="75"/>
      <c r="S722" s="75"/>
      <c r="T722" s="75"/>
      <c r="U722" s="89"/>
      <c r="V722" s="84"/>
      <c r="W722" s="84"/>
      <c r="X722" s="84"/>
      <c r="Y722" s="84"/>
      <c r="Z722" s="84"/>
    </row>
    <row r="723" spans="1:26" ht="15.75" customHeight="1">
      <c r="A723" s="83"/>
      <c r="B723" s="84"/>
      <c r="C723" s="84"/>
      <c r="D723" s="83"/>
      <c r="E723" s="84"/>
      <c r="F723" s="84"/>
      <c r="G723" s="83"/>
      <c r="H723" s="84"/>
      <c r="I723" s="84"/>
      <c r="J723" s="84"/>
      <c r="K723" s="84"/>
      <c r="L723" s="84"/>
      <c r="M723" s="84"/>
      <c r="N723" s="84"/>
      <c r="O723" s="84"/>
      <c r="P723" s="85"/>
      <c r="Q723" s="75"/>
      <c r="R723" s="75"/>
      <c r="S723" s="75"/>
      <c r="T723" s="75"/>
      <c r="U723" s="89"/>
      <c r="V723" s="84"/>
      <c r="W723" s="84"/>
      <c r="X723" s="84"/>
      <c r="Y723" s="84"/>
      <c r="Z723" s="84"/>
    </row>
    <row r="724" spans="1:26" ht="15.75" customHeight="1">
      <c r="A724" s="83"/>
      <c r="B724" s="84"/>
      <c r="C724" s="84"/>
      <c r="D724" s="83"/>
      <c r="E724" s="84"/>
      <c r="F724" s="84"/>
      <c r="G724" s="83"/>
      <c r="H724" s="84"/>
      <c r="I724" s="84"/>
      <c r="J724" s="84"/>
      <c r="K724" s="84"/>
      <c r="L724" s="84"/>
      <c r="M724" s="84"/>
      <c r="N724" s="84"/>
      <c r="O724" s="84"/>
      <c r="P724" s="85"/>
      <c r="Q724" s="75"/>
      <c r="R724" s="75"/>
      <c r="S724" s="75"/>
      <c r="T724" s="75"/>
      <c r="U724" s="89"/>
      <c r="V724" s="84"/>
      <c r="W724" s="84"/>
      <c r="X724" s="84"/>
      <c r="Y724" s="84"/>
      <c r="Z724" s="84"/>
    </row>
    <row r="725" spans="1:26" ht="15.75" customHeight="1">
      <c r="A725" s="83"/>
      <c r="B725" s="84"/>
      <c r="C725" s="84"/>
      <c r="D725" s="83"/>
      <c r="E725" s="84"/>
      <c r="F725" s="84"/>
      <c r="G725" s="83"/>
      <c r="H725" s="84"/>
      <c r="I725" s="84"/>
      <c r="J725" s="84"/>
      <c r="K725" s="84"/>
      <c r="L725" s="84"/>
      <c r="M725" s="84"/>
      <c r="N725" s="84"/>
      <c r="O725" s="84"/>
      <c r="P725" s="85"/>
      <c r="Q725" s="75"/>
      <c r="R725" s="75"/>
      <c r="S725" s="75"/>
      <c r="T725" s="75"/>
      <c r="U725" s="89"/>
      <c r="V725" s="84"/>
      <c r="W725" s="84"/>
      <c r="X725" s="84"/>
      <c r="Y725" s="84"/>
      <c r="Z725" s="84"/>
    </row>
    <row r="726" spans="1:26" ht="15.75" customHeight="1">
      <c r="A726" s="83"/>
      <c r="B726" s="84"/>
      <c r="C726" s="84"/>
      <c r="D726" s="83"/>
      <c r="E726" s="84"/>
      <c r="F726" s="84"/>
      <c r="G726" s="83"/>
      <c r="H726" s="84"/>
      <c r="I726" s="84"/>
      <c r="J726" s="84"/>
      <c r="K726" s="84"/>
      <c r="L726" s="84"/>
      <c r="M726" s="84"/>
      <c r="N726" s="84"/>
      <c r="O726" s="84"/>
      <c r="P726" s="85"/>
      <c r="Q726" s="75"/>
      <c r="R726" s="75"/>
      <c r="S726" s="75"/>
      <c r="T726" s="75"/>
      <c r="U726" s="89"/>
      <c r="V726" s="84"/>
      <c r="W726" s="84"/>
      <c r="X726" s="84"/>
      <c r="Y726" s="84"/>
      <c r="Z726" s="84"/>
    </row>
    <row r="727" spans="1:26" ht="15.75" customHeight="1">
      <c r="A727" s="83"/>
      <c r="B727" s="84"/>
      <c r="C727" s="84"/>
      <c r="D727" s="83"/>
      <c r="E727" s="84"/>
      <c r="F727" s="84"/>
      <c r="G727" s="83"/>
      <c r="H727" s="84"/>
      <c r="I727" s="84"/>
      <c r="J727" s="84"/>
      <c r="K727" s="84"/>
      <c r="L727" s="84"/>
      <c r="M727" s="84"/>
      <c r="N727" s="84"/>
      <c r="O727" s="84"/>
      <c r="P727" s="85"/>
      <c r="Q727" s="75"/>
      <c r="R727" s="75"/>
      <c r="S727" s="75"/>
      <c r="T727" s="75"/>
      <c r="U727" s="89"/>
      <c r="V727" s="84"/>
      <c r="W727" s="84"/>
      <c r="X727" s="84"/>
      <c r="Y727" s="84"/>
      <c r="Z727" s="84"/>
    </row>
    <row r="728" spans="1:26" ht="15.75" customHeight="1">
      <c r="A728" s="83"/>
      <c r="B728" s="84"/>
      <c r="C728" s="84"/>
      <c r="D728" s="83"/>
      <c r="E728" s="84"/>
      <c r="F728" s="84"/>
      <c r="G728" s="83"/>
      <c r="H728" s="84"/>
      <c r="I728" s="84"/>
      <c r="J728" s="84"/>
      <c r="K728" s="84"/>
      <c r="L728" s="84"/>
      <c r="M728" s="84"/>
      <c r="N728" s="84"/>
      <c r="O728" s="84"/>
      <c r="P728" s="85"/>
      <c r="Q728" s="75"/>
      <c r="R728" s="75"/>
      <c r="S728" s="75"/>
      <c r="T728" s="75"/>
      <c r="U728" s="89"/>
      <c r="V728" s="84"/>
      <c r="W728" s="84"/>
      <c r="X728" s="84"/>
      <c r="Y728" s="84"/>
      <c r="Z728" s="84"/>
    </row>
    <row r="729" spans="1:26" ht="15.75" customHeight="1">
      <c r="A729" s="83"/>
      <c r="B729" s="84"/>
      <c r="C729" s="84"/>
      <c r="D729" s="83"/>
      <c r="E729" s="84"/>
      <c r="F729" s="84"/>
      <c r="G729" s="83"/>
      <c r="H729" s="84"/>
      <c r="I729" s="84"/>
      <c r="J729" s="84"/>
      <c r="K729" s="84"/>
      <c r="L729" s="84"/>
      <c r="M729" s="84"/>
      <c r="N729" s="84"/>
      <c r="O729" s="84"/>
      <c r="P729" s="85"/>
      <c r="Q729" s="75"/>
      <c r="R729" s="75"/>
      <c r="S729" s="75"/>
      <c r="T729" s="75"/>
      <c r="U729" s="89"/>
      <c r="V729" s="84"/>
      <c r="W729" s="84"/>
      <c r="X729" s="84"/>
      <c r="Y729" s="84"/>
      <c r="Z729" s="84"/>
    </row>
    <row r="730" spans="1:26" ht="15.75" customHeight="1">
      <c r="A730" s="83"/>
      <c r="B730" s="84"/>
      <c r="C730" s="84"/>
      <c r="D730" s="83"/>
      <c r="E730" s="84"/>
      <c r="F730" s="84"/>
      <c r="G730" s="83"/>
      <c r="H730" s="84"/>
      <c r="I730" s="84"/>
      <c r="J730" s="84"/>
      <c r="K730" s="84"/>
      <c r="L730" s="84"/>
      <c r="M730" s="84"/>
      <c r="N730" s="84"/>
      <c r="O730" s="84"/>
      <c r="P730" s="85"/>
      <c r="Q730" s="75"/>
      <c r="R730" s="75"/>
      <c r="S730" s="75"/>
      <c r="T730" s="75"/>
      <c r="U730" s="89"/>
      <c r="V730" s="84"/>
      <c r="W730" s="84"/>
      <c r="X730" s="84"/>
      <c r="Y730" s="84"/>
      <c r="Z730" s="84"/>
    </row>
    <row r="731" spans="1:26" ht="15.75" customHeight="1">
      <c r="A731" s="83"/>
      <c r="B731" s="84"/>
      <c r="C731" s="84"/>
      <c r="D731" s="83"/>
      <c r="E731" s="84"/>
      <c r="F731" s="84"/>
      <c r="G731" s="83"/>
      <c r="H731" s="84"/>
      <c r="I731" s="84"/>
      <c r="J731" s="84"/>
      <c r="K731" s="84"/>
      <c r="L731" s="84"/>
      <c r="M731" s="84"/>
      <c r="N731" s="84"/>
      <c r="O731" s="84"/>
      <c r="P731" s="85"/>
      <c r="Q731" s="75"/>
      <c r="R731" s="75"/>
      <c r="S731" s="75"/>
      <c r="T731" s="75"/>
      <c r="U731" s="89"/>
      <c r="V731" s="84"/>
      <c r="W731" s="84"/>
      <c r="X731" s="84"/>
      <c r="Y731" s="84"/>
      <c r="Z731" s="84"/>
    </row>
    <row r="732" spans="1:26" ht="15.75" customHeight="1">
      <c r="A732" s="83"/>
      <c r="B732" s="84"/>
      <c r="C732" s="84"/>
      <c r="D732" s="83"/>
      <c r="E732" s="84"/>
      <c r="F732" s="84"/>
      <c r="G732" s="83"/>
      <c r="H732" s="84"/>
      <c r="I732" s="84"/>
      <c r="J732" s="84"/>
      <c r="K732" s="84"/>
      <c r="L732" s="84"/>
      <c r="M732" s="84"/>
      <c r="N732" s="84"/>
      <c r="O732" s="84"/>
      <c r="P732" s="85"/>
      <c r="Q732" s="75"/>
      <c r="R732" s="75"/>
      <c r="S732" s="75"/>
      <c r="T732" s="75"/>
      <c r="U732" s="89"/>
      <c r="V732" s="84"/>
      <c r="W732" s="84"/>
      <c r="X732" s="84"/>
      <c r="Y732" s="84"/>
      <c r="Z732" s="84"/>
    </row>
    <row r="733" spans="1:26" ht="15.75" customHeight="1">
      <c r="A733" s="83"/>
      <c r="B733" s="84"/>
      <c r="C733" s="84"/>
      <c r="D733" s="83"/>
      <c r="E733" s="84"/>
      <c r="F733" s="84"/>
      <c r="G733" s="83"/>
      <c r="H733" s="84"/>
      <c r="I733" s="84"/>
      <c r="J733" s="84"/>
      <c r="K733" s="84"/>
      <c r="L733" s="84"/>
      <c r="M733" s="84"/>
      <c r="N733" s="84"/>
      <c r="O733" s="84"/>
      <c r="P733" s="85"/>
      <c r="Q733" s="75"/>
      <c r="R733" s="75"/>
      <c r="S733" s="75"/>
      <c r="T733" s="75"/>
      <c r="U733" s="89"/>
      <c r="V733" s="84"/>
      <c r="W733" s="84"/>
      <c r="X733" s="84"/>
      <c r="Y733" s="84"/>
      <c r="Z733" s="84"/>
    </row>
    <row r="734" spans="1:26" ht="15.75" customHeight="1">
      <c r="A734" s="83"/>
      <c r="B734" s="84"/>
      <c r="C734" s="84"/>
      <c r="D734" s="83"/>
      <c r="E734" s="84"/>
      <c r="F734" s="84"/>
      <c r="G734" s="83"/>
      <c r="H734" s="84"/>
      <c r="I734" s="84"/>
      <c r="J734" s="84"/>
      <c r="K734" s="84"/>
      <c r="L734" s="84"/>
      <c r="M734" s="84"/>
      <c r="N734" s="84"/>
      <c r="O734" s="84"/>
      <c r="P734" s="85"/>
      <c r="Q734" s="75"/>
      <c r="R734" s="75"/>
      <c r="S734" s="75"/>
      <c r="T734" s="75"/>
      <c r="U734" s="89"/>
      <c r="V734" s="84"/>
      <c r="W734" s="84"/>
      <c r="X734" s="84"/>
      <c r="Y734" s="84"/>
      <c r="Z734" s="84"/>
    </row>
    <row r="735" spans="1:26" ht="15.75" customHeight="1">
      <c r="A735" s="83"/>
      <c r="B735" s="84"/>
      <c r="C735" s="84"/>
      <c r="D735" s="83"/>
      <c r="E735" s="84"/>
      <c r="F735" s="84"/>
      <c r="G735" s="83"/>
      <c r="H735" s="84"/>
      <c r="I735" s="84"/>
      <c r="J735" s="84"/>
      <c r="K735" s="84"/>
      <c r="L735" s="84"/>
      <c r="M735" s="84"/>
      <c r="N735" s="84"/>
      <c r="O735" s="84"/>
      <c r="P735" s="85"/>
      <c r="Q735" s="75"/>
      <c r="R735" s="75"/>
      <c r="S735" s="75"/>
      <c r="T735" s="75"/>
      <c r="U735" s="89"/>
      <c r="V735" s="84"/>
      <c r="W735" s="84"/>
      <c r="X735" s="84"/>
      <c r="Y735" s="84"/>
      <c r="Z735" s="84"/>
    </row>
    <row r="736" spans="1:26" ht="15.75" customHeight="1">
      <c r="A736" s="83"/>
      <c r="B736" s="84"/>
      <c r="C736" s="84"/>
      <c r="D736" s="83"/>
      <c r="E736" s="84"/>
      <c r="F736" s="84"/>
      <c r="G736" s="83"/>
      <c r="H736" s="84"/>
      <c r="I736" s="84"/>
      <c r="J736" s="84"/>
      <c r="K736" s="84"/>
      <c r="L736" s="84"/>
      <c r="M736" s="84"/>
      <c r="N736" s="84"/>
      <c r="O736" s="84"/>
      <c r="P736" s="85"/>
      <c r="Q736" s="75"/>
      <c r="R736" s="75"/>
      <c r="S736" s="75"/>
      <c r="T736" s="75"/>
      <c r="U736" s="89"/>
      <c r="V736" s="84"/>
      <c r="W736" s="84"/>
      <c r="X736" s="84"/>
      <c r="Y736" s="84"/>
      <c r="Z736" s="84"/>
    </row>
    <row r="737" spans="1:26" ht="15.75" customHeight="1">
      <c r="A737" s="83"/>
      <c r="B737" s="84"/>
      <c r="C737" s="84"/>
      <c r="D737" s="83"/>
      <c r="E737" s="84"/>
      <c r="F737" s="84"/>
      <c r="G737" s="83"/>
      <c r="H737" s="84"/>
      <c r="I737" s="84"/>
      <c r="J737" s="84"/>
      <c r="K737" s="84"/>
      <c r="L737" s="84"/>
      <c r="M737" s="84"/>
      <c r="N737" s="84"/>
      <c r="O737" s="84"/>
      <c r="P737" s="85"/>
      <c r="Q737" s="75"/>
      <c r="R737" s="75"/>
      <c r="S737" s="75"/>
      <c r="T737" s="75"/>
      <c r="U737" s="89"/>
      <c r="V737" s="84"/>
      <c r="W737" s="84"/>
      <c r="X737" s="84"/>
      <c r="Y737" s="84"/>
      <c r="Z737" s="84"/>
    </row>
    <row r="738" spans="1:26" ht="15.75" customHeight="1">
      <c r="A738" s="83"/>
      <c r="B738" s="84"/>
      <c r="C738" s="84"/>
      <c r="D738" s="83"/>
      <c r="E738" s="84"/>
      <c r="F738" s="84"/>
      <c r="G738" s="83"/>
      <c r="H738" s="84"/>
      <c r="I738" s="84"/>
      <c r="J738" s="84"/>
      <c r="K738" s="84"/>
      <c r="L738" s="84"/>
      <c r="M738" s="84"/>
      <c r="N738" s="84"/>
      <c r="O738" s="84"/>
      <c r="P738" s="85"/>
      <c r="Q738" s="75"/>
      <c r="R738" s="75"/>
      <c r="S738" s="75"/>
      <c r="T738" s="75"/>
      <c r="U738" s="89"/>
      <c r="V738" s="84"/>
      <c r="W738" s="84"/>
      <c r="X738" s="84"/>
      <c r="Y738" s="84"/>
      <c r="Z738" s="84"/>
    </row>
    <row r="739" spans="1:26" ht="15.75" customHeight="1">
      <c r="A739" s="83"/>
      <c r="B739" s="84"/>
      <c r="C739" s="84"/>
      <c r="D739" s="83"/>
      <c r="E739" s="84"/>
      <c r="F739" s="84"/>
      <c r="G739" s="83"/>
      <c r="H739" s="84"/>
      <c r="I739" s="84"/>
      <c r="J739" s="84"/>
      <c r="K739" s="84"/>
      <c r="L739" s="84"/>
      <c r="M739" s="84"/>
      <c r="N739" s="84"/>
      <c r="O739" s="84"/>
      <c r="P739" s="85"/>
      <c r="Q739" s="75"/>
      <c r="R739" s="75"/>
      <c r="S739" s="75"/>
      <c r="T739" s="75"/>
      <c r="U739" s="89"/>
      <c r="V739" s="84"/>
      <c r="W739" s="84"/>
      <c r="X739" s="84"/>
      <c r="Y739" s="84"/>
      <c r="Z739" s="84"/>
    </row>
    <row r="740" spans="1:26" ht="15.75" customHeight="1">
      <c r="A740" s="83"/>
      <c r="B740" s="84"/>
      <c r="C740" s="84"/>
      <c r="D740" s="83"/>
      <c r="E740" s="84"/>
      <c r="F740" s="84"/>
      <c r="G740" s="83"/>
      <c r="H740" s="84"/>
      <c r="I740" s="84"/>
      <c r="J740" s="84"/>
      <c r="K740" s="84"/>
      <c r="L740" s="84"/>
      <c r="M740" s="84"/>
      <c r="N740" s="84"/>
      <c r="O740" s="84"/>
      <c r="P740" s="85"/>
      <c r="Q740" s="75"/>
      <c r="R740" s="75"/>
      <c r="S740" s="75"/>
      <c r="T740" s="75"/>
      <c r="U740" s="89"/>
      <c r="V740" s="84"/>
      <c r="W740" s="84"/>
      <c r="X740" s="84"/>
      <c r="Y740" s="84"/>
      <c r="Z740" s="84"/>
    </row>
    <row r="741" spans="1:26" ht="15.75" customHeight="1">
      <c r="A741" s="83"/>
      <c r="B741" s="84"/>
      <c r="C741" s="84"/>
      <c r="D741" s="83"/>
      <c r="E741" s="84"/>
      <c r="F741" s="84"/>
      <c r="G741" s="83"/>
      <c r="H741" s="84"/>
      <c r="I741" s="84"/>
      <c r="J741" s="84"/>
      <c r="K741" s="84"/>
      <c r="L741" s="84"/>
      <c r="M741" s="84"/>
      <c r="N741" s="84"/>
      <c r="O741" s="84"/>
      <c r="P741" s="85"/>
      <c r="Q741" s="75"/>
      <c r="R741" s="75"/>
      <c r="S741" s="75"/>
      <c r="T741" s="75"/>
      <c r="U741" s="89"/>
      <c r="V741" s="84"/>
      <c r="W741" s="84"/>
      <c r="X741" s="84"/>
      <c r="Y741" s="84"/>
      <c r="Z741" s="84"/>
    </row>
    <row r="742" spans="1:26" ht="15.75" customHeight="1">
      <c r="A742" s="83"/>
      <c r="B742" s="84"/>
      <c r="C742" s="84"/>
      <c r="D742" s="83"/>
      <c r="E742" s="84"/>
      <c r="F742" s="84"/>
      <c r="G742" s="83"/>
      <c r="H742" s="84"/>
      <c r="I742" s="84"/>
      <c r="J742" s="84"/>
      <c r="K742" s="84"/>
      <c r="L742" s="84"/>
      <c r="M742" s="84"/>
      <c r="N742" s="84"/>
      <c r="O742" s="84"/>
      <c r="P742" s="85"/>
      <c r="Q742" s="75"/>
      <c r="R742" s="75"/>
      <c r="S742" s="75"/>
      <c r="T742" s="75"/>
      <c r="U742" s="89"/>
      <c r="V742" s="84"/>
      <c r="W742" s="84"/>
      <c r="X742" s="84"/>
      <c r="Y742" s="84"/>
      <c r="Z742" s="84"/>
    </row>
    <row r="743" spans="1:26" ht="15.75" customHeight="1">
      <c r="A743" s="83"/>
      <c r="B743" s="84"/>
      <c r="C743" s="84"/>
      <c r="D743" s="83"/>
      <c r="E743" s="84"/>
      <c r="F743" s="84"/>
      <c r="G743" s="83"/>
      <c r="H743" s="84"/>
      <c r="I743" s="84"/>
      <c r="J743" s="84"/>
      <c r="K743" s="84"/>
      <c r="L743" s="84"/>
      <c r="M743" s="84"/>
      <c r="N743" s="84"/>
      <c r="O743" s="84"/>
      <c r="P743" s="85"/>
      <c r="Q743" s="75"/>
      <c r="R743" s="75"/>
      <c r="S743" s="75"/>
      <c r="T743" s="75"/>
      <c r="U743" s="89"/>
      <c r="V743" s="84"/>
      <c r="W743" s="84"/>
      <c r="X743" s="84"/>
      <c r="Y743" s="84"/>
      <c r="Z743" s="84"/>
    </row>
    <row r="744" spans="1:26" ht="15.75" customHeight="1">
      <c r="A744" s="83"/>
      <c r="B744" s="84"/>
      <c r="C744" s="84"/>
      <c r="D744" s="83"/>
      <c r="E744" s="84"/>
      <c r="F744" s="84"/>
      <c r="G744" s="83"/>
      <c r="H744" s="84"/>
      <c r="I744" s="84"/>
      <c r="J744" s="84"/>
      <c r="K744" s="84"/>
      <c r="L744" s="84"/>
      <c r="M744" s="84"/>
      <c r="N744" s="84"/>
      <c r="O744" s="84"/>
      <c r="P744" s="85"/>
      <c r="Q744" s="75"/>
      <c r="R744" s="75"/>
      <c r="S744" s="75"/>
      <c r="T744" s="75"/>
      <c r="U744" s="89"/>
      <c r="V744" s="84"/>
      <c r="W744" s="84"/>
      <c r="X744" s="84"/>
      <c r="Y744" s="84"/>
      <c r="Z744" s="84"/>
    </row>
    <row r="745" spans="1:26" ht="15.75" customHeight="1">
      <c r="A745" s="83"/>
      <c r="B745" s="84"/>
      <c r="C745" s="84"/>
      <c r="D745" s="83"/>
      <c r="E745" s="84"/>
      <c r="F745" s="84"/>
      <c r="G745" s="83"/>
      <c r="H745" s="84"/>
      <c r="I745" s="84"/>
      <c r="J745" s="84"/>
      <c r="K745" s="84"/>
      <c r="L745" s="84"/>
      <c r="M745" s="84"/>
      <c r="N745" s="84"/>
      <c r="O745" s="84"/>
      <c r="P745" s="85"/>
      <c r="Q745" s="75"/>
      <c r="R745" s="75"/>
      <c r="S745" s="75"/>
      <c r="T745" s="75"/>
      <c r="U745" s="89"/>
      <c r="V745" s="84"/>
      <c r="W745" s="84"/>
      <c r="X745" s="84"/>
      <c r="Y745" s="84"/>
      <c r="Z745" s="84"/>
    </row>
    <row r="746" spans="1:26" ht="15.75" customHeight="1">
      <c r="A746" s="83"/>
      <c r="B746" s="84"/>
      <c r="C746" s="84"/>
      <c r="D746" s="83"/>
      <c r="E746" s="84"/>
      <c r="F746" s="84"/>
      <c r="G746" s="83"/>
      <c r="H746" s="84"/>
      <c r="I746" s="84"/>
      <c r="J746" s="84"/>
      <c r="K746" s="84"/>
      <c r="L746" s="84"/>
      <c r="M746" s="84"/>
      <c r="N746" s="84"/>
      <c r="O746" s="84"/>
      <c r="P746" s="85"/>
      <c r="Q746" s="75"/>
      <c r="R746" s="75"/>
      <c r="S746" s="75"/>
      <c r="T746" s="75"/>
      <c r="U746" s="89"/>
      <c r="V746" s="84"/>
      <c r="W746" s="84"/>
      <c r="X746" s="84"/>
      <c r="Y746" s="84"/>
      <c r="Z746" s="84"/>
    </row>
    <row r="747" spans="1:26" ht="15.75" customHeight="1">
      <c r="A747" s="83"/>
      <c r="B747" s="84"/>
      <c r="C747" s="84"/>
      <c r="D747" s="83"/>
      <c r="E747" s="84"/>
      <c r="F747" s="84"/>
      <c r="G747" s="83"/>
      <c r="H747" s="84"/>
      <c r="I747" s="84"/>
      <c r="J747" s="84"/>
      <c r="K747" s="84"/>
      <c r="L747" s="84"/>
      <c r="M747" s="84"/>
      <c r="N747" s="84"/>
      <c r="O747" s="84"/>
      <c r="P747" s="85"/>
      <c r="Q747" s="75"/>
      <c r="R747" s="75"/>
      <c r="S747" s="75"/>
      <c r="T747" s="75"/>
      <c r="U747" s="89"/>
      <c r="V747" s="84"/>
      <c r="W747" s="84"/>
      <c r="X747" s="84"/>
      <c r="Y747" s="84"/>
      <c r="Z747" s="84"/>
    </row>
    <row r="748" spans="1:26" ht="15.75" customHeight="1">
      <c r="A748" s="83"/>
      <c r="B748" s="84"/>
      <c r="C748" s="84"/>
      <c r="D748" s="83"/>
      <c r="E748" s="84"/>
      <c r="F748" s="84"/>
      <c r="G748" s="83"/>
      <c r="H748" s="84"/>
      <c r="I748" s="84"/>
      <c r="J748" s="84"/>
      <c r="K748" s="84"/>
      <c r="L748" s="84"/>
      <c r="M748" s="84"/>
      <c r="N748" s="84"/>
      <c r="O748" s="84"/>
      <c r="P748" s="85"/>
      <c r="Q748" s="75"/>
      <c r="R748" s="75"/>
      <c r="S748" s="75"/>
      <c r="T748" s="75"/>
      <c r="U748" s="89"/>
      <c r="V748" s="84"/>
      <c r="W748" s="84"/>
      <c r="X748" s="84"/>
      <c r="Y748" s="84"/>
      <c r="Z748" s="84"/>
    </row>
    <row r="749" spans="1:26" ht="15.75" customHeight="1">
      <c r="A749" s="83"/>
      <c r="B749" s="84"/>
      <c r="C749" s="84"/>
      <c r="D749" s="83"/>
      <c r="E749" s="84"/>
      <c r="F749" s="84"/>
      <c r="G749" s="83"/>
      <c r="H749" s="84"/>
      <c r="I749" s="84"/>
      <c r="J749" s="84"/>
      <c r="K749" s="84"/>
      <c r="L749" s="84"/>
      <c r="M749" s="84"/>
      <c r="N749" s="84"/>
      <c r="O749" s="84"/>
      <c r="P749" s="85"/>
      <c r="Q749" s="75"/>
      <c r="R749" s="75"/>
      <c r="S749" s="75"/>
      <c r="T749" s="75"/>
      <c r="U749" s="89"/>
      <c r="V749" s="84"/>
      <c r="W749" s="84"/>
      <c r="X749" s="84"/>
      <c r="Y749" s="84"/>
      <c r="Z749" s="84"/>
    </row>
    <row r="750" spans="1:26" ht="15.75" customHeight="1">
      <c r="A750" s="83"/>
      <c r="B750" s="84"/>
      <c r="C750" s="84"/>
      <c r="D750" s="83"/>
      <c r="E750" s="84"/>
      <c r="F750" s="84"/>
      <c r="G750" s="83"/>
      <c r="H750" s="84"/>
      <c r="I750" s="84"/>
      <c r="J750" s="84"/>
      <c r="K750" s="84"/>
      <c r="L750" s="84"/>
      <c r="M750" s="84"/>
      <c r="N750" s="84"/>
      <c r="O750" s="84"/>
      <c r="P750" s="85"/>
      <c r="Q750" s="75"/>
      <c r="R750" s="75"/>
      <c r="S750" s="75"/>
      <c r="T750" s="75"/>
      <c r="U750" s="89"/>
      <c r="V750" s="84"/>
      <c r="W750" s="84"/>
      <c r="X750" s="84"/>
      <c r="Y750" s="84"/>
      <c r="Z750" s="84"/>
    </row>
    <row r="751" spans="1:26" ht="15.75" customHeight="1">
      <c r="A751" s="83"/>
      <c r="B751" s="84"/>
      <c r="C751" s="84"/>
      <c r="D751" s="83"/>
      <c r="E751" s="84"/>
      <c r="F751" s="84"/>
      <c r="G751" s="83"/>
      <c r="H751" s="84"/>
      <c r="I751" s="84"/>
      <c r="J751" s="84"/>
      <c r="K751" s="84"/>
      <c r="L751" s="84"/>
      <c r="M751" s="84"/>
      <c r="N751" s="84"/>
      <c r="O751" s="84"/>
      <c r="P751" s="85"/>
      <c r="Q751" s="75"/>
      <c r="R751" s="75"/>
      <c r="S751" s="75"/>
      <c r="T751" s="75"/>
      <c r="U751" s="89"/>
      <c r="V751" s="84"/>
      <c r="W751" s="84"/>
      <c r="X751" s="84"/>
      <c r="Y751" s="84"/>
      <c r="Z751" s="84"/>
    </row>
    <row r="752" spans="1:26" ht="15.75" customHeight="1">
      <c r="A752" s="83"/>
      <c r="B752" s="84"/>
      <c r="C752" s="84"/>
      <c r="D752" s="83"/>
      <c r="E752" s="84"/>
      <c r="F752" s="84"/>
      <c r="G752" s="83"/>
      <c r="H752" s="84"/>
      <c r="I752" s="84"/>
      <c r="J752" s="84"/>
      <c r="K752" s="84"/>
      <c r="L752" s="84"/>
      <c r="M752" s="84"/>
      <c r="N752" s="84"/>
      <c r="O752" s="84"/>
      <c r="P752" s="85"/>
      <c r="Q752" s="75"/>
      <c r="R752" s="75"/>
      <c r="S752" s="75"/>
      <c r="T752" s="75"/>
      <c r="U752" s="89"/>
      <c r="V752" s="84"/>
      <c r="W752" s="84"/>
      <c r="X752" s="84"/>
      <c r="Y752" s="84"/>
      <c r="Z752" s="84"/>
    </row>
    <row r="753" spans="1:26" ht="15.75" customHeight="1">
      <c r="A753" s="83"/>
      <c r="B753" s="84"/>
      <c r="C753" s="84"/>
      <c r="D753" s="83"/>
      <c r="E753" s="84"/>
      <c r="F753" s="84"/>
      <c r="G753" s="83"/>
      <c r="H753" s="84"/>
      <c r="I753" s="84"/>
      <c r="J753" s="84"/>
      <c r="K753" s="84"/>
      <c r="L753" s="84"/>
      <c r="M753" s="84"/>
      <c r="N753" s="84"/>
      <c r="O753" s="84"/>
      <c r="P753" s="85"/>
      <c r="Q753" s="75"/>
      <c r="R753" s="75"/>
      <c r="S753" s="75"/>
      <c r="T753" s="75"/>
      <c r="U753" s="89"/>
      <c r="V753" s="84"/>
      <c r="W753" s="84"/>
      <c r="X753" s="84"/>
      <c r="Y753" s="84"/>
      <c r="Z753" s="84"/>
    </row>
    <row r="754" spans="1:26" ht="15.75" customHeight="1">
      <c r="A754" s="83"/>
      <c r="B754" s="84"/>
      <c r="C754" s="84"/>
      <c r="D754" s="83"/>
      <c r="E754" s="84"/>
      <c r="F754" s="84"/>
      <c r="G754" s="83"/>
      <c r="H754" s="84"/>
      <c r="I754" s="84"/>
      <c r="J754" s="84"/>
      <c r="K754" s="84"/>
      <c r="L754" s="84"/>
      <c r="M754" s="84"/>
      <c r="N754" s="84"/>
      <c r="O754" s="84"/>
      <c r="P754" s="85"/>
      <c r="Q754" s="75"/>
      <c r="R754" s="75"/>
      <c r="S754" s="75"/>
      <c r="T754" s="75"/>
      <c r="U754" s="89"/>
      <c r="V754" s="84"/>
      <c r="W754" s="84"/>
      <c r="X754" s="84"/>
      <c r="Y754" s="84"/>
      <c r="Z754" s="84"/>
    </row>
    <row r="755" spans="1:26" ht="15.75" customHeight="1">
      <c r="A755" s="83"/>
      <c r="B755" s="84"/>
      <c r="C755" s="84"/>
      <c r="D755" s="83"/>
      <c r="E755" s="84"/>
      <c r="F755" s="84"/>
      <c r="G755" s="83"/>
      <c r="H755" s="84"/>
      <c r="I755" s="84"/>
      <c r="J755" s="84"/>
      <c r="K755" s="84"/>
      <c r="L755" s="84"/>
      <c r="M755" s="84"/>
      <c r="N755" s="84"/>
      <c r="O755" s="84"/>
      <c r="P755" s="85"/>
      <c r="Q755" s="75"/>
      <c r="R755" s="75"/>
      <c r="S755" s="75"/>
      <c r="T755" s="75"/>
      <c r="U755" s="89"/>
      <c r="V755" s="84"/>
      <c r="W755" s="84"/>
      <c r="X755" s="84"/>
      <c r="Y755" s="84"/>
      <c r="Z755" s="84"/>
    </row>
    <row r="756" spans="1:26" ht="15.75" customHeight="1">
      <c r="A756" s="83"/>
      <c r="B756" s="84"/>
      <c r="C756" s="84"/>
      <c r="D756" s="83"/>
      <c r="E756" s="84"/>
      <c r="F756" s="84"/>
      <c r="G756" s="83"/>
      <c r="H756" s="84"/>
      <c r="I756" s="84"/>
      <c r="J756" s="84"/>
      <c r="K756" s="84"/>
      <c r="L756" s="84"/>
      <c r="M756" s="84"/>
      <c r="N756" s="84"/>
      <c r="O756" s="84"/>
      <c r="P756" s="85"/>
      <c r="Q756" s="75"/>
      <c r="R756" s="75"/>
      <c r="S756" s="75"/>
      <c r="T756" s="75"/>
      <c r="U756" s="89"/>
      <c r="V756" s="84"/>
      <c r="W756" s="84"/>
      <c r="X756" s="84"/>
      <c r="Y756" s="84"/>
      <c r="Z756" s="84"/>
    </row>
    <row r="757" spans="1:26" ht="15.75" customHeight="1">
      <c r="A757" s="83"/>
      <c r="B757" s="84"/>
      <c r="C757" s="84"/>
      <c r="D757" s="83"/>
      <c r="E757" s="84"/>
      <c r="F757" s="84"/>
      <c r="G757" s="83"/>
      <c r="H757" s="84"/>
      <c r="I757" s="84"/>
      <c r="J757" s="84"/>
      <c r="K757" s="84"/>
      <c r="L757" s="84"/>
      <c r="M757" s="84"/>
      <c r="N757" s="84"/>
      <c r="O757" s="84"/>
      <c r="P757" s="85"/>
      <c r="Q757" s="75"/>
      <c r="R757" s="75"/>
      <c r="S757" s="75"/>
      <c r="T757" s="75"/>
      <c r="U757" s="89"/>
      <c r="V757" s="84"/>
      <c r="W757" s="84"/>
      <c r="X757" s="84"/>
      <c r="Y757" s="84"/>
      <c r="Z757" s="84"/>
    </row>
    <row r="758" spans="1:26" ht="15.75" customHeight="1">
      <c r="A758" s="83"/>
      <c r="B758" s="84"/>
      <c r="C758" s="84"/>
      <c r="D758" s="83"/>
      <c r="E758" s="84"/>
      <c r="F758" s="84"/>
      <c r="G758" s="83"/>
      <c r="H758" s="84"/>
      <c r="I758" s="84"/>
      <c r="J758" s="84"/>
      <c r="K758" s="84"/>
      <c r="L758" s="84"/>
      <c r="M758" s="84"/>
      <c r="N758" s="84"/>
      <c r="O758" s="84"/>
      <c r="P758" s="85"/>
      <c r="Q758" s="75"/>
      <c r="R758" s="75"/>
      <c r="S758" s="75"/>
      <c r="T758" s="75"/>
      <c r="U758" s="89"/>
      <c r="V758" s="84"/>
      <c r="W758" s="84"/>
      <c r="X758" s="84"/>
      <c r="Y758" s="84"/>
      <c r="Z758" s="84"/>
    </row>
    <row r="759" spans="1:26" ht="15.75" customHeight="1">
      <c r="A759" s="83"/>
      <c r="B759" s="84"/>
      <c r="C759" s="84"/>
      <c r="D759" s="83"/>
      <c r="E759" s="84"/>
      <c r="F759" s="84"/>
      <c r="G759" s="83"/>
      <c r="H759" s="84"/>
      <c r="I759" s="84"/>
      <c r="J759" s="84"/>
      <c r="K759" s="84"/>
      <c r="L759" s="84"/>
      <c r="M759" s="84"/>
      <c r="N759" s="84"/>
      <c r="O759" s="84"/>
      <c r="P759" s="85"/>
      <c r="Q759" s="75"/>
      <c r="R759" s="75"/>
      <c r="S759" s="75"/>
      <c r="T759" s="75"/>
      <c r="U759" s="89"/>
      <c r="V759" s="84"/>
      <c r="W759" s="84"/>
      <c r="X759" s="84"/>
      <c r="Y759" s="84"/>
      <c r="Z759" s="84"/>
    </row>
    <row r="760" spans="1:26" ht="15.75" customHeight="1">
      <c r="A760" s="83"/>
      <c r="B760" s="84"/>
      <c r="C760" s="84"/>
      <c r="D760" s="83"/>
      <c r="E760" s="84"/>
      <c r="F760" s="84"/>
      <c r="G760" s="83"/>
      <c r="H760" s="84"/>
      <c r="I760" s="84"/>
      <c r="J760" s="84"/>
      <c r="K760" s="84"/>
      <c r="L760" s="84"/>
      <c r="M760" s="84"/>
      <c r="N760" s="84"/>
      <c r="O760" s="84"/>
      <c r="P760" s="85"/>
      <c r="Q760" s="75"/>
      <c r="R760" s="75"/>
      <c r="S760" s="75"/>
      <c r="T760" s="75"/>
      <c r="U760" s="89"/>
      <c r="V760" s="84"/>
      <c r="W760" s="84"/>
      <c r="X760" s="84"/>
      <c r="Y760" s="84"/>
      <c r="Z760" s="84"/>
    </row>
    <row r="761" spans="1:26" ht="15.75" customHeight="1">
      <c r="A761" s="83"/>
      <c r="B761" s="84"/>
      <c r="C761" s="84"/>
      <c r="D761" s="83"/>
      <c r="E761" s="84"/>
      <c r="F761" s="84"/>
      <c r="G761" s="83"/>
      <c r="H761" s="84"/>
      <c r="I761" s="84"/>
      <c r="J761" s="84"/>
      <c r="K761" s="84"/>
      <c r="L761" s="84"/>
      <c r="M761" s="84"/>
      <c r="N761" s="84"/>
      <c r="O761" s="84"/>
      <c r="P761" s="85"/>
      <c r="Q761" s="75"/>
      <c r="R761" s="75"/>
      <c r="S761" s="75"/>
      <c r="T761" s="75"/>
      <c r="U761" s="89"/>
      <c r="V761" s="84"/>
      <c r="W761" s="84"/>
      <c r="X761" s="84"/>
      <c r="Y761" s="84"/>
      <c r="Z761" s="84"/>
    </row>
    <row r="762" spans="1:26" ht="15.75" customHeight="1">
      <c r="A762" s="83"/>
      <c r="B762" s="84"/>
      <c r="C762" s="84"/>
      <c r="D762" s="83"/>
      <c r="E762" s="84"/>
      <c r="F762" s="84"/>
      <c r="G762" s="83"/>
      <c r="H762" s="84"/>
      <c r="I762" s="84"/>
      <c r="J762" s="84"/>
      <c r="K762" s="84"/>
      <c r="L762" s="84"/>
      <c r="M762" s="84"/>
      <c r="N762" s="84"/>
      <c r="O762" s="84"/>
      <c r="P762" s="85"/>
      <c r="Q762" s="75"/>
      <c r="R762" s="75"/>
      <c r="S762" s="75"/>
      <c r="T762" s="75"/>
      <c r="U762" s="89"/>
      <c r="V762" s="84"/>
      <c r="W762" s="84"/>
      <c r="X762" s="84"/>
      <c r="Y762" s="84"/>
      <c r="Z762" s="84"/>
    </row>
    <row r="763" spans="1:26" ht="15.75" customHeight="1">
      <c r="A763" s="83"/>
      <c r="B763" s="84"/>
      <c r="C763" s="84"/>
      <c r="D763" s="83"/>
      <c r="E763" s="84"/>
      <c r="F763" s="84"/>
      <c r="G763" s="83"/>
      <c r="H763" s="84"/>
      <c r="I763" s="84"/>
      <c r="J763" s="84"/>
      <c r="K763" s="84"/>
      <c r="L763" s="84"/>
      <c r="M763" s="84"/>
      <c r="N763" s="84"/>
      <c r="O763" s="84"/>
      <c r="P763" s="85"/>
      <c r="Q763" s="75"/>
      <c r="R763" s="75"/>
      <c r="S763" s="75"/>
      <c r="T763" s="75"/>
      <c r="U763" s="89"/>
      <c r="V763" s="84"/>
      <c r="W763" s="84"/>
      <c r="X763" s="84"/>
      <c r="Y763" s="84"/>
      <c r="Z763" s="84"/>
    </row>
    <row r="764" spans="1:26" ht="15.75" customHeight="1">
      <c r="A764" s="83"/>
      <c r="B764" s="84"/>
      <c r="C764" s="84"/>
      <c r="D764" s="83"/>
      <c r="E764" s="84"/>
      <c r="F764" s="84"/>
      <c r="G764" s="83"/>
      <c r="H764" s="84"/>
      <c r="I764" s="84"/>
      <c r="J764" s="84"/>
      <c r="K764" s="84"/>
      <c r="L764" s="84"/>
      <c r="M764" s="84"/>
      <c r="N764" s="84"/>
      <c r="O764" s="84"/>
      <c r="P764" s="85"/>
      <c r="Q764" s="75"/>
      <c r="R764" s="75"/>
      <c r="S764" s="75"/>
      <c r="T764" s="75"/>
      <c r="U764" s="89"/>
      <c r="V764" s="84"/>
      <c r="W764" s="84"/>
      <c r="X764" s="84"/>
      <c r="Y764" s="84"/>
      <c r="Z764" s="84"/>
    </row>
    <row r="765" spans="1:26" ht="15.75" customHeight="1">
      <c r="A765" s="83"/>
      <c r="B765" s="84"/>
      <c r="C765" s="84"/>
      <c r="D765" s="83"/>
      <c r="E765" s="84"/>
      <c r="F765" s="84"/>
      <c r="G765" s="83"/>
      <c r="H765" s="84"/>
      <c r="I765" s="84"/>
      <c r="J765" s="84"/>
      <c r="K765" s="84"/>
      <c r="L765" s="84"/>
      <c r="M765" s="84"/>
      <c r="N765" s="84"/>
      <c r="O765" s="84"/>
      <c r="P765" s="85"/>
      <c r="Q765" s="75"/>
      <c r="R765" s="75"/>
      <c r="S765" s="75"/>
      <c r="T765" s="75"/>
      <c r="U765" s="89"/>
      <c r="V765" s="84"/>
      <c r="W765" s="84"/>
      <c r="X765" s="84"/>
      <c r="Y765" s="84"/>
      <c r="Z765" s="84"/>
    </row>
    <row r="766" spans="1:26" ht="15.75" customHeight="1">
      <c r="A766" s="83"/>
      <c r="B766" s="84"/>
      <c r="C766" s="84"/>
      <c r="D766" s="83"/>
      <c r="E766" s="84"/>
      <c r="F766" s="84"/>
      <c r="G766" s="83"/>
      <c r="H766" s="84"/>
      <c r="I766" s="84"/>
      <c r="J766" s="84"/>
      <c r="K766" s="84"/>
      <c r="L766" s="84"/>
      <c r="M766" s="84"/>
      <c r="N766" s="84"/>
      <c r="O766" s="84"/>
      <c r="P766" s="85"/>
      <c r="Q766" s="75"/>
      <c r="R766" s="75"/>
      <c r="S766" s="75"/>
      <c r="T766" s="75"/>
      <c r="U766" s="89"/>
      <c r="V766" s="84"/>
      <c r="W766" s="84"/>
      <c r="X766" s="84"/>
      <c r="Y766" s="84"/>
      <c r="Z766" s="84"/>
    </row>
    <row r="767" spans="1:26" ht="15.75" customHeight="1">
      <c r="A767" s="83"/>
      <c r="B767" s="84"/>
      <c r="C767" s="84"/>
      <c r="D767" s="83"/>
      <c r="E767" s="84"/>
      <c r="F767" s="84"/>
      <c r="G767" s="83"/>
      <c r="H767" s="84"/>
      <c r="I767" s="84"/>
      <c r="J767" s="84"/>
      <c r="K767" s="84"/>
      <c r="L767" s="84"/>
      <c r="M767" s="84"/>
      <c r="N767" s="84"/>
      <c r="O767" s="84"/>
      <c r="P767" s="85"/>
      <c r="Q767" s="75"/>
      <c r="R767" s="75"/>
      <c r="S767" s="75"/>
      <c r="T767" s="75"/>
      <c r="U767" s="89"/>
      <c r="V767" s="84"/>
      <c r="W767" s="84"/>
      <c r="X767" s="84"/>
      <c r="Y767" s="84"/>
      <c r="Z767" s="84"/>
    </row>
    <row r="768" spans="1:26" ht="15.75" customHeight="1">
      <c r="A768" s="83"/>
      <c r="B768" s="84"/>
      <c r="C768" s="84"/>
      <c r="D768" s="83"/>
      <c r="E768" s="84"/>
      <c r="F768" s="84"/>
      <c r="G768" s="83"/>
      <c r="H768" s="84"/>
      <c r="I768" s="84"/>
      <c r="J768" s="84"/>
      <c r="K768" s="84"/>
      <c r="L768" s="84"/>
      <c r="M768" s="84"/>
      <c r="N768" s="84"/>
      <c r="O768" s="84"/>
      <c r="P768" s="85"/>
      <c r="Q768" s="75"/>
      <c r="R768" s="75"/>
      <c r="S768" s="75"/>
      <c r="T768" s="75"/>
      <c r="U768" s="89"/>
      <c r="V768" s="84"/>
      <c r="W768" s="84"/>
      <c r="X768" s="84"/>
      <c r="Y768" s="84"/>
      <c r="Z768" s="84"/>
    </row>
    <row r="769" spans="1:26" ht="15.75" customHeight="1">
      <c r="A769" s="83"/>
      <c r="B769" s="84"/>
      <c r="C769" s="84"/>
      <c r="D769" s="83"/>
      <c r="E769" s="84"/>
      <c r="F769" s="84"/>
      <c r="G769" s="83"/>
      <c r="H769" s="84"/>
      <c r="I769" s="84"/>
      <c r="J769" s="84"/>
      <c r="K769" s="84"/>
      <c r="L769" s="84"/>
      <c r="M769" s="84"/>
      <c r="N769" s="84"/>
      <c r="O769" s="84"/>
      <c r="P769" s="85"/>
      <c r="Q769" s="75"/>
      <c r="R769" s="75"/>
      <c r="S769" s="75"/>
      <c r="T769" s="75"/>
      <c r="U769" s="89"/>
      <c r="V769" s="84"/>
      <c r="W769" s="84"/>
      <c r="X769" s="84"/>
      <c r="Y769" s="84"/>
      <c r="Z769" s="84"/>
    </row>
    <row r="770" spans="1:26" ht="15.75" customHeight="1">
      <c r="A770" s="83"/>
      <c r="B770" s="84"/>
      <c r="C770" s="84"/>
      <c r="D770" s="83"/>
      <c r="E770" s="84"/>
      <c r="F770" s="84"/>
      <c r="G770" s="83"/>
      <c r="H770" s="84"/>
      <c r="I770" s="84"/>
      <c r="J770" s="84"/>
      <c r="K770" s="84"/>
      <c r="L770" s="84"/>
      <c r="M770" s="84"/>
      <c r="N770" s="84"/>
      <c r="O770" s="84"/>
      <c r="P770" s="85"/>
      <c r="Q770" s="75"/>
      <c r="R770" s="75"/>
      <c r="S770" s="75"/>
      <c r="T770" s="75"/>
      <c r="U770" s="89"/>
      <c r="V770" s="84"/>
      <c r="W770" s="84"/>
      <c r="X770" s="84"/>
      <c r="Y770" s="84"/>
      <c r="Z770" s="84"/>
    </row>
    <row r="771" spans="1:26" ht="15.75" customHeight="1">
      <c r="A771" s="83"/>
      <c r="B771" s="84"/>
      <c r="C771" s="84"/>
      <c r="D771" s="83"/>
      <c r="E771" s="84"/>
      <c r="F771" s="84"/>
      <c r="G771" s="83"/>
      <c r="H771" s="84"/>
      <c r="I771" s="84"/>
      <c r="J771" s="84"/>
      <c r="K771" s="84"/>
      <c r="L771" s="84"/>
      <c r="M771" s="84"/>
      <c r="N771" s="84"/>
      <c r="O771" s="84"/>
      <c r="P771" s="85"/>
      <c r="Q771" s="75"/>
      <c r="R771" s="75"/>
      <c r="S771" s="75"/>
      <c r="T771" s="75"/>
      <c r="U771" s="89"/>
      <c r="V771" s="84"/>
      <c r="W771" s="84"/>
      <c r="X771" s="84"/>
      <c r="Y771" s="84"/>
      <c r="Z771" s="84"/>
    </row>
    <row r="772" spans="1:26" ht="15.75" customHeight="1">
      <c r="A772" s="83"/>
      <c r="B772" s="84"/>
      <c r="C772" s="84"/>
      <c r="D772" s="83"/>
      <c r="E772" s="84"/>
      <c r="F772" s="84"/>
      <c r="G772" s="83"/>
      <c r="H772" s="84"/>
      <c r="I772" s="84"/>
      <c r="J772" s="84"/>
      <c r="K772" s="84"/>
      <c r="L772" s="84"/>
      <c r="M772" s="84"/>
      <c r="N772" s="84"/>
      <c r="O772" s="84"/>
      <c r="P772" s="85"/>
      <c r="Q772" s="75"/>
      <c r="R772" s="75"/>
      <c r="S772" s="75"/>
      <c r="T772" s="75"/>
      <c r="U772" s="89"/>
      <c r="V772" s="84"/>
      <c r="W772" s="84"/>
      <c r="X772" s="84"/>
      <c r="Y772" s="84"/>
      <c r="Z772" s="84"/>
    </row>
    <row r="773" spans="1:26" ht="15.75" customHeight="1">
      <c r="A773" s="83"/>
      <c r="B773" s="84"/>
      <c r="C773" s="84"/>
      <c r="D773" s="83"/>
      <c r="E773" s="84"/>
      <c r="F773" s="84"/>
      <c r="G773" s="83"/>
      <c r="H773" s="84"/>
      <c r="I773" s="84"/>
      <c r="J773" s="84"/>
      <c r="K773" s="84"/>
      <c r="L773" s="84"/>
      <c r="M773" s="84"/>
      <c r="N773" s="84"/>
      <c r="O773" s="84"/>
      <c r="P773" s="85"/>
      <c r="Q773" s="75"/>
      <c r="R773" s="75"/>
      <c r="S773" s="75"/>
      <c r="T773" s="75"/>
      <c r="U773" s="89"/>
      <c r="V773" s="84"/>
      <c r="W773" s="84"/>
      <c r="X773" s="84"/>
      <c r="Y773" s="84"/>
      <c r="Z773" s="84"/>
    </row>
    <row r="774" spans="1:26" ht="15.75" customHeight="1">
      <c r="A774" s="83"/>
      <c r="B774" s="84"/>
      <c r="C774" s="84"/>
      <c r="D774" s="83"/>
      <c r="E774" s="84"/>
      <c r="F774" s="84"/>
      <c r="G774" s="83"/>
      <c r="H774" s="84"/>
      <c r="I774" s="84"/>
      <c r="J774" s="84"/>
      <c r="K774" s="84"/>
      <c r="L774" s="84"/>
      <c r="M774" s="84"/>
      <c r="N774" s="84"/>
      <c r="O774" s="84"/>
      <c r="P774" s="85"/>
      <c r="Q774" s="75"/>
      <c r="R774" s="75"/>
      <c r="S774" s="75"/>
      <c r="T774" s="75"/>
      <c r="U774" s="89"/>
      <c r="V774" s="84"/>
      <c r="W774" s="84"/>
      <c r="X774" s="84"/>
      <c r="Y774" s="84"/>
      <c r="Z774" s="84"/>
    </row>
    <row r="775" spans="1:26" ht="15.75" customHeight="1">
      <c r="A775" s="83"/>
      <c r="B775" s="84"/>
      <c r="C775" s="84"/>
      <c r="D775" s="83"/>
      <c r="E775" s="84"/>
      <c r="F775" s="84"/>
      <c r="G775" s="83"/>
      <c r="H775" s="84"/>
      <c r="I775" s="84"/>
      <c r="J775" s="84"/>
      <c r="K775" s="84"/>
      <c r="L775" s="84"/>
      <c r="M775" s="84"/>
      <c r="N775" s="84"/>
      <c r="O775" s="84"/>
      <c r="P775" s="85"/>
      <c r="Q775" s="75"/>
      <c r="R775" s="75"/>
      <c r="S775" s="75"/>
      <c r="T775" s="75"/>
      <c r="U775" s="89"/>
      <c r="V775" s="84"/>
      <c r="W775" s="84"/>
      <c r="X775" s="84"/>
      <c r="Y775" s="84"/>
      <c r="Z775" s="84"/>
    </row>
    <row r="776" spans="1:26" ht="15.75" customHeight="1">
      <c r="A776" s="83"/>
      <c r="B776" s="84"/>
      <c r="C776" s="84"/>
      <c r="D776" s="83"/>
      <c r="E776" s="84"/>
      <c r="F776" s="84"/>
      <c r="G776" s="83"/>
      <c r="H776" s="84"/>
      <c r="I776" s="84"/>
      <c r="J776" s="84"/>
      <c r="K776" s="84"/>
      <c r="L776" s="84"/>
      <c r="M776" s="84"/>
      <c r="N776" s="84"/>
      <c r="O776" s="84"/>
      <c r="P776" s="85"/>
      <c r="Q776" s="75"/>
      <c r="R776" s="75"/>
      <c r="S776" s="75"/>
      <c r="T776" s="75"/>
      <c r="U776" s="89"/>
      <c r="V776" s="84"/>
      <c r="W776" s="84"/>
      <c r="X776" s="84"/>
      <c r="Y776" s="84"/>
      <c r="Z776" s="84"/>
    </row>
    <row r="777" spans="1:26" ht="15.75" customHeight="1">
      <c r="A777" s="83"/>
      <c r="B777" s="84"/>
      <c r="C777" s="84"/>
      <c r="D777" s="83"/>
      <c r="E777" s="84"/>
      <c r="F777" s="84"/>
      <c r="G777" s="83"/>
      <c r="H777" s="84"/>
      <c r="I777" s="84"/>
      <c r="J777" s="84"/>
      <c r="K777" s="84"/>
      <c r="L777" s="84"/>
      <c r="M777" s="84"/>
      <c r="N777" s="84"/>
      <c r="O777" s="84"/>
      <c r="P777" s="85"/>
      <c r="Q777" s="75"/>
      <c r="R777" s="75"/>
      <c r="S777" s="75"/>
      <c r="T777" s="75"/>
      <c r="U777" s="89"/>
      <c r="V777" s="84"/>
      <c r="W777" s="84"/>
      <c r="X777" s="84"/>
      <c r="Y777" s="84"/>
      <c r="Z777" s="84"/>
    </row>
    <row r="778" spans="1:26" ht="15.75" customHeight="1">
      <c r="A778" s="83"/>
      <c r="B778" s="84"/>
      <c r="C778" s="84"/>
      <c r="D778" s="83"/>
      <c r="E778" s="84"/>
      <c r="F778" s="84"/>
      <c r="G778" s="83"/>
      <c r="H778" s="84"/>
      <c r="I778" s="84"/>
      <c r="J778" s="84"/>
      <c r="K778" s="84"/>
      <c r="L778" s="84"/>
      <c r="M778" s="84"/>
      <c r="N778" s="84"/>
      <c r="O778" s="84"/>
      <c r="P778" s="85"/>
      <c r="Q778" s="75"/>
      <c r="R778" s="75"/>
      <c r="S778" s="75"/>
      <c r="T778" s="75"/>
      <c r="U778" s="89"/>
      <c r="V778" s="84"/>
      <c r="W778" s="84"/>
      <c r="X778" s="84"/>
      <c r="Y778" s="84"/>
      <c r="Z778" s="84"/>
    </row>
    <row r="779" spans="1:26" ht="15.75" customHeight="1">
      <c r="A779" s="83"/>
      <c r="B779" s="84"/>
      <c r="C779" s="84"/>
      <c r="D779" s="83"/>
      <c r="E779" s="84"/>
      <c r="F779" s="84"/>
      <c r="G779" s="83"/>
      <c r="H779" s="84"/>
      <c r="I779" s="84"/>
      <c r="J779" s="84"/>
      <c r="K779" s="84"/>
      <c r="L779" s="84"/>
      <c r="M779" s="84"/>
      <c r="N779" s="84"/>
      <c r="O779" s="84"/>
      <c r="P779" s="85"/>
      <c r="Q779" s="75"/>
      <c r="R779" s="75"/>
      <c r="S779" s="75"/>
      <c r="T779" s="75"/>
      <c r="U779" s="89"/>
      <c r="V779" s="84"/>
      <c r="W779" s="84"/>
      <c r="X779" s="84"/>
      <c r="Y779" s="84"/>
      <c r="Z779" s="84"/>
    </row>
    <row r="780" spans="1:26" ht="15.75" customHeight="1">
      <c r="A780" s="83"/>
      <c r="B780" s="84"/>
      <c r="C780" s="84"/>
      <c r="D780" s="83"/>
      <c r="E780" s="84"/>
      <c r="F780" s="84"/>
      <c r="G780" s="83"/>
      <c r="H780" s="84"/>
      <c r="I780" s="84"/>
      <c r="J780" s="84"/>
      <c r="K780" s="84"/>
      <c r="L780" s="84"/>
      <c r="M780" s="84"/>
      <c r="N780" s="84"/>
      <c r="O780" s="84"/>
      <c r="P780" s="85"/>
      <c r="Q780" s="75"/>
      <c r="R780" s="75"/>
      <c r="S780" s="75"/>
      <c r="T780" s="75"/>
      <c r="U780" s="89"/>
      <c r="V780" s="84"/>
      <c r="W780" s="84"/>
      <c r="X780" s="84"/>
      <c r="Y780" s="84"/>
      <c r="Z780" s="84"/>
    </row>
    <row r="781" spans="1:26" ht="15.75" customHeight="1">
      <c r="A781" s="83"/>
      <c r="B781" s="84"/>
      <c r="C781" s="84"/>
      <c r="D781" s="83"/>
      <c r="E781" s="84"/>
      <c r="F781" s="84"/>
      <c r="G781" s="83"/>
      <c r="H781" s="84"/>
      <c r="I781" s="84"/>
      <c r="J781" s="84"/>
      <c r="K781" s="84"/>
      <c r="L781" s="84"/>
      <c r="M781" s="84"/>
      <c r="N781" s="84"/>
      <c r="O781" s="84"/>
      <c r="P781" s="85"/>
      <c r="Q781" s="75"/>
      <c r="R781" s="75"/>
      <c r="S781" s="75"/>
      <c r="T781" s="75"/>
      <c r="U781" s="89"/>
      <c r="V781" s="84"/>
      <c r="W781" s="84"/>
      <c r="X781" s="84"/>
      <c r="Y781" s="84"/>
      <c r="Z781" s="84"/>
    </row>
    <row r="782" spans="1:26" ht="15.75" customHeight="1">
      <c r="A782" s="83"/>
      <c r="B782" s="84"/>
      <c r="C782" s="84"/>
      <c r="D782" s="83"/>
      <c r="E782" s="84"/>
      <c r="F782" s="84"/>
      <c r="G782" s="83"/>
      <c r="H782" s="84"/>
      <c r="I782" s="84"/>
      <c r="J782" s="84"/>
      <c r="K782" s="84"/>
      <c r="L782" s="84"/>
      <c r="M782" s="84"/>
      <c r="N782" s="84"/>
      <c r="O782" s="84"/>
      <c r="P782" s="85"/>
      <c r="Q782" s="75"/>
      <c r="R782" s="75"/>
      <c r="S782" s="75"/>
      <c r="T782" s="75"/>
      <c r="U782" s="89"/>
      <c r="V782" s="84"/>
      <c r="W782" s="84"/>
      <c r="X782" s="84"/>
      <c r="Y782" s="84"/>
      <c r="Z782" s="84"/>
    </row>
    <row r="783" spans="1:26" ht="15.75" customHeight="1">
      <c r="A783" s="83"/>
      <c r="B783" s="84"/>
      <c r="C783" s="84"/>
      <c r="D783" s="83"/>
      <c r="E783" s="84"/>
      <c r="F783" s="84"/>
      <c r="G783" s="83"/>
      <c r="H783" s="84"/>
      <c r="I783" s="84"/>
      <c r="J783" s="84"/>
      <c r="K783" s="84"/>
      <c r="L783" s="84"/>
      <c r="M783" s="84"/>
      <c r="N783" s="84"/>
      <c r="O783" s="84"/>
      <c r="P783" s="85"/>
      <c r="Q783" s="75"/>
      <c r="R783" s="75"/>
      <c r="S783" s="75"/>
      <c r="T783" s="75"/>
      <c r="U783" s="89"/>
      <c r="V783" s="84"/>
      <c r="W783" s="84"/>
      <c r="X783" s="84"/>
      <c r="Y783" s="84"/>
      <c r="Z783" s="84"/>
    </row>
    <row r="784" spans="1:26" ht="15.75" customHeight="1">
      <c r="A784" s="83"/>
      <c r="B784" s="84"/>
      <c r="C784" s="84"/>
      <c r="D784" s="83"/>
      <c r="E784" s="84"/>
      <c r="F784" s="84"/>
      <c r="G784" s="83"/>
      <c r="H784" s="84"/>
      <c r="I784" s="84"/>
      <c r="J784" s="84"/>
      <c r="K784" s="84"/>
      <c r="L784" s="84"/>
      <c r="M784" s="84"/>
      <c r="N784" s="84"/>
      <c r="O784" s="84"/>
      <c r="P784" s="85"/>
      <c r="Q784" s="75"/>
      <c r="R784" s="75"/>
      <c r="S784" s="75"/>
      <c r="T784" s="75"/>
      <c r="U784" s="89"/>
      <c r="V784" s="84"/>
      <c r="W784" s="84"/>
      <c r="X784" s="84"/>
      <c r="Y784" s="84"/>
      <c r="Z784" s="84"/>
    </row>
    <row r="785" spans="1:26" ht="15.75" customHeight="1">
      <c r="A785" s="83"/>
      <c r="B785" s="84"/>
      <c r="C785" s="84"/>
      <c r="D785" s="83"/>
      <c r="E785" s="84"/>
      <c r="F785" s="84"/>
      <c r="G785" s="83"/>
      <c r="H785" s="84"/>
      <c r="I785" s="84"/>
      <c r="J785" s="84"/>
      <c r="K785" s="84"/>
      <c r="L785" s="84"/>
      <c r="M785" s="84"/>
      <c r="N785" s="84"/>
      <c r="O785" s="84"/>
      <c r="P785" s="85"/>
      <c r="Q785" s="75"/>
      <c r="R785" s="75"/>
      <c r="S785" s="75"/>
      <c r="T785" s="75"/>
      <c r="U785" s="89"/>
      <c r="V785" s="84"/>
      <c r="W785" s="84"/>
      <c r="X785" s="84"/>
      <c r="Y785" s="84"/>
      <c r="Z785" s="84"/>
    </row>
    <row r="786" spans="1:26" ht="15.75" customHeight="1">
      <c r="A786" s="83"/>
      <c r="B786" s="84"/>
      <c r="C786" s="84"/>
      <c r="D786" s="83"/>
      <c r="E786" s="84"/>
      <c r="F786" s="84"/>
      <c r="G786" s="83"/>
      <c r="H786" s="84"/>
      <c r="I786" s="84"/>
      <c r="J786" s="84"/>
      <c r="K786" s="84"/>
      <c r="L786" s="84"/>
      <c r="M786" s="84"/>
      <c r="N786" s="84"/>
      <c r="O786" s="84"/>
      <c r="P786" s="85"/>
      <c r="Q786" s="75"/>
      <c r="R786" s="75"/>
      <c r="S786" s="75"/>
      <c r="T786" s="75"/>
      <c r="U786" s="89"/>
      <c r="V786" s="84"/>
      <c r="W786" s="84"/>
      <c r="X786" s="84"/>
      <c r="Y786" s="84"/>
      <c r="Z786" s="84"/>
    </row>
    <row r="787" spans="1:26" ht="15.75" customHeight="1">
      <c r="A787" s="83"/>
      <c r="B787" s="84"/>
      <c r="C787" s="84"/>
      <c r="D787" s="83"/>
      <c r="E787" s="84"/>
      <c r="F787" s="84"/>
      <c r="G787" s="83"/>
      <c r="H787" s="84"/>
      <c r="I787" s="84"/>
      <c r="J787" s="84"/>
      <c r="K787" s="84"/>
      <c r="L787" s="84"/>
      <c r="M787" s="84"/>
      <c r="N787" s="84"/>
      <c r="O787" s="84"/>
      <c r="P787" s="85"/>
      <c r="Q787" s="75"/>
      <c r="R787" s="75"/>
      <c r="S787" s="75"/>
      <c r="T787" s="75"/>
      <c r="U787" s="89"/>
      <c r="V787" s="84"/>
      <c r="W787" s="84"/>
      <c r="X787" s="84"/>
      <c r="Y787" s="84"/>
      <c r="Z787" s="84"/>
    </row>
    <row r="788" spans="1:26" ht="15.75" customHeight="1">
      <c r="A788" s="83"/>
      <c r="B788" s="84"/>
      <c r="C788" s="84"/>
      <c r="D788" s="83"/>
      <c r="E788" s="84"/>
      <c r="F788" s="84"/>
      <c r="G788" s="83"/>
      <c r="H788" s="84"/>
      <c r="I788" s="84"/>
      <c r="J788" s="84"/>
      <c r="K788" s="84"/>
      <c r="L788" s="84"/>
      <c r="M788" s="84"/>
      <c r="N788" s="84"/>
      <c r="O788" s="84"/>
      <c r="P788" s="85"/>
      <c r="Q788" s="75"/>
      <c r="R788" s="75"/>
      <c r="S788" s="75"/>
      <c r="T788" s="75"/>
      <c r="U788" s="89"/>
      <c r="V788" s="84"/>
      <c r="W788" s="84"/>
      <c r="X788" s="84"/>
      <c r="Y788" s="84"/>
      <c r="Z788" s="84"/>
    </row>
    <row r="789" spans="1:26" ht="15.75" customHeight="1">
      <c r="A789" s="83"/>
      <c r="B789" s="84"/>
      <c r="C789" s="84"/>
      <c r="D789" s="83"/>
      <c r="E789" s="84"/>
      <c r="F789" s="84"/>
      <c r="G789" s="83"/>
      <c r="H789" s="84"/>
      <c r="I789" s="84"/>
      <c r="J789" s="84"/>
      <c r="K789" s="84"/>
      <c r="L789" s="84"/>
      <c r="M789" s="84"/>
      <c r="N789" s="84"/>
      <c r="O789" s="84"/>
      <c r="P789" s="85"/>
      <c r="Q789" s="75"/>
      <c r="R789" s="75"/>
      <c r="S789" s="75"/>
      <c r="T789" s="75"/>
      <c r="U789" s="89"/>
      <c r="V789" s="84"/>
      <c r="W789" s="84"/>
      <c r="X789" s="84"/>
      <c r="Y789" s="84"/>
      <c r="Z789" s="84"/>
    </row>
    <row r="790" spans="1:26" ht="15.75" customHeight="1">
      <c r="A790" s="83"/>
      <c r="B790" s="84"/>
      <c r="C790" s="84"/>
      <c r="D790" s="83"/>
      <c r="E790" s="84"/>
      <c r="F790" s="84"/>
      <c r="G790" s="83"/>
      <c r="H790" s="84"/>
      <c r="I790" s="84"/>
      <c r="J790" s="84"/>
      <c r="K790" s="84"/>
      <c r="L790" s="84"/>
      <c r="M790" s="84"/>
      <c r="N790" s="84"/>
      <c r="O790" s="84"/>
      <c r="P790" s="85"/>
      <c r="Q790" s="75"/>
      <c r="R790" s="75"/>
      <c r="S790" s="75"/>
      <c r="T790" s="75"/>
      <c r="U790" s="89"/>
      <c r="V790" s="84"/>
      <c r="W790" s="84"/>
      <c r="X790" s="84"/>
      <c r="Y790" s="84"/>
      <c r="Z790" s="84"/>
    </row>
    <row r="791" spans="1:26" ht="15.75" customHeight="1">
      <c r="A791" s="83"/>
      <c r="B791" s="84"/>
      <c r="C791" s="84"/>
      <c r="D791" s="83"/>
      <c r="E791" s="84"/>
      <c r="F791" s="84"/>
      <c r="G791" s="83"/>
      <c r="H791" s="84"/>
      <c r="I791" s="84"/>
      <c r="J791" s="84"/>
      <c r="K791" s="84"/>
      <c r="L791" s="84"/>
      <c r="M791" s="84"/>
      <c r="N791" s="84"/>
      <c r="O791" s="84"/>
      <c r="P791" s="85"/>
      <c r="Q791" s="75"/>
      <c r="R791" s="75"/>
      <c r="S791" s="75"/>
      <c r="T791" s="75"/>
      <c r="U791" s="89"/>
      <c r="V791" s="84"/>
      <c r="W791" s="84"/>
      <c r="X791" s="84"/>
      <c r="Y791" s="84"/>
      <c r="Z791" s="84"/>
    </row>
    <row r="792" spans="1:26" ht="15.75" customHeight="1">
      <c r="A792" s="83"/>
      <c r="B792" s="84"/>
      <c r="C792" s="84"/>
      <c r="D792" s="83"/>
      <c r="E792" s="84"/>
      <c r="F792" s="84"/>
      <c r="G792" s="83"/>
      <c r="H792" s="84"/>
      <c r="I792" s="84"/>
      <c r="J792" s="84"/>
      <c r="K792" s="84"/>
      <c r="L792" s="84"/>
      <c r="M792" s="84"/>
      <c r="N792" s="84"/>
      <c r="O792" s="84"/>
      <c r="P792" s="85"/>
      <c r="Q792" s="75"/>
      <c r="R792" s="75"/>
      <c r="S792" s="75"/>
      <c r="T792" s="75"/>
      <c r="U792" s="89"/>
      <c r="V792" s="84"/>
      <c r="W792" s="84"/>
      <c r="X792" s="84"/>
      <c r="Y792" s="84"/>
      <c r="Z792" s="84"/>
    </row>
    <row r="793" spans="1:26" ht="15.75" customHeight="1">
      <c r="A793" s="83"/>
      <c r="B793" s="84"/>
      <c r="C793" s="84"/>
      <c r="D793" s="83"/>
      <c r="E793" s="84"/>
      <c r="F793" s="84"/>
      <c r="G793" s="83"/>
      <c r="H793" s="84"/>
      <c r="I793" s="84"/>
      <c r="J793" s="84"/>
      <c r="K793" s="84"/>
      <c r="L793" s="84"/>
      <c r="M793" s="84"/>
      <c r="N793" s="84"/>
      <c r="O793" s="84"/>
      <c r="P793" s="85"/>
      <c r="Q793" s="75"/>
      <c r="R793" s="75"/>
      <c r="S793" s="75"/>
      <c r="T793" s="75"/>
      <c r="U793" s="89"/>
      <c r="V793" s="84"/>
      <c r="W793" s="84"/>
      <c r="X793" s="84"/>
      <c r="Y793" s="84"/>
      <c r="Z793" s="84"/>
    </row>
    <row r="794" spans="1:26" ht="15.75" customHeight="1">
      <c r="A794" s="83"/>
      <c r="B794" s="84"/>
      <c r="C794" s="84"/>
      <c r="D794" s="83"/>
      <c r="E794" s="84"/>
      <c r="F794" s="84"/>
      <c r="G794" s="83"/>
      <c r="H794" s="84"/>
      <c r="I794" s="84"/>
      <c r="J794" s="84"/>
      <c r="K794" s="84"/>
      <c r="L794" s="84"/>
      <c r="M794" s="84"/>
      <c r="N794" s="84"/>
      <c r="O794" s="84"/>
      <c r="P794" s="85"/>
      <c r="Q794" s="75"/>
      <c r="R794" s="75"/>
      <c r="S794" s="75"/>
      <c r="T794" s="75"/>
      <c r="U794" s="89"/>
      <c r="V794" s="84"/>
      <c r="W794" s="84"/>
      <c r="X794" s="84"/>
      <c r="Y794" s="84"/>
      <c r="Z794" s="84"/>
    </row>
    <row r="795" spans="1:26" ht="15.75" customHeight="1">
      <c r="A795" s="83"/>
      <c r="B795" s="84"/>
      <c r="C795" s="84"/>
      <c r="D795" s="83"/>
      <c r="E795" s="84"/>
      <c r="F795" s="84"/>
      <c r="G795" s="83"/>
      <c r="H795" s="84"/>
      <c r="I795" s="84"/>
      <c r="J795" s="84"/>
      <c r="K795" s="84"/>
      <c r="L795" s="84"/>
      <c r="M795" s="84"/>
      <c r="N795" s="84"/>
      <c r="O795" s="84"/>
      <c r="P795" s="85"/>
      <c r="Q795" s="75"/>
      <c r="R795" s="75"/>
      <c r="S795" s="75"/>
      <c r="T795" s="75"/>
      <c r="U795" s="89"/>
      <c r="V795" s="84"/>
      <c r="W795" s="84"/>
      <c r="X795" s="84"/>
      <c r="Y795" s="84"/>
      <c r="Z795" s="84"/>
    </row>
    <row r="796" spans="1:26" ht="15.75" customHeight="1">
      <c r="A796" s="83"/>
      <c r="B796" s="84"/>
      <c r="C796" s="84"/>
      <c r="D796" s="83"/>
      <c r="E796" s="84"/>
      <c r="F796" s="84"/>
      <c r="G796" s="83"/>
      <c r="H796" s="84"/>
      <c r="I796" s="84"/>
      <c r="J796" s="84"/>
      <c r="K796" s="84"/>
      <c r="L796" s="84"/>
      <c r="M796" s="84"/>
      <c r="N796" s="84"/>
      <c r="O796" s="84"/>
      <c r="P796" s="85"/>
      <c r="Q796" s="75"/>
      <c r="R796" s="75"/>
      <c r="S796" s="75"/>
      <c r="T796" s="75"/>
      <c r="U796" s="89"/>
      <c r="V796" s="84"/>
      <c r="W796" s="84"/>
      <c r="X796" s="84"/>
      <c r="Y796" s="84"/>
      <c r="Z796" s="84"/>
    </row>
    <row r="797" spans="1:26" ht="15.75" customHeight="1">
      <c r="A797" s="83"/>
      <c r="B797" s="84"/>
      <c r="C797" s="84"/>
      <c r="D797" s="83"/>
      <c r="E797" s="84"/>
      <c r="F797" s="84"/>
      <c r="G797" s="83"/>
      <c r="H797" s="84"/>
      <c r="I797" s="84"/>
      <c r="J797" s="84"/>
      <c r="K797" s="84"/>
      <c r="L797" s="84"/>
      <c r="M797" s="84"/>
      <c r="N797" s="84"/>
      <c r="O797" s="84"/>
      <c r="P797" s="85"/>
      <c r="Q797" s="75"/>
      <c r="R797" s="75"/>
      <c r="S797" s="75"/>
      <c r="T797" s="75"/>
      <c r="U797" s="89"/>
      <c r="V797" s="84"/>
      <c r="W797" s="84"/>
      <c r="X797" s="84"/>
      <c r="Y797" s="84"/>
      <c r="Z797" s="84"/>
    </row>
    <row r="798" spans="1:26" ht="15.75" customHeight="1">
      <c r="A798" s="83"/>
      <c r="B798" s="84"/>
      <c r="C798" s="84"/>
      <c r="D798" s="83"/>
      <c r="E798" s="84"/>
      <c r="F798" s="84"/>
      <c r="G798" s="83"/>
      <c r="H798" s="84"/>
      <c r="I798" s="84"/>
      <c r="J798" s="84"/>
      <c r="K798" s="84"/>
      <c r="L798" s="84"/>
      <c r="M798" s="84"/>
      <c r="N798" s="84"/>
      <c r="O798" s="84"/>
      <c r="P798" s="85"/>
      <c r="Q798" s="75"/>
      <c r="R798" s="75"/>
      <c r="S798" s="75"/>
      <c r="T798" s="75"/>
      <c r="U798" s="89"/>
      <c r="V798" s="84"/>
      <c r="W798" s="84"/>
      <c r="X798" s="84"/>
      <c r="Y798" s="84"/>
      <c r="Z798" s="84"/>
    </row>
    <row r="799" spans="1:26" ht="15.75" customHeight="1">
      <c r="A799" s="83"/>
      <c r="B799" s="84"/>
      <c r="C799" s="84"/>
      <c r="D799" s="83"/>
      <c r="E799" s="84"/>
      <c r="F799" s="84"/>
      <c r="G799" s="83"/>
      <c r="H799" s="84"/>
      <c r="I799" s="84"/>
      <c r="J799" s="84"/>
      <c r="K799" s="84"/>
      <c r="L799" s="84"/>
      <c r="M799" s="84"/>
      <c r="N799" s="84"/>
      <c r="O799" s="84"/>
      <c r="P799" s="85"/>
      <c r="Q799" s="75"/>
      <c r="R799" s="75"/>
      <c r="S799" s="75"/>
      <c r="T799" s="75"/>
      <c r="U799" s="89"/>
      <c r="V799" s="84"/>
      <c r="W799" s="84"/>
      <c r="X799" s="84"/>
      <c r="Y799" s="84"/>
      <c r="Z799" s="84"/>
    </row>
    <row r="800" spans="1:26" ht="15.75" customHeight="1">
      <c r="A800" s="83"/>
      <c r="B800" s="84"/>
      <c r="C800" s="84"/>
      <c r="D800" s="83"/>
      <c r="E800" s="84"/>
      <c r="F800" s="84"/>
      <c r="G800" s="83"/>
      <c r="H800" s="84"/>
      <c r="I800" s="84"/>
      <c r="J800" s="84"/>
      <c r="K800" s="84"/>
      <c r="L800" s="84"/>
      <c r="M800" s="84"/>
      <c r="N800" s="84"/>
      <c r="O800" s="84"/>
      <c r="P800" s="85"/>
      <c r="Q800" s="75"/>
      <c r="R800" s="75"/>
      <c r="S800" s="75"/>
      <c r="T800" s="75"/>
      <c r="U800" s="89"/>
      <c r="V800" s="84"/>
      <c r="W800" s="84"/>
      <c r="X800" s="84"/>
      <c r="Y800" s="84"/>
      <c r="Z800" s="84"/>
    </row>
    <row r="801" spans="1:26" ht="15.75" customHeight="1">
      <c r="A801" s="83"/>
      <c r="B801" s="84"/>
      <c r="C801" s="84"/>
      <c r="D801" s="83"/>
      <c r="E801" s="84"/>
      <c r="F801" s="84"/>
      <c r="G801" s="83"/>
      <c r="H801" s="84"/>
      <c r="I801" s="84"/>
      <c r="J801" s="84"/>
      <c r="K801" s="84"/>
      <c r="L801" s="84"/>
      <c r="M801" s="84"/>
      <c r="N801" s="84"/>
      <c r="O801" s="84"/>
      <c r="P801" s="85"/>
      <c r="Q801" s="75"/>
      <c r="R801" s="75"/>
      <c r="S801" s="75"/>
      <c r="T801" s="75"/>
      <c r="U801" s="89"/>
      <c r="V801" s="84"/>
      <c r="W801" s="84"/>
      <c r="X801" s="84"/>
      <c r="Y801" s="84"/>
      <c r="Z801" s="84"/>
    </row>
    <row r="802" spans="1:26" ht="15.75" customHeight="1">
      <c r="A802" s="83"/>
      <c r="B802" s="84"/>
      <c r="C802" s="84"/>
      <c r="D802" s="83"/>
      <c r="E802" s="84"/>
      <c r="F802" s="84"/>
      <c r="G802" s="83"/>
      <c r="H802" s="84"/>
      <c r="I802" s="84"/>
      <c r="J802" s="84"/>
      <c r="K802" s="84"/>
      <c r="L802" s="84"/>
      <c r="M802" s="84"/>
      <c r="N802" s="84"/>
      <c r="O802" s="84"/>
      <c r="P802" s="85"/>
      <c r="Q802" s="75"/>
      <c r="R802" s="75"/>
      <c r="S802" s="75"/>
      <c r="T802" s="75"/>
      <c r="U802" s="89"/>
      <c r="V802" s="84"/>
      <c r="W802" s="84"/>
      <c r="X802" s="84"/>
      <c r="Y802" s="84"/>
      <c r="Z802" s="84"/>
    </row>
    <row r="803" spans="1:26" ht="15.75" customHeight="1">
      <c r="A803" s="83"/>
      <c r="B803" s="84"/>
      <c r="C803" s="84"/>
      <c r="D803" s="83"/>
      <c r="E803" s="84"/>
      <c r="F803" s="84"/>
      <c r="G803" s="83"/>
      <c r="H803" s="84"/>
      <c r="I803" s="84"/>
      <c r="J803" s="84"/>
      <c r="K803" s="84"/>
      <c r="L803" s="84"/>
      <c r="M803" s="84"/>
      <c r="N803" s="84"/>
      <c r="O803" s="84"/>
      <c r="P803" s="85"/>
      <c r="Q803" s="75"/>
      <c r="R803" s="75"/>
      <c r="S803" s="75"/>
      <c r="T803" s="75"/>
      <c r="U803" s="89"/>
      <c r="V803" s="84"/>
      <c r="W803" s="84"/>
      <c r="X803" s="84"/>
      <c r="Y803" s="84"/>
      <c r="Z803" s="84"/>
    </row>
    <row r="804" spans="1:26" ht="15.75" customHeight="1">
      <c r="A804" s="83"/>
      <c r="B804" s="84"/>
      <c r="C804" s="84"/>
      <c r="D804" s="83"/>
      <c r="E804" s="84"/>
      <c r="F804" s="84"/>
      <c r="G804" s="83"/>
      <c r="H804" s="84"/>
      <c r="I804" s="84"/>
      <c r="J804" s="84"/>
      <c r="K804" s="84"/>
      <c r="L804" s="84"/>
      <c r="M804" s="84"/>
      <c r="N804" s="84"/>
      <c r="O804" s="84"/>
      <c r="P804" s="85"/>
      <c r="Q804" s="75"/>
      <c r="R804" s="75"/>
      <c r="S804" s="75"/>
      <c r="T804" s="75"/>
      <c r="U804" s="89"/>
      <c r="V804" s="84"/>
      <c r="W804" s="84"/>
      <c r="X804" s="84"/>
      <c r="Y804" s="84"/>
      <c r="Z804" s="84"/>
    </row>
    <row r="805" spans="1:26" ht="15.75" customHeight="1">
      <c r="A805" s="83"/>
      <c r="B805" s="84"/>
      <c r="C805" s="84"/>
      <c r="D805" s="83"/>
      <c r="E805" s="84"/>
      <c r="F805" s="84"/>
      <c r="G805" s="83"/>
      <c r="H805" s="84"/>
      <c r="I805" s="84"/>
      <c r="J805" s="84"/>
      <c r="K805" s="84"/>
      <c r="L805" s="84"/>
      <c r="M805" s="84"/>
      <c r="N805" s="84"/>
      <c r="O805" s="84"/>
      <c r="P805" s="85"/>
      <c r="Q805" s="75"/>
      <c r="R805" s="75"/>
      <c r="S805" s="75"/>
      <c r="T805" s="75"/>
      <c r="U805" s="89"/>
      <c r="V805" s="84"/>
      <c r="W805" s="84"/>
      <c r="X805" s="84"/>
      <c r="Y805" s="84"/>
      <c r="Z805" s="84"/>
    </row>
    <row r="806" spans="1:26" ht="15.75" customHeight="1">
      <c r="A806" s="83"/>
      <c r="B806" s="84"/>
      <c r="C806" s="84"/>
      <c r="D806" s="83"/>
      <c r="E806" s="84"/>
      <c r="F806" s="84"/>
      <c r="G806" s="83"/>
      <c r="H806" s="84"/>
      <c r="I806" s="84"/>
      <c r="J806" s="84"/>
      <c r="K806" s="84"/>
      <c r="L806" s="84"/>
      <c r="M806" s="84"/>
      <c r="N806" s="84"/>
      <c r="O806" s="84"/>
      <c r="P806" s="85"/>
      <c r="Q806" s="75"/>
      <c r="R806" s="75"/>
      <c r="S806" s="75"/>
      <c r="T806" s="75"/>
      <c r="U806" s="89"/>
      <c r="V806" s="84"/>
      <c r="W806" s="84"/>
      <c r="X806" s="84"/>
      <c r="Y806" s="84"/>
      <c r="Z806" s="84"/>
    </row>
    <row r="807" spans="1:26" ht="15.75" customHeight="1">
      <c r="A807" s="83"/>
      <c r="B807" s="84"/>
      <c r="C807" s="84"/>
      <c r="D807" s="83"/>
      <c r="E807" s="84"/>
      <c r="F807" s="84"/>
      <c r="G807" s="83"/>
      <c r="H807" s="84"/>
      <c r="I807" s="84"/>
      <c r="J807" s="84"/>
      <c r="K807" s="84"/>
      <c r="L807" s="84"/>
      <c r="M807" s="84"/>
      <c r="N807" s="84"/>
      <c r="O807" s="84"/>
      <c r="P807" s="85"/>
      <c r="Q807" s="75"/>
      <c r="R807" s="75"/>
      <c r="S807" s="75"/>
      <c r="T807" s="75"/>
      <c r="U807" s="89"/>
      <c r="V807" s="84"/>
      <c r="W807" s="84"/>
      <c r="X807" s="84"/>
      <c r="Y807" s="84"/>
      <c r="Z807" s="84"/>
    </row>
    <row r="808" spans="1:26" ht="15.75" customHeight="1">
      <c r="A808" s="83"/>
      <c r="B808" s="84"/>
      <c r="C808" s="84"/>
      <c r="D808" s="83"/>
      <c r="E808" s="84"/>
      <c r="F808" s="84"/>
      <c r="G808" s="83"/>
      <c r="H808" s="84"/>
      <c r="I808" s="84"/>
      <c r="J808" s="84"/>
      <c r="K808" s="84"/>
      <c r="L808" s="84"/>
      <c r="M808" s="84"/>
      <c r="N808" s="84"/>
      <c r="O808" s="84"/>
      <c r="P808" s="85"/>
      <c r="Q808" s="75"/>
      <c r="R808" s="75"/>
      <c r="S808" s="75"/>
      <c r="T808" s="75"/>
      <c r="U808" s="89"/>
      <c r="V808" s="84"/>
      <c r="W808" s="84"/>
      <c r="X808" s="84"/>
      <c r="Y808" s="84"/>
      <c r="Z808" s="84"/>
    </row>
    <row r="809" spans="1:26" ht="15.75" customHeight="1">
      <c r="A809" s="83"/>
      <c r="B809" s="84"/>
      <c r="C809" s="84"/>
      <c r="D809" s="83"/>
      <c r="E809" s="84"/>
      <c r="F809" s="84"/>
      <c r="G809" s="83"/>
      <c r="H809" s="84"/>
      <c r="I809" s="84"/>
      <c r="J809" s="84"/>
      <c r="K809" s="84"/>
      <c r="L809" s="84"/>
      <c r="M809" s="84"/>
      <c r="N809" s="84"/>
      <c r="O809" s="84"/>
      <c r="P809" s="85"/>
      <c r="Q809" s="75"/>
      <c r="R809" s="75"/>
      <c r="S809" s="75"/>
      <c r="T809" s="75"/>
      <c r="U809" s="89"/>
      <c r="V809" s="84"/>
      <c r="W809" s="84"/>
      <c r="X809" s="84"/>
      <c r="Y809" s="84"/>
      <c r="Z809" s="84"/>
    </row>
    <row r="810" spans="1:26" ht="15.75" customHeight="1">
      <c r="A810" s="83"/>
      <c r="B810" s="84"/>
      <c r="C810" s="84"/>
      <c r="D810" s="83"/>
      <c r="E810" s="84"/>
      <c r="F810" s="84"/>
      <c r="G810" s="83"/>
      <c r="H810" s="84"/>
      <c r="I810" s="84"/>
      <c r="J810" s="84"/>
      <c r="K810" s="84"/>
      <c r="L810" s="84"/>
      <c r="M810" s="84"/>
      <c r="N810" s="84"/>
      <c r="O810" s="84"/>
      <c r="P810" s="85"/>
      <c r="Q810" s="75"/>
      <c r="R810" s="75"/>
      <c r="S810" s="75"/>
      <c r="T810" s="75"/>
      <c r="U810" s="89"/>
      <c r="V810" s="84"/>
      <c r="W810" s="84"/>
      <c r="X810" s="84"/>
      <c r="Y810" s="84"/>
      <c r="Z810" s="84"/>
    </row>
    <row r="811" spans="1:26" ht="15.75" customHeight="1">
      <c r="A811" s="83"/>
      <c r="B811" s="84"/>
      <c r="C811" s="84"/>
      <c r="D811" s="83"/>
      <c r="E811" s="84"/>
      <c r="F811" s="84"/>
      <c r="G811" s="83"/>
      <c r="H811" s="84"/>
      <c r="I811" s="84"/>
      <c r="J811" s="84"/>
      <c r="K811" s="84"/>
      <c r="L811" s="84"/>
      <c r="M811" s="84"/>
      <c r="N811" s="84"/>
      <c r="O811" s="84"/>
      <c r="P811" s="85"/>
      <c r="Q811" s="75"/>
      <c r="R811" s="75"/>
      <c r="S811" s="75"/>
      <c r="T811" s="75"/>
      <c r="U811" s="89"/>
      <c r="V811" s="84"/>
      <c r="W811" s="84"/>
      <c r="X811" s="84"/>
      <c r="Y811" s="84"/>
      <c r="Z811" s="84"/>
    </row>
    <row r="812" spans="1:26" ht="15.75" customHeight="1">
      <c r="A812" s="83"/>
      <c r="B812" s="84"/>
      <c r="C812" s="84"/>
      <c r="D812" s="83"/>
      <c r="E812" s="84"/>
      <c r="F812" s="84"/>
      <c r="G812" s="83"/>
      <c r="H812" s="84"/>
      <c r="I812" s="84"/>
      <c r="J812" s="84"/>
      <c r="K812" s="84"/>
      <c r="L812" s="84"/>
      <c r="M812" s="84"/>
      <c r="N812" s="84"/>
      <c r="O812" s="84"/>
      <c r="P812" s="85"/>
      <c r="Q812" s="75"/>
      <c r="R812" s="75"/>
      <c r="S812" s="75"/>
      <c r="T812" s="75"/>
      <c r="U812" s="89"/>
      <c r="V812" s="84"/>
      <c r="W812" s="84"/>
      <c r="X812" s="84"/>
      <c r="Y812" s="84"/>
      <c r="Z812" s="84"/>
    </row>
    <row r="813" spans="1:26" ht="15.75" customHeight="1">
      <c r="A813" s="83"/>
      <c r="B813" s="84"/>
      <c r="C813" s="84"/>
      <c r="D813" s="83"/>
      <c r="E813" s="84"/>
      <c r="F813" s="84"/>
      <c r="G813" s="83"/>
      <c r="H813" s="84"/>
      <c r="I813" s="84"/>
      <c r="J813" s="84"/>
      <c r="K813" s="84"/>
      <c r="L813" s="84"/>
      <c r="M813" s="84"/>
      <c r="N813" s="84"/>
      <c r="O813" s="84"/>
      <c r="P813" s="85"/>
      <c r="Q813" s="75"/>
      <c r="R813" s="75"/>
      <c r="S813" s="75"/>
      <c r="T813" s="75"/>
      <c r="U813" s="89"/>
      <c r="V813" s="84"/>
      <c r="W813" s="84"/>
      <c r="X813" s="84"/>
      <c r="Y813" s="84"/>
      <c r="Z813" s="84"/>
    </row>
    <row r="814" spans="1:26" ht="15.75" customHeight="1">
      <c r="A814" s="83"/>
      <c r="B814" s="84"/>
      <c r="C814" s="84"/>
      <c r="D814" s="83"/>
      <c r="E814" s="84"/>
      <c r="F814" s="84"/>
      <c r="G814" s="83"/>
      <c r="H814" s="84"/>
      <c r="I814" s="84"/>
      <c r="J814" s="84"/>
      <c r="K814" s="84"/>
      <c r="L814" s="84"/>
      <c r="M814" s="84"/>
      <c r="N814" s="84"/>
      <c r="O814" s="84"/>
      <c r="P814" s="85"/>
      <c r="Q814" s="75"/>
      <c r="R814" s="75"/>
      <c r="S814" s="75"/>
      <c r="T814" s="75"/>
      <c r="U814" s="89"/>
      <c r="V814" s="84"/>
      <c r="W814" s="84"/>
      <c r="X814" s="84"/>
      <c r="Y814" s="84"/>
      <c r="Z814" s="84"/>
    </row>
    <row r="815" spans="1:26" ht="15.75" customHeight="1">
      <c r="A815" s="83"/>
      <c r="B815" s="84"/>
      <c r="C815" s="84"/>
      <c r="D815" s="83"/>
      <c r="E815" s="84"/>
      <c r="F815" s="84"/>
      <c r="G815" s="83"/>
      <c r="H815" s="84"/>
      <c r="I815" s="84"/>
      <c r="J815" s="84"/>
      <c r="K815" s="84"/>
      <c r="L815" s="84"/>
      <c r="M815" s="84"/>
      <c r="N815" s="84"/>
      <c r="O815" s="84"/>
      <c r="P815" s="85"/>
      <c r="Q815" s="75"/>
      <c r="R815" s="75"/>
      <c r="S815" s="75"/>
      <c r="T815" s="75"/>
      <c r="U815" s="89"/>
      <c r="V815" s="84"/>
      <c r="W815" s="84"/>
      <c r="X815" s="84"/>
      <c r="Y815" s="84"/>
      <c r="Z815" s="84"/>
    </row>
    <row r="816" spans="1:26" ht="15.75" customHeight="1">
      <c r="A816" s="83"/>
      <c r="B816" s="84"/>
      <c r="C816" s="84"/>
      <c r="D816" s="83"/>
      <c r="E816" s="84"/>
      <c r="F816" s="84"/>
      <c r="G816" s="83"/>
      <c r="H816" s="84"/>
      <c r="I816" s="84"/>
      <c r="J816" s="84"/>
      <c r="K816" s="84"/>
      <c r="L816" s="84"/>
      <c r="M816" s="84"/>
      <c r="N816" s="84"/>
      <c r="O816" s="84"/>
      <c r="P816" s="85"/>
      <c r="Q816" s="75"/>
      <c r="R816" s="75"/>
      <c r="S816" s="75"/>
      <c r="T816" s="75"/>
      <c r="U816" s="89"/>
      <c r="V816" s="84"/>
      <c r="W816" s="84"/>
      <c r="X816" s="84"/>
      <c r="Y816" s="84"/>
      <c r="Z816" s="84"/>
    </row>
    <row r="817" spans="1:26" ht="15.75" customHeight="1">
      <c r="A817" s="83"/>
      <c r="B817" s="84"/>
      <c r="C817" s="84"/>
      <c r="D817" s="83"/>
      <c r="E817" s="84"/>
      <c r="F817" s="84"/>
      <c r="G817" s="83"/>
      <c r="H817" s="84"/>
      <c r="I817" s="84"/>
      <c r="J817" s="84"/>
      <c r="K817" s="84"/>
      <c r="L817" s="84"/>
      <c r="M817" s="84"/>
      <c r="N817" s="84"/>
      <c r="O817" s="84"/>
      <c r="P817" s="85"/>
      <c r="Q817" s="75"/>
      <c r="R817" s="75"/>
      <c r="S817" s="75"/>
      <c r="T817" s="75"/>
      <c r="U817" s="89"/>
      <c r="V817" s="84"/>
      <c r="W817" s="84"/>
      <c r="X817" s="84"/>
      <c r="Y817" s="84"/>
      <c r="Z817" s="84"/>
    </row>
    <row r="818" spans="1:26" ht="15.75" customHeight="1">
      <c r="A818" s="83"/>
      <c r="B818" s="84"/>
      <c r="C818" s="84"/>
      <c r="D818" s="83"/>
      <c r="E818" s="84"/>
      <c r="F818" s="84"/>
      <c r="G818" s="83"/>
      <c r="H818" s="84"/>
      <c r="I818" s="84"/>
      <c r="J818" s="84"/>
      <c r="K818" s="84"/>
      <c r="L818" s="84"/>
      <c r="M818" s="84"/>
      <c r="N818" s="84"/>
      <c r="O818" s="84"/>
      <c r="P818" s="85"/>
      <c r="Q818" s="75"/>
      <c r="R818" s="75"/>
      <c r="S818" s="75"/>
      <c r="T818" s="75"/>
      <c r="U818" s="89"/>
      <c r="V818" s="84"/>
      <c r="W818" s="84"/>
      <c r="X818" s="84"/>
      <c r="Y818" s="84"/>
      <c r="Z818" s="84"/>
    </row>
    <row r="819" spans="1:26" ht="15.75" customHeight="1">
      <c r="A819" s="83"/>
      <c r="B819" s="84"/>
      <c r="C819" s="84"/>
      <c r="D819" s="83"/>
      <c r="E819" s="84"/>
      <c r="F819" s="84"/>
      <c r="G819" s="83"/>
      <c r="H819" s="84"/>
      <c r="I819" s="84"/>
      <c r="J819" s="84"/>
      <c r="K819" s="84"/>
      <c r="L819" s="84"/>
      <c r="M819" s="84"/>
      <c r="N819" s="84"/>
      <c r="O819" s="84"/>
      <c r="P819" s="85"/>
      <c r="Q819" s="75"/>
      <c r="R819" s="75"/>
      <c r="S819" s="75"/>
      <c r="T819" s="75"/>
      <c r="U819" s="89"/>
      <c r="V819" s="84"/>
      <c r="W819" s="84"/>
      <c r="X819" s="84"/>
      <c r="Y819" s="84"/>
      <c r="Z819" s="84"/>
    </row>
    <row r="820" spans="1:26" ht="15.75" customHeight="1">
      <c r="A820" s="83"/>
      <c r="B820" s="84"/>
      <c r="C820" s="84"/>
      <c r="D820" s="83"/>
      <c r="E820" s="84"/>
      <c r="F820" s="84"/>
      <c r="G820" s="83"/>
      <c r="H820" s="84"/>
      <c r="I820" s="84"/>
      <c r="J820" s="84"/>
      <c r="K820" s="84"/>
      <c r="L820" s="84"/>
      <c r="M820" s="84"/>
      <c r="N820" s="84"/>
      <c r="O820" s="84"/>
      <c r="P820" s="85"/>
      <c r="Q820" s="75"/>
      <c r="R820" s="75"/>
      <c r="S820" s="75"/>
      <c r="T820" s="75"/>
      <c r="U820" s="89"/>
      <c r="V820" s="84"/>
      <c r="W820" s="84"/>
      <c r="X820" s="84"/>
      <c r="Y820" s="84"/>
      <c r="Z820" s="84"/>
    </row>
    <row r="821" spans="1:26" ht="15.75" customHeight="1">
      <c r="A821" s="83"/>
      <c r="B821" s="84"/>
      <c r="C821" s="84"/>
      <c r="D821" s="83"/>
      <c r="E821" s="84"/>
      <c r="F821" s="84"/>
      <c r="G821" s="83"/>
      <c r="H821" s="84"/>
      <c r="I821" s="84"/>
      <c r="J821" s="84"/>
      <c r="K821" s="84"/>
      <c r="L821" s="84"/>
      <c r="M821" s="84"/>
      <c r="N821" s="84"/>
      <c r="O821" s="84"/>
      <c r="P821" s="85"/>
      <c r="Q821" s="75"/>
      <c r="R821" s="75"/>
      <c r="S821" s="75"/>
      <c r="T821" s="75"/>
      <c r="U821" s="89"/>
      <c r="V821" s="84"/>
      <c r="W821" s="84"/>
      <c r="X821" s="84"/>
      <c r="Y821" s="84"/>
      <c r="Z821" s="84"/>
    </row>
    <row r="822" spans="1:26" ht="15.75" customHeight="1">
      <c r="A822" s="83"/>
      <c r="B822" s="84"/>
      <c r="C822" s="84"/>
      <c r="D822" s="83"/>
      <c r="E822" s="84"/>
      <c r="F822" s="84"/>
      <c r="G822" s="83"/>
      <c r="H822" s="84"/>
      <c r="I822" s="84"/>
      <c r="J822" s="84"/>
      <c r="K822" s="84"/>
      <c r="L822" s="84"/>
      <c r="M822" s="84"/>
      <c r="N822" s="84"/>
      <c r="O822" s="84"/>
      <c r="P822" s="85"/>
      <c r="Q822" s="75"/>
      <c r="R822" s="75"/>
      <c r="S822" s="75"/>
      <c r="T822" s="75"/>
      <c r="U822" s="89"/>
      <c r="V822" s="84"/>
      <c r="W822" s="84"/>
      <c r="X822" s="84"/>
      <c r="Y822" s="84"/>
      <c r="Z822" s="84"/>
    </row>
    <row r="823" spans="1:26" ht="15.75" customHeight="1">
      <c r="A823" s="83"/>
      <c r="B823" s="84"/>
      <c r="C823" s="84"/>
      <c r="D823" s="83"/>
      <c r="E823" s="84"/>
      <c r="F823" s="84"/>
      <c r="G823" s="83"/>
      <c r="H823" s="84"/>
      <c r="I823" s="84"/>
      <c r="J823" s="84"/>
      <c r="K823" s="84"/>
      <c r="L823" s="84"/>
      <c r="M823" s="84"/>
      <c r="N823" s="84"/>
      <c r="O823" s="84"/>
      <c r="P823" s="85"/>
      <c r="Q823" s="75"/>
      <c r="R823" s="75"/>
      <c r="S823" s="75"/>
      <c r="T823" s="75"/>
      <c r="U823" s="89"/>
      <c r="V823" s="84"/>
      <c r="W823" s="84"/>
      <c r="X823" s="84"/>
      <c r="Y823" s="84"/>
      <c r="Z823" s="84"/>
    </row>
    <row r="824" spans="1:26" ht="15.75" customHeight="1">
      <c r="A824" s="83"/>
      <c r="B824" s="84"/>
      <c r="C824" s="84"/>
      <c r="D824" s="83"/>
      <c r="E824" s="84"/>
      <c r="F824" s="84"/>
      <c r="G824" s="83"/>
      <c r="H824" s="84"/>
      <c r="I824" s="84"/>
      <c r="J824" s="84"/>
      <c r="K824" s="84"/>
      <c r="L824" s="84"/>
      <c r="M824" s="84"/>
      <c r="N824" s="84"/>
      <c r="O824" s="84"/>
      <c r="P824" s="85"/>
      <c r="Q824" s="75"/>
      <c r="R824" s="75"/>
      <c r="S824" s="75"/>
      <c r="T824" s="75"/>
      <c r="U824" s="89"/>
      <c r="V824" s="84"/>
      <c r="W824" s="84"/>
      <c r="X824" s="84"/>
      <c r="Y824" s="84"/>
      <c r="Z824" s="84"/>
    </row>
    <row r="825" spans="1:26" ht="15.75" customHeight="1">
      <c r="A825" s="83"/>
      <c r="B825" s="84"/>
      <c r="C825" s="84"/>
      <c r="D825" s="83"/>
      <c r="E825" s="84"/>
      <c r="F825" s="84"/>
      <c r="G825" s="83"/>
      <c r="H825" s="84"/>
      <c r="I825" s="84"/>
      <c r="J825" s="84"/>
      <c r="K825" s="84"/>
      <c r="L825" s="84"/>
      <c r="M825" s="84"/>
      <c r="N825" s="84"/>
      <c r="O825" s="84"/>
      <c r="P825" s="85"/>
      <c r="Q825" s="75"/>
      <c r="R825" s="75"/>
      <c r="S825" s="75"/>
      <c r="T825" s="75"/>
      <c r="U825" s="89"/>
      <c r="V825" s="84"/>
      <c r="W825" s="84"/>
      <c r="X825" s="84"/>
      <c r="Y825" s="84"/>
      <c r="Z825" s="84"/>
    </row>
    <row r="826" spans="1:26" ht="15.75" customHeight="1">
      <c r="A826" s="83"/>
      <c r="B826" s="84"/>
      <c r="C826" s="84"/>
      <c r="D826" s="83"/>
      <c r="E826" s="84"/>
      <c r="F826" s="84"/>
      <c r="G826" s="83"/>
      <c r="H826" s="84"/>
      <c r="I826" s="84"/>
      <c r="J826" s="84"/>
      <c r="K826" s="84"/>
      <c r="L826" s="84"/>
      <c r="M826" s="84"/>
      <c r="N826" s="84"/>
      <c r="O826" s="84"/>
      <c r="P826" s="85"/>
      <c r="Q826" s="75"/>
      <c r="R826" s="75"/>
      <c r="S826" s="75"/>
      <c r="T826" s="75"/>
      <c r="U826" s="89"/>
      <c r="V826" s="84"/>
      <c r="W826" s="84"/>
      <c r="X826" s="84"/>
      <c r="Y826" s="84"/>
      <c r="Z826" s="84"/>
    </row>
    <row r="827" spans="1:26" ht="15.75" customHeight="1">
      <c r="A827" s="83"/>
      <c r="B827" s="84"/>
      <c r="C827" s="84"/>
      <c r="D827" s="83"/>
      <c r="E827" s="84"/>
      <c r="F827" s="84"/>
      <c r="G827" s="83"/>
      <c r="H827" s="84"/>
      <c r="I827" s="84"/>
      <c r="J827" s="84"/>
      <c r="K827" s="84"/>
      <c r="L827" s="84"/>
      <c r="M827" s="84"/>
      <c r="N827" s="84"/>
      <c r="O827" s="84"/>
      <c r="P827" s="85"/>
      <c r="Q827" s="75"/>
      <c r="R827" s="75"/>
      <c r="S827" s="75"/>
      <c r="T827" s="75"/>
      <c r="U827" s="89"/>
      <c r="V827" s="84"/>
      <c r="W827" s="84"/>
      <c r="X827" s="84"/>
      <c r="Y827" s="84"/>
      <c r="Z827" s="84"/>
    </row>
    <row r="828" spans="1:26" ht="15.75" customHeight="1">
      <c r="A828" s="83"/>
      <c r="B828" s="84"/>
      <c r="C828" s="84"/>
      <c r="D828" s="83"/>
      <c r="E828" s="84"/>
      <c r="F828" s="84"/>
      <c r="G828" s="83"/>
      <c r="H828" s="84"/>
      <c r="I828" s="84"/>
      <c r="J828" s="84"/>
      <c r="K828" s="84"/>
      <c r="L828" s="84"/>
      <c r="M828" s="84"/>
      <c r="N828" s="84"/>
      <c r="O828" s="84"/>
      <c r="P828" s="85"/>
      <c r="Q828" s="75"/>
      <c r="R828" s="75"/>
      <c r="S828" s="75"/>
      <c r="T828" s="75"/>
      <c r="U828" s="89"/>
      <c r="V828" s="84"/>
      <c r="W828" s="84"/>
      <c r="X828" s="84"/>
      <c r="Y828" s="84"/>
      <c r="Z828" s="84"/>
    </row>
    <row r="829" spans="1:26" ht="15.75" customHeight="1">
      <c r="A829" s="83"/>
      <c r="B829" s="84"/>
      <c r="C829" s="84"/>
      <c r="D829" s="83"/>
      <c r="E829" s="84"/>
      <c r="F829" s="84"/>
      <c r="G829" s="83"/>
      <c r="H829" s="84"/>
      <c r="I829" s="84"/>
      <c r="J829" s="84"/>
      <c r="K829" s="84"/>
      <c r="L829" s="84"/>
      <c r="M829" s="84"/>
      <c r="N829" s="84"/>
      <c r="O829" s="84"/>
      <c r="P829" s="85"/>
      <c r="Q829" s="75"/>
      <c r="R829" s="75"/>
      <c r="S829" s="75"/>
      <c r="T829" s="75"/>
      <c r="U829" s="89"/>
      <c r="V829" s="84"/>
      <c r="W829" s="84"/>
      <c r="X829" s="84"/>
      <c r="Y829" s="84"/>
      <c r="Z829" s="84"/>
    </row>
    <row r="830" spans="1:26" ht="15.75" customHeight="1">
      <c r="A830" s="83"/>
      <c r="B830" s="84"/>
      <c r="C830" s="84"/>
      <c r="D830" s="83"/>
      <c r="E830" s="84"/>
      <c r="F830" s="84"/>
      <c r="G830" s="83"/>
      <c r="H830" s="84"/>
      <c r="I830" s="84"/>
      <c r="J830" s="84"/>
      <c r="K830" s="84"/>
      <c r="L830" s="84"/>
      <c r="M830" s="84"/>
      <c r="N830" s="84"/>
      <c r="O830" s="84"/>
      <c r="P830" s="85"/>
      <c r="Q830" s="75"/>
      <c r="R830" s="75"/>
      <c r="S830" s="75"/>
      <c r="T830" s="75"/>
      <c r="U830" s="89"/>
      <c r="V830" s="84"/>
      <c r="W830" s="84"/>
      <c r="X830" s="84"/>
      <c r="Y830" s="84"/>
      <c r="Z830" s="84"/>
    </row>
    <row r="831" spans="1:26" ht="15.75" customHeight="1">
      <c r="A831" s="83"/>
      <c r="B831" s="84"/>
      <c r="C831" s="84"/>
      <c r="D831" s="83"/>
      <c r="E831" s="84"/>
      <c r="F831" s="84"/>
      <c r="G831" s="83"/>
      <c r="H831" s="84"/>
      <c r="I831" s="84"/>
      <c r="J831" s="84"/>
      <c r="K831" s="84"/>
      <c r="L831" s="84"/>
      <c r="M831" s="84"/>
      <c r="N831" s="84"/>
      <c r="O831" s="84"/>
      <c r="P831" s="85"/>
      <c r="Q831" s="75"/>
      <c r="R831" s="75"/>
      <c r="S831" s="75"/>
      <c r="T831" s="75"/>
      <c r="U831" s="89"/>
      <c r="V831" s="84"/>
      <c r="W831" s="84"/>
      <c r="X831" s="84"/>
      <c r="Y831" s="84"/>
      <c r="Z831" s="84"/>
    </row>
    <row r="832" spans="1:26" ht="15.75" customHeight="1">
      <c r="A832" s="83"/>
      <c r="B832" s="84"/>
      <c r="C832" s="84"/>
      <c r="D832" s="83"/>
      <c r="E832" s="84"/>
      <c r="F832" s="84"/>
      <c r="G832" s="83"/>
      <c r="H832" s="84"/>
      <c r="I832" s="84"/>
      <c r="J832" s="84"/>
      <c r="K832" s="84"/>
      <c r="L832" s="84"/>
      <c r="M832" s="84"/>
      <c r="N832" s="84"/>
      <c r="O832" s="84"/>
      <c r="P832" s="85"/>
      <c r="Q832" s="75"/>
      <c r="R832" s="75"/>
      <c r="S832" s="75"/>
      <c r="T832" s="75"/>
      <c r="U832" s="89"/>
      <c r="V832" s="84"/>
      <c r="W832" s="84"/>
      <c r="X832" s="84"/>
      <c r="Y832" s="84"/>
      <c r="Z832" s="84"/>
    </row>
    <row r="833" spans="1:26" ht="15.75" customHeight="1">
      <c r="A833" s="83"/>
      <c r="B833" s="84"/>
      <c r="C833" s="84"/>
      <c r="D833" s="83"/>
      <c r="E833" s="84"/>
      <c r="F833" s="84"/>
      <c r="G833" s="83"/>
      <c r="H833" s="84"/>
      <c r="I833" s="84"/>
      <c r="J833" s="84"/>
      <c r="K833" s="84"/>
      <c r="L833" s="84"/>
      <c r="M833" s="84"/>
      <c r="N833" s="84"/>
      <c r="O833" s="84"/>
      <c r="P833" s="85"/>
      <c r="Q833" s="75"/>
      <c r="R833" s="75"/>
      <c r="S833" s="75"/>
      <c r="T833" s="75"/>
      <c r="U833" s="89"/>
      <c r="V833" s="84"/>
      <c r="W833" s="84"/>
      <c r="X833" s="84"/>
      <c r="Y833" s="84"/>
      <c r="Z833" s="84"/>
    </row>
    <row r="834" spans="1:26" ht="15.75" customHeight="1">
      <c r="A834" s="83"/>
      <c r="B834" s="84"/>
      <c r="C834" s="84"/>
      <c r="D834" s="83"/>
      <c r="E834" s="84"/>
      <c r="F834" s="84"/>
      <c r="G834" s="83"/>
      <c r="H834" s="84"/>
      <c r="I834" s="84"/>
      <c r="J834" s="84"/>
      <c r="K834" s="84"/>
      <c r="L834" s="84"/>
      <c r="M834" s="84"/>
      <c r="N834" s="84"/>
      <c r="O834" s="84"/>
      <c r="P834" s="85"/>
      <c r="Q834" s="75"/>
      <c r="R834" s="75"/>
      <c r="S834" s="75"/>
      <c r="T834" s="75"/>
      <c r="U834" s="89"/>
      <c r="V834" s="84"/>
      <c r="W834" s="84"/>
      <c r="X834" s="84"/>
      <c r="Y834" s="84"/>
      <c r="Z834" s="84"/>
    </row>
    <row r="835" spans="1:26" ht="15.75" customHeight="1">
      <c r="A835" s="83"/>
      <c r="B835" s="84"/>
      <c r="C835" s="84"/>
      <c r="D835" s="83"/>
      <c r="E835" s="84"/>
      <c r="F835" s="84"/>
      <c r="G835" s="83"/>
      <c r="H835" s="84"/>
      <c r="I835" s="84"/>
      <c r="J835" s="84"/>
      <c r="K835" s="84"/>
      <c r="L835" s="84"/>
      <c r="M835" s="84"/>
      <c r="N835" s="84"/>
      <c r="O835" s="84"/>
      <c r="P835" s="85"/>
      <c r="Q835" s="75"/>
      <c r="R835" s="75"/>
      <c r="S835" s="75"/>
      <c r="T835" s="75"/>
      <c r="U835" s="89"/>
      <c r="V835" s="84"/>
      <c r="W835" s="84"/>
      <c r="X835" s="84"/>
      <c r="Y835" s="84"/>
      <c r="Z835" s="84"/>
    </row>
    <row r="836" spans="1:26" ht="15.75" customHeight="1">
      <c r="A836" s="83"/>
      <c r="B836" s="84"/>
      <c r="C836" s="84"/>
      <c r="D836" s="83"/>
      <c r="E836" s="84"/>
      <c r="F836" s="84"/>
      <c r="G836" s="83"/>
      <c r="H836" s="84"/>
      <c r="I836" s="84"/>
      <c r="J836" s="84"/>
      <c r="K836" s="84"/>
      <c r="L836" s="84"/>
      <c r="M836" s="84"/>
      <c r="N836" s="84"/>
      <c r="O836" s="84"/>
      <c r="P836" s="85"/>
      <c r="Q836" s="75"/>
      <c r="R836" s="75"/>
      <c r="S836" s="75"/>
      <c r="T836" s="75"/>
      <c r="U836" s="89"/>
      <c r="V836" s="84"/>
      <c r="W836" s="84"/>
      <c r="X836" s="84"/>
      <c r="Y836" s="84"/>
      <c r="Z836" s="84"/>
    </row>
    <row r="837" spans="1:26" ht="15.75" customHeight="1">
      <c r="A837" s="83"/>
      <c r="B837" s="84"/>
      <c r="C837" s="84"/>
      <c r="D837" s="83"/>
      <c r="E837" s="84"/>
      <c r="F837" s="84"/>
      <c r="G837" s="83"/>
      <c r="H837" s="84"/>
      <c r="I837" s="84"/>
      <c r="J837" s="84"/>
      <c r="K837" s="84"/>
      <c r="L837" s="84"/>
      <c r="M837" s="84"/>
      <c r="N837" s="84"/>
      <c r="O837" s="84"/>
      <c r="P837" s="85"/>
      <c r="Q837" s="75"/>
      <c r="R837" s="75"/>
      <c r="S837" s="75"/>
      <c r="T837" s="75"/>
      <c r="U837" s="89"/>
      <c r="V837" s="84"/>
      <c r="W837" s="84"/>
      <c r="X837" s="84"/>
      <c r="Y837" s="84"/>
      <c r="Z837" s="84"/>
    </row>
    <row r="838" spans="1:26" ht="15.75" customHeight="1">
      <c r="A838" s="83"/>
      <c r="B838" s="84"/>
      <c r="C838" s="84"/>
      <c r="D838" s="83"/>
      <c r="E838" s="84"/>
      <c r="F838" s="84"/>
      <c r="G838" s="83"/>
      <c r="H838" s="84"/>
      <c r="I838" s="84"/>
      <c r="J838" s="84"/>
      <c r="K838" s="84"/>
      <c r="L838" s="84"/>
      <c r="M838" s="84"/>
      <c r="N838" s="84"/>
      <c r="O838" s="84"/>
      <c r="P838" s="85"/>
      <c r="Q838" s="75"/>
      <c r="R838" s="75"/>
      <c r="S838" s="75"/>
      <c r="T838" s="75"/>
      <c r="U838" s="89"/>
      <c r="V838" s="84"/>
      <c r="W838" s="84"/>
      <c r="X838" s="84"/>
      <c r="Y838" s="84"/>
      <c r="Z838" s="84"/>
    </row>
    <row r="839" spans="1:26" ht="15.75" customHeight="1">
      <c r="A839" s="83"/>
      <c r="B839" s="84"/>
      <c r="C839" s="84"/>
      <c r="D839" s="83"/>
      <c r="E839" s="84"/>
      <c r="F839" s="84"/>
      <c r="G839" s="83"/>
      <c r="H839" s="84"/>
      <c r="I839" s="84"/>
      <c r="J839" s="84"/>
      <c r="K839" s="84"/>
      <c r="L839" s="84"/>
      <c r="M839" s="84"/>
      <c r="N839" s="84"/>
      <c r="O839" s="84"/>
      <c r="P839" s="85"/>
      <c r="Q839" s="75"/>
      <c r="R839" s="75"/>
      <c r="S839" s="75"/>
      <c r="T839" s="75"/>
      <c r="U839" s="89"/>
      <c r="V839" s="84"/>
      <c r="W839" s="84"/>
      <c r="X839" s="84"/>
      <c r="Y839" s="84"/>
      <c r="Z839" s="84"/>
    </row>
    <row r="840" spans="1:26" ht="15.75" customHeight="1">
      <c r="A840" s="83"/>
      <c r="B840" s="84"/>
      <c r="C840" s="84"/>
      <c r="D840" s="83"/>
      <c r="E840" s="84"/>
      <c r="F840" s="84"/>
      <c r="G840" s="83"/>
      <c r="H840" s="84"/>
      <c r="I840" s="84"/>
      <c r="J840" s="84"/>
      <c r="K840" s="84"/>
      <c r="L840" s="84"/>
      <c r="M840" s="84"/>
      <c r="N840" s="84"/>
      <c r="O840" s="84"/>
      <c r="P840" s="85"/>
      <c r="Q840" s="75"/>
      <c r="R840" s="75"/>
      <c r="S840" s="75"/>
      <c r="T840" s="75"/>
      <c r="U840" s="89"/>
      <c r="V840" s="84"/>
      <c r="W840" s="84"/>
      <c r="X840" s="84"/>
      <c r="Y840" s="84"/>
      <c r="Z840" s="84"/>
    </row>
    <row r="841" spans="1:26" ht="15.75" customHeight="1">
      <c r="A841" s="83"/>
      <c r="B841" s="84"/>
      <c r="C841" s="84"/>
      <c r="D841" s="83"/>
      <c r="E841" s="84"/>
      <c r="F841" s="84"/>
      <c r="G841" s="83"/>
      <c r="H841" s="84"/>
      <c r="I841" s="84"/>
      <c r="J841" s="84"/>
      <c r="K841" s="84"/>
      <c r="L841" s="84"/>
      <c r="M841" s="84"/>
      <c r="N841" s="84"/>
      <c r="O841" s="84"/>
      <c r="P841" s="85"/>
      <c r="Q841" s="75"/>
      <c r="R841" s="75"/>
      <c r="S841" s="75"/>
      <c r="T841" s="75"/>
      <c r="U841" s="89"/>
      <c r="V841" s="84"/>
      <c r="W841" s="84"/>
      <c r="X841" s="84"/>
      <c r="Y841" s="84"/>
      <c r="Z841" s="84"/>
    </row>
    <row r="842" spans="1:26" ht="15.75" customHeight="1">
      <c r="A842" s="83"/>
      <c r="B842" s="84"/>
      <c r="C842" s="84"/>
      <c r="D842" s="83"/>
      <c r="E842" s="84"/>
      <c r="F842" s="84"/>
      <c r="G842" s="83"/>
      <c r="H842" s="84"/>
      <c r="I842" s="84"/>
      <c r="J842" s="84"/>
      <c r="K842" s="84"/>
      <c r="L842" s="84"/>
      <c r="M842" s="84"/>
      <c r="N842" s="84"/>
      <c r="O842" s="84"/>
      <c r="P842" s="85"/>
      <c r="Q842" s="75"/>
      <c r="R842" s="75"/>
      <c r="S842" s="75"/>
      <c r="T842" s="75"/>
      <c r="U842" s="89"/>
      <c r="V842" s="84"/>
      <c r="W842" s="84"/>
      <c r="X842" s="84"/>
      <c r="Y842" s="84"/>
      <c r="Z842" s="84"/>
    </row>
    <row r="843" spans="1:26" ht="15.75" customHeight="1">
      <c r="A843" s="83"/>
      <c r="B843" s="84"/>
      <c r="C843" s="84"/>
      <c r="D843" s="83"/>
      <c r="E843" s="84"/>
      <c r="F843" s="84"/>
      <c r="G843" s="83"/>
      <c r="H843" s="84"/>
      <c r="I843" s="84"/>
      <c r="J843" s="84"/>
      <c r="K843" s="84"/>
      <c r="L843" s="84"/>
      <c r="M843" s="84"/>
      <c r="N843" s="84"/>
      <c r="O843" s="84"/>
      <c r="P843" s="85"/>
      <c r="Q843" s="75"/>
      <c r="R843" s="75"/>
      <c r="S843" s="75"/>
      <c r="T843" s="75"/>
      <c r="U843" s="89"/>
      <c r="V843" s="84"/>
      <c r="W843" s="84"/>
      <c r="X843" s="84"/>
      <c r="Y843" s="84"/>
      <c r="Z843" s="84"/>
    </row>
    <row r="844" spans="1:26" ht="15.75" customHeight="1">
      <c r="A844" s="83"/>
      <c r="B844" s="84"/>
      <c r="C844" s="84"/>
      <c r="D844" s="83"/>
      <c r="E844" s="84"/>
      <c r="F844" s="84"/>
      <c r="G844" s="83"/>
      <c r="H844" s="84"/>
      <c r="I844" s="84"/>
      <c r="J844" s="84"/>
      <c r="K844" s="84"/>
      <c r="L844" s="84"/>
      <c r="M844" s="84"/>
      <c r="N844" s="84"/>
      <c r="O844" s="84"/>
      <c r="P844" s="85"/>
      <c r="Q844" s="75"/>
      <c r="R844" s="75"/>
      <c r="S844" s="75"/>
      <c r="T844" s="75"/>
      <c r="U844" s="89"/>
      <c r="V844" s="84"/>
      <c r="W844" s="84"/>
      <c r="X844" s="84"/>
      <c r="Y844" s="84"/>
      <c r="Z844" s="84"/>
    </row>
    <row r="845" spans="1:26" ht="15.75" customHeight="1">
      <c r="A845" s="83"/>
      <c r="B845" s="84"/>
      <c r="C845" s="84"/>
      <c r="D845" s="83"/>
      <c r="E845" s="84"/>
      <c r="F845" s="84"/>
      <c r="G845" s="83"/>
      <c r="H845" s="84"/>
      <c r="I845" s="84"/>
      <c r="J845" s="84"/>
      <c r="K845" s="84"/>
      <c r="L845" s="84"/>
      <c r="M845" s="84"/>
      <c r="N845" s="84"/>
      <c r="O845" s="84"/>
      <c r="P845" s="85"/>
      <c r="Q845" s="75"/>
      <c r="R845" s="75"/>
      <c r="S845" s="75"/>
      <c r="T845" s="75"/>
      <c r="U845" s="89"/>
      <c r="V845" s="84"/>
      <c r="W845" s="84"/>
      <c r="X845" s="84"/>
      <c r="Y845" s="84"/>
      <c r="Z845" s="84"/>
    </row>
    <row r="846" spans="1:26" ht="15.75" customHeight="1">
      <c r="A846" s="83"/>
      <c r="B846" s="84"/>
      <c r="C846" s="84"/>
      <c r="D846" s="83"/>
      <c r="E846" s="84"/>
      <c r="F846" s="84"/>
      <c r="G846" s="83"/>
      <c r="H846" s="84"/>
      <c r="I846" s="84"/>
      <c r="J846" s="84"/>
      <c r="K846" s="84"/>
      <c r="L846" s="84"/>
      <c r="M846" s="84"/>
      <c r="N846" s="84"/>
      <c r="O846" s="84"/>
      <c r="P846" s="85"/>
      <c r="Q846" s="75"/>
      <c r="R846" s="75"/>
      <c r="S846" s="75"/>
      <c r="T846" s="75"/>
      <c r="U846" s="89"/>
      <c r="V846" s="84"/>
      <c r="W846" s="84"/>
      <c r="X846" s="84"/>
      <c r="Y846" s="84"/>
      <c r="Z846" s="84"/>
    </row>
    <row r="847" spans="1:26" ht="15.75" customHeight="1">
      <c r="A847" s="83"/>
      <c r="B847" s="84"/>
      <c r="C847" s="84"/>
      <c r="D847" s="83"/>
      <c r="E847" s="84"/>
      <c r="F847" s="84"/>
      <c r="G847" s="83"/>
      <c r="H847" s="84"/>
      <c r="I847" s="84"/>
      <c r="J847" s="84"/>
      <c r="K847" s="84"/>
      <c r="L847" s="84"/>
      <c r="M847" s="84"/>
      <c r="N847" s="84"/>
      <c r="O847" s="84"/>
      <c r="P847" s="85"/>
      <c r="Q847" s="75"/>
      <c r="R847" s="75"/>
      <c r="S847" s="75"/>
      <c r="T847" s="75"/>
      <c r="U847" s="89"/>
      <c r="V847" s="84"/>
      <c r="W847" s="84"/>
      <c r="X847" s="84"/>
      <c r="Y847" s="84"/>
      <c r="Z847" s="84"/>
    </row>
    <row r="848" spans="1:26" ht="15.75" customHeight="1">
      <c r="A848" s="83"/>
      <c r="B848" s="84"/>
      <c r="C848" s="84"/>
      <c r="D848" s="83"/>
      <c r="E848" s="84"/>
      <c r="F848" s="84"/>
      <c r="G848" s="83"/>
      <c r="H848" s="84"/>
      <c r="I848" s="84"/>
      <c r="J848" s="84"/>
      <c r="K848" s="84"/>
      <c r="L848" s="84"/>
      <c r="M848" s="84"/>
      <c r="N848" s="84"/>
      <c r="O848" s="84"/>
      <c r="P848" s="85"/>
      <c r="Q848" s="75"/>
      <c r="R848" s="75"/>
      <c r="S848" s="75"/>
      <c r="T848" s="75"/>
      <c r="U848" s="89"/>
      <c r="V848" s="84"/>
      <c r="W848" s="84"/>
      <c r="X848" s="84"/>
      <c r="Y848" s="84"/>
      <c r="Z848" s="84"/>
    </row>
    <row r="849" spans="1:26" ht="15.75" customHeight="1">
      <c r="A849" s="83"/>
      <c r="B849" s="84"/>
      <c r="C849" s="84"/>
      <c r="D849" s="83"/>
      <c r="E849" s="84"/>
      <c r="F849" s="84"/>
      <c r="G849" s="83"/>
      <c r="H849" s="84"/>
      <c r="I849" s="84"/>
      <c r="J849" s="84"/>
      <c r="K849" s="84"/>
      <c r="L849" s="84"/>
      <c r="M849" s="84"/>
      <c r="N849" s="84"/>
      <c r="O849" s="84"/>
      <c r="P849" s="85"/>
      <c r="Q849" s="75"/>
      <c r="R849" s="75"/>
      <c r="S849" s="75"/>
      <c r="T849" s="75"/>
      <c r="U849" s="89"/>
      <c r="V849" s="84"/>
      <c r="W849" s="84"/>
      <c r="X849" s="84"/>
      <c r="Y849" s="84"/>
      <c r="Z849" s="84"/>
    </row>
    <row r="850" spans="1:26" ht="15.75" customHeight="1">
      <c r="A850" s="83"/>
      <c r="B850" s="84"/>
      <c r="C850" s="84"/>
      <c r="D850" s="83"/>
      <c r="E850" s="84"/>
      <c r="F850" s="84"/>
      <c r="G850" s="83"/>
      <c r="H850" s="84"/>
      <c r="I850" s="84"/>
      <c r="J850" s="84"/>
      <c r="K850" s="84"/>
      <c r="L850" s="84"/>
      <c r="M850" s="84"/>
      <c r="N850" s="84"/>
      <c r="O850" s="84"/>
      <c r="P850" s="85"/>
      <c r="Q850" s="75"/>
      <c r="R850" s="75"/>
      <c r="S850" s="75"/>
      <c r="T850" s="75"/>
      <c r="U850" s="89"/>
      <c r="V850" s="84"/>
      <c r="W850" s="84"/>
      <c r="X850" s="84"/>
      <c r="Y850" s="84"/>
      <c r="Z850" s="84"/>
    </row>
    <row r="851" spans="1:26" ht="15.75" customHeight="1">
      <c r="A851" s="83"/>
      <c r="B851" s="84"/>
      <c r="C851" s="84"/>
      <c r="D851" s="83"/>
      <c r="E851" s="84"/>
      <c r="F851" s="84"/>
      <c r="G851" s="83"/>
      <c r="H851" s="84"/>
      <c r="I851" s="84"/>
      <c r="J851" s="84"/>
      <c r="K851" s="84"/>
      <c r="L851" s="84"/>
      <c r="M851" s="84"/>
      <c r="N851" s="84"/>
      <c r="O851" s="84"/>
      <c r="P851" s="85"/>
      <c r="Q851" s="75"/>
      <c r="R851" s="75"/>
      <c r="S851" s="75"/>
      <c r="T851" s="75"/>
      <c r="U851" s="89"/>
      <c r="V851" s="84"/>
      <c r="W851" s="84"/>
      <c r="X851" s="84"/>
      <c r="Y851" s="84"/>
      <c r="Z851" s="84"/>
    </row>
    <row r="852" spans="1:26" ht="15.75" customHeight="1">
      <c r="A852" s="83"/>
      <c r="B852" s="84"/>
      <c r="C852" s="84"/>
      <c r="D852" s="83"/>
      <c r="E852" s="84"/>
      <c r="F852" s="84"/>
      <c r="G852" s="83"/>
      <c r="H852" s="84"/>
      <c r="I852" s="84"/>
      <c r="J852" s="84"/>
      <c r="K852" s="84"/>
      <c r="L852" s="84"/>
      <c r="M852" s="84"/>
      <c r="N852" s="84"/>
      <c r="O852" s="84"/>
      <c r="P852" s="85"/>
      <c r="Q852" s="75"/>
      <c r="R852" s="75"/>
      <c r="S852" s="75"/>
      <c r="T852" s="75"/>
      <c r="U852" s="89"/>
      <c r="V852" s="84"/>
      <c r="W852" s="84"/>
      <c r="X852" s="84"/>
      <c r="Y852" s="84"/>
      <c r="Z852" s="84"/>
    </row>
    <row r="853" spans="1:26" ht="15.75" customHeight="1">
      <c r="A853" s="83"/>
      <c r="B853" s="84"/>
      <c r="C853" s="84"/>
      <c r="D853" s="83"/>
      <c r="E853" s="84"/>
      <c r="F853" s="84"/>
      <c r="G853" s="83"/>
      <c r="H853" s="84"/>
      <c r="I853" s="84"/>
      <c r="J853" s="84"/>
      <c r="K853" s="84"/>
      <c r="L853" s="84"/>
      <c r="M853" s="84"/>
      <c r="N853" s="84"/>
      <c r="O853" s="84"/>
      <c r="P853" s="85"/>
      <c r="Q853" s="75"/>
      <c r="R853" s="75"/>
      <c r="S853" s="75"/>
      <c r="T853" s="75"/>
      <c r="U853" s="89"/>
      <c r="V853" s="84"/>
      <c r="W853" s="84"/>
      <c r="X853" s="84"/>
      <c r="Y853" s="84"/>
      <c r="Z853" s="84"/>
    </row>
    <row r="854" spans="1:26" ht="15.75" customHeight="1">
      <c r="A854" s="83"/>
      <c r="B854" s="84"/>
      <c r="C854" s="84"/>
      <c r="D854" s="83"/>
      <c r="E854" s="84"/>
      <c r="F854" s="84"/>
      <c r="G854" s="83"/>
      <c r="H854" s="84"/>
      <c r="I854" s="84"/>
      <c r="J854" s="84"/>
      <c r="K854" s="84"/>
      <c r="L854" s="84"/>
      <c r="M854" s="84"/>
      <c r="N854" s="84"/>
      <c r="O854" s="84"/>
      <c r="P854" s="85"/>
      <c r="Q854" s="75"/>
      <c r="R854" s="75"/>
      <c r="S854" s="75"/>
      <c r="T854" s="75"/>
      <c r="U854" s="89"/>
      <c r="V854" s="84"/>
      <c r="W854" s="84"/>
      <c r="X854" s="84"/>
      <c r="Y854" s="84"/>
      <c r="Z854" s="84"/>
    </row>
    <row r="855" spans="1:26" ht="15.75" customHeight="1">
      <c r="A855" s="83"/>
      <c r="B855" s="84"/>
      <c r="C855" s="84"/>
      <c r="D855" s="83"/>
      <c r="E855" s="84"/>
      <c r="F855" s="84"/>
      <c r="G855" s="83"/>
      <c r="H855" s="84"/>
      <c r="I855" s="84"/>
      <c r="J855" s="84"/>
      <c r="K855" s="84"/>
      <c r="L855" s="84"/>
      <c r="M855" s="84"/>
      <c r="N855" s="84"/>
      <c r="O855" s="84"/>
      <c r="P855" s="85"/>
      <c r="Q855" s="75"/>
      <c r="R855" s="75"/>
      <c r="S855" s="75"/>
      <c r="T855" s="75"/>
      <c r="U855" s="89"/>
      <c r="V855" s="84"/>
      <c r="W855" s="84"/>
      <c r="X855" s="84"/>
      <c r="Y855" s="84"/>
      <c r="Z855" s="84"/>
    </row>
    <row r="856" spans="1:26" ht="15.75" customHeight="1">
      <c r="A856" s="83"/>
      <c r="B856" s="84"/>
      <c r="C856" s="84"/>
      <c r="D856" s="83"/>
      <c r="E856" s="84"/>
      <c r="F856" s="84"/>
      <c r="G856" s="83"/>
      <c r="H856" s="84"/>
      <c r="I856" s="84"/>
      <c r="J856" s="84"/>
      <c r="K856" s="84"/>
      <c r="L856" s="84"/>
      <c r="M856" s="84"/>
      <c r="N856" s="84"/>
      <c r="O856" s="84"/>
      <c r="P856" s="85"/>
      <c r="Q856" s="75"/>
      <c r="R856" s="75"/>
      <c r="S856" s="75"/>
      <c r="T856" s="75"/>
      <c r="U856" s="89"/>
      <c r="V856" s="84"/>
      <c r="W856" s="84"/>
      <c r="X856" s="84"/>
      <c r="Y856" s="84"/>
      <c r="Z856" s="84"/>
    </row>
    <row r="857" spans="1:26" ht="15.75" customHeight="1">
      <c r="A857" s="83"/>
      <c r="B857" s="84"/>
      <c r="C857" s="84"/>
      <c r="D857" s="83"/>
      <c r="E857" s="84"/>
      <c r="F857" s="84"/>
      <c r="G857" s="83"/>
      <c r="H857" s="84"/>
      <c r="I857" s="84"/>
      <c r="J857" s="84"/>
      <c r="K857" s="84"/>
      <c r="L857" s="84"/>
      <c r="M857" s="84"/>
      <c r="N857" s="84"/>
      <c r="O857" s="84"/>
      <c r="P857" s="85"/>
      <c r="Q857" s="75"/>
      <c r="R857" s="75"/>
      <c r="S857" s="75"/>
      <c r="T857" s="75"/>
      <c r="U857" s="89"/>
      <c r="V857" s="84"/>
      <c r="W857" s="84"/>
      <c r="X857" s="84"/>
      <c r="Y857" s="84"/>
      <c r="Z857" s="84"/>
    </row>
    <row r="858" spans="1:26" ht="15.75" customHeight="1">
      <c r="A858" s="83"/>
      <c r="B858" s="84"/>
      <c r="C858" s="84"/>
      <c r="D858" s="83"/>
      <c r="E858" s="84"/>
      <c r="F858" s="84"/>
      <c r="G858" s="83"/>
      <c r="H858" s="84"/>
      <c r="I858" s="84"/>
      <c r="J858" s="84"/>
      <c r="K858" s="84"/>
      <c r="L858" s="84"/>
      <c r="M858" s="84"/>
      <c r="N858" s="84"/>
      <c r="O858" s="84"/>
      <c r="P858" s="85"/>
      <c r="Q858" s="75"/>
      <c r="R858" s="75"/>
      <c r="S858" s="75"/>
      <c r="T858" s="75"/>
      <c r="U858" s="89"/>
      <c r="V858" s="84"/>
      <c r="W858" s="84"/>
      <c r="X858" s="84"/>
      <c r="Y858" s="84"/>
      <c r="Z858" s="84"/>
    </row>
    <row r="859" spans="1:26" ht="15.75" customHeight="1">
      <c r="A859" s="83"/>
      <c r="B859" s="84"/>
      <c r="C859" s="84"/>
      <c r="D859" s="83"/>
      <c r="E859" s="84"/>
      <c r="F859" s="84"/>
      <c r="G859" s="83"/>
      <c r="H859" s="84"/>
      <c r="I859" s="84"/>
      <c r="J859" s="84"/>
      <c r="K859" s="84"/>
      <c r="L859" s="84"/>
      <c r="M859" s="84"/>
      <c r="N859" s="84"/>
      <c r="O859" s="84"/>
      <c r="P859" s="85"/>
      <c r="Q859" s="75"/>
      <c r="R859" s="75"/>
      <c r="S859" s="75"/>
      <c r="T859" s="75"/>
      <c r="U859" s="89"/>
      <c r="V859" s="84"/>
      <c r="W859" s="84"/>
      <c r="X859" s="84"/>
      <c r="Y859" s="84"/>
      <c r="Z859" s="84"/>
    </row>
    <row r="860" spans="1:26" ht="15.75" customHeight="1">
      <c r="A860" s="83"/>
      <c r="B860" s="84"/>
      <c r="C860" s="84"/>
      <c r="D860" s="83"/>
      <c r="E860" s="84"/>
      <c r="F860" s="84"/>
      <c r="G860" s="83"/>
      <c r="H860" s="84"/>
      <c r="I860" s="84"/>
      <c r="J860" s="84"/>
      <c r="K860" s="84"/>
      <c r="L860" s="84"/>
      <c r="M860" s="84"/>
      <c r="N860" s="84"/>
      <c r="O860" s="84"/>
      <c r="P860" s="85"/>
      <c r="Q860" s="75"/>
      <c r="R860" s="75"/>
      <c r="S860" s="75"/>
      <c r="T860" s="75"/>
      <c r="U860" s="89"/>
      <c r="V860" s="84"/>
      <c r="W860" s="84"/>
      <c r="X860" s="84"/>
      <c r="Y860" s="84"/>
      <c r="Z860" s="84"/>
    </row>
    <row r="861" spans="1:26" ht="15.75" customHeight="1">
      <c r="A861" s="83"/>
      <c r="B861" s="84"/>
      <c r="C861" s="84"/>
      <c r="D861" s="83"/>
      <c r="E861" s="84"/>
      <c r="F861" s="84"/>
      <c r="G861" s="83"/>
      <c r="H861" s="84"/>
      <c r="I861" s="84"/>
      <c r="J861" s="84"/>
      <c r="K861" s="84"/>
      <c r="L861" s="84"/>
      <c r="M861" s="84"/>
      <c r="N861" s="84"/>
      <c r="O861" s="84"/>
      <c r="P861" s="85"/>
      <c r="Q861" s="75"/>
      <c r="R861" s="75"/>
      <c r="S861" s="75"/>
      <c r="T861" s="75"/>
      <c r="U861" s="89"/>
      <c r="V861" s="84"/>
      <c r="W861" s="84"/>
      <c r="X861" s="84"/>
      <c r="Y861" s="84"/>
      <c r="Z861" s="84"/>
    </row>
    <row r="862" spans="1:26" ht="15.75" customHeight="1">
      <c r="A862" s="83"/>
      <c r="B862" s="84"/>
      <c r="C862" s="84"/>
      <c r="D862" s="83"/>
      <c r="E862" s="84"/>
      <c r="F862" s="84"/>
      <c r="G862" s="83"/>
      <c r="H862" s="84"/>
      <c r="I862" s="84"/>
      <c r="J862" s="84"/>
      <c r="K862" s="84"/>
      <c r="L862" s="84"/>
      <c r="M862" s="84"/>
      <c r="N862" s="84"/>
      <c r="O862" s="84"/>
      <c r="P862" s="85"/>
      <c r="Q862" s="75"/>
      <c r="R862" s="75"/>
      <c r="S862" s="75"/>
      <c r="T862" s="75"/>
      <c r="U862" s="89"/>
      <c r="V862" s="84"/>
      <c r="W862" s="84"/>
      <c r="X862" s="84"/>
      <c r="Y862" s="84"/>
      <c r="Z862" s="84"/>
    </row>
    <row r="863" spans="1:26" ht="15.75" customHeight="1">
      <c r="A863" s="83"/>
      <c r="B863" s="84"/>
      <c r="C863" s="84"/>
      <c r="D863" s="83"/>
      <c r="E863" s="84"/>
      <c r="F863" s="84"/>
      <c r="G863" s="83"/>
      <c r="H863" s="84"/>
      <c r="I863" s="84"/>
      <c r="J863" s="84"/>
      <c r="K863" s="84"/>
      <c r="L863" s="84"/>
      <c r="M863" s="84"/>
      <c r="N863" s="84"/>
      <c r="O863" s="84"/>
      <c r="P863" s="85"/>
      <c r="Q863" s="75"/>
      <c r="R863" s="75"/>
      <c r="S863" s="75"/>
      <c r="T863" s="75"/>
      <c r="U863" s="89"/>
      <c r="V863" s="84"/>
      <c r="W863" s="84"/>
      <c r="X863" s="84"/>
      <c r="Y863" s="84"/>
      <c r="Z863" s="84"/>
    </row>
    <row r="864" spans="1:26" ht="15.75" customHeight="1">
      <c r="A864" s="83"/>
      <c r="B864" s="84"/>
      <c r="C864" s="84"/>
      <c r="D864" s="83"/>
      <c r="E864" s="84"/>
      <c r="F864" s="84"/>
      <c r="G864" s="83"/>
      <c r="H864" s="84"/>
      <c r="I864" s="84"/>
      <c r="J864" s="84"/>
      <c r="K864" s="84"/>
      <c r="L864" s="84"/>
      <c r="M864" s="84"/>
      <c r="N864" s="84"/>
      <c r="O864" s="84"/>
      <c r="P864" s="85"/>
      <c r="Q864" s="75"/>
      <c r="R864" s="75"/>
      <c r="S864" s="75"/>
      <c r="T864" s="75"/>
      <c r="U864" s="89"/>
      <c r="V864" s="84"/>
      <c r="W864" s="84"/>
      <c r="X864" s="84"/>
      <c r="Y864" s="84"/>
      <c r="Z864" s="84"/>
    </row>
    <row r="865" spans="1:26" ht="15.75" customHeight="1">
      <c r="A865" s="83"/>
      <c r="B865" s="84"/>
      <c r="C865" s="84"/>
      <c r="D865" s="83"/>
      <c r="E865" s="84"/>
      <c r="F865" s="84"/>
      <c r="G865" s="83"/>
      <c r="H865" s="84"/>
      <c r="I865" s="84"/>
      <c r="J865" s="84"/>
      <c r="K865" s="84"/>
      <c r="L865" s="84"/>
      <c r="M865" s="84"/>
      <c r="N865" s="84"/>
      <c r="O865" s="84"/>
      <c r="P865" s="85"/>
      <c r="Q865" s="75"/>
      <c r="R865" s="75"/>
      <c r="S865" s="75"/>
      <c r="T865" s="75"/>
      <c r="U865" s="89"/>
      <c r="V865" s="84"/>
      <c r="W865" s="84"/>
      <c r="X865" s="84"/>
      <c r="Y865" s="84"/>
      <c r="Z865" s="84"/>
    </row>
    <row r="866" spans="1:26" ht="15.75" customHeight="1">
      <c r="A866" s="83"/>
      <c r="B866" s="84"/>
      <c r="C866" s="84"/>
      <c r="D866" s="83"/>
      <c r="E866" s="84"/>
      <c r="F866" s="84"/>
      <c r="G866" s="83"/>
      <c r="H866" s="84"/>
      <c r="I866" s="84"/>
      <c r="J866" s="84"/>
      <c r="K866" s="84"/>
      <c r="L866" s="84"/>
      <c r="M866" s="84"/>
      <c r="N866" s="84"/>
      <c r="O866" s="84"/>
      <c r="P866" s="85"/>
      <c r="Q866" s="75"/>
      <c r="R866" s="75"/>
      <c r="S866" s="75"/>
      <c r="T866" s="75"/>
      <c r="U866" s="89"/>
      <c r="V866" s="84"/>
      <c r="W866" s="84"/>
      <c r="X866" s="84"/>
      <c r="Y866" s="84"/>
      <c r="Z866" s="84"/>
    </row>
    <row r="867" spans="1:26" ht="15.75" customHeight="1">
      <c r="A867" s="83"/>
      <c r="B867" s="84"/>
      <c r="C867" s="84"/>
      <c r="D867" s="83"/>
      <c r="E867" s="84"/>
      <c r="F867" s="84"/>
      <c r="G867" s="83"/>
      <c r="H867" s="84"/>
      <c r="I867" s="84"/>
      <c r="J867" s="84"/>
      <c r="K867" s="84"/>
      <c r="L867" s="84"/>
      <c r="M867" s="84"/>
      <c r="N867" s="84"/>
      <c r="O867" s="84"/>
      <c r="P867" s="85"/>
      <c r="Q867" s="75"/>
      <c r="R867" s="75"/>
      <c r="S867" s="75"/>
      <c r="T867" s="75"/>
      <c r="U867" s="89"/>
      <c r="V867" s="84"/>
      <c r="W867" s="84"/>
      <c r="X867" s="84"/>
      <c r="Y867" s="84"/>
      <c r="Z867" s="84"/>
    </row>
    <row r="868" spans="1:26" ht="15.75" customHeight="1">
      <c r="A868" s="83"/>
      <c r="B868" s="84"/>
      <c r="C868" s="84"/>
      <c r="D868" s="83"/>
      <c r="E868" s="84"/>
      <c r="F868" s="84"/>
      <c r="G868" s="83"/>
      <c r="H868" s="84"/>
      <c r="I868" s="84"/>
      <c r="J868" s="84"/>
      <c r="K868" s="84"/>
      <c r="L868" s="84"/>
      <c r="M868" s="84"/>
      <c r="N868" s="84"/>
      <c r="O868" s="84"/>
      <c r="P868" s="85"/>
      <c r="Q868" s="75"/>
      <c r="R868" s="75"/>
      <c r="S868" s="75"/>
      <c r="T868" s="75"/>
      <c r="U868" s="89"/>
      <c r="V868" s="84"/>
      <c r="W868" s="84"/>
      <c r="X868" s="84"/>
      <c r="Y868" s="84"/>
      <c r="Z868" s="84"/>
    </row>
    <row r="869" spans="1:26" ht="15.75" customHeight="1">
      <c r="A869" s="83"/>
      <c r="B869" s="84"/>
      <c r="C869" s="84"/>
      <c r="D869" s="83"/>
      <c r="E869" s="84"/>
      <c r="F869" s="84"/>
      <c r="G869" s="83"/>
      <c r="H869" s="84"/>
      <c r="I869" s="84"/>
      <c r="J869" s="84"/>
      <c r="K869" s="84"/>
      <c r="L869" s="84"/>
      <c r="M869" s="84"/>
      <c r="N869" s="84"/>
      <c r="O869" s="84"/>
      <c r="P869" s="85"/>
      <c r="Q869" s="75"/>
      <c r="R869" s="75"/>
      <c r="S869" s="75"/>
      <c r="T869" s="75"/>
      <c r="U869" s="89"/>
      <c r="V869" s="84"/>
      <c r="W869" s="84"/>
      <c r="X869" s="84"/>
      <c r="Y869" s="84"/>
      <c r="Z869" s="84"/>
    </row>
    <row r="870" spans="1:26" ht="15.75" customHeight="1">
      <c r="A870" s="83"/>
      <c r="B870" s="84"/>
      <c r="C870" s="84"/>
      <c r="D870" s="83"/>
      <c r="E870" s="84"/>
      <c r="F870" s="84"/>
      <c r="G870" s="83"/>
      <c r="H870" s="84"/>
      <c r="I870" s="84"/>
      <c r="J870" s="84"/>
      <c r="K870" s="84"/>
      <c r="L870" s="84"/>
      <c r="M870" s="84"/>
      <c r="N870" s="84"/>
      <c r="O870" s="84"/>
      <c r="P870" s="85"/>
      <c r="Q870" s="75"/>
      <c r="R870" s="75"/>
      <c r="S870" s="75"/>
      <c r="T870" s="75"/>
      <c r="U870" s="89"/>
      <c r="V870" s="84"/>
      <c r="W870" s="84"/>
      <c r="X870" s="84"/>
      <c r="Y870" s="84"/>
      <c r="Z870" s="84"/>
    </row>
    <row r="871" spans="1:26" ht="15.75" customHeight="1">
      <c r="A871" s="83"/>
      <c r="B871" s="84"/>
      <c r="C871" s="84"/>
      <c r="D871" s="83"/>
      <c r="E871" s="84"/>
      <c r="F871" s="84"/>
      <c r="G871" s="83"/>
      <c r="H871" s="84"/>
      <c r="I871" s="84"/>
      <c r="J871" s="84"/>
      <c r="K871" s="84"/>
      <c r="L871" s="84"/>
      <c r="M871" s="84"/>
      <c r="N871" s="84"/>
      <c r="O871" s="84"/>
      <c r="P871" s="85"/>
      <c r="Q871" s="75"/>
      <c r="R871" s="75"/>
      <c r="S871" s="75"/>
      <c r="T871" s="75"/>
      <c r="U871" s="89"/>
      <c r="V871" s="84"/>
      <c r="W871" s="84"/>
      <c r="X871" s="84"/>
      <c r="Y871" s="84"/>
      <c r="Z871" s="84"/>
    </row>
    <row r="872" spans="1:26" ht="15.75" customHeight="1">
      <c r="A872" s="83"/>
      <c r="B872" s="84"/>
      <c r="C872" s="84"/>
      <c r="D872" s="83"/>
      <c r="E872" s="84"/>
      <c r="F872" s="84"/>
      <c r="G872" s="83"/>
      <c r="H872" s="84"/>
      <c r="I872" s="84"/>
      <c r="J872" s="84"/>
      <c r="K872" s="84"/>
      <c r="L872" s="84"/>
      <c r="M872" s="84"/>
      <c r="N872" s="84"/>
      <c r="O872" s="84"/>
      <c r="P872" s="85"/>
      <c r="Q872" s="75"/>
      <c r="R872" s="75"/>
      <c r="S872" s="75"/>
      <c r="T872" s="75"/>
      <c r="U872" s="89"/>
      <c r="V872" s="84"/>
      <c r="W872" s="84"/>
      <c r="X872" s="84"/>
      <c r="Y872" s="84"/>
      <c r="Z872" s="84"/>
    </row>
    <row r="873" spans="1:26" ht="15.75" customHeight="1">
      <c r="A873" s="83"/>
      <c r="B873" s="84"/>
      <c r="C873" s="84"/>
      <c r="D873" s="83"/>
      <c r="E873" s="84"/>
      <c r="F873" s="84"/>
      <c r="G873" s="83"/>
      <c r="H873" s="84"/>
      <c r="I873" s="84"/>
      <c r="J873" s="84"/>
      <c r="K873" s="84"/>
      <c r="L873" s="84"/>
      <c r="M873" s="84"/>
      <c r="N873" s="84"/>
      <c r="O873" s="84"/>
      <c r="P873" s="85"/>
      <c r="Q873" s="75"/>
      <c r="R873" s="75"/>
      <c r="S873" s="75"/>
      <c r="T873" s="75"/>
      <c r="U873" s="89"/>
      <c r="V873" s="84"/>
      <c r="W873" s="84"/>
      <c r="X873" s="84"/>
      <c r="Y873" s="84"/>
      <c r="Z873" s="84"/>
    </row>
    <row r="874" spans="1:26" ht="15.75" customHeight="1">
      <c r="A874" s="83"/>
      <c r="B874" s="84"/>
      <c r="C874" s="84"/>
      <c r="D874" s="83"/>
      <c r="E874" s="84"/>
      <c r="F874" s="84"/>
      <c r="G874" s="83"/>
      <c r="H874" s="84"/>
      <c r="I874" s="84"/>
      <c r="J874" s="84"/>
      <c r="K874" s="84"/>
      <c r="L874" s="84"/>
      <c r="M874" s="84"/>
      <c r="N874" s="84"/>
      <c r="O874" s="84"/>
      <c r="P874" s="85"/>
      <c r="Q874" s="75"/>
      <c r="R874" s="75"/>
      <c r="S874" s="75"/>
      <c r="T874" s="75"/>
      <c r="U874" s="89"/>
      <c r="V874" s="84"/>
      <c r="W874" s="84"/>
      <c r="X874" s="84"/>
      <c r="Y874" s="84"/>
      <c r="Z874" s="84"/>
    </row>
    <row r="875" spans="1:26" ht="15.75" customHeight="1">
      <c r="A875" s="83"/>
      <c r="B875" s="84"/>
      <c r="C875" s="84"/>
      <c r="D875" s="83"/>
      <c r="E875" s="84"/>
      <c r="F875" s="84"/>
      <c r="G875" s="83"/>
      <c r="H875" s="84"/>
      <c r="I875" s="84"/>
      <c r="J875" s="84"/>
      <c r="K875" s="84"/>
      <c r="L875" s="84"/>
      <c r="M875" s="84"/>
      <c r="N875" s="84"/>
      <c r="O875" s="84"/>
      <c r="P875" s="85"/>
      <c r="Q875" s="75"/>
      <c r="R875" s="75"/>
      <c r="S875" s="75"/>
      <c r="T875" s="75"/>
      <c r="U875" s="89"/>
      <c r="V875" s="84"/>
      <c r="W875" s="84"/>
      <c r="X875" s="84"/>
      <c r="Y875" s="84"/>
      <c r="Z875" s="84"/>
    </row>
    <row r="876" spans="1:26" ht="15.75" customHeight="1">
      <c r="A876" s="83"/>
      <c r="B876" s="84"/>
      <c r="C876" s="84"/>
      <c r="D876" s="83"/>
      <c r="E876" s="84"/>
      <c r="F876" s="84"/>
      <c r="G876" s="83"/>
      <c r="H876" s="84"/>
      <c r="I876" s="84"/>
      <c r="J876" s="84"/>
      <c r="K876" s="84"/>
      <c r="L876" s="84"/>
      <c r="M876" s="84"/>
      <c r="N876" s="84"/>
      <c r="O876" s="84"/>
      <c r="P876" s="85"/>
      <c r="Q876" s="75"/>
      <c r="R876" s="75"/>
      <c r="S876" s="75"/>
      <c r="T876" s="75"/>
      <c r="U876" s="89"/>
      <c r="V876" s="84"/>
      <c r="W876" s="84"/>
      <c r="X876" s="84"/>
      <c r="Y876" s="84"/>
      <c r="Z876" s="84"/>
    </row>
    <row r="877" spans="1:26" ht="15.75" customHeight="1">
      <c r="A877" s="83"/>
      <c r="B877" s="84"/>
      <c r="C877" s="84"/>
      <c r="D877" s="83"/>
      <c r="E877" s="84"/>
      <c r="F877" s="84"/>
      <c r="G877" s="83"/>
      <c r="H877" s="84"/>
      <c r="I877" s="84"/>
      <c r="J877" s="84"/>
      <c r="K877" s="84"/>
      <c r="L877" s="84"/>
      <c r="M877" s="84"/>
      <c r="N877" s="84"/>
      <c r="O877" s="84"/>
      <c r="P877" s="85"/>
      <c r="Q877" s="75"/>
      <c r="R877" s="75"/>
      <c r="S877" s="75"/>
      <c r="T877" s="75"/>
      <c r="U877" s="89"/>
      <c r="V877" s="84"/>
      <c r="W877" s="84"/>
      <c r="X877" s="84"/>
      <c r="Y877" s="84"/>
      <c r="Z877" s="84"/>
    </row>
    <row r="878" spans="1:26" ht="15.75" customHeight="1">
      <c r="A878" s="83"/>
      <c r="B878" s="84"/>
      <c r="C878" s="84"/>
      <c r="D878" s="83"/>
      <c r="E878" s="84"/>
      <c r="F878" s="84"/>
      <c r="G878" s="83"/>
      <c r="H878" s="84"/>
      <c r="I878" s="84"/>
      <c r="J878" s="84"/>
      <c r="K878" s="84"/>
      <c r="L878" s="84"/>
      <c r="M878" s="84"/>
      <c r="N878" s="84"/>
      <c r="O878" s="84"/>
      <c r="P878" s="85"/>
      <c r="Q878" s="75"/>
      <c r="R878" s="75"/>
      <c r="S878" s="75"/>
      <c r="T878" s="75"/>
      <c r="U878" s="89"/>
      <c r="V878" s="84"/>
      <c r="W878" s="84"/>
      <c r="X878" s="84"/>
      <c r="Y878" s="84"/>
      <c r="Z878" s="84"/>
    </row>
    <row r="879" spans="1:26" ht="15.75" customHeight="1">
      <c r="A879" s="83"/>
      <c r="B879" s="84"/>
      <c r="C879" s="84"/>
      <c r="D879" s="83"/>
      <c r="E879" s="84"/>
      <c r="F879" s="84"/>
      <c r="G879" s="83"/>
      <c r="H879" s="84"/>
      <c r="I879" s="84"/>
      <c r="J879" s="84"/>
      <c r="K879" s="84"/>
      <c r="L879" s="84"/>
      <c r="M879" s="84"/>
      <c r="N879" s="84"/>
      <c r="O879" s="84"/>
      <c r="P879" s="85"/>
      <c r="Q879" s="75"/>
      <c r="R879" s="75"/>
      <c r="S879" s="75"/>
      <c r="T879" s="75"/>
      <c r="U879" s="89"/>
      <c r="V879" s="84"/>
      <c r="W879" s="84"/>
      <c r="X879" s="84"/>
      <c r="Y879" s="84"/>
      <c r="Z879" s="84"/>
    </row>
    <row r="880" spans="1:26" ht="15.75" customHeight="1">
      <c r="A880" s="83"/>
      <c r="B880" s="84"/>
      <c r="C880" s="84"/>
      <c r="D880" s="83"/>
      <c r="E880" s="84"/>
      <c r="F880" s="84"/>
      <c r="G880" s="83"/>
      <c r="H880" s="84"/>
      <c r="I880" s="84"/>
      <c r="J880" s="84"/>
      <c r="K880" s="84"/>
      <c r="L880" s="84"/>
      <c r="M880" s="84"/>
      <c r="N880" s="84"/>
      <c r="O880" s="84"/>
      <c r="P880" s="85"/>
      <c r="Q880" s="75"/>
      <c r="R880" s="75"/>
      <c r="S880" s="75"/>
      <c r="T880" s="75"/>
      <c r="U880" s="89"/>
      <c r="V880" s="84"/>
      <c r="W880" s="84"/>
      <c r="X880" s="84"/>
      <c r="Y880" s="84"/>
      <c r="Z880" s="84"/>
    </row>
    <row r="881" spans="1:26" ht="15.75" customHeight="1">
      <c r="A881" s="83"/>
      <c r="B881" s="84"/>
      <c r="C881" s="84"/>
      <c r="D881" s="83"/>
      <c r="E881" s="84"/>
      <c r="F881" s="84"/>
      <c r="G881" s="83"/>
      <c r="H881" s="84"/>
      <c r="I881" s="84"/>
      <c r="J881" s="84"/>
      <c r="K881" s="84"/>
      <c r="L881" s="84"/>
      <c r="M881" s="84"/>
      <c r="N881" s="84"/>
      <c r="O881" s="84"/>
      <c r="P881" s="85"/>
      <c r="Q881" s="75"/>
      <c r="R881" s="75"/>
      <c r="S881" s="75"/>
      <c r="T881" s="75"/>
      <c r="U881" s="89"/>
      <c r="V881" s="84"/>
      <c r="W881" s="84"/>
      <c r="X881" s="84"/>
      <c r="Y881" s="84"/>
      <c r="Z881" s="84"/>
    </row>
    <row r="882" spans="1:26" ht="15.75" customHeight="1">
      <c r="A882" s="83"/>
      <c r="B882" s="84"/>
      <c r="C882" s="84"/>
      <c r="D882" s="83"/>
      <c r="E882" s="84"/>
      <c r="F882" s="84"/>
      <c r="G882" s="83"/>
      <c r="H882" s="84"/>
      <c r="I882" s="84"/>
      <c r="J882" s="84"/>
      <c r="K882" s="84"/>
      <c r="L882" s="84"/>
      <c r="M882" s="84"/>
      <c r="N882" s="84"/>
      <c r="O882" s="84"/>
      <c r="P882" s="85"/>
      <c r="Q882" s="75"/>
      <c r="R882" s="75"/>
      <c r="S882" s="75"/>
      <c r="T882" s="75"/>
      <c r="U882" s="89"/>
      <c r="V882" s="84"/>
      <c r="W882" s="84"/>
      <c r="X882" s="84"/>
      <c r="Y882" s="84"/>
      <c r="Z882" s="84"/>
    </row>
    <row r="883" spans="1:26" ht="15.75" customHeight="1">
      <c r="A883" s="83"/>
      <c r="B883" s="84"/>
      <c r="C883" s="84"/>
      <c r="D883" s="83"/>
      <c r="E883" s="84"/>
      <c r="F883" s="84"/>
      <c r="G883" s="83"/>
      <c r="H883" s="84"/>
      <c r="I883" s="84"/>
      <c r="J883" s="84"/>
      <c r="K883" s="84"/>
      <c r="L883" s="84"/>
      <c r="M883" s="84"/>
      <c r="N883" s="84"/>
      <c r="O883" s="84"/>
      <c r="P883" s="85"/>
      <c r="Q883" s="75"/>
      <c r="R883" s="75"/>
      <c r="S883" s="75"/>
      <c r="T883" s="75"/>
      <c r="U883" s="89"/>
      <c r="V883" s="84"/>
      <c r="W883" s="84"/>
      <c r="X883" s="84"/>
      <c r="Y883" s="84"/>
      <c r="Z883" s="84"/>
    </row>
    <row r="884" spans="1:26" ht="15.75" customHeight="1">
      <c r="A884" s="83"/>
      <c r="B884" s="84"/>
      <c r="C884" s="84"/>
      <c r="D884" s="83"/>
      <c r="E884" s="84"/>
      <c r="F884" s="84"/>
      <c r="G884" s="83"/>
      <c r="H884" s="84"/>
      <c r="I884" s="84"/>
      <c r="J884" s="84"/>
      <c r="K884" s="84"/>
      <c r="L884" s="84"/>
      <c r="M884" s="84"/>
      <c r="N884" s="84"/>
      <c r="O884" s="84"/>
      <c r="P884" s="85"/>
      <c r="Q884" s="75"/>
      <c r="R884" s="75"/>
      <c r="S884" s="75"/>
      <c r="T884" s="75"/>
      <c r="U884" s="89"/>
      <c r="V884" s="84"/>
      <c r="W884" s="84"/>
      <c r="X884" s="84"/>
      <c r="Y884" s="84"/>
      <c r="Z884" s="84"/>
    </row>
    <row r="885" spans="1:26" ht="15.75" customHeight="1">
      <c r="A885" s="83"/>
      <c r="B885" s="84"/>
      <c r="C885" s="84"/>
      <c r="D885" s="83"/>
      <c r="E885" s="84"/>
      <c r="F885" s="84"/>
      <c r="G885" s="83"/>
      <c r="H885" s="84"/>
      <c r="I885" s="84"/>
      <c r="J885" s="84"/>
      <c r="K885" s="84"/>
      <c r="L885" s="84"/>
      <c r="M885" s="84"/>
      <c r="N885" s="84"/>
      <c r="O885" s="84"/>
      <c r="P885" s="85"/>
      <c r="Q885" s="75"/>
      <c r="R885" s="75"/>
      <c r="S885" s="75"/>
      <c r="T885" s="75"/>
      <c r="U885" s="89"/>
      <c r="V885" s="84"/>
      <c r="W885" s="84"/>
      <c r="X885" s="84"/>
      <c r="Y885" s="84"/>
      <c r="Z885" s="84"/>
    </row>
    <row r="886" spans="1:26" ht="15.75" customHeight="1">
      <c r="A886" s="83"/>
      <c r="B886" s="84"/>
      <c r="C886" s="84"/>
      <c r="D886" s="83"/>
      <c r="E886" s="84"/>
      <c r="F886" s="84"/>
      <c r="G886" s="83"/>
      <c r="H886" s="84"/>
      <c r="I886" s="84"/>
      <c r="J886" s="84"/>
      <c r="K886" s="84"/>
      <c r="L886" s="84"/>
      <c r="M886" s="84"/>
      <c r="N886" s="84"/>
      <c r="O886" s="84"/>
      <c r="P886" s="85"/>
      <c r="Q886" s="75"/>
      <c r="R886" s="75"/>
      <c r="S886" s="75"/>
      <c r="T886" s="75"/>
      <c r="U886" s="89"/>
      <c r="V886" s="84"/>
      <c r="W886" s="84"/>
      <c r="X886" s="84"/>
      <c r="Y886" s="84"/>
      <c r="Z886" s="84"/>
    </row>
    <row r="887" spans="1:26" ht="15.75" customHeight="1">
      <c r="A887" s="83"/>
      <c r="B887" s="84"/>
      <c r="C887" s="84"/>
      <c r="D887" s="83"/>
      <c r="E887" s="84"/>
      <c r="F887" s="84"/>
      <c r="G887" s="83"/>
      <c r="H887" s="84"/>
      <c r="I887" s="84"/>
      <c r="J887" s="84"/>
      <c r="K887" s="84"/>
      <c r="L887" s="84"/>
      <c r="M887" s="84"/>
      <c r="N887" s="84"/>
      <c r="O887" s="84"/>
      <c r="P887" s="85"/>
      <c r="Q887" s="75"/>
      <c r="R887" s="75"/>
      <c r="S887" s="75"/>
      <c r="T887" s="75"/>
      <c r="U887" s="89"/>
      <c r="V887" s="84"/>
      <c r="W887" s="84"/>
      <c r="X887" s="84"/>
      <c r="Y887" s="84"/>
      <c r="Z887" s="84"/>
    </row>
    <row r="888" spans="1:26" ht="15.75" customHeight="1">
      <c r="A888" s="83"/>
      <c r="B888" s="84"/>
      <c r="C888" s="84"/>
      <c r="D888" s="83"/>
      <c r="E888" s="84"/>
      <c r="F888" s="84"/>
      <c r="G888" s="83"/>
      <c r="H888" s="84"/>
      <c r="I888" s="84"/>
      <c r="J888" s="84"/>
      <c r="K888" s="84"/>
      <c r="L888" s="84"/>
      <c r="M888" s="84"/>
      <c r="N888" s="84"/>
      <c r="O888" s="84"/>
      <c r="P888" s="85"/>
      <c r="Q888" s="75"/>
      <c r="R888" s="75"/>
      <c r="S888" s="75"/>
      <c r="T888" s="75"/>
      <c r="U888" s="89"/>
      <c r="V888" s="84"/>
      <c r="W888" s="84"/>
      <c r="X888" s="84"/>
      <c r="Y888" s="84"/>
      <c r="Z888" s="84"/>
    </row>
    <row r="889" spans="1:26" ht="15.75" customHeight="1">
      <c r="A889" s="83"/>
      <c r="B889" s="84"/>
      <c r="C889" s="84"/>
      <c r="D889" s="83"/>
      <c r="E889" s="84"/>
      <c r="F889" s="84"/>
      <c r="G889" s="83"/>
      <c r="H889" s="84"/>
      <c r="I889" s="84"/>
      <c r="J889" s="84"/>
      <c r="K889" s="84"/>
      <c r="L889" s="84"/>
      <c r="M889" s="84"/>
      <c r="N889" s="84"/>
      <c r="O889" s="84"/>
      <c r="P889" s="85"/>
      <c r="Q889" s="75"/>
      <c r="R889" s="75"/>
      <c r="S889" s="75"/>
      <c r="T889" s="75"/>
      <c r="U889" s="89"/>
      <c r="V889" s="84"/>
      <c r="W889" s="84"/>
      <c r="X889" s="84"/>
      <c r="Y889" s="84"/>
      <c r="Z889" s="84"/>
    </row>
    <row r="890" spans="1:26" ht="15.75" customHeight="1">
      <c r="A890" s="83"/>
      <c r="B890" s="84"/>
      <c r="C890" s="84"/>
      <c r="D890" s="83"/>
      <c r="E890" s="84"/>
      <c r="F890" s="84"/>
      <c r="G890" s="83"/>
      <c r="H890" s="84"/>
      <c r="I890" s="84"/>
      <c r="J890" s="84"/>
      <c r="K890" s="84"/>
      <c r="L890" s="84"/>
      <c r="M890" s="84"/>
      <c r="N890" s="84"/>
      <c r="O890" s="84"/>
      <c r="P890" s="85"/>
      <c r="Q890" s="75"/>
      <c r="R890" s="75"/>
      <c r="S890" s="75"/>
      <c r="T890" s="75"/>
      <c r="U890" s="89"/>
      <c r="V890" s="84"/>
      <c r="W890" s="84"/>
      <c r="X890" s="84"/>
      <c r="Y890" s="84"/>
      <c r="Z890" s="84"/>
    </row>
    <row r="891" spans="1:26" ht="15.75" customHeight="1">
      <c r="A891" s="83"/>
      <c r="B891" s="84"/>
      <c r="C891" s="84"/>
      <c r="D891" s="83"/>
      <c r="E891" s="84"/>
      <c r="F891" s="84"/>
      <c r="G891" s="83"/>
      <c r="H891" s="84"/>
      <c r="I891" s="84"/>
      <c r="J891" s="84"/>
      <c r="K891" s="84"/>
      <c r="L891" s="84"/>
      <c r="M891" s="84"/>
      <c r="N891" s="84"/>
      <c r="O891" s="84"/>
      <c r="P891" s="85"/>
      <c r="Q891" s="75"/>
      <c r="R891" s="75"/>
      <c r="S891" s="75"/>
      <c r="T891" s="75"/>
      <c r="U891" s="89"/>
      <c r="V891" s="84"/>
      <c r="W891" s="84"/>
      <c r="X891" s="84"/>
      <c r="Y891" s="84"/>
      <c r="Z891" s="84"/>
    </row>
    <row r="892" spans="1:26" ht="15.75" customHeight="1">
      <c r="A892" s="83"/>
      <c r="B892" s="84"/>
      <c r="C892" s="84"/>
      <c r="D892" s="83"/>
      <c r="E892" s="84"/>
      <c r="F892" s="84"/>
      <c r="G892" s="83"/>
      <c r="H892" s="84"/>
      <c r="I892" s="84"/>
      <c r="J892" s="84"/>
      <c r="K892" s="84"/>
      <c r="L892" s="84"/>
      <c r="M892" s="84"/>
      <c r="N892" s="84"/>
      <c r="O892" s="84"/>
      <c r="P892" s="85"/>
      <c r="Q892" s="75"/>
      <c r="R892" s="75"/>
      <c r="S892" s="75"/>
      <c r="T892" s="75"/>
      <c r="U892" s="89"/>
      <c r="V892" s="84"/>
      <c r="W892" s="84"/>
      <c r="X892" s="84"/>
      <c r="Y892" s="84"/>
      <c r="Z892" s="84"/>
    </row>
    <row r="893" spans="1:26" ht="15.75" customHeight="1">
      <c r="A893" s="83"/>
      <c r="B893" s="84"/>
      <c r="C893" s="84"/>
      <c r="D893" s="83"/>
      <c r="E893" s="84"/>
      <c r="F893" s="84"/>
      <c r="G893" s="83"/>
      <c r="H893" s="84"/>
      <c r="I893" s="84"/>
      <c r="J893" s="84"/>
      <c r="K893" s="84"/>
      <c r="L893" s="84"/>
      <c r="M893" s="84"/>
      <c r="N893" s="84"/>
      <c r="O893" s="84"/>
      <c r="P893" s="85"/>
      <c r="Q893" s="75"/>
      <c r="R893" s="75"/>
      <c r="S893" s="75"/>
      <c r="T893" s="75"/>
      <c r="U893" s="89"/>
      <c r="V893" s="84"/>
      <c r="W893" s="84"/>
      <c r="X893" s="84"/>
      <c r="Y893" s="84"/>
      <c r="Z893" s="84"/>
    </row>
    <row r="894" spans="1:26" ht="15.75" customHeight="1">
      <c r="A894" s="83"/>
      <c r="B894" s="84"/>
      <c r="C894" s="84"/>
      <c r="D894" s="83"/>
      <c r="E894" s="84"/>
      <c r="F894" s="84"/>
      <c r="G894" s="83"/>
      <c r="H894" s="84"/>
      <c r="I894" s="84"/>
      <c r="J894" s="84"/>
      <c r="K894" s="84"/>
      <c r="L894" s="84"/>
      <c r="M894" s="84"/>
      <c r="N894" s="84"/>
      <c r="O894" s="84"/>
      <c r="P894" s="85"/>
      <c r="Q894" s="75"/>
      <c r="R894" s="75"/>
      <c r="S894" s="75"/>
      <c r="T894" s="75"/>
      <c r="U894" s="89"/>
      <c r="V894" s="84"/>
      <c r="W894" s="84"/>
      <c r="X894" s="84"/>
      <c r="Y894" s="84"/>
      <c r="Z894" s="84"/>
    </row>
    <row r="895" spans="1:26" ht="15.75" customHeight="1">
      <c r="A895" s="83"/>
      <c r="B895" s="84"/>
      <c r="C895" s="84"/>
      <c r="D895" s="83"/>
      <c r="E895" s="84"/>
      <c r="F895" s="84"/>
      <c r="G895" s="83"/>
      <c r="H895" s="84"/>
      <c r="I895" s="84"/>
      <c r="J895" s="84"/>
      <c r="K895" s="84"/>
      <c r="L895" s="84"/>
      <c r="M895" s="84"/>
      <c r="N895" s="84"/>
      <c r="O895" s="84"/>
      <c r="P895" s="85"/>
      <c r="Q895" s="75"/>
      <c r="R895" s="75"/>
      <c r="S895" s="75"/>
      <c r="T895" s="75"/>
      <c r="U895" s="89"/>
      <c r="V895" s="84"/>
      <c r="W895" s="84"/>
      <c r="X895" s="84"/>
      <c r="Y895" s="84"/>
      <c r="Z895" s="84"/>
    </row>
    <row r="896" spans="1:26" ht="15.75" customHeight="1">
      <c r="A896" s="83"/>
      <c r="B896" s="84"/>
      <c r="C896" s="84"/>
      <c r="D896" s="83"/>
      <c r="E896" s="84"/>
      <c r="F896" s="84"/>
      <c r="G896" s="83"/>
      <c r="H896" s="84"/>
      <c r="I896" s="84"/>
      <c r="J896" s="84"/>
      <c r="K896" s="84"/>
      <c r="L896" s="84"/>
      <c r="M896" s="84"/>
      <c r="N896" s="84"/>
      <c r="O896" s="84"/>
      <c r="P896" s="85"/>
      <c r="Q896" s="75"/>
      <c r="R896" s="75"/>
      <c r="S896" s="75"/>
      <c r="T896" s="75"/>
      <c r="U896" s="89"/>
      <c r="V896" s="84"/>
      <c r="W896" s="84"/>
      <c r="X896" s="84"/>
      <c r="Y896" s="84"/>
      <c r="Z896" s="84"/>
    </row>
    <row r="897" spans="1:26" ht="15.75" customHeight="1">
      <c r="A897" s="83"/>
      <c r="B897" s="84"/>
      <c r="C897" s="84"/>
      <c r="D897" s="83"/>
      <c r="E897" s="84"/>
      <c r="F897" s="84"/>
      <c r="G897" s="83"/>
      <c r="H897" s="84"/>
      <c r="I897" s="84"/>
      <c r="J897" s="84"/>
      <c r="K897" s="84"/>
      <c r="L897" s="84"/>
      <c r="M897" s="84"/>
      <c r="N897" s="84"/>
      <c r="O897" s="84"/>
      <c r="P897" s="85"/>
      <c r="Q897" s="75"/>
      <c r="R897" s="75"/>
      <c r="S897" s="75"/>
      <c r="T897" s="75"/>
      <c r="U897" s="89"/>
      <c r="V897" s="84"/>
      <c r="W897" s="84"/>
      <c r="X897" s="84"/>
      <c r="Y897" s="84"/>
      <c r="Z897" s="84"/>
    </row>
    <row r="898" spans="1:26" ht="15.75" customHeight="1">
      <c r="A898" s="83"/>
      <c r="B898" s="84"/>
      <c r="C898" s="84"/>
      <c r="D898" s="83"/>
      <c r="E898" s="84"/>
      <c r="F898" s="84"/>
      <c r="G898" s="83"/>
      <c r="H898" s="84"/>
      <c r="I898" s="84"/>
      <c r="J898" s="84"/>
      <c r="K898" s="84"/>
      <c r="L898" s="84"/>
      <c r="M898" s="84"/>
      <c r="N898" s="84"/>
      <c r="O898" s="84"/>
      <c r="P898" s="85"/>
      <c r="Q898" s="75"/>
      <c r="R898" s="75"/>
      <c r="S898" s="75"/>
      <c r="T898" s="75"/>
      <c r="U898" s="89"/>
      <c r="V898" s="84"/>
      <c r="W898" s="84"/>
      <c r="X898" s="84"/>
      <c r="Y898" s="84"/>
      <c r="Z898" s="84"/>
    </row>
    <row r="899" spans="1:26" ht="15.75" customHeight="1">
      <c r="A899" s="83"/>
      <c r="B899" s="84"/>
      <c r="C899" s="84"/>
      <c r="D899" s="83"/>
      <c r="E899" s="84"/>
      <c r="F899" s="84"/>
      <c r="G899" s="83"/>
      <c r="H899" s="84"/>
      <c r="I899" s="84"/>
      <c r="J899" s="84"/>
      <c r="K899" s="84"/>
      <c r="L899" s="84"/>
      <c r="M899" s="84"/>
      <c r="N899" s="84"/>
      <c r="O899" s="84"/>
      <c r="P899" s="85"/>
      <c r="Q899" s="75"/>
      <c r="R899" s="75"/>
      <c r="S899" s="75"/>
      <c r="T899" s="75"/>
      <c r="U899" s="89"/>
      <c r="V899" s="84"/>
      <c r="W899" s="84"/>
      <c r="X899" s="84"/>
      <c r="Y899" s="84"/>
      <c r="Z899" s="84"/>
    </row>
    <row r="900" spans="1:26" ht="15.75" customHeight="1">
      <c r="A900" s="83"/>
      <c r="B900" s="84"/>
      <c r="C900" s="84"/>
      <c r="D900" s="83"/>
      <c r="E900" s="84"/>
      <c r="F900" s="84"/>
      <c r="G900" s="83"/>
      <c r="H900" s="84"/>
      <c r="I900" s="84"/>
      <c r="J900" s="84"/>
      <c r="K900" s="84"/>
      <c r="L900" s="84"/>
      <c r="M900" s="84"/>
      <c r="N900" s="84"/>
      <c r="O900" s="84"/>
      <c r="P900" s="85"/>
      <c r="Q900" s="75"/>
      <c r="R900" s="75"/>
      <c r="S900" s="75"/>
      <c r="T900" s="75"/>
      <c r="U900" s="89"/>
      <c r="V900" s="84"/>
      <c r="W900" s="84"/>
      <c r="X900" s="84"/>
      <c r="Y900" s="84"/>
      <c r="Z900" s="84"/>
    </row>
    <row r="901" spans="1:26" ht="15.75" customHeight="1">
      <c r="A901" s="83"/>
      <c r="B901" s="84"/>
      <c r="C901" s="84"/>
      <c r="D901" s="83"/>
      <c r="E901" s="84"/>
      <c r="F901" s="84"/>
      <c r="G901" s="83"/>
      <c r="H901" s="84"/>
      <c r="I901" s="84"/>
      <c r="J901" s="84"/>
      <c r="K901" s="84"/>
      <c r="L901" s="84"/>
      <c r="M901" s="84"/>
      <c r="N901" s="84"/>
      <c r="O901" s="84"/>
      <c r="P901" s="85"/>
      <c r="Q901" s="75"/>
      <c r="R901" s="75"/>
      <c r="S901" s="75"/>
      <c r="T901" s="75"/>
      <c r="U901" s="89"/>
      <c r="V901" s="84"/>
      <c r="W901" s="84"/>
      <c r="X901" s="84"/>
      <c r="Y901" s="84"/>
      <c r="Z901" s="84"/>
    </row>
    <row r="902" spans="1:26" ht="15.75" customHeight="1">
      <c r="A902" s="83"/>
      <c r="B902" s="84"/>
      <c r="C902" s="84"/>
      <c r="D902" s="83"/>
      <c r="E902" s="84"/>
      <c r="F902" s="84"/>
      <c r="G902" s="83"/>
      <c r="H902" s="84"/>
      <c r="I902" s="84"/>
      <c r="J902" s="84"/>
      <c r="K902" s="84"/>
      <c r="L902" s="84"/>
      <c r="M902" s="84"/>
      <c r="N902" s="84"/>
      <c r="O902" s="84"/>
      <c r="P902" s="85"/>
      <c r="Q902" s="75"/>
      <c r="R902" s="75"/>
      <c r="S902" s="75"/>
      <c r="T902" s="75"/>
      <c r="U902" s="89"/>
      <c r="V902" s="84"/>
      <c r="W902" s="84"/>
      <c r="X902" s="84"/>
      <c r="Y902" s="84"/>
      <c r="Z902" s="84"/>
    </row>
    <row r="903" spans="1:26" ht="15.75" customHeight="1">
      <c r="A903" s="83"/>
      <c r="B903" s="84"/>
      <c r="C903" s="84"/>
      <c r="D903" s="83"/>
      <c r="E903" s="84"/>
      <c r="F903" s="84"/>
      <c r="G903" s="83"/>
      <c r="H903" s="84"/>
      <c r="I903" s="84"/>
      <c r="J903" s="84"/>
      <c r="K903" s="84"/>
      <c r="L903" s="84"/>
      <c r="M903" s="84"/>
      <c r="N903" s="84"/>
      <c r="O903" s="84"/>
      <c r="P903" s="85"/>
      <c r="Q903" s="75"/>
      <c r="R903" s="75"/>
      <c r="S903" s="75"/>
      <c r="T903" s="75"/>
      <c r="U903" s="89"/>
      <c r="V903" s="84"/>
      <c r="W903" s="84"/>
      <c r="X903" s="84"/>
      <c r="Y903" s="84"/>
      <c r="Z903" s="84"/>
    </row>
    <row r="904" spans="1:26" ht="15.75" customHeight="1">
      <c r="A904" s="83"/>
      <c r="B904" s="84"/>
      <c r="C904" s="84"/>
      <c r="D904" s="83"/>
      <c r="E904" s="84"/>
      <c r="F904" s="84"/>
      <c r="G904" s="83"/>
      <c r="H904" s="84"/>
      <c r="I904" s="84"/>
      <c r="J904" s="84"/>
      <c r="K904" s="84"/>
      <c r="L904" s="84"/>
      <c r="M904" s="84"/>
      <c r="N904" s="84"/>
      <c r="O904" s="84"/>
      <c r="P904" s="85"/>
      <c r="Q904" s="75"/>
      <c r="R904" s="75"/>
      <c r="S904" s="75"/>
      <c r="T904" s="75"/>
      <c r="U904" s="89"/>
      <c r="V904" s="84"/>
      <c r="W904" s="84"/>
      <c r="X904" s="84"/>
      <c r="Y904" s="84"/>
      <c r="Z904" s="84"/>
    </row>
    <row r="905" spans="1:26" ht="15.75" customHeight="1">
      <c r="A905" s="83"/>
      <c r="B905" s="84"/>
      <c r="C905" s="84"/>
      <c r="D905" s="83"/>
      <c r="E905" s="84"/>
      <c r="F905" s="84"/>
      <c r="G905" s="83"/>
      <c r="H905" s="84"/>
      <c r="I905" s="84"/>
      <c r="J905" s="84"/>
      <c r="K905" s="84"/>
      <c r="L905" s="84"/>
      <c r="M905" s="84"/>
      <c r="N905" s="84"/>
      <c r="O905" s="84"/>
      <c r="P905" s="85"/>
      <c r="Q905" s="75"/>
      <c r="R905" s="75"/>
      <c r="S905" s="75"/>
      <c r="T905" s="75"/>
      <c r="U905" s="89"/>
      <c r="V905" s="84"/>
      <c r="W905" s="84"/>
      <c r="X905" s="84"/>
      <c r="Y905" s="84"/>
      <c r="Z905" s="84"/>
    </row>
    <row r="906" spans="1:26" ht="15.75" customHeight="1">
      <c r="A906" s="83"/>
      <c r="B906" s="84"/>
      <c r="C906" s="84"/>
      <c r="D906" s="83"/>
      <c r="E906" s="84"/>
      <c r="F906" s="84"/>
      <c r="G906" s="83"/>
      <c r="H906" s="84"/>
      <c r="I906" s="84"/>
      <c r="J906" s="84"/>
      <c r="K906" s="84"/>
      <c r="L906" s="84"/>
      <c r="M906" s="84"/>
      <c r="N906" s="84"/>
      <c r="O906" s="84"/>
      <c r="P906" s="85"/>
      <c r="Q906" s="75"/>
      <c r="R906" s="75"/>
      <c r="S906" s="75"/>
      <c r="T906" s="75"/>
      <c r="U906" s="89"/>
      <c r="V906" s="84"/>
      <c r="W906" s="84"/>
      <c r="X906" s="84"/>
      <c r="Y906" s="84"/>
      <c r="Z906" s="84"/>
    </row>
    <row r="907" spans="1:26" ht="15.75" customHeight="1">
      <c r="A907" s="83"/>
      <c r="B907" s="84"/>
      <c r="C907" s="84"/>
      <c r="D907" s="83"/>
      <c r="E907" s="84"/>
      <c r="F907" s="84"/>
      <c r="G907" s="83"/>
      <c r="H907" s="84"/>
      <c r="I907" s="84"/>
      <c r="J907" s="84"/>
      <c r="K907" s="84"/>
      <c r="L907" s="84"/>
      <c r="M907" s="84"/>
      <c r="N907" s="84"/>
      <c r="O907" s="84"/>
      <c r="P907" s="85"/>
      <c r="Q907" s="75"/>
      <c r="R907" s="75"/>
      <c r="S907" s="75"/>
      <c r="T907" s="75"/>
      <c r="U907" s="89"/>
      <c r="V907" s="84"/>
      <c r="W907" s="84"/>
      <c r="X907" s="84"/>
      <c r="Y907" s="84"/>
      <c r="Z907" s="84"/>
    </row>
    <row r="908" spans="1:26" ht="15.75" customHeight="1">
      <c r="A908" s="83"/>
      <c r="B908" s="84"/>
      <c r="C908" s="84"/>
      <c r="D908" s="83"/>
      <c r="E908" s="84"/>
      <c r="F908" s="84"/>
      <c r="G908" s="83"/>
      <c r="H908" s="84"/>
      <c r="I908" s="84"/>
      <c r="J908" s="84"/>
      <c r="K908" s="84"/>
      <c r="L908" s="84"/>
      <c r="M908" s="84"/>
      <c r="N908" s="84"/>
      <c r="O908" s="84"/>
      <c r="P908" s="85"/>
      <c r="Q908" s="75"/>
      <c r="R908" s="75"/>
      <c r="S908" s="75"/>
      <c r="T908" s="75"/>
      <c r="U908" s="89"/>
      <c r="V908" s="84"/>
      <c r="W908" s="84"/>
      <c r="X908" s="84"/>
      <c r="Y908" s="84"/>
      <c r="Z908" s="84"/>
    </row>
    <row r="909" spans="1:26" ht="15.75" customHeight="1">
      <c r="A909" s="83"/>
      <c r="B909" s="84"/>
      <c r="C909" s="84"/>
      <c r="D909" s="83"/>
      <c r="E909" s="84"/>
      <c r="F909" s="84"/>
      <c r="G909" s="83"/>
      <c r="H909" s="84"/>
      <c r="I909" s="84"/>
      <c r="J909" s="84"/>
      <c r="K909" s="84"/>
      <c r="L909" s="84"/>
      <c r="M909" s="84"/>
      <c r="N909" s="84"/>
      <c r="O909" s="84"/>
      <c r="P909" s="85"/>
      <c r="Q909" s="75"/>
      <c r="R909" s="75"/>
      <c r="S909" s="75"/>
      <c r="T909" s="75"/>
      <c r="U909" s="89"/>
      <c r="V909" s="84"/>
      <c r="W909" s="84"/>
      <c r="X909" s="84"/>
      <c r="Y909" s="84"/>
      <c r="Z909" s="84"/>
    </row>
    <row r="910" spans="1:26" ht="15.75" customHeight="1">
      <c r="A910" s="83"/>
      <c r="B910" s="84"/>
      <c r="C910" s="84"/>
      <c r="D910" s="83"/>
      <c r="E910" s="84"/>
      <c r="F910" s="84"/>
      <c r="G910" s="83"/>
      <c r="H910" s="84"/>
      <c r="I910" s="84"/>
      <c r="J910" s="84"/>
      <c r="K910" s="84"/>
      <c r="L910" s="84"/>
      <c r="M910" s="84"/>
      <c r="N910" s="84"/>
      <c r="O910" s="84"/>
      <c r="P910" s="85"/>
      <c r="Q910" s="75"/>
      <c r="R910" s="75"/>
      <c r="S910" s="75"/>
      <c r="T910" s="75"/>
      <c r="U910" s="89"/>
      <c r="V910" s="84"/>
      <c r="W910" s="84"/>
      <c r="X910" s="84"/>
      <c r="Y910" s="84"/>
      <c r="Z910" s="84"/>
    </row>
    <row r="911" spans="1:26" ht="15.75" customHeight="1">
      <c r="A911" s="83"/>
      <c r="B911" s="84"/>
      <c r="C911" s="84"/>
      <c r="D911" s="83"/>
      <c r="E911" s="84"/>
      <c r="F911" s="84"/>
      <c r="G911" s="83"/>
      <c r="H911" s="84"/>
      <c r="I911" s="84"/>
      <c r="J911" s="84"/>
      <c r="K911" s="84"/>
      <c r="L911" s="84"/>
      <c r="M911" s="84"/>
      <c r="N911" s="84"/>
      <c r="O911" s="84"/>
      <c r="P911" s="85"/>
      <c r="Q911" s="75"/>
      <c r="R911" s="75"/>
      <c r="S911" s="75"/>
      <c r="T911" s="75"/>
      <c r="U911" s="89"/>
      <c r="V911" s="84"/>
      <c r="W911" s="84"/>
      <c r="X911" s="84"/>
      <c r="Y911" s="84"/>
      <c r="Z911" s="84"/>
    </row>
    <row r="912" spans="1:26" ht="15.75" customHeight="1">
      <c r="A912" s="83"/>
      <c r="B912" s="84"/>
      <c r="C912" s="84"/>
      <c r="D912" s="83"/>
      <c r="E912" s="84"/>
      <c r="F912" s="84"/>
      <c r="G912" s="83"/>
      <c r="H912" s="84"/>
      <c r="I912" s="84"/>
      <c r="J912" s="84"/>
      <c r="K912" s="84"/>
      <c r="L912" s="84"/>
      <c r="M912" s="84"/>
      <c r="N912" s="84"/>
      <c r="O912" s="84"/>
      <c r="P912" s="85"/>
      <c r="Q912" s="75"/>
      <c r="R912" s="75"/>
      <c r="S912" s="75"/>
      <c r="T912" s="75"/>
      <c r="U912" s="89"/>
      <c r="V912" s="84"/>
      <c r="W912" s="84"/>
      <c r="X912" s="84"/>
      <c r="Y912" s="84"/>
      <c r="Z912" s="84"/>
    </row>
    <row r="913" spans="1:26" ht="15.75" customHeight="1">
      <c r="A913" s="83"/>
      <c r="B913" s="84"/>
      <c r="C913" s="84"/>
      <c r="D913" s="83"/>
      <c r="E913" s="84"/>
      <c r="F913" s="84"/>
      <c r="G913" s="83"/>
      <c r="H913" s="84"/>
      <c r="I913" s="84"/>
      <c r="J913" s="84"/>
      <c r="K913" s="84"/>
      <c r="L913" s="84"/>
      <c r="M913" s="84"/>
      <c r="N913" s="84"/>
      <c r="O913" s="84"/>
      <c r="P913" s="85"/>
      <c r="Q913" s="75"/>
      <c r="R913" s="75"/>
      <c r="S913" s="75"/>
      <c r="T913" s="75"/>
      <c r="U913" s="89"/>
      <c r="V913" s="84"/>
      <c r="W913" s="84"/>
      <c r="X913" s="84"/>
      <c r="Y913" s="84"/>
      <c r="Z913" s="84"/>
    </row>
    <row r="914" spans="1:26" ht="15.75" customHeight="1">
      <c r="A914" s="83"/>
      <c r="B914" s="84"/>
      <c r="C914" s="84"/>
      <c r="D914" s="83"/>
      <c r="E914" s="84"/>
      <c r="F914" s="84"/>
      <c r="G914" s="83"/>
      <c r="H914" s="84"/>
      <c r="I914" s="84"/>
      <c r="J914" s="84"/>
      <c r="K914" s="84"/>
      <c r="L914" s="84"/>
      <c r="M914" s="84"/>
      <c r="N914" s="84"/>
      <c r="O914" s="84"/>
      <c r="P914" s="85"/>
      <c r="Q914" s="75"/>
      <c r="R914" s="75"/>
      <c r="S914" s="75"/>
      <c r="T914" s="75"/>
      <c r="U914" s="89"/>
      <c r="V914" s="84"/>
      <c r="W914" s="84"/>
      <c r="X914" s="84"/>
      <c r="Y914" s="84"/>
      <c r="Z914" s="84"/>
    </row>
    <row r="915" spans="1:26" ht="15.75" customHeight="1">
      <c r="A915" s="83"/>
      <c r="B915" s="84"/>
      <c r="C915" s="84"/>
      <c r="D915" s="83"/>
      <c r="E915" s="84"/>
      <c r="F915" s="84"/>
      <c r="G915" s="83"/>
      <c r="H915" s="84"/>
      <c r="I915" s="84"/>
      <c r="J915" s="84"/>
      <c r="K915" s="84"/>
      <c r="L915" s="84"/>
      <c r="M915" s="84"/>
      <c r="N915" s="84"/>
      <c r="O915" s="84"/>
      <c r="P915" s="85"/>
      <c r="Q915" s="75"/>
      <c r="R915" s="75"/>
      <c r="S915" s="75"/>
      <c r="T915" s="75"/>
      <c r="U915" s="89"/>
      <c r="V915" s="84"/>
      <c r="W915" s="84"/>
      <c r="X915" s="84"/>
      <c r="Y915" s="84"/>
      <c r="Z915" s="84"/>
    </row>
    <row r="916" spans="1:26" ht="15.75" customHeight="1">
      <c r="A916" s="83"/>
      <c r="B916" s="84"/>
      <c r="C916" s="84"/>
      <c r="D916" s="83"/>
      <c r="E916" s="84"/>
      <c r="F916" s="84"/>
      <c r="G916" s="83"/>
      <c r="H916" s="84"/>
      <c r="I916" s="84"/>
      <c r="J916" s="84"/>
      <c r="K916" s="84"/>
      <c r="L916" s="84"/>
      <c r="M916" s="84"/>
      <c r="N916" s="84"/>
      <c r="O916" s="84"/>
      <c r="P916" s="85"/>
      <c r="Q916" s="75"/>
      <c r="R916" s="75"/>
      <c r="S916" s="75"/>
      <c r="T916" s="75"/>
      <c r="U916" s="89"/>
      <c r="V916" s="84"/>
      <c r="W916" s="84"/>
      <c r="X916" s="84"/>
      <c r="Y916" s="84"/>
      <c r="Z916" s="84"/>
    </row>
    <row r="917" spans="1:26" ht="15.75" customHeight="1">
      <c r="A917" s="83"/>
      <c r="B917" s="84"/>
      <c r="C917" s="84"/>
      <c r="D917" s="83"/>
      <c r="E917" s="84"/>
      <c r="F917" s="84"/>
      <c r="G917" s="83"/>
      <c r="H917" s="84"/>
      <c r="I917" s="84"/>
      <c r="J917" s="84"/>
      <c r="K917" s="84"/>
      <c r="L917" s="84"/>
      <c r="M917" s="84"/>
      <c r="N917" s="84"/>
      <c r="O917" s="84"/>
      <c r="P917" s="85"/>
      <c r="Q917" s="75"/>
      <c r="R917" s="75"/>
      <c r="S917" s="75"/>
      <c r="T917" s="75"/>
      <c r="U917" s="89"/>
      <c r="V917" s="84"/>
      <c r="W917" s="84"/>
      <c r="X917" s="84"/>
      <c r="Y917" s="84"/>
      <c r="Z917" s="84"/>
    </row>
    <row r="918" spans="1:26" ht="15.75" customHeight="1">
      <c r="A918" s="83"/>
      <c r="B918" s="84"/>
      <c r="C918" s="84"/>
      <c r="D918" s="83"/>
      <c r="E918" s="84"/>
      <c r="F918" s="84"/>
      <c r="G918" s="83"/>
      <c r="H918" s="84"/>
      <c r="I918" s="84"/>
      <c r="J918" s="84"/>
      <c r="K918" s="84"/>
      <c r="L918" s="84"/>
      <c r="M918" s="84"/>
      <c r="N918" s="84"/>
      <c r="O918" s="84"/>
      <c r="P918" s="85"/>
      <c r="Q918" s="75"/>
      <c r="R918" s="75"/>
      <c r="S918" s="75"/>
      <c r="T918" s="75"/>
      <c r="U918" s="89"/>
      <c r="V918" s="84"/>
      <c r="W918" s="84"/>
      <c r="X918" s="84"/>
      <c r="Y918" s="84"/>
      <c r="Z918" s="84"/>
    </row>
    <row r="919" spans="1:26" ht="15.75" customHeight="1">
      <c r="A919" s="83"/>
      <c r="B919" s="84"/>
      <c r="C919" s="84"/>
      <c r="D919" s="83"/>
      <c r="E919" s="84"/>
      <c r="F919" s="84"/>
      <c r="G919" s="83"/>
      <c r="H919" s="84"/>
      <c r="I919" s="84"/>
      <c r="J919" s="84"/>
      <c r="K919" s="84"/>
      <c r="L919" s="84"/>
      <c r="M919" s="84"/>
      <c r="N919" s="84"/>
      <c r="O919" s="84"/>
      <c r="P919" s="85"/>
      <c r="Q919" s="75"/>
      <c r="R919" s="75"/>
      <c r="S919" s="75"/>
      <c r="T919" s="75"/>
      <c r="U919" s="89"/>
      <c r="V919" s="84"/>
      <c r="W919" s="84"/>
      <c r="X919" s="84"/>
      <c r="Y919" s="84"/>
      <c r="Z919" s="84"/>
    </row>
    <row r="920" spans="1:26" ht="15.75" customHeight="1">
      <c r="A920" s="83"/>
      <c r="B920" s="84"/>
      <c r="C920" s="84"/>
      <c r="D920" s="83"/>
      <c r="E920" s="84"/>
      <c r="F920" s="84"/>
      <c r="G920" s="83"/>
      <c r="H920" s="84"/>
      <c r="I920" s="84"/>
      <c r="J920" s="84"/>
      <c r="K920" s="84"/>
      <c r="L920" s="84"/>
      <c r="M920" s="84"/>
      <c r="N920" s="84"/>
      <c r="O920" s="84"/>
      <c r="P920" s="85"/>
      <c r="Q920" s="75"/>
      <c r="R920" s="75"/>
      <c r="S920" s="75"/>
      <c r="T920" s="75"/>
      <c r="U920" s="89"/>
      <c r="V920" s="84"/>
      <c r="W920" s="84"/>
      <c r="X920" s="84"/>
      <c r="Y920" s="84"/>
      <c r="Z920" s="84"/>
    </row>
    <row r="921" spans="1:26" ht="15.75" customHeight="1">
      <c r="A921" s="83"/>
      <c r="B921" s="84"/>
      <c r="C921" s="84"/>
      <c r="D921" s="83"/>
      <c r="E921" s="84"/>
      <c r="F921" s="84"/>
      <c r="G921" s="83"/>
      <c r="H921" s="84"/>
      <c r="I921" s="84"/>
      <c r="J921" s="84"/>
      <c r="K921" s="84"/>
      <c r="L921" s="84"/>
      <c r="M921" s="84"/>
      <c r="N921" s="84"/>
      <c r="O921" s="84"/>
      <c r="P921" s="85"/>
      <c r="Q921" s="75"/>
      <c r="R921" s="75"/>
      <c r="S921" s="75"/>
      <c r="T921" s="75"/>
      <c r="U921" s="89"/>
      <c r="V921" s="84"/>
      <c r="W921" s="84"/>
      <c r="X921" s="84"/>
      <c r="Y921" s="84"/>
      <c r="Z921" s="84"/>
    </row>
    <row r="922" spans="1:26" ht="15.75" customHeight="1">
      <c r="A922" s="83"/>
      <c r="B922" s="84"/>
      <c r="C922" s="84"/>
      <c r="D922" s="83"/>
      <c r="E922" s="84"/>
      <c r="F922" s="84"/>
      <c r="G922" s="83"/>
      <c r="H922" s="84"/>
      <c r="I922" s="84"/>
      <c r="J922" s="84"/>
      <c r="K922" s="84"/>
      <c r="L922" s="84"/>
      <c r="M922" s="84"/>
      <c r="N922" s="84"/>
      <c r="O922" s="84"/>
      <c r="P922" s="85"/>
      <c r="Q922" s="75"/>
      <c r="R922" s="75"/>
      <c r="S922" s="75"/>
      <c r="T922" s="75"/>
      <c r="U922" s="89"/>
      <c r="V922" s="84"/>
      <c r="W922" s="84"/>
      <c r="X922" s="84"/>
      <c r="Y922" s="84"/>
      <c r="Z922" s="84"/>
    </row>
    <row r="923" spans="1:26" ht="15.75" customHeight="1">
      <c r="A923" s="83"/>
      <c r="B923" s="84"/>
      <c r="C923" s="84"/>
      <c r="D923" s="83"/>
      <c r="E923" s="84"/>
      <c r="F923" s="84"/>
      <c r="G923" s="83"/>
      <c r="H923" s="84"/>
      <c r="I923" s="84"/>
      <c r="J923" s="84"/>
      <c r="K923" s="84"/>
      <c r="L923" s="84"/>
      <c r="M923" s="84"/>
      <c r="N923" s="84"/>
      <c r="O923" s="84"/>
      <c r="P923" s="85"/>
      <c r="Q923" s="75"/>
      <c r="R923" s="75"/>
      <c r="S923" s="75"/>
      <c r="T923" s="75"/>
      <c r="U923" s="89"/>
      <c r="V923" s="84"/>
      <c r="W923" s="84"/>
      <c r="X923" s="84"/>
      <c r="Y923" s="84"/>
      <c r="Z923" s="84"/>
    </row>
    <row r="924" spans="1:26" ht="15.75" customHeight="1">
      <c r="A924" s="83"/>
      <c r="B924" s="84"/>
      <c r="C924" s="84"/>
      <c r="D924" s="83"/>
      <c r="E924" s="84"/>
      <c r="F924" s="84"/>
      <c r="G924" s="83"/>
      <c r="H924" s="84"/>
      <c r="I924" s="84"/>
      <c r="J924" s="84"/>
      <c r="K924" s="84"/>
      <c r="L924" s="84"/>
      <c r="M924" s="84"/>
      <c r="N924" s="84"/>
      <c r="O924" s="84"/>
      <c r="P924" s="85"/>
      <c r="Q924" s="75"/>
      <c r="R924" s="75"/>
      <c r="S924" s="75"/>
      <c r="T924" s="75"/>
      <c r="U924" s="89"/>
      <c r="V924" s="84"/>
      <c r="W924" s="84"/>
      <c r="X924" s="84"/>
      <c r="Y924" s="84"/>
      <c r="Z924" s="84"/>
    </row>
    <row r="925" spans="1:26" ht="15.75" customHeight="1">
      <c r="A925" s="83"/>
      <c r="B925" s="84"/>
      <c r="C925" s="84"/>
      <c r="D925" s="83"/>
      <c r="E925" s="84"/>
      <c r="F925" s="84"/>
      <c r="G925" s="83"/>
      <c r="H925" s="84"/>
      <c r="I925" s="84"/>
      <c r="J925" s="84"/>
      <c r="K925" s="84"/>
      <c r="L925" s="84"/>
      <c r="M925" s="84"/>
      <c r="N925" s="84"/>
      <c r="O925" s="84"/>
      <c r="P925" s="85"/>
      <c r="Q925" s="75"/>
      <c r="R925" s="75"/>
      <c r="S925" s="75"/>
      <c r="T925" s="75"/>
      <c r="U925" s="89"/>
      <c r="V925" s="84"/>
      <c r="W925" s="84"/>
      <c r="X925" s="84"/>
      <c r="Y925" s="84"/>
      <c r="Z925" s="84"/>
    </row>
    <row r="926" spans="1:26" ht="15.75" customHeight="1">
      <c r="A926" s="83"/>
      <c r="B926" s="84"/>
      <c r="C926" s="84"/>
      <c r="D926" s="83"/>
      <c r="E926" s="84"/>
      <c r="F926" s="84"/>
      <c r="G926" s="83"/>
      <c r="H926" s="84"/>
      <c r="I926" s="84"/>
      <c r="J926" s="84"/>
      <c r="K926" s="84"/>
      <c r="L926" s="84"/>
      <c r="M926" s="84"/>
      <c r="N926" s="84"/>
      <c r="O926" s="84"/>
      <c r="P926" s="85"/>
      <c r="Q926" s="75"/>
      <c r="R926" s="75"/>
      <c r="S926" s="75"/>
      <c r="T926" s="75"/>
      <c r="U926" s="89"/>
      <c r="V926" s="84"/>
      <c r="W926" s="84"/>
      <c r="X926" s="84"/>
      <c r="Y926" s="84"/>
      <c r="Z926" s="84"/>
    </row>
    <row r="927" spans="1:26" ht="15.75" customHeight="1">
      <c r="A927" s="83"/>
      <c r="B927" s="84"/>
      <c r="C927" s="84"/>
      <c r="D927" s="83"/>
      <c r="E927" s="84"/>
      <c r="F927" s="84"/>
      <c r="G927" s="83"/>
      <c r="H927" s="84"/>
      <c r="I927" s="84"/>
      <c r="J927" s="84"/>
      <c r="K927" s="84"/>
      <c r="L927" s="84"/>
      <c r="M927" s="84"/>
      <c r="N927" s="84"/>
      <c r="O927" s="84"/>
      <c r="P927" s="85"/>
      <c r="Q927" s="75"/>
      <c r="R927" s="75"/>
      <c r="S927" s="75"/>
      <c r="T927" s="75"/>
      <c r="U927" s="89"/>
      <c r="V927" s="84"/>
      <c r="W927" s="84"/>
      <c r="X927" s="84"/>
      <c r="Y927" s="84"/>
      <c r="Z927" s="84"/>
    </row>
    <row r="928" spans="1:26" ht="15.75" customHeight="1">
      <c r="A928" s="83"/>
      <c r="B928" s="84"/>
      <c r="C928" s="84"/>
      <c r="D928" s="83"/>
      <c r="E928" s="84"/>
      <c r="F928" s="84"/>
      <c r="G928" s="83"/>
      <c r="H928" s="84"/>
      <c r="I928" s="84"/>
      <c r="J928" s="84"/>
      <c r="K928" s="84"/>
      <c r="L928" s="84"/>
      <c r="M928" s="84"/>
      <c r="N928" s="84"/>
      <c r="O928" s="84"/>
      <c r="P928" s="85"/>
      <c r="Q928" s="75"/>
      <c r="R928" s="75"/>
      <c r="S928" s="75"/>
      <c r="T928" s="75"/>
      <c r="U928" s="89"/>
      <c r="V928" s="84"/>
      <c r="W928" s="84"/>
      <c r="X928" s="84"/>
      <c r="Y928" s="84"/>
      <c r="Z928" s="84"/>
    </row>
    <row r="929" spans="1:26" ht="15.75" customHeight="1">
      <c r="A929" s="83"/>
      <c r="B929" s="84"/>
      <c r="C929" s="84"/>
      <c r="D929" s="83"/>
      <c r="E929" s="84"/>
      <c r="F929" s="84"/>
      <c r="G929" s="83"/>
      <c r="H929" s="84"/>
      <c r="I929" s="84"/>
      <c r="J929" s="84"/>
      <c r="K929" s="84"/>
      <c r="L929" s="84"/>
      <c r="M929" s="84"/>
      <c r="N929" s="84"/>
      <c r="O929" s="84"/>
      <c r="P929" s="85"/>
      <c r="Q929" s="75"/>
      <c r="R929" s="75"/>
      <c r="S929" s="75"/>
      <c r="T929" s="75"/>
      <c r="U929" s="89"/>
      <c r="V929" s="84"/>
      <c r="W929" s="84"/>
      <c r="X929" s="84"/>
      <c r="Y929" s="84"/>
      <c r="Z929" s="84"/>
    </row>
    <row r="930" spans="1:26" ht="15.75" customHeight="1">
      <c r="A930" s="83"/>
      <c r="B930" s="84"/>
      <c r="C930" s="84"/>
      <c r="D930" s="83"/>
      <c r="E930" s="84"/>
      <c r="F930" s="84"/>
      <c r="G930" s="83"/>
      <c r="H930" s="84"/>
      <c r="I930" s="84"/>
      <c r="J930" s="84"/>
      <c r="K930" s="84"/>
      <c r="L930" s="84"/>
      <c r="M930" s="84"/>
      <c r="N930" s="84"/>
      <c r="O930" s="84"/>
      <c r="P930" s="85"/>
      <c r="Q930" s="75"/>
      <c r="R930" s="75"/>
      <c r="S930" s="75"/>
      <c r="T930" s="75"/>
      <c r="U930" s="89"/>
      <c r="V930" s="84"/>
      <c r="W930" s="84"/>
      <c r="X930" s="84"/>
      <c r="Y930" s="84"/>
      <c r="Z930" s="84"/>
    </row>
    <row r="931" spans="1:26" ht="15.75" customHeight="1">
      <c r="A931" s="83"/>
      <c r="B931" s="84"/>
      <c r="C931" s="84"/>
      <c r="D931" s="83"/>
      <c r="E931" s="84"/>
      <c r="F931" s="84"/>
      <c r="G931" s="83"/>
      <c r="H931" s="84"/>
      <c r="I931" s="84"/>
      <c r="J931" s="84"/>
      <c r="K931" s="84"/>
      <c r="L931" s="84"/>
      <c r="M931" s="84"/>
      <c r="N931" s="84"/>
      <c r="O931" s="84"/>
      <c r="P931" s="85"/>
      <c r="Q931" s="75"/>
      <c r="R931" s="75"/>
      <c r="S931" s="75"/>
      <c r="T931" s="75"/>
      <c r="U931" s="89"/>
      <c r="V931" s="84"/>
      <c r="W931" s="84"/>
      <c r="X931" s="84"/>
      <c r="Y931" s="84"/>
      <c r="Z931" s="84"/>
    </row>
    <row r="932" spans="1:26" ht="15.75" customHeight="1">
      <c r="A932" s="83"/>
      <c r="B932" s="84"/>
      <c r="C932" s="84"/>
      <c r="D932" s="83"/>
      <c r="E932" s="84"/>
      <c r="F932" s="84"/>
      <c r="G932" s="83"/>
      <c r="H932" s="84"/>
      <c r="I932" s="84"/>
      <c r="J932" s="84"/>
      <c r="K932" s="84"/>
      <c r="L932" s="84"/>
      <c r="M932" s="84"/>
      <c r="N932" s="84"/>
      <c r="O932" s="84"/>
      <c r="P932" s="85"/>
      <c r="Q932" s="75"/>
      <c r="R932" s="75"/>
      <c r="S932" s="75"/>
      <c r="T932" s="75"/>
      <c r="U932" s="89"/>
      <c r="V932" s="84"/>
      <c r="W932" s="84"/>
      <c r="X932" s="84"/>
      <c r="Y932" s="84"/>
      <c r="Z932" s="84"/>
    </row>
    <row r="933" spans="1:26" ht="15.75" customHeight="1">
      <c r="A933" s="83"/>
      <c r="B933" s="84"/>
      <c r="C933" s="84"/>
      <c r="D933" s="83"/>
      <c r="E933" s="84"/>
      <c r="F933" s="84"/>
      <c r="G933" s="83"/>
      <c r="H933" s="84"/>
      <c r="I933" s="84"/>
      <c r="J933" s="84"/>
      <c r="K933" s="84"/>
      <c r="L933" s="84"/>
      <c r="M933" s="84"/>
      <c r="N933" s="84"/>
      <c r="O933" s="84"/>
      <c r="P933" s="85"/>
      <c r="Q933" s="75"/>
      <c r="R933" s="75"/>
      <c r="S933" s="75"/>
      <c r="T933" s="75"/>
      <c r="U933" s="89"/>
      <c r="V933" s="84"/>
      <c r="W933" s="84"/>
      <c r="X933" s="84"/>
      <c r="Y933" s="84"/>
      <c r="Z933" s="84"/>
    </row>
    <row r="934" spans="1:26" ht="15.75" customHeight="1">
      <c r="A934" s="83"/>
      <c r="B934" s="84"/>
      <c r="C934" s="84"/>
      <c r="D934" s="83"/>
      <c r="E934" s="84"/>
      <c r="F934" s="84"/>
      <c r="G934" s="83"/>
      <c r="H934" s="84"/>
      <c r="I934" s="84"/>
      <c r="J934" s="84"/>
      <c r="K934" s="84"/>
      <c r="L934" s="84"/>
      <c r="M934" s="84"/>
      <c r="N934" s="84"/>
      <c r="O934" s="84"/>
      <c r="P934" s="85"/>
      <c r="Q934" s="75"/>
      <c r="R934" s="75"/>
      <c r="S934" s="75"/>
      <c r="T934" s="75"/>
      <c r="U934" s="89"/>
      <c r="V934" s="84"/>
      <c r="W934" s="84"/>
      <c r="X934" s="84"/>
      <c r="Y934" s="84"/>
      <c r="Z934" s="84"/>
    </row>
    <row r="935" spans="1:26" ht="15.75" customHeight="1">
      <c r="A935" s="83"/>
      <c r="B935" s="84"/>
      <c r="C935" s="84"/>
      <c r="D935" s="83"/>
      <c r="E935" s="84"/>
      <c r="F935" s="84"/>
      <c r="G935" s="83"/>
      <c r="H935" s="84"/>
      <c r="I935" s="84"/>
      <c r="J935" s="84"/>
      <c r="K935" s="84"/>
      <c r="L935" s="84"/>
      <c r="M935" s="84"/>
      <c r="N935" s="84"/>
      <c r="O935" s="84"/>
      <c r="P935" s="85"/>
      <c r="Q935" s="75"/>
      <c r="R935" s="75"/>
      <c r="S935" s="75"/>
      <c r="T935" s="75"/>
      <c r="U935" s="89"/>
      <c r="V935" s="84"/>
      <c r="W935" s="84"/>
      <c r="X935" s="84"/>
      <c r="Y935" s="84"/>
      <c r="Z935" s="84"/>
    </row>
    <row r="936" spans="1:26" ht="15.75" customHeight="1">
      <c r="A936" s="83"/>
      <c r="B936" s="84"/>
      <c r="C936" s="84"/>
      <c r="D936" s="83"/>
      <c r="E936" s="84"/>
      <c r="F936" s="84"/>
      <c r="G936" s="83"/>
      <c r="H936" s="84"/>
      <c r="I936" s="84"/>
      <c r="J936" s="84"/>
      <c r="K936" s="84"/>
      <c r="L936" s="84"/>
      <c r="M936" s="84"/>
      <c r="N936" s="84"/>
      <c r="O936" s="84"/>
      <c r="P936" s="85"/>
      <c r="Q936" s="75"/>
      <c r="R936" s="75"/>
      <c r="S936" s="75"/>
      <c r="T936" s="75"/>
      <c r="U936" s="89"/>
      <c r="V936" s="84"/>
      <c r="W936" s="84"/>
      <c r="X936" s="84"/>
      <c r="Y936" s="84"/>
      <c r="Z936" s="84"/>
    </row>
    <row r="937" spans="1:26" ht="15.75" customHeight="1">
      <c r="A937" s="83"/>
      <c r="B937" s="84"/>
      <c r="C937" s="84"/>
      <c r="D937" s="83"/>
      <c r="E937" s="84"/>
      <c r="F937" s="84"/>
      <c r="G937" s="83"/>
      <c r="H937" s="84"/>
      <c r="I937" s="84"/>
      <c r="J937" s="84"/>
      <c r="K937" s="84"/>
      <c r="L937" s="84"/>
      <c r="M937" s="84"/>
      <c r="N937" s="84"/>
      <c r="O937" s="84"/>
      <c r="P937" s="85"/>
      <c r="Q937" s="75"/>
      <c r="R937" s="75"/>
      <c r="S937" s="75"/>
      <c r="T937" s="75"/>
      <c r="U937" s="89"/>
      <c r="V937" s="84"/>
      <c r="W937" s="84"/>
      <c r="X937" s="84"/>
      <c r="Y937" s="84"/>
      <c r="Z937" s="84"/>
    </row>
    <row r="938" spans="1:26" ht="15.75" customHeight="1">
      <c r="A938" s="83"/>
      <c r="B938" s="84"/>
      <c r="C938" s="84"/>
      <c r="D938" s="83"/>
      <c r="E938" s="84"/>
      <c r="F938" s="84"/>
      <c r="G938" s="83"/>
      <c r="H938" s="84"/>
      <c r="I938" s="84"/>
      <c r="J938" s="84"/>
      <c r="K938" s="84"/>
      <c r="L938" s="84"/>
      <c r="M938" s="84"/>
      <c r="N938" s="84"/>
      <c r="O938" s="84"/>
      <c r="P938" s="85"/>
      <c r="Q938" s="75"/>
      <c r="R938" s="75"/>
      <c r="S938" s="75"/>
      <c r="T938" s="75"/>
      <c r="U938" s="89"/>
      <c r="V938" s="84"/>
      <c r="W938" s="84"/>
      <c r="X938" s="84"/>
      <c r="Y938" s="84"/>
      <c r="Z938" s="84"/>
    </row>
    <row r="939" spans="1:26" ht="15.75" customHeight="1">
      <c r="A939" s="83"/>
      <c r="B939" s="84"/>
      <c r="C939" s="84"/>
      <c r="D939" s="83"/>
      <c r="E939" s="84"/>
      <c r="F939" s="84"/>
      <c r="G939" s="83"/>
      <c r="H939" s="84"/>
      <c r="I939" s="84"/>
      <c r="J939" s="84"/>
      <c r="K939" s="84"/>
      <c r="L939" s="84"/>
      <c r="M939" s="84"/>
      <c r="N939" s="84"/>
      <c r="O939" s="84"/>
      <c r="P939" s="85"/>
      <c r="Q939" s="75"/>
      <c r="R939" s="75"/>
      <c r="S939" s="75"/>
      <c r="T939" s="75"/>
      <c r="U939" s="89"/>
      <c r="V939" s="84"/>
      <c r="W939" s="84"/>
      <c r="X939" s="84"/>
      <c r="Y939" s="84"/>
      <c r="Z939" s="84"/>
    </row>
    <row r="940" spans="1:26" ht="15.75" customHeight="1">
      <c r="A940" s="83"/>
      <c r="B940" s="84"/>
      <c r="C940" s="84"/>
      <c r="D940" s="83"/>
      <c r="E940" s="84"/>
      <c r="F940" s="84"/>
      <c r="G940" s="83"/>
      <c r="H940" s="84"/>
      <c r="I940" s="84"/>
      <c r="J940" s="84"/>
      <c r="K940" s="84"/>
      <c r="L940" s="84"/>
      <c r="M940" s="84"/>
      <c r="N940" s="84"/>
      <c r="O940" s="84"/>
      <c r="P940" s="85"/>
      <c r="Q940" s="75"/>
      <c r="R940" s="75"/>
      <c r="S940" s="75"/>
      <c r="T940" s="75"/>
      <c r="U940" s="89"/>
      <c r="V940" s="84"/>
      <c r="W940" s="84"/>
      <c r="X940" s="84"/>
      <c r="Y940" s="84"/>
      <c r="Z940" s="84"/>
    </row>
    <row r="941" spans="1:26" ht="15.75" customHeight="1">
      <c r="A941" s="83"/>
      <c r="B941" s="84"/>
      <c r="C941" s="84"/>
      <c r="D941" s="83"/>
      <c r="E941" s="84"/>
      <c r="F941" s="84"/>
      <c r="G941" s="83"/>
      <c r="H941" s="84"/>
      <c r="I941" s="84"/>
      <c r="J941" s="84"/>
      <c r="K941" s="84"/>
      <c r="L941" s="84"/>
      <c r="M941" s="84"/>
      <c r="N941" s="84"/>
      <c r="O941" s="84"/>
      <c r="P941" s="85"/>
      <c r="Q941" s="75"/>
      <c r="R941" s="75"/>
      <c r="S941" s="75"/>
      <c r="T941" s="75"/>
      <c r="U941" s="89"/>
      <c r="V941" s="84"/>
      <c r="W941" s="84"/>
      <c r="X941" s="84"/>
      <c r="Y941" s="84"/>
      <c r="Z941" s="84"/>
    </row>
    <row r="942" spans="1:26" ht="15.75" customHeight="1">
      <c r="A942" s="83"/>
      <c r="B942" s="84"/>
      <c r="C942" s="84"/>
      <c r="D942" s="83"/>
      <c r="E942" s="84"/>
      <c r="F942" s="84"/>
      <c r="G942" s="83"/>
      <c r="H942" s="84"/>
      <c r="I942" s="84"/>
      <c r="J942" s="84"/>
      <c r="K942" s="84"/>
      <c r="L942" s="84"/>
      <c r="M942" s="84"/>
      <c r="N942" s="84"/>
      <c r="O942" s="84"/>
      <c r="P942" s="85"/>
      <c r="Q942" s="75"/>
      <c r="R942" s="75"/>
      <c r="S942" s="75"/>
      <c r="T942" s="75"/>
      <c r="U942" s="89"/>
      <c r="V942" s="84"/>
      <c r="W942" s="84"/>
      <c r="X942" s="84"/>
      <c r="Y942" s="84"/>
      <c r="Z942" s="84"/>
    </row>
    <row r="943" spans="1:26" ht="15.75" customHeight="1">
      <c r="A943" s="83"/>
      <c r="B943" s="84"/>
      <c r="C943" s="84"/>
      <c r="D943" s="83"/>
      <c r="E943" s="84"/>
      <c r="F943" s="84"/>
      <c r="G943" s="83"/>
      <c r="H943" s="84"/>
      <c r="I943" s="84"/>
      <c r="J943" s="84"/>
      <c r="K943" s="84"/>
      <c r="L943" s="84"/>
      <c r="M943" s="84"/>
      <c r="N943" s="84"/>
      <c r="O943" s="84"/>
      <c r="P943" s="85"/>
      <c r="Q943" s="75"/>
      <c r="R943" s="75"/>
      <c r="S943" s="75"/>
      <c r="T943" s="75"/>
      <c r="U943" s="89"/>
      <c r="V943" s="84"/>
      <c r="W943" s="84"/>
      <c r="X943" s="84"/>
      <c r="Y943" s="84"/>
      <c r="Z943" s="84"/>
    </row>
    <row r="944" spans="1:26" ht="15.75" customHeight="1">
      <c r="A944" s="83"/>
      <c r="B944" s="84"/>
      <c r="C944" s="84"/>
      <c r="D944" s="83"/>
      <c r="E944" s="84"/>
      <c r="F944" s="84"/>
      <c r="G944" s="83"/>
      <c r="H944" s="84"/>
      <c r="I944" s="84"/>
      <c r="J944" s="84"/>
      <c r="K944" s="84"/>
      <c r="L944" s="84"/>
      <c r="M944" s="84"/>
      <c r="N944" s="84"/>
      <c r="O944" s="84"/>
      <c r="P944" s="85"/>
      <c r="Q944" s="75"/>
      <c r="R944" s="75"/>
      <c r="S944" s="75"/>
      <c r="T944" s="75"/>
      <c r="U944" s="89"/>
      <c r="V944" s="84"/>
      <c r="W944" s="84"/>
      <c r="X944" s="84"/>
      <c r="Y944" s="84"/>
      <c r="Z944" s="84"/>
    </row>
    <row r="945" spans="1:26" ht="15.75" customHeight="1">
      <c r="A945" s="83"/>
      <c r="B945" s="84"/>
      <c r="C945" s="84"/>
      <c r="D945" s="83"/>
      <c r="E945" s="84"/>
      <c r="F945" s="84"/>
      <c r="G945" s="83"/>
      <c r="H945" s="84"/>
      <c r="I945" s="84"/>
      <c r="J945" s="84"/>
      <c r="K945" s="84"/>
      <c r="L945" s="84"/>
      <c r="M945" s="84"/>
      <c r="N945" s="84"/>
      <c r="O945" s="84"/>
      <c r="P945" s="85"/>
      <c r="Q945" s="75"/>
      <c r="R945" s="75"/>
      <c r="S945" s="75"/>
      <c r="T945" s="75"/>
      <c r="U945" s="89"/>
      <c r="V945" s="84"/>
      <c r="W945" s="84"/>
      <c r="X945" s="84"/>
      <c r="Y945" s="84"/>
      <c r="Z945" s="84"/>
    </row>
    <row r="946" spans="1:26" ht="15.75" customHeight="1">
      <c r="A946" s="83"/>
      <c r="B946" s="84"/>
      <c r="C946" s="84"/>
      <c r="D946" s="83"/>
      <c r="E946" s="84"/>
      <c r="F946" s="84"/>
      <c r="G946" s="83"/>
      <c r="H946" s="84"/>
      <c r="I946" s="84"/>
      <c r="J946" s="84"/>
      <c r="K946" s="84"/>
      <c r="L946" s="84"/>
      <c r="M946" s="84"/>
      <c r="N946" s="84"/>
      <c r="O946" s="84"/>
      <c r="P946" s="85"/>
      <c r="Q946" s="75"/>
      <c r="R946" s="75"/>
      <c r="S946" s="75"/>
      <c r="T946" s="75"/>
      <c r="U946" s="89"/>
      <c r="V946" s="84"/>
      <c r="W946" s="84"/>
      <c r="X946" s="84"/>
      <c r="Y946" s="84"/>
      <c r="Z946" s="84"/>
    </row>
    <row r="947" spans="1:26" ht="15.75" customHeight="1">
      <c r="A947" s="83"/>
      <c r="B947" s="84"/>
      <c r="C947" s="84"/>
      <c r="D947" s="83"/>
      <c r="E947" s="84"/>
      <c r="F947" s="84"/>
      <c r="G947" s="83"/>
      <c r="H947" s="84"/>
      <c r="I947" s="84"/>
      <c r="J947" s="84"/>
      <c r="K947" s="84"/>
      <c r="L947" s="84"/>
      <c r="M947" s="84"/>
      <c r="N947" s="84"/>
      <c r="O947" s="84"/>
      <c r="P947" s="85"/>
      <c r="Q947" s="75"/>
      <c r="R947" s="75"/>
      <c r="S947" s="75"/>
      <c r="T947" s="75"/>
      <c r="U947" s="89"/>
      <c r="V947" s="84"/>
      <c r="W947" s="84"/>
      <c r="X947" s="84"/>
      <c r="Y947" s="84"/>
      <c r="Z947" s="84"/>
    </row>
    <row r="948" spans="1:26" ht="15.75" customHeight="1">
      <c r="A948" s="83"/>
      <c r="B948" s="84"/>
      <c r="C948" s="84"/>
      <c r="D948" s="83"/>
      <c r="E948" s="84"/>
      <c r="F948" s="84"/>
      <c r="G948" s="83"/>
      <c r="H948" s="84"/>
      <c r="I948" s="84"/>
      <c r="J948" s="84"/>
      <c r="K948" s="84"/>
      <c r="L948" s="84"/>
      <c r="M948" s="84"/>
      <c r="N948" s="84"/>
      <c r="O948" s="84"/>
      <c r="P948" s="85"/>
      <c r="Q948" s="75"/>
      <c r="R948" s="75"/>
      <c r="S948" s="75"/>
      <c r="T948" s="75"/>
      <c r="U948" s="89"/>
      <c r="V948" s="84"/>
      <c r="W948" s="84"/>
      <c r="X948" s="84"/>
      <c r="Y948" s="84"/>
      <c r="Z948" s="84"/>
    </row>
    <row r="949" spans="1:26" ht="15.75" customHeight="1">
      <c r="A949" s="83"/>
      <c r="B949" s="84"/>
      <c r="C949" s="84"/>
      <c r="D949" s="83"/>
      <c r="E949" s="84"/>
      <c r="F949" s="84"/>
      <c r="G949" s="83"/>
      <c r="H949" s="84"/>
      <c r="I949" s="84"/>
      <c r="J949" s="84"/>
      <c r="K949" s="84"/>
      <c r="L949" s="84"/>
      <c r="M949" s="84"/>
      <c r="N949" s="84"/>
      <c r="O949" s="84"/>
      <c r="P949" s="85"/>
      <c r="Q949" s="75"/>
      <c r="R949" s="75"/>
      <c r="S949" s="75"/>
      <c r="T949" s="75"/>
      <c r="U949" s="89"/>
      <c r="V949" s="84"/>
      <c r="W949" s="84"/>
      <c r="X949" s="84"/>
      <c r="Y949" s="84"/>
      <c r="Z949" s="84"/>
    </row>
    <row r="950" spans="1:26" ht="15.75" customHeight="1">
      <c r="A950" s="83"/>
      <c r="B950" s="84"/>
      <c r="C950" s="84"/>
      <c r="D950" s="83"/>
      <c r="E950" s="84"/>
      <c r="F950" s="84"/>
      <c r="G950" s="83"/>
      <c r="H950" s="84"/>
      <c r="I950" s="84"/>
      <c r="J950" s="84"/>
      <c r="K950" s="84"/>
      <c r="L950" s="84"/>
      <c r="M950" s="84"/>
      <c r="N950" s="84"/>
      <c r="O950" s="84"/>
      <c r="P950" s="85"/>
      <c r="Q950" s="75"/>
      <c r="R950" s="75"/>
      <c r="S950" s="75"/>
      <c r="T950" s="75"/>
      <c r="U950" s="89"/>
      <c r="V950" s="84"/>
      <c r="W950" s="84"/>
      <c r="X950" s="84"/>
      <c r="Y950" s="84"/>
      <c r="Z950" s="84"/>
    </row>
    <row r="951" spans="1:26" ht="15.75" customHeight="1">
      <c r="A951" s="83"/>
      <c r="B951" s="84"/>
      <c r="C951" s="84"/>
      <c r="D951" s="83"/>
      <c r="E951" s="84"/>
      <c r="F951" s="84"/>
      <c r="G951" s="83"/>
      <c r="H951" s="84"/>
      <c r="I951" s="84"/>
      <c r="J951" s="84"/>
      <c r="K951" s="84"/>
      <c r="L951" s="84"/>
      <c r="M951" s="84"/>
      <c r="N951" s="84"/>
      <c r="O951" s="84"/>
      <c r="P951" s="85"/>
      <c r="Q951" s="75"/>
      <c r="R951" s="75"/>
      <c r="S951" s="75"/>
      <c r="T951" s="75"/>
      <c r="U951" s="89"/>
      <c r="V951" s="84"/>
      <c r="W951" s="84"/>
      <c r="X951" s="84"/>
      <c r="Y951" s="84"/>
      <c r="Z951" s="84"/>
    </row>
    <row r="952" spans="1:26" ht="15.75" customHeight="1">
      <c r="A952" s="83"/>
      <c r="B952" s="84"/>
      <c r="C952" s="84"/>
      <c r="D952" s="83"/>
      <c r="E952" s="84"/>
      <c r="F952" s="84"/>
      <c r="G952" s="83"/>
      <c r="H952" s="84"/>
      <c r="I952" s="84"/>
      <c r="J952" s="84"/>
      <c r="K952" s="84"/>
      <c r="L952" s="84"/>
      <c r="M952" s="84"/>
      <c r="N952" s="84"/>
      <c r="O952" s="84"/>
      <c r="P952" s="85"/>
      <c r="Q952" s="75"/>
      <c r="R952" s="75"/>
      <c r="S952" s="75"/>
      <c r="T952" s="75"/>
      <c r="U952" s="89"/>
      <c r="V952" s="84"/>
      <c r="W952" s="84"/>
      <c r="X952" s="84"/>
      <c r="Y952" s="84"/>
      <c r="Z952" s="84"/>
    </row>
    <row r="953" spans="1:26" ht="15.75" customHeight="1">
      <c r="A953" s="83"/>
      <c r="B953" s="84"/>
      <c r="C953" s="84"/>
      <c r="D953" s="83"/>
      <c r="E953" s="84"/>
      <c r="F953" s="84"/>
      <c r="G953" s="83"/>
      <c r="H953" s="84"/>
      <c r="I953" s="84"/>
      <c r="J953" s="84"/>
      <c r="K953" s="84"/>
      <c r="L953" s="84"/>
      <c r="M953" s="84"/>
      <c r="N953" s="84"/>
      <c r="O953" s="84"/>
      <c r="P953" s="85"/>
      <c r="Q953" s="75"/>
      <c r="R953" s="75"/>
      <c r="S953" s="75"/>
      <c r="T953" s="75"/>
      <c r="U953" s="89"/>
      <c r="V953" s="84"/>
      <c r="W953" s="84"/>
      <c r="X953" s="84"/>
      <c r="Y953" s="84"/>
      <c r="Z953" s="84"/>
    </row>
    <row r="954" spans="1:26" ht="15.75" customHeight="1">
      <c r="A954" s="83"/>
      <c r="B954" s="84"/>
      <c r="C954" s="84"/>
      <c r="D954" s="83"/>
      <c r="E954" s="84"/>
      <c r="F954" s="84"/>
      <c r="G954" s="83"/>
      <c r="H954" s="84"/>
      <c r="I954" s="84"/>
      <c r="J954" s="84"/>
      <c r="K954" s="84"/>
      <c r="L954" s="84"/>
      <c r="M954" s="84"/>
      <c r="N954" s="84"/>
      <c r="O954" s="84"/>
      <c r="P954" s="85"/>
      <c r="Q954" s="75"/>
      <c r="R954" s="75"/>
      <c r="S954" s="75"/>
      <c r="T954" s="75"/>
      <c r="U954" s="89"/>
      <c r="V954" s="84"/>
      <c r="W954" s="84"/>
      <c r="X954" s="84"/>
      <c r="Y954" s="84"/>
      <c r="Z954" s="84"/>
    </row>
    <row r="955" spans="1:26" ht="15.75" customHeight="1">
      <c r="A955" s="83"/>
      <c r="B955" s="84"/>
      <c r="C955" s="84"/>
      <c r="D955" s="83"/>
      <c r="E955" s="84"/>
      <c r="F955" s="84"/>
      <c r="G955" s="83"/>
      <c r="H955" s="84"/>
      <c r="I955" s="84"/>
      <c r="J955" s="84"/>
      <c r="K955" s="84"/>
      <c r="L955" s="84"/>
      <c r="M955" s="84"/>
      <c r="N955" s="84"/>
      <c r="O955" s="84"/>
      <c r="P955" s="85"/>
      <c r="Q955" s="75"/>
      <c r="R955" s="75"/>
      <c r="S955" s="75"/>
      <c r="T955" s="75"/>
      <c r="U955" s="89"/>
      <c r="V955" s="84"/>
      <c r="W955" s="84"/>
      <c r="X955" s="84"/>
      <c r="Y955" s="84"/>
      <c r="Z955" s="84"/>
    </row>
    <row r="956" spans="1:26" ht="15.75" customHeight="1">
      <c r="A956" s="83"/>
      <c r="B956" s="84"/>
      <c r="C956" s="84"/>
      <c r="D956" s="83"/>
      <c r="E956" s="84"/>
      <c r="F956" s="84"/>
      <c r="G956" s="83"/>
      <c r="H956" s="84"/>
      <c r="I956" s="84"/>
      <c r="J956" s="84"/>
      <c r="K956" s="84"/>
      <c r="L956" s="84"/>
      <c r="M956" s="84"/>
      <c r="N956" s="84"/>
      <c r="O956" s="84"/>
      <c r="P956" s="85"/>
      <c r="Q956" s="75"/>
      <c r="R956" s="75"/>
      <c r="S956" s="75"/>
      <c r="T956" s="75"/>
      <c r="U956" s="89"/>
      <c r="V956" s="84"/>
      <c r="W956" s="84"/>
      <c r="X956" s="84"/>
      <c r="Y956" s="84"/>
      <c r="Z956" s="84"/>
    </row>
    <row r="957" spans="1:26" ht="15.75" customHeight="1">
      <c r="A957" s="83"/>
      <c r="B957" s="84"/>
      <c r="C957" s="84"/>
      <c r="D957" s="83"/>
      <c r="E957" s="84"/>
      <c r="F957" s="84"/>
      <c r="G957" s="83"/>
      <c r="H957" s="84"/>
      <c r="I957" s="84"/>
      <c r="J957" s="84"/>
      <c r="K957" s="84"/>
      <c r="L957" s="84"/>
      <c r="M957" s="84"/>
      <c r="N957" s="84"/>
      <c r="O957" s="84"/>
      <c r="P957" s="85"/>
      <c r="Q957" s="75"/>
      <c r="R957" s="75"/>
      <c r="S957" s="75"/>
      <c r="T957" s="75"/>
      <c r="U957" s="89"/>
      <c r="V957" s="84"/>
      <c r="W957" s="84"/>
      <c r="X957" s="84"/>
      <c r="Y957" s="84"/>
      <c r="Z957" s="84"/>
    </row>
    <row r="958" spans="1:26" ht="15.75" customHeight="1">
      <c r="A958" s="83"/>
      <c r="B958" s="84"/>
      <c r="C958" s="84"/>
      <c r="D958" s="83"/>
      <c r="E958" s="84"/>
      <c r="F958" s="84"/>
      <c r="G958" s="83"/>
      <c r="H958" s="84"/>
      <c r="I958" s="84"/>
      <c r="J958" s="84"/>
      <c r="K958" s="84"/>
      <c r="L958" s="84"/>
      <c r="M958" s="84"/>
      <c r="N958" s="84"/>
      <c r="O958" s="84"/>
      <c r="P958" s="85"/>
      <c r="Q958" s="75"/>
      <c r="R958" s="75"/>
      <c r="S958" s="75"/>
      <c r="T958" s="75"/>
      <c r="U958" s="89"/>
      <c r="V958" s="84"/>
      <c r="W958" s="84"/>
      <c r="X958" s="84"/>
      <c r="Y958" s="84"/>
      <c r="Z958" s="84"/>
    </row>
    <row r="959" spans="1:26" ht="15.75" customHeight="1">
      <c r="A959" s="83"/>
      <c r="B959" s="84"/>
      <c r="C959" s="84"/>
      <c r="D959" s="83"/>
      <c r="E959" s="84"/>
      <c r="F959" s="84"/>
      <c r="G959" s="83"/>
      <c r="H959" s="84"/>
      <c r="I959" s="84"/>
      <c r="J959" s="84"/>
      <c r="K959" s="84"/>
      <c r="L959" s="84"/>
      <c r="M959" s="84"/>
      <c r="N959" s="84"/>
      <c r="O959" s="84"/>
      <c r="P959" s="85"/>
      <c r="Q959" s="75"/>
      <c r="R959" s="75"/>
      <c r="S959" s="75"/>
      <c r="T959" s="75"/>
      <c r="U959" s="89"/>
      <c r="V959" s="84"/>
      <c r="W959" s="84"/>
      <c r="X959" s="84"/>
      <c r="Y959" s="84"/>
      <c r="Z959" s="84"/>
    </row>
    <row r="960" spans="1:26" ht="15.75" customHeight="1">
      <c r="A960" s="83"/>
      <c r="B960" s="84"/>
      <c r="C960" s="84"/>
      <c r="D960" s="83"/>
      <c r="E960" s="84"/>
      <c r="F960" s="84"/>
      <c r="G960" s="83"/>
      <c r="H960" s="84"/>
      <c r="I960" s="84"/>
      <c r="J960" s="84"/>
      <c r="K960" s="84"/>
      <c r="L960" s="84"/>
      <c r="M960" s="84"/>
      <c r="N960" s="84"/>
      <c r="O960" s="84"/>
      <c r="P960" s="85"/>
      <c r="Q960" s="75"/>
      <c r="R960" s="75"/>
      <c r="S960" s="75"/>
      <c r="T960" s="75"/>
      <c r="U960" s="89"/>
      <c r="V960" s="84"/>
      <c r="W960" s="84"/>
      <c r="X960" s="84"/>
      <c r="Y960" s="84"/>
      <c r="Z960" s="84"/>
    </row>
    <row r="961" spans="1:26" ht="15.75" customHeight="1">
      <c r="A961" s="83"/>
      <c r="B961" s="84"/>
      <c r="C961" s="84"/>
      <c r="D961" s="83"/>
      <c r="E961" s="84"/>
      <c r="F961" s="84"/>
      <c r="G961" s="83"/>
      <c r="H961" s="84"/>
      <c r="I961" s="84"/>
      <c r="J961" s="84"/>
      <c r="K961" s="84"/>
      <c r="L961" s="84"/>
      <c r="M961" s="84"/>
      <c r="N961" s="84"/>
      <c r="O961" s="84"/>
      <c r="P961" s="85"/>
      <c r="Q961" s="75"/>
      <c r="R961" s="75"/>
      <c r="S961" s="75"/>
      <c r="T961" s="75"/>
      <c r="U961" s="89"/>
      <c r="V961" s="84"/>
      <c r="W961" s="84"/>
      <c r="X961" s="84"/>
      <c r="Y961" s="84"/>
      <c r="Z961" s="84"/>
    </row>
    <row r="962" spans="1:26" ht="15.75" customHeight="1">
      <c r="A962" s="83"/>
      <c r="B962" s="84"/>
      <c r="C962" s="84"/>
      <c r="D962" s="83"/>
      <c r="E962" s="84"/>
      <c r="F962" s="84"/>
      <c r="G962" s="83"/>
      <c r="H962" s="84"/>
      <c r="I962" s="84"/>
      <c r="J962" s="84"/>
      <c r="K962" s="84"/>
      <c r="L962" s="84"/>
      <c r="M962" s="84"/>
      <c r="N962" s="84"/>
      <c r="O962" s="84"/>
      <c r="P962" s="85"/>
      <c r="Q962" s="75"/>
      <c r="R962" s="75"/>
      <c r="S962" s="75"/>
      <c r="T962" s="75"/>
      <c r="U962" s="89"/>
      <c r="V962" s="84"/>
      <c r="W962" s="84"/>
      <c r="X962" s="84"/>
      <c r="Y962" s="84"/>
      <c r="Z962" s="84"/>
    </row>
    <row r="963" spans="1:26" ht="15.75" customHeight="1">
      <c r="A963" s="83"/>
      <c r="B963" s="84"/>
      <c r="C963" s="84"/>
      <c r="D963" s="83"/>
      <c r="E963" s="84"/>
      <c r="F963" s="84"/>
      <c r="G963" s="83"/>
      <c r="H963" s="84"/>
      <c r="I963" s="84"/>
      <c r="J963" s="84"/>
      <c r="K963" s="84"/>
      <c r="L963" s="84"/>
      <c r="M963" s="84"/>
      <c r="N963" s="84"/>
      <c r="O963" s="84"/>
      <c r="P963" s="85"/>
      <c r="Q963" s="75"/>
      <c r="R963" s="75"/>
      <c r="S963" s="75"/>
      <c r="T963" s="75"/>
      <c r="U963" s="89"/>
      <c r="V963" s="84"/>
      <c r="W963" s="84"/>
      <c r="X963" s="84"/>
      <c r="Y963" s="84"/>
      <c r="Z963" s="84"/>
    </row>
    <row r="964" spans="1:26" ht="15.75" customHeight="1">
      <c r="A964" s="83"/>
      <c r="B964" s="84"/>
      <c r="C964" s="84"/>
      <c r="D964" s="83"/>
      <c r="E964" s="84"/>
      <c r="F964" s="84"/>
      <c r="G964" s="83"/>
      <c r="H964" s="84"/>
      <c r="I964" s="84"/>
      <c r="J964" s="84"/>
      <c r="K964" s="84"/>
      <c r="L964" s="84"/>
      <c r="M964" s="84"/>
      <c r="N964" s="84"/>
      <c r="O964" s="84"/>
      <c r="P964" s="85"/>
      <c r="Q964" s="75"/>
      <c r="R964" s="75"/>
      <c r="S964" s="75"/>
      <c r="T964" s="75"/>
      <c r="U964" s="89"/>
      <c r="V964" s="84"/>
      <c r="W964" s="84"/>
      <c r="X964" s="84"/>
      <c r="Y964" s="84"/>
      <c r="Z964" s="84"/>
    </row>
    <row r="965" spans="1:26" ht="15.75" customHeight="1">
      <c r="A965" s="83"/>
      <c r="B965" s="84"/>
      <c r="C965" s="84"/>
      <c r="D965" s="83"/>
      <c r="E965" s="84"/>
      <c r="F965" s="84"/>
      <c r="G965" s="83"/>
      <c r="H965" s="84"/>
      <c r="I965" s="84"/>
      <c r="J965" s="84"/>
      <c r="K965" s="84"/>
      <c r="L965" s="84"/>
      <c r="M965" s="84"/>
      <c r="N965" s="84"/>
      <c r="O965" s="84"/>
      <c r="P965" s="85"/>
      <c r="Q965" s="75"/>
      <c r="R965" s="75"/>
      <c r="S965" s="75"/>
      <c r="T965" s="75"/>
      <c r="U965" s="89"/>
      <c r="V965" s="84"/>
      <c r="W965" s="84"/>
      <c r="X965" s="84"/>
      <c r="Y965" s="84"/>
      <c r="Z965" s="84"/>
    </row>
    <row r="966" spans="1:26" ht="15.75" customHeight="1">
      <c r="A966" s="83"/>
      <c r="B966" s="84"/>
      <c r="C966" s="84"/>
      <c r="D966" s="83"/>
      <c r="E966" s="84"/>
      <c r="F966" s="84"/>
      <c r="G966" s="83"/>
      <c r="H966" s="84"/>
      <c r="I966" s="84"/>
      <c r="J966" s="84"/>
      <c r="K966" s="84"/>
      <c r="L966" s="84"/>
      <c r="M966" s="84"/>
      <c r="N966" s="84"/>
      <c r="O966" s="84"/>
      <c r="P966" s="85"/>
      <c r="Q966" s="75"/>
      <c r="R966" s="75"/>
      <c r="S966" s="75"/>
      <c r="T966" s="75"/>
      <c r="U966" s="89"/>
      <c r="V966" s="84"/>
      <c r="W966" s="84"/>
      <c r="X966" s="84"/>
      <c r="Y966" s="84"/>
      <c r="Z966" s="84"/>
    </row>
    <row r="967" spans="1:26" ht="15.75" customHeight="1">
      <c r="A967" s="83"/>
      <c r="B967" s="84"/>
      <c r="C967" s="84"/>
      <c r="D967" s="83"/>
      <c r="E967" s="84"/>
      <c r="F967" s="84"/>
      <c r="G967" s="83"/>
      <c r="H967" s="84"/>
      <c r="I967" s="84"/>
      <c r="J967" s="84"/>
      <c r="K967" s="84"/>
      <c r="L967" s="84"/>
      <c r="M967" s="84"/>
      <c r="N967" s="84"/>
      <c r="O967" s="84"/>
      <c r="P967" s="85"/>
      <c r="Q967" s="75"/>
      <c r="R967" s="75"/>
      <c r="S967" s="75"/>
      <c r="T967" s="75"/>
      <c r="U967" s="89"/>
      <c r="V967" s="84"/>
      <c r="W967" s="84"/>
      <c r="X967" s="84"/>
      <c r="Y967" s="84"/>
      <c r="Z967" s="84"/>
    </row>
    <row r="968" spans="1:26" ht="15.75" customHeight="1">
      <c r="A968" s="83"/>
      <c r="B968" s="84"/>
      <c r="C968" s="84"/>
      <c r="D968" s="83"/>
      <c r="E968" s="84"/>
      <c r="F968" s="84"/>
      <c r="G968" s="83"/>
      <c r="H968" s="84"/>
      <c r="I968" s="84"/>
      <c r="J968" s="84"/>
      <c r="K968" s="84"/>
      <c r="L968" s="84"/>
      <c r="M968" s="84"/>
      <c r="N968" s="84"/>
      <c r="O968" s="84"/>
      <c r="P968" s="85"/>
      <c r="Q968" s="75"/>
      <c r="R968" s="75"/>
      <c r="S968" s="75"/>
      <c r="T968" s="75"/>
      <c r="U968" s="89"/>
      <c r="V968" s="84"/>
      <c r="W968" s="84"/>
      <c r="X968" s="84"/>
      <c r="Y968" s="84"/>
      <c r="Z968" s="84"/>
    </row>
    <row r="969" spans="1:26" ht="15.75" customHeight="1">
      <c r="A969" s="83"/>
      <c r="B969" s="84"/>
      <c r="C969" s="84"/>
      <c r="D969" s="83"/>
      <c r="E969" s="84"/>
      <c r="F969" s="84"/>
      <c r="G969" s="83"/>
      <c r="H969" s="84"/>
      <c r="I969" s="84"/>
      <c r="J969" s="84"/>
      <c r="K969" s="84"/>
      <c r="L969" s="84"/>
      <c r="M969" s="84"/>
      <c r="N969" s="84"/>
      <c r="O969" s="84"/>
      <c r="P969" s="85"/>
      <c r="Q969" s="75"/>
      <c r="R969" s="75"/>
      <c r="S969" s="75"/>
      <c r="T969" s="75"/>
      <c r="U969" s="89"/>
      <c r="V969" s="84"/>
      <c r="W969" s="84"/>
      <c r="X969" s="84"/>
      <c r="Y969" s="84"/>
      <c r="Z969" s="84"/>
    </row>
    <row r="970" spans="1:26" ht="15.75" customHeight="1">
      <c r="A970" s="83"/>
      <c r="B970" s="84"/>
      <c r="C970" s="84"/>
      <c r="D970" s="83"/>
      <c r="E970" s="84"/>
      <c r="F970" s="84"/>
      <c r="G970" s="83"/>
      <c r="H970" s="84"/>
      <c r="I970" s="84"/>
      <c r="J970" s="84"/>
      <c r="K970" s="84"/>
      <c r="L970" s="84"/>
      <c r="M970" s="84"/>
      <c r="N970" s="84"/>
      <c r="O970" s="84"/>
      <c r="P970" s="85"/>
      <c r="Q970" s="75"/>
      <c r="R970" s="75"/>
      <c r="S970" s="75"/>
      <c r="T970" s="75"/>
      <c r="U970" s="89"/>
      <c r="V970" s="84"/>
      <c r="W970" s="84"/>
      <c r="X970" s="84"/>
      <c r="Y970" s="84"/>
      <c r="Z970" s="84"/>
    </row>
    <row r="971" spans="1:26" ht="15.75" customHeight="1">
      <c r="A971" s="83"/>
      <c r="B971" s="84"/>
      <c r="C971" s="84"/>
      <c r="D971" s="83"/>
      <c r="E971" s="84"/>
      <c r="F971" s="84"/>
      <c r="G971" s="83"/>
      <c r="H971" s="84"/>
      <c r="I971" s="84"/>
      <c r="J971" s="84"/>
      <c r="K971" s="84"/>
      <c r="L971" s="84"/>
      <c r="M971" s="84"/>
      <c r="N971" s="84"/>
      <c r="O971" s="84"/>
      <c r="P971" s="85"/>
      <c r="Q971" s="75"/>
      <c r="R971" s="75"/>
      <c r="S971" s="75"/>
      <c r="T971" s="75"/>
      <c r="U971" s="89"/>
      <c r="V971" s="84"/>
      <c r="W971" s="84"/>
      <c r="X971" s="84"/>
      <c r="Y971" s="84"/>
      <c r="Z971" s="84"/>
    </row>
    <row r="972" spans="1:26" ht="15.75" customHeight="1">
      <c r="A972" s="83"/>
      <c r="B972" s="84"/>
      <c r="C972" s="84"/>
      <c r="D972" s="83"/>
      <c r="E972" s="84"/>
      <c r="F972" s="84"/>
      <c r="G972" s="83"/>
      <c r="H972" s="84"/>
      <c r="I972" s="84"/>
      <c r="J972" s="84"/>
      <c r="K972" s="84"/>
      <c r="L972" s="84"/>
      <c r="M972" s="84"/>
      <c r="N972" s="84"/>
      <c r="O972" s="84"/>
      <c r="P972" s="85"/>
      <c r="Q972" s="75"/>
      <c r="R972" s="75"/>
      <c r="S972" s="75"/>
      <c r="T972" s="75"/>
      <c r="U972" s="89"/>
      <c r="V972" s="84"/>
      <c r="W972" s="84"/>
      <c r="X972" s="84"/>
      <c r="Y972" s="84"/>
      <c r="Z972" s="84"/>
    </row>
    <row r="973" spans="1:26" ht="15.75" customHeight="1">
      <c r="A973" s="83"/>
      <c r="B973" s="84"/>
      <c r="C973" s="84"/>
      <c r="D973" s="83"/>
      <c r="E973" s="84"/>
      <c r="F973" s="84"/>
      <c r="G973" s="83"/>
      <c r="H973" s="84"/>
      <c r="I973" s="84"/>
      <c r="J973" s="84"/>
      <c r="K973" s="84"/>
      <c r="L973" s="84"/>
      <c r="M973" s="84"/>
      <c r="N973" s="84"/>
      <c r="O973" s="84"/>
      <c r="P973" s="85"/>
      <c r="Q973" s="75"/>
      <c r="R973" s="75"/>
      <c r="S973" s="75"/>
      <c r="T973" s="75"/>
      <c r="U973" s="89"/>
      <c r="V973" s="84"/>
      <c r="W973" s="84"/>
      <c r="X973" s="84"/>
      <c r="Y973" s="84"/>
      <c r="Z973" s="84"/>
    </row>
    <row r="974" spans="1:26" ht="15.75" customHeight="1">
      <c r="A974" s="83"/>
      <c r="B974" s="84"/>
      <c r="C974" s="84"/>
      <c r="D974" s="83"/>
      <c r="E974" s="84"/>
      <c r="F974" s="84"/>
      <c r="G974" s="83"/>
      <c r="H974" s="84"/>
      <c r="I974" s="84"/>
      <c r="J974" s="84"/>
      <c r="K974" s="84"/>
      <c r="L974" s="84"/>
      <c r="M974" s="84"/>
      <c r="N974" s="84"/>
      <c r="O974" s="84"/>
      <c r="P974" s="85"/>
      <c r="Q974" s="75"/>
      <c r="R974" s="75"/>
      <c r="S974" s="75"/>
      <c r="T974" s="75"/>
      <c r="U974" s="89"/>
      <c r="V974" s="84"/>
      <c r="W974" s="84"/>
      <c r="X974" s="84"/>
      <c r="Y974" s="84"/>
      <c r="Z974" s="84"/>
    </row>
    <row r="975" spans="1:26" ht="15.75" customHeight="1">
      <c r="A975" s="83"/>
      <c r="B975" s="84"/>
      <c r="C975" s="84"/>
      <c r="D975" s="83"/>
      <c r="E975" s="84"/>
      <c r="F975" s="84"/>
      <c r="G975" s="83"/>
      <c r="H975" s="84"/>
      <c r="I975" s="84"/>
      <c r="J975" s="84"/>
      <c r="K975" s="84"/>
      <c r="L975" s="84"/>
      <c r="M975" s="84"/>
      <c r="N975" s="84"/>
      <c r="O975" s="84"/>
      <c r="P975" s="85"/>
      <c r="Q975" s="75"/>
      <c r="R975" s="75"/>
      <c r="S975" s="75"/>
      <c r="T975" s="75"/>
      <c r="U975" s="89"/>
      <c r="V975" s="84"/>
      <c r="W975" s="84"/>
      <c r="X975" s="84"/>
      <c r="Y975" s="84"/>
      <c r="Z975" s="84"/>
    </row>
    <row r="976" spans="1:26" ht="15.75" customHeight="1">
      <c r="A976" s="83"/>
      <c r="B976" s="84"/>
      <c r="C976" s="84"/>
      <c r="D976" s="83"/>
      <c r="E976" s="84"/>
      <c r="F976" s="84"/>
      <c r="G976" s="83"/>
      <c r="H976" s="84"/>
      <c r="I976" s="84"/>
      <c r="J976" s="84"/>
      <c r="K976" s="84"/>
      <c r="L976" s="84"/>
      <c r="M976" s="84"/>
      <c r="N976" s="84"/>
      <c r="O976" s="84"/>
      <c r="P976" s="85"/>
      <c r="Q976" s="75"/>
      <c r="R976" s="75"/>
      <c r="S976" s="75"/>
      <c r="T976" s="75"/>
      <c r="U976" s="89"/>
      <c r="V976" s="84"/>
      <c r="W976" s="84"/>
      <c r="X976" s="84"/>
      <c r="Y976" s="84"/>
      <c r="Z976" s="84"/>
    </row>
    <row r="977" spans="1:26" ht="15.75" customHeight="1">
      <c r="A977" s="83"/>
      <c r="B977" s="84"/>
      <c r="C977" s="84"/>
      <c r="D977" s="83"/>
      <c r="E977" s="84"/>
      <c r="F977" s="84"/>
      <c r="G977" s="83"/>
      <c r="H977" s="84"/>
      <c r="I977" s="84"/>
      <c r="J977" s="84"/>
      <c r="K977" s="84"/>
      <c r="L977" s="84"/>
      <c r="M977" s="84"/>
      <c r="N977" s="84"/>
      <c r="O977" s="84"/>
      <c r="P977" s="85"/>
      <c r="Q977" s="75"/>
      <c r="R977" s="75"/>
      <c r="S977" s="75"/>
      <c r="T977" s="75"/>
      <c r="U977" s="89"/>
      <c r="V977" s="84"/>
      <c r="W977" s="84"/>
      <c r="X977" s="84"/>
      <c r="Y977" s="84"/>
      <c r="Z977" s="84"/>
    </row>
    <row r="978" spans="1:26" ht="15.75" customHeight="1">
      <c r="A978" s="83"/>
      <c r="B978" s="84"/>
      <c r="C978" s="84"/>
      <c r="D978" s="83"/>
      <c r="E978" s="84"/>
      <c r="F978" s="84"/>
      <c r="G978" s="83"/>
      <c r="H978" s="84"/>
      <c r="I978" s="84"/>
      <c r="J978" s="84"/>
      <c r="K978" s="84"/>
      <c r="L978" s="84"/>
      <c r="M978" s="84"/>
      <c r="N978" s="84"/>
      <c r="O978" s="84"/>
      <c r="P978" s="85"/>
      <c r="Q978" s="75"/>
      <c r="R978" s="75"/>
      <c r="S978" s="75"/>
      <c r="T978" s="75"/>
      <c r="U978" s="89"/>
      <c r="V978" s="84"/>
      <c r="W978" s="84"/>
      <c r="X978" s="84"/>
      <c r="Y978" s="84"/>
      <c r="Z978" s="84"/>
    </row>
    <row r="979" spans="1:26" ht="15.75" customHeight="1">
      <c r="A979" s="83"/>
      <c r="B979" s="84"/>
      <c r="C979" s="84"/>
      <c r="D979" s="83"/>
      <c r="E979" s="84"/>
      <c r="F979" s="84"/>
      <c r="G979" s="83"/>
      <c r="H979" s="84"/>
      <c r="I979" s="84"/>
      <c r="J979" s="84"/>
      <c r="K979" s="84"/>
      <c r="L979" s="84"/>
      <c r="M979" s="84"/>
      <c r="N979" s="84"/>
      <c r="O979" s="84"/>
      <c r="P979" s="85"/>
      <c r="Q979" s="75"/>
      <c r="R979" s="75"/>
      <c r="S979" s="75"/>
      <c r="T979" s="75"/>
      <c r="U979" s="89"/>
      <c r="V979" s="84"/>
      <c r="W979" s="84"/>
      <c r="X979" s="84"/>
      <c r="Y979" s="84"/>
      <c r="Z979" s="84"/>
    </row>
    <row r="980" spans="1:26" ht="15.75" customHeight="1">
      <c r="A980" s="83"/>
      <c r="B980" s="84"/>
      <c r="C980" s="84"/>
      <c r="D980" s="83"/>
      <c r="E980" s="84"/>
      <c r="F980" s="84"/>
      <c r="G980" s="83"/>
      <c r="H980" s="84"/>
      <c r="I980" s="84"/>
      <c r="J980" s="84"/>
      <c r="K980" s="84"/>
      <c r="L980" s="84"/>
      <c r="M980" s="84"/>
      <c r="N980" s="84"/>
      <c r="O980" s="84"/>
      <c r="P980" s="85"/>
      <c r="Q980" s="75"/>
      <c r="R980" s="75"/>
      <c r="S980" s="75"/>
      <c r="T980" s="75"/>
      <c r="U980" s="89"/>
      <c r="V980" s="84"/>
      <c r="W980" s="84"/>
      <c r="X980" s="84"/>
      <c r="Y980" s="84"/>
      <c r="Z980" s="84"/>
    </row>
    <row r="981" spans="1:26" ht="15.75" customHeight="1">
      <c r="A981" s="83"/>
      <c r="B981" s="84"/>
      <c r="C981" s="84"/>
      <c r="D981" s="83"/>
      <c r="E981" s="84"/>
      <c r="F981" s="84"/>
      <c r="G981" s="83"/>
      <c r="H981" s="84"/>
      <c r="I981" s="84"/>
      <c r="J981" s="84"/>
      <c r="K981" s="84"/>
      <c r="L981" s="84"/>
      <c r="M981" s="84"/>
      <c r="N981" s="84"/>
      <c r="O981" s="84"/>
      <c r="P981" s="85"/>
      <c r="Q981" s="75"/>
      <c r="R981" s="75"/>
      <c r="S981" s="75"/>
      <c r="T981" s="75"/>
      <c r="U981" s="89"/>
      <c r="V981" s="84"/>
      <c r="W981" s="84"/>
      <c r="X981" s="84"/>
      <c r="Y981" s="84"/>
      <c r="Z981" s="84"/>
    </row>
    <row r="982" spans="1:26" ht="15.75" customHeight="1">
      <c r="A982" s="83"/>
      <c r="B982" s="84"/>
      <c r="C982" s="84"/>
      <c r="D982" s="83"/>
      <c r="E982" s="84"/>
      <c r="F982" s="84"/>
      <c r="G982" s="83"/>
      <c r="H982" s="84"/>
      <c r="I982" s="84"/>
      <c r="J982" s="84"/>
      <c r="K982" s="84"/>
      <c r="L982" s="84"/>
      <c r="M982" s="84"/>
      <c r="N982" s="84"/>
      <c r="O982" s="84"/>
      <c r="P982" s="85"/>
      <c r="Q982" s="75"/>
      <c r="R982" s="75"/>
      <c r="S982" s="75"/>
      <c r="T982" s="75"/>
      <c r="U982" s="89"/>
      <c r="V982" s="84"/>
      <c r="W982" s="84"/>
      <c r="X982" s="84"/>
      <c r="Y982" s="84"/>
      <c r="Z982" s="84"/>
    </row>
    <row r="983" spans="1:26" ht="15.75" customHeight="1">
      <c r="A983" s="83"/>
      <c r="B983" s="84"/>
      <c r="C983" s="84"/>
      <c r="D983" s="83"/>
      <c r="E983" s="84"/>
      <c r="F983" s="84"/>
      <c r="G983" s="83"/>
      <c r="H983" s="84"/>
      <c r="I983" s="84"/>
      <c r="J983" s="84"/>
      <c r="K983" s="84"/>
      <c r="L983" s="84"/>
      <c r="M983" s="84"/>
      <c r="N983" s="84"/>
      <c r="O983" s="84"/>
      <c r="P983" s="85"/>
      <c r="Q983" s="75"/>
      <c r="R983" s="75"/>
      <c r="S983" s="75"/>
      <c r="T983" s="75"/>
      <c r="U983" s="89"/>
      <c r="V983" s="84"/>
      <c r="W983" s="84"/>
      <c r="X983" s="84"/>
      <c r="Y983" s="84"/>
      <c r="Z983" s="84"/>
    </row>
    <row r="984" spans="1:26" ht="15.75" customHeight="1">
      <c r="A984" s="83"/>
      <c r="B984" s="84"/>
      <c r="C984" s="84"/>
      <c r="D984" s="83"/>
      <c r="E984" s="84"/>
      <c r="F984" s="84"/>
      <c r="G984" s="83"/>
      <c r="H984" s="84"/>
      <c r="I984" s="84"/>
      <c r="J984" s="84"/>
      <c r="K984" s="84"/>
      <c r="L984" s="84"/>
      <c r="M984" s="84"/>
      <c r="N984" s="84"/>
      <c r="O984" s="84"/>
      <c r="P984" s="85"/>
      <c r="Q984" s="75"/>
      <c r="R984" s="75"/>
      <c r="S984" s="75"/>
      <c r="T984" s="75"/>
      <c r="U984" s="89"/>
      <c r="V984" s="84"/>
      <c r="W984" s="84"/>
      <c r="X984" s="84"/>
      <c r="Y984" s="84"/>
      <c r="Z984" s="84"/>
    </row>
    <row r="985" spans="1:26" ht="15.75" customHeight="1">
      <c r="A985" s="83"/>
      <c r="B985" s="84"/>
      <c r="C985" s="84"/>
      <c r="D985" s="83"/>
      <c r="E985" s="84"/>
      <c r="F985" s="84"/>
      <c r="G985" s="83"/>
      <c r="H985" s="84"/>
      <c r="I985" s="84"/>
      <c r="J985" s="84"/>
      <c r="K985" s="84"/>
      <c r="L985" s="84"/>
      <c r="M985" s="84"/>
      <c r="N985" s="84"/>
      <c r="O985" s="84"/>
      <c r="P985" s="85"/>
      <c r="Q985" s="75"/>
      <c r="R985" s="75"/>
      <c r="S985" s="75"/>
      <c r="T985" s="75"/>
      <c r="U985" s="89"/>
      <c r="V985" s="84"/>
      <c r="W985" s="84"/>
      <c r="X985" s="84"/>
      <c r="Y985" s="84"/>
      <c r="Z985" s="84"/>
    </row>
    <row r="986" spans="1:26" ht="15.75" customHeight="1">
      <c r="A986" s="83"/>
      <c r="B986" s="84"/>
      <c r="C986" s="84"/>
      <c r="D986" s="83"/>
      <c r="E986" s="84"/>
      <c r="F986" s="84"/>
      <c r="G986" s="83"/>
      <c r="H986" s="84"/>
      <c r="I986" s="84"/>
      <c r="J986" s="84"/>
      <c r="K986" s="84"/>
      <c r="L986" s="84"/>
      <c r="M986" s="84"/>
      <c r="N986" s="84"/>
      <c r="O986" s="84"/>
      <c r="P986" s="85"/>
      <c r="Q986" s="75"/>
      <c r="R986" s="75"/>
      <c r="S986" s="75"/>
      <c r="T986" s="75"/>
      <c r="U986" s="89"/>
      <c r="V986" s="84"/>
      <c r="W986" s="84"/>
      <c r="X986" s="84"/>
      <c r="Y986" s="84"/>
      <c r="Z986" s="84"/>
    </row>
    <row r="987" spans="1:26" ht="15.75" customHeight="1">
      <c r="A987" s="83"/>
      <c r="B987" s="84"/>
      <c r="C987" s="84"/>
      <c r="D987" s="83"/>
      <c r="E987" s="84"/>
      <c r="F987" s="84"/>
      <c r="G987" s="83"/>
      <c r="H987" s="84"/>
      <c r="I987" s="84"/>
      <c r="J987" s="84"/>
      <c r="K987" s="84"/>
      <c r="L987" s="84"/>
      <c r="M987" s="84"/>
      <c r="N987" s="84"/>
      <c r="O987" s="84"/>
      <c r="P987" s="85"/>
      <c r="Q987" s="75"/>
      <c r="R987" s="75"/>
      <c r="S987" s="75"/>
      <c r="T987" s="75"/>
      <c r="U987" s="89"/>
      <c r="V987" s="84"/>
      <c r="W987" s="84"/>
      <c r="X987" s="84"/>
      <c r="Y987" s="84"/>
      <c r="Z987" s="84"/>
    </row>
    <row r="988" spans="1:26" ht="15.75" customHeight="1">
      <c r="A988" s="83"/>
      <c r="B988" s="84"/>
      <c r="C988" s="84"/>
      <c r="D988" s="83"/>
      <c r="E988" s="84"/>
      <c r="F988" s="84"/>
      <c r="G988" s="83"/>
      <c r="H988" s="84"/>
      <c r="I988" s="84"/>
      <c r="J988" s="84"/>
      <c r="K988" s="84"/>
      <c r="L988" s="84"/>
      <c r="M988" s="84"/>
      <c r="N988" s="84"/>
      <c r="O988" s="84"/>
      <c r="P988" s="85"/>
      <c r="Q988" s="75"/>
      <c r="R988" s="75"/>
      <c r="S988" s="75"/>
      <c r="T988" s="75"/>
      <c r="U988" s="89"/>
      <c r="V988" s="84"/>
      <c r="W988" s="84"/>
      <c r="X988" s="84"/>
      <c r="Y988" s="84"/>
      <c r="Z988" s="84"/>
    </row>
    <row r="989" spans="1:26" ht="15.75" customHeight="1">
      <c r="A989" s="83"/>
      <c r="B989" s="84"/>
      <c r="C989" s="84"/>
      <c r="D989" s="83"/>
      <c r="E989" s="84"/>
      <c r="F989" s="84"/>
      <c r="G989" s="83"/>
      <c r="H989" s="84"/>
      <c r="I989" s="84"/>
      <c r="J989" s="84"/>
      <c r="K989" s="84"/>
      <c r="L989" s="84"/>
      <c r="M989" s="84"/>
      <c r="N989" s="84"/>
      <c r="O989" s="84"/>
      <c r="P989" s="85"/>
      <c r="Q989" s="75"/>
      <c r="R989" s="75"/>
      <c r="S989" s="75"/>
      <c r="T989" s="75"/>
      <c r="U989" s="89"/>
      <c r="V989" s="84"/>
      <c r="W989" s="84"/>
      <c r="X989" s="84"/>
      <c r="Y989" s="84"/>
      <c r="Z989" s="84"/>
    </row>
    <row r="990" spans="1:26" ht="15.75" customHeight="1">
      <c r="A990" s="83"/>
      <c r="B990" s="84"/>
      <c r="C990" s="84"/>
      <c r="D990" s="83"/>
      <c r="E990" s="84"/>
      <c r="F990" s="84"/>
      <c r="G990" s="83"/>
      <c r="H990" s="84"/>
      <c r="I990" s="84"/>
      <c r="J990" s="84"/>
      <c r="K990" s="84"/>
      <c r="L990" s="84"/>
      <c r="M990" s="84"/>
      <c r="N990" s="84"/>
      <c r="O990" s="84"/>
      <c r="P990" s="85"/>
      <c r="Q990" s="75"/>
      <c r="R990" s="75"/>
      <c r="S990" s="75"/>
      <c r="T990" s="75"/>
      <c r="U990" s="89"/>
      <c r="V990" s="84"/>
      <c r="W990" s="84"/>
      <c r="X990" s="84"/>
      <c r="Y990" s="84"/>
      <c r="Z990" s="84"/>
    </row>
    <row r="991" spans="1:26" ht="15.75" customHeight="1">
      <c r="A991" s="83"/>
      <c r="B991" s="84"/>
      <c r="C991" s="84"/>
      <c r="D991" s="83"/>
      <c r="E991" s="84"/>
      <c r="F991" s="84"/>
      <c r="G991" s="83"/>
      <c r="H991" s="84"/>
      <c r="I991" s="84"/>
      <c r="J991" s="84"/>
      <c r="K991" s="84"/>
      <c r="L991" s="84"/>
      <c r="M991" s="84"/>
      <c r="N991" s="84"/>
      <c r="O991" s="84"/>
      <c r="P991" s="85"/>
      <c r="Q991" s="75"/>
      <c r="R991" s="75"/>
      <c r="S991" s="75"/>
      <c r="T991" s="75"/>
      <c r="U991" s="89"/>
      <c r="V991" s="84"/>
      <c r="W991" s="84"/>
      <c r="X991" s="84"/>
      <c r="Y991" s="84"/>
      <c r="Z991" s="84"/>
    </row>
    <row r="992" spans="1:26" ht="15.75" customHeight="1">
      <c r="A992" s="83"/>
      <c r="B992" s="84"/>
      <c r="C992" s="84"/>
      <c r="D992" s="83"/>
      <c r="E992" s="84"/>
      <c r="F992" s="84"/>
      <c r="G992" s="83"/>
      <c r="H992" s="84"/>
      <c r="I992" s="84"/>
      <c r="J992" s="84"/>
      <c r="K992" s="84"/>
      <c r="L992" s="84"/>
      <c r="M992" s="84"/>
      <c r="N992" s="84"/>
      <c r="O992" s="84"/>
      <c r="P992" s="85"/>
      <c r="Q992" s="75"/>
      <c r="R992" s="75"/>
      <c r="S992" s="75"/>
      <c r="T992" s="75"/>
      <c r="U992" s="89"/>
      <c r="V992" s="84"/>
      <c r="W992" s="84"/>
      <c r="X992" s="84"/>
      <c r="Y992" s="84"/>
      <c r="Z992" s="84"/>
    </row>
    <row r="993" spans="1:26" ht="15.75" customHeight="1">
      <c r="A993" s="83"/>
      <c r="B993" s="84"/>
      <c r="C993" s="84"/>
      <c r="D993" s="83"/>
      <c r="E993" s="84"/>
      <c r="F993" s="84"/>
      <c r="G993" s="83"/>
      <c r="H993" s="84"/>
      <c r="I993" s="84"/>
      <c r="J993" s="84"/>
      <c r="K993" s="84"/>
      <c r="L993" s="84"/>
      <c r="M993" s="84"/>
      <c r="N993" s="84"/>
      <c r="O993" s="84"/>
      <c r="P993" s="85"/>
      <c r="Q993" s="75"/>
      <c r="R993" s="75"/>
      <c r="S993" s="75"/>
      <c r="T993" s="75"/>
      <c r="U993" s="89"/>
      <c r="V993" s="84"/>
      <c r="W993" s="84"/>
      <c r="X993" s="84"/>
      <c r="Y993" s="84"/>
      <c r="Z993" s="84"/>
    </row>
    <row r="994" spans="1:26" ht="15.75" customHeight="1">
      <c r="A994" s="83"/>
      <c r="B994" s="84"/>
      <c r="C994" s="84"/>
      <c r="D994" s="83"/>
      <c r="E994" s="84"/>
      <c r="F994" s="84"/>
      <c r="G994" s="83"/>
      <c r="H994" s="84"/>
      <c r="I994" s="84"/>
      <c r="J994" s="84"/>
      <c r="K994" s="84"/>
      <c r="L994" s="84"/>
      <c r="M994" s="84"/>
      <c r="N994" s="84"/>
      <c r="O994" s="84"/>
      <c r="P994" s="85"/>
      <c r="Q994" s="75"/>
      <c r="R994" s="75"/>
      <c r="S994" s="75"/>
      <c r="T994" s="75"/>
      <c r="U994" s="89"/>
      <c r="V994" s="84"/>
      <c r="W994" s="84"/>
      <c r="X994" s="84"/>
      <c r="Y994" s="84"/>
      <c r="Z994" s="84"/>
    </row>
    <row r="995" spans="1:26" ht="15.75" customHeight="1">
      <c r="A995" s="83"/>
      <c r="B995" s="84"/>
      <c r="C995" s="84"/>
      <c r="D995" s="83"/>
      <c r="E995" s="84"/>
      <c r="F995" s="84"/>
      <c r="G995" s="83"/>
      <c r="H995" s="84"/>
      <c r="I995" s="84"/>
      <c r="J995" s="84"/>
      <c r="K995" s="84"/>
      <c r="L995" s="84"/>
      <c r="M995" s="84"/>
      <c r="N995" s="84"/>
      <c r="O995" s="84"/>
      <c r="P995" s="85"/>
      <c r="Q995" s="75"/>
      <c r="R995" s="75"/>
      <c r="S995" s="75"/>
      <c r="T995" s="75"/>
      <c r="U995" s="89"/>
      <c r="V995" s="84"/>
      <c r="W995" s="84"/>
      <c r="X995" s="84"/>
      <c r="Y995" s="84"/>
      <c r="Z995" s="84"/>
    </row>
    <row r="996" spans="1:26" ht="15.75" customHeight="1">
      <c r="A996" s="83"/>
      <c r="B996" s="84"/>
      <c r="C996" s="84"/>
      <c r="D996" s="83"/>
      <c r="E996" s="84"/>
      <c r="F996" s="84"/>
      <c r="G996" s="83"/>
      <c r="H996" s="84"/>
      <c r="I996" s="84"/>
      <c r="J996" s="84"/>
      <c r="K996" s="84"/>
      <c r="L996" s="84"/>
      <c r="M996" s="84"/>
      <c r="N996" s="84"/>
      <c r="O996" s="84"/>
      <c r="P996" s="85"/>
      <c r="Q996" s="75"/>
      <c r="R996" s="75"/>
      <c r="S996" s="75"/>
      <c r="T996" s="75"/>
      <c r="U996" s="89"/>
      <c r="V996" s="84"/>
      <c r="W996" s="84"/>
      <c r="X996" s="84"/>
      <c r="Y996" s="84"/>
      <c r="Z996" s="84"/>
    </row>
    <row r="997" spans="1:26" ht="15.75" customHeight="1">
      <c r="A997" s="83"/>
      <c r="B997" s="84"/>
      <c r="C997" s="84"/>
      <c r="D997" s="83"/>
      <c r="E997" s="84"/>
      <c r="F997" s="84"/>
      <c r="G997" s="83"/>
      <c r="H997" s="84"/>
      <c r="I997" s="84"/>
      <c r="J997" s="84"/>
      <c r="K997" s="84"/>
      <c r="L997" s="84"/>
      <c r="M997" s="84"/>
      <c r="N997" s="84"/>
      <c r="O997" s="84"/>
      <c r="P997" s="85"/>
      <c r="Q997" s="75"/>
      <c r="R997" s="75"/>
      <c r="S997" s="75"/>
      <c r="T997" s="75"/>
      <c r="U997" s="89"/>
      <c r="V997" s="84"/>
      <c r="W997" s="84"/>
      <c r="X997" s="84"/>
      <c r="Y997" s="84"/>
      <c r="Z997" s="84"/>
    </row>
    <row r="998" spans="1:26" ht="15.75" customHeight="1">
      <c r="A998" s="83"/>
      <c r="B998" s="84"/>
      <c r="C998" s="84"/>
      <c r="D998" s="83"/>
      <c r="E998" s="84"/>
      <c r="F998" s="84"/>
      <c r="G998" s="83"/>
      <c r="H998" s="84"/>
      <c r="I998" s="84"/>
      <c r="J998" s="84"/>
      <c r="K998" s="84"/>
      <c r="L998" s="84"/>
      <c r="M998" s="84"/>
      <c r="N998" s="84"/>
      <c r="O998" s="84"/>
      <c r="P998" s="85"/>
      <c r="Q998" s="75"/>
      <c r="R998" s="75"/>
      <c r="S998" s="75"/>
      <c r="T998" s="75"/>
      <c r="U998" s="89"/>
      <c r="V998" s="84"/>
      <c r="W998" s="84"/>
      <c r="X998" s="84"/>
      <c r="Y998" s="84"/>
      <c r="Z998" s="84"/>
    </row>
    <row r="999" spans="1:26" ht="15.75" customHeight="1">
      <c r="A999" s="83"/>
      <c r="B999" s="84"/>
      <c r="C999" s="84"/>
      <c r="D999" s="83"/>
      <c r="E999" s="84"/>
      <c r="F999" s="84"/>
      <c r="G999" s="83"/>
      <c r="H999" s="84"/>
      <c r="I999" s="84"/>
      <c r="J999" s="84"/>
      <c r="K999" s="84"/>
      <c r="L999" s="84"/>
      <c r="M999" s="84"/>
      <c r="N999" s="84"/>
      <c r="O999" s="84"/>
      <c r="P999" s="85"/>
      <c r="Q999" s="75"/>
      <c r="R999" s="75"/>
      <c r="S999" s="75"/>
      <c r="T999" s="75"/>
      <c r="U999" s="89"/>
      <c r="V999" s="84"/>
      <c r="W999" s="84"/>
      <c r="X999" s="84"/>
      <c r="Y999" s="84"/>
      <c r="Z999" s="84"/>
    </row>
    <row r="1000" spans="1:26" ht="15.75" customHeight="1">
      <c r="A1000" s="83"/>
      <c r="B1000" s="84"/>
      <c r="C1000" s="84"/>
      <c r="D1000" s="83"/>
      <c r="E1000" s="84"/>
      <c r="F1000" s="84"/>
      <c r="G1000" s="83"/>
      <c r="H1000" s="84"/>
      <c r="I1000" s="84"/>
      <c r="J1000" s="84"/>
      <c r="K1000" s="84"/>
      <c r="L1000" s="84"/>
      <c r="M1000" s="84"/>
      <c r="N1000" s="84"/>
      <c r="O1000" s="84"/>
      <c r="P1000" s="85"/>
      <c r="Q1000" s="75"/>
      <c r="R1000" s="75"/>
      <c r="S1000" s="75"/>
      <c r="T1000" s="75"/>
      <c r="U1000" s="89"/>
      <c r="V1000" s="84"/>
      <c r="W1000" s="84"/>
      <c r="X1000" s="84"/>
      <c r="Y1000" s="84"/>
      <c r="Z1000" s="84"/>
    </row>
    <row r="1001" spans="1:26" ht="15.75" customHeight="1">
      <c r="A1001" s="83"/>
      <c r="B1001" s="84"/>
      <c r="C1001" s="84"/>
      <c r="D1001" s="83"/>
      <c r="E1001" s="84"/>
      <c r="F1001" s="84"/>
      <c r="G1001" s="83"/>
      <c r="H1001" s="84"/>
      <c r="I1001" s="84"/>
      <c r="J1001" s="84"/>
      <c r="K1001" s="84"/>
      <c r="L1001" s="84"/>
      <c r="M1001" s="84"/>
      <c r="N1001" s="84"/>
      <c r="O1001" s="84"/>
      <c r="P1001" s="85"/>
      <c r="Q1001" s="75"/>
      <c r="R1001" s="75"/>
      <c r="S1001" s="75"/>
      <c r="T1001" s="75"/>
      <c r="U1001" s="89"/>
      <c r="V1001" s="84"/>
      <c r="W1001" s="84"/>
      <c r="X1001" s="84"/>
      <c r="Y1001" s="84"/>
      <c r="Z1001" s="84"/>
    </row>
    <row r="1002" spans="1:26" ht="15.75" customHeight="1">
      <c r="A1002" s="83"/>
      <c r="B1002" s="84"/>
      <c r="C1002" s="84"/>
      <c r="D1002" s="83"/>
      <c r="E1002" s="84"/>
      <c r="F1002" s="84"/>
      <c r="G1002" s="83"/>
      <c r="H1002" s="84"/>
      <c r="I1002" s="84"/>
      <c r="J1002" s="84"/>
      <c r="K1002" s="84"/>
      <c r="L1002" s="84"/>
      <c r="M1002" s="84"/>
      <c r="N1002" s="84"/>
      <c r="O1002" s="84"/>
      <c r="P1002" s="85"/>
      <c r="Q1002" s="75"/>
      <c r="R1002" s="75"/>
      <c r="S1002" s="75"/>
      <c r="T1002" s="75"/>
      <c r="U1002" s="89"/>
      <c r="V1002" s="84"/>
      <c r="W1002" s="84"/>
      <c r="X1002" s="84"/>
      <c r="Y1002" s="84"/>
      <c r="Z1002" s="84"/>
    </row>
    <row r="1003" spans="1:26" ht="15.75" customHeight="1">
      <c r="A1003" s="83"/>
      <c r="B1003" s="84"/>
      <c r="C1003" s="84"/>
      <c r="D1003" s="83"/>
      <c r="E1003" s="84"/>
      <c r="F1003" s="84"/>
      <c r="G1003" s="83"/>
      <c r="H1003" s="84"/>
      <c r="I1003" s="84"/>
      <c r="J1003" s="84"/>
      <c r="K1003" s="84"/>
      <c r="L1003" s="84"/>
      <c r="M1003" s="84"/>
      <c r="N1003" s="84"/>
      <c r="O1003" s="84"/>
      <c r="P1003" s="85"/>
      <c r="Q1003" s="75"/>
      <c r="R1003" s="75"/>
      <c r="S1003" s="75"/>
      <c r="T1003" s="75"/>
      <c r="U1003" s="89"/>
      <c r="V1003" s="84"/>
      <c r="W1003" s="84"/>
      <c r="X1003" s="84"/>
      <c r="Y1003" s="84"/>
      <c r="Z1003" s="84"/>
    </row>
    <row r="1004" spans="1:26" ht="15.75" customHeight="1">
      <c r="A1004" s="83"/>
      <c r="B1004" s="84"/>
      <c r="C1004" s="84"/>
      <c r="D1004" s="83"/>
      <c r="E1004" s="84"/>
      <c r="F1004" s="84"/>
      <c r="G1004" s="83"/>
      <c r="H1004" s="84"/>
      <c r="I1004" s="84"/>
      <c r="J1004" s="84"/>
      <c r="K1004" s="84"/>
      <c r="L1004" s="84"/>
      <c r="M1004" s="84"/>
      <c r="N1004" s="84"/>
      <c r="O1004" s="84"/>
      <c r="P1004" s="85"/>
      <c r="Q1004" s="75"/>
      <c r="R1004" s="75"/>
      <c r="S1004" s="75"/>
      <c r="T1004" s="75"/>
      <c r="U1004" s="89"/>
      <c r="V1004" s="84"/>
      <c r="W1004" s="84"/>
      <c r="X1004" s="84"/>
      <c r="Y1004" s="84"/>
      <c r="Z1004" s="84"/>
    </row>
    <row r="1005" spans="1:26" ht="15.75" customHeight="1">
      <c r="A1005" s="83"/>
      <c r="B1005" s="84"/>
      <c r="C1005" s="84"/>
      <c r="D1005" s="83"/>
      <c r="E1005" s="84"/>
      <c r="F1005" s="84"/>
      <c r="G1005" s="83"/>
      <c r="H1005" s="84"/>
      <c r="I1005" s="84"/>
      <c r="J1005" s="84"/>
      <c r="K1005" s="84"/>
      <c r="L1005" s="84"/>
      <c r="M1005" s="84"/>
      <c r="N1005" s="84"/>
      <c r="O1005" s="84"/>
      <c r="P1005" s="85"/>
      <c r="Q1005" s="75"/>
      <c r="R1005" s="75"/>
      <c r="S1005" s="75"/>
      <c r="T1005" s="75"/>
      <c r="U1005" s="89"/>
      <c r="V1005" s="84"/>
      <c r="W1005" s="84"/>
      <c r="X1005" s="84"/>
      <c r="Y1005" s="84"/>
      <c r="Z1005" s="84"/>
    </row>
    <row r="1006" spans="1:26" ht="15.75" customHeight="1">
      <c r="A1006" s="83"/>
      <c r="B1006" s="84"/>
      <c r="C1006" s="84"/>
      <c r="D1006" s="83"/>
      <c r="E1006" s="84"/>
      <c r="F1006" s="84"/>
      <c r="G1006" s="83"/>
      <c r="H1006" s="84"/>
      <c r="I1006" s="84"/>
      <c r="J1006" s="84"/>
      <c r="K1006" s="84"/>
      <c r="L1006" s="84"/>
      <c r="M1006" s="84"/>
      <c r="N1006" s="84"/>
      <c r="O1006" s="84"/>
      <c r="P1006" s="85"/>
      <c r="Q1006" s="75"/>
      <c r="R1006" s="75"/>
      <c r="S1006" s="75"/>
      <c r="T1006" s="75"/>
      <c r="U1006" s="89"/>
      <c r="V1006" s="84"/>
      <c r="W1006" s="84"/>
      <c r="X1006" s="84"/>
      <c r="Y1006" s="84"/>
      <c r="Z1006" s="84"/>
    </row>
  </sheetData>
  <conditionalFormatting sqref="T1:T1006">
    <cfRule type="cellIs" dxfId="8" priority="1" operator="equal">
      <formula>"true"</formula>
    </cfRule>
  </conditionalFormatting>
  <conditionalFormatting sqref="Q1:Q1006">
    <cfRule type="cellIs" dxfId="7" priority="2" operator="equal">
      <formula>"true"</formula>
    </cfRule>
  </conditionalFormatting>
  <conditionalFormatting sqref="R1:R1006">
    <cfRule type="cellIs" dxfId="6" priority="3" operator="equal">
      <formula>"true"</formula>
    </cfRule>
  </conditionalFormatting>
  <conditionalFormatting sqref="S1:S1006">
    <cfRule type="cellIs" dxfId="5" priority="4" operator="equal">
      <formula>"true"</formula>
    </cfRule>
  </conditionalFormatting>
  <conditionalFormatting sqref="T1:T1006">
    <cfRule type="cellIs" dxfId="4" priority="5" operator="equal">
      <formula>"true"</formula>
    </cfRule>
  </conditionalFormatting>
  <hyperlinks>
    <hyperlink ref="Y29" r:id="rId1" display="https://photos.mandarinoriental.com/is/content/MandarinOriental/hong-kong-fact-sheet" xr:uid="{00000000-0004-0000-0E00-000000000000}"/>
    <hyperlink ref="Y44" r:id="rId2" display="https://www.amo.gov.hk/en/monuments_37.php" xr:uid="{00000000-0004-0000-0E00-000001000000}"/>
    <hyperlink ref="Y48" r:id="rId3" display="http://www.hongkongoffice.com/building_search/office_profile.asp?B=21276" xr:uid="{00000000-0004-0000-0E00-000002000000}"/>
    <hyperlink ref="Y70" r:id="rId4" display="https://www.amo.gov.hk/en/monuments_49.php" xr:uid="{00000000-0004-0000-0E00-000003000000}"/>
    <hyperlink ref="Y81" r:id="rId5" display="http://www.primeoffice.com.hk/hong-kong-office/6620/west-exchange-tower" xr:uid="{00000000-0004-0000-0E00-000004000000}"/>
    <hyperlink ref="Y84" r:id="rId6" display="https://www.meetings-conventions.com/Meeting-Event-Venues/Hong-Kong-Hong-Kong/Convention-Hotel/JW-Marriott-Hotel-Hong-Kong-p2128715" xr:uid="{00000000-0004-0000-0E00-000005000000}"/>
    <hyperlink ref="Y86" r:id="rId7" display="https://www.skyscrapercenter.com/building/arsenal-house-west-wing/21314" xr:uid="{00000000-0004-0000-0E00-000006000000}"/>
    <hyperlink ref="Y95" r:id="rId8" display="https://www.meetings-conventions.com/Meeting-Event-Venues/Hong-Kong-Hong-Kong/Convention-Hotel/OZO-Wesley-Hong-Kong-p6701817" xr:uid="{00000000-0004-0000-0E00-000007000000}"/>
    <hyperlink ref="Y128" r:id="rId9" display="https://img.themirahotel.com/wp-content/uploads/2013/12/140127_The_Mira_Fact_Sheet_En.pdf" xr:uid="{00000000-0004-0000-0E00-000008000000}"/>
    <hyperlink ref="Y218" r:id="rId10" display="http://www.ladder.com.hk/dundas/download/info.jpg" xr:uid="{00000000-0004-0000-0E00-000009000000}"/>
    <hyperlink ref="Y220" r:id="rId11" display="https://www.hkpl.gov.hk/en/hkcl/aboutus/index.html" xr:uid="{00000000-0004-0000-0E00-00000A000000}"/>
    <hyperlink ref="Y235" r:id="rId12" display="https://partnernet.hktb.com/en/e_marketplace/company_directory/index.html?companyID=961&amp;accordionDefault=venue&amp;viewMode=Details" xr:uid="{00000000-0004-0000-0E00-00000B000000}"/>
    <hyperlink ref="Y237" r:id="rId13" location=":~:text=It%20has%20313%20apartments.,are%20upto%202463%20sf%20saleable." display="https://www.executivehomeshk.com/buildings/north-point/park-towers - :~:text=It%20has%20313%20apartments.,are%20upto%202463%20sf%20saleable." xr:uid="{00000000-0004-0000-0E00-00000C000000}"/>
    <hyperlink ref="Y300" r:id="rId14" display="http://www.hongkongoffice.com/building_search/Office_Profile.asp?B=6920" xr:uid="{00000000-0004-0000-0E00-00000D000000}"/>
  </hyperlinks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N1001"/>
  <sheetViews>
    <sheetView workbookViewId="0"/>
  </sheetViews>
  <sheetFormatPr defaultColWidth="14.453125" defaultRowHeight="15" customHeight="1"/>
  <cols>
    <col min="3" max="3" width="20.08984375" customWidth="1"/>
  </cols>
  <sheetData>
    <row r="1" spans="1:14">
      <c r="A1" s="228" t="s">
        <v>1552</v>
      </c>
      <c r="B1" s="228" t="s">
        <v>545</v>
      </c>
      <c r="C1" s="229">
        <v>1103124028</v>
      </c>
      <c r="D1" s="228" t="s">
        <v>546</v>
      </c>
      <c r="E1" s="228" t="s">
        <v>547</v>
      </c>
      <c r="F1" s="229">
        <v>114.15954379999999</v>
      </c>
      <c r="G1" s="229">
        <v>22.283562939999999</v>
      </c>
      <c r="H1" s="229">
        <v>0</v>
      </c>
      <c r="I1" s="229">
        <v>3.9</v>
      </c>
      <c r="J1" s="228" t="s">
        <v>115</v>
      </c>
      <c r="K1" s="229">
        <v>30.1</v>
      </c>
      <c r="L1" s="228" t="s">
        <v>115</v>
      </c>
      <c r="M1" s="229">
        <v>26.2</v>
      </c>
      <c r="N1" s="228" t="s">
        <v>1553</v>
      </c>
    </row>
    <row r="2" spans="1:14">
      <c r="A2" s="228" t="s">
        <v>1554</v>
      </c>
      <c r="B2" s="228" t="s">
        <v>549</v>
      </c>
      <c r="C2" s="229">
        <v>1103124531</v>
      </c>
      <c r="D2" s="228" t="s">
        <v>550</v>
      </c>
      <c r="E2" s="228" t="s">
        <v>551</v>
      </c>
      <c r="F2" s="229">
        <v>114.15915529999999</v>
      </c>
      <c r="G2" s="229">
        <v>22.28300407</v>
      </c>
      <c r="H2" s="229">
        <v>0</v>
      </c>
      <c r="I2" s="229">
        <v>3.7</v>
      </c>
      <c r="J2" s="228" t="s">
        <v>115</v>
      </c>
      <c r="K2" s="229">
        <v>182</v>
      </c>
      <c r="L2" s="228" t="s">
        <v>115</v>
      </c>
      <c r="M2" s="229">
        <v>178.3</v>
      </c>
      <c r="N2" s="228" t="s">
        <v>1553</v>
      </c>
    </row>
    <row r="3" spans="1:14">
      <c r="A3" s="228" t="s">
        <v>1555</v>
      </c>
      <c r="B3" s="228" t="s">
        <v>1556</v>
      </c>
      <c r="C3" s="229">
        <v>1103123897</v>
      </c>
      <c r="D3" s="228" t="s">
        <v>1557</v>
      </c>
      <c r="E3" s="228" t="s">
        <v>1558</v>
      </c>
      <c r="F3" s="229">
        <v>114.15824000000001</v>
      </c>
      <c r="G3" s="229">
        <v>22.28389293</v>
      </c>
      <c r="H3" s="229">
        <v>0</v>
      </c>
      <c r="I3" s="229">
        <v>3.6</v>
      </c>
      <c r="J3" s="228" t="s">
        <v>126</v>
      </c>
      <c r="K3" s="229">
        <v>185.9</v>
      </c>
      <c r="L3" s="228" t="s">
        <v>115</v>
      </c>
      <c r="M3" s="229">
        <v>182.3</v>
      </c>
      <c r="N3" s="228" t="s">
        <v>1553</v>
      </c>
    </row>
    <row r="4" spans="1:14">
      <c r="A4" s="228" t="s">
        <v>1559</v>
      </c>
      <c r="B4" s="228" t="s">
        <v>541</v>
      </c>
      <c r="C4" s="229">
        <v>1103123008</v>
      </c>
      <c r="D4" s="228" t="s">
        <v>542</v>
      </c>
      <c r="E4" s="228" t="s">
        <v>543</v>
      </c>
      <c r="F4" s="229">
        <v>114.15816770000001</v>
      </c>
      <c r="G4" s="229">
        <v>22.284623549999999</v>
      </c>
      <c r="H4" s="229">
        <v>0</v>
      </c>
      <c r="I4" s="229">
        <v>3.8</v>
      </c>
      <c r="J4" s="228" t="s">
        <v>115</v>
      </c>
      <c r="K4" s="229">
        <v>34.4</v>
      </c>
      <c r="L4" s="228" t="s">
        <v>115</v>
      </c>
      <c r="M4" s="229">
        <v>30.6</v>
      </c>
      <c r="N4" s="228" t="s">
        <v>1553</v>
      </c>
    </row>
    <row r="5" spans="1:14">
      <c r="A5" s="228" t="s">
        <v>1560</v>
      </c>
      <c r="B5" s="228" t="s">
        <v>558</v>
      </c>
      <c r="C5" s="229">
        <v>1103125246</v>
      </c>
      <c r="D5" s="228" t="s">
        <v>559</v>
      </c>
      <c r="E5" s="228" t="s">
        <v>560</v>
      </c>
      <c r="F5" s="229">
        <v>114.1584381</v>
      </c>
      <c r="G5" s="229">
        <v>22.282230460000001</v>
      </c>
      <c r="H5" s="229">
        <v>0</v>
      </c>
      <c r="I5" s="229">
        <v>3.7</v>
      </c>
      <c r="J5" s="228" t="s">
        <v>115</v>
      </c>
      <c r="K5" s="229">
        <v>127.5</v>
      </c>
      <c r="L5" s="228" t="s">
        <v>115</v>
      </c>
      <c r="M5" s="229">
        <v>123.8</v>
      </c>
      <c r="N5" s="228" t="s">
        <v>1553</v>
      </c>
    </row>
    <row r="6" spans="1:14">
      <c r="A6" s="228" t="s">
        <v>1561</v>
      </c>
      <c r="B6" s="228" t="s">
        <v>552</v>
      </c>
      <c r="C6" s="229">
        <v>1103124903</v>
      </c>
      <c r="D6" s="228" t="s">
        <v>553</v>
      </c>
      <c r="E6" s="228" t="s">
        <v>554</v>
      </c>
      <c r="F6" s="229">
        <v>114.1577892</v>
      </c>
      <c r="G6" s="229">
        <v>22.282554059999999</v>
      </c>
      <c r="H6" s="229">
        <v>0</v>
      </c>
      <c r="I6" s="229">
        <v>3.7</v>
      </c>
      <c r="J6" s="228" t="s">
        <v>115</v>
      </c>
      <c r="K6" s="229">
        <v>109</v>
      </c>
      <c r="L6" s="228">
        <v>3</v>
      </c>
      <c r="M6" s="229">
        <v>105.3</v>
      </c>
      <c r="N6" s="228" t="s">
        <v>1553</v>
      </c>
    </row>
    <row r="7" spans="1:14">
      <c r="A7" s="228" t="s">
        <v>1562</v>
      </c>
      <c r="B7" s="228" t="s">
        <v>1563</v>
      </c>
      <c r="C7" s="229">
        <v>1103124097</v>
      </c>
      <c r="D7" s="228" t="s">
        <v>1564</v>
      </c>
      <c r="E7" s="228" t="s">
        <v>1565</v>
      </c>
      <c r="F7" s="229">
        <v>114.1567764</v>
      </c>
      <c r="G7" s="229">
        <v>22.28367579</v>
      </c>
      <c r="H7" s="229">
        <v>0</v>
      </c>
      <c r="I7" s="229">
        <v>3.6</v>
      </c>
      <c r="J7" s="228" t="s">
        <v>115</v>
      </c>
      <c r="K7" s="229">
        <v>75</v>
      </c>
      <c r="L7" s="228" t="s">
        <v>115</v>
      </c>
      <c r="M7" s="229">
        <v>71.400000000000006</v>
      </c>
      <c r="N7" s="228" t="s">
        <v>1553</v>
      </c>
    </row>
    <row r="8" spans="1:14">
      <c r="A8" s="228" t="s">
        <v>1566</v>
      </c>
      <c r="B8" s="228" t="s">
        <v>1567</v>
      </c>
      <c r="C8" s="229">
        <v>1103124289</v>
      </c>
      <c r="D8" s="228" t="s">
        <v>1568</v>
      </c>
      <c r="E8" s="228" t="s">
        <v>1569</v>
      </c>
      <c r="F8" s="229">
        <v>114.15687749999999</v>
      </c>
      <c r="G8" s="229">
        <v>22.28345818</v>
      </c>
      <c r="H8" s="229">
        <v>0</v>
      </c>
      <c r="I8" s="229">
        <v>3.6</v>
      </c>
      <c r="J8" s="228" t="s">
        <v>115</v>
      </c>
      <c r="K8" s="229">
        <v>123.6</v>
      </c>
      <c r="L8" s="228">
        <v>3</v>
      </c>
      <c r="M8" s="229">
        <v>120</v>
      </c>
      <c r="N8" s="228" t="s">
        <v>1553</v>
      </c>
    </row>
    <row r="9" spans="1:14">
      <c r="A9" s="228" t="s">
        <v>1570</v>
      </c>
      <c r="B9" s="228" t="s">
        <v>1571</v>
      </c>
      <c r="C9" s="229">
        <v>1103124542</v>
      </c>
      <c r="D9" s="228" t="s">
        <v>1572</v>
      </c>
      <c r="E9" s="228" t="s">
        <v>1573</v>
      </c>
      <c r="F9" s="229">
        <v>114.1566421</v>
      </c>
      <c r="G9" s="229">
        <v>22.283168570000001</v>
      </c>
      <c r="H9" s="229">
        <v>0</v>
      </c>
      <c r="I9" s="229">
        <v>3.4</v>
      </c>
      <c r="J9" s="228" t="s">
        <v>126</v>
      </c>
      <c r="K9" s="229">
        <v>48.9</v>
      </c>
      <c r="L9" s="228" t="s">
        <v>115</v>
      </c>
      <c r="M9" s="229">
        <v>45.5</v>
      </c>
      <c r="N9" s="228" t="s">
        <v>1553</v>
      </c>
    </row>
    <row r="10" spans="1:14">
      <c r="A10" s="228" t="s">
        <v>1574</v>
      </c>
      <c r="B10" s="228" t="s">
        <v>1575</v>
      </c>
      <c r="C10" s="229">
        <v>1103124370</v>
      </c>
      <c r="D10" s="228" t="s">
        <v>1576</v>
      </c>
      <c r="E10" s="228" t="s">
        <v>1577</v>
      </c>
      <c r="F10" s="229">
        <v>114.1564544</v>
      </c>
      <c r="G10" s="229">
        <v>22.283357479999999</v>
      </c>
      <c r="H10" s="229">
        <v>0</v>
      </c>
      <c r="I10" s="229">
        <v>3.5</v>
      </c>
      <c r="J10" s="228" t="s">
        <v>126</v>
      </c>
      <c r="K10" s="229">
        <v>58.400002000000001</v>
      </c>
      <c r="L10" s="228" t="s">
        <v>115</v>
      </c>
      <c r="M10" s="229">
        <v>53.8</v>
      </c>
      <c r="N10" s="228" t="s">
        <v>1553</v>
      </c>
    </row>
    <row r="11" spans="1:14">
      <c r="A11" s="228" t="s">
        <v>1578</v>
      </c>
      <c r="B11" s="228" t="s">
        <v>1579</v>
      </c>
      <c r="C11" s="229">
        <v>1103123339</v>
      </c>
      <c r="D11" s="228" t="s">
        <v>1580</v>
      </c>
      <c r="E11" s="228" t="s">
        <v>1581</v>
      </c>
      <c r="F11" s="229">
        <v>114.15579169999999</v>
      </c>
      <c r="G11" s="229">
        <v>22.284803700000001</v>
      </c>
      <c r="H11" s="229">
        <v>0</v>
      </c>
      <c r="I11" s="229">
        <v>3.7</v>
      </c>
      <c r="J11" s="228" t="s">
        <v>114</v>
      </c>
      <c r="K11" s="229">
        <v>64.800003000000004</v>
      </c>
      <c r="L11" s="228">
        <v>3</v>
      </c>
      <c r="M11" s="229">
        <v>75</v>
      </c>
      <c r="N11" s="228" t="s">
        <v>1553</v>
      </c>
    </row>
    <row r="12" spans="1:14">
      <c r="A12" s="228" t="s">
        <v>1582</v>
      </c>
      <c r="B12" s="228" t="s">
        <v>1583</v>
      </c>
      <c r="C12" s="229">
        <v>1103123422</v>
      </c>
      <c r="D12" s="228" t="s">
        <v>1584</v>
      </c>
      <c r="E12" s="228" t="s">
        <v>1585</v>
      </c>
      <c r="F12" s="229">
        <v>114.1562378</v>
      </c>
      <c r="G12" s="229">
        <v>22.284611470000002</v>
      </c>
      <c r="H12" s="229">
        <v>0</v>
      </c>
      <c r="I12" s="229">
        <v>3.6</v>
      </c>
      <c r="J12" s="228" t="s">
        <v>126</v>
      </c>
      <c r="K12" s="229">
        <v>134.69999999999999</v>
      </c>
      <c r="L12" s="228">
        <v>3</v>
      </c>
      <c r="M12" s="229">
        <v>131.1</v>
      </c>
      <c r="N12" s="228" t="s">
        <v>1553</v>
      </c>
    </row>
    <row r="13" spans="1:14">
      <c r="A13" s="228" t="s">
        <v>1586</v>
      </c>
      <c r="B13" s="228" t="s">
        <v>1587</v>
      </c>
      <c r="C13" s="229">
        <v>1103123440</v>
      </c>
      <c r="D13" s="228" t="s">
        <v>1588</v>
      </c>
      <c r="E13" s="228" t="s">
        <v>1589</v>
      </c>
      <c r="F13" s="229">
        <v>114.15541760000001</v>
      </c>
      <c r="G13" s="229">
        <v>22.284680770000001</v>
      </c>
      <c r="H13" s="229">
        <v>0</v>
      </c>
      <c r="I13" s="229">
        <v>3.3</v>
      </c>
      <c r="J13" s="228" t="s">
        <v>115</v>
      </c>
      <c r="K13" s="229">
        <v>78.5</v>
      </c>
      <c r="L13" s="228" t="s">
        <v>115</v>
      </c>
      <c r="M13" s="229">
        <v>75.2</v>
      </c>
      <c r="N13" s="228" t="s">
        <v>1553</v>
      </c>
    </row>
    <row r="14" spans="1:14">
      <c r="A14" s="228" t="s">
        <v>1590</v>
      </c>
      <c r="B14" s="228" t="s">
        <v>1591</v>
      </c>
      <c r="C14" s="229">
        <v>1103123315</v>
      </c>
      <c r="D14" s="228" t="s">
        <v>1592</v>
      </c>
      <c r="E14" s="228" t="s">
        <v>1593</v>
      </c>
      <c r="F14" s="229">
        <v>114.1552131</v>
      </c>
      <c r="G14" s="229">
        <v>22.284888309999999</v>
      </c>
      <c r="H14" s="229">
        <v>0</v>
      </c>
      <c r="I14" s="229">
        <v>18.3</v>
      </c>
      <c r="J14" s="228" t="s">
        <v>115</v>
      </c>
      <c r="K14" s="229">
        <v>58.3</v>
      </c>
      <c r="L14" s="228">
        <v>3</v>
      </c>
      <c r="M14" s="229">
        <v>40</v>
      </c>
      <c r="N14" s="228" t="s">
        <v>1553</v>
      </c>
    </row>
    <row r="15" spans="1:14">
      <c r="A15" s="228" t="s">
        <v>1594</v>
      </c>
      <c r="B15" s="228" t="s">
        <v>1595</v>
      </c>
      <c r="C15" s="229">
        <v>1103122247</v>
      </c>
      <c r="D15" s="228" t="s">
        <v>1399</v>
      </c>
      <c r="E15" s="228" t="s">
        <v>1596</v>
      </c>
      <c r="F15" s="229">
        <v>114.15439689999999</v>
      </c>
      <c r="G15" s="229">
        <v>22.285977679999998</v>
      </c>
      <c r="H15" s="229">
        <v>0</v>
      </c>
      <c r="I15" s="229">
        <v>3.8</v>
      </c>
      <c r="J15" s="228" t="s">
        <v>762</v>
      </c>
      <c r="K15" s="229">
        <v>96.7</v>
      </c>
      <c r="L15" s="228" t="s">
        <v>115</v>
      </c>
      <c r="M15" s="229">
        <v>92.9</v>
      </c>
      <c r="N15" s="228" t="s">
        <v>1553</v>
      </c>
    </row>
    <row r="16" spans="1:14">
      <c r="A16" s="228" t="s">
        <v>1597</v>
      </c>
      <c r="B16" s="228" t="s">
        <v>1598</v>
      </c>
      <c r="C16" s="229">
        <v>1103122673</v>
      </c>
      <c r="D16" s="228" t="s">
        <v>1599</v>
      </c>
      <c r="E16" s="228" t="s">
        <v>1600</v>
      </c>
      <c r="F16" s="229">
        <v>114.15356439999999</v>
      </c>
      <c r="G16" s="229">
        <v>22.285412390000001</v>
      </c>
      <c r="H16" s="229">
        <v>0</v>
      </c>
      <c r="I16" s="229">
        <v>3.7</v>
      </c>
      <c r="J16" s="228" t="s">
        <v>762</v>
      </c>
      <c r="K16" s="229">
        <v>49.6</v>
      </c>
      <c r="L16" s="228" t="s">
        <v>115</v>
      </c>
      <c r="M16" s="229">
        <v>45.9</v>
      </c>
      <c r="N16" s="228" t="s">
        <v>1553</v>
      </c>
    </row>
    <row r="17" spans="1:14">
      <c r="A17" s="228" t="s">
        <v>1601</v>
      </c>
      <c r="B17" s="228" t="s">
        <v>1602</v>
      </c>
      <c r="C17" s="229">
        <v>1103122090</v>
      </c>
      <c r="D17" s="228" t="s">
        <v>1603</v>
      </c>
      <c r="E17" s="228" t="s">
        <v>1604</v>
      </c>
      <c r="F17" s="229">
        <v>114.153998</v>
      </c>
      <c r="G17" s="229">
        <v>22.286285939999999</v>
      </c>
      <c r="H17" s="229">
        <v>0</v>
      </c>
      <c r="I17" s="229">
        <v>3.7</v>
      </c>
      <c r="J17" s="228" t="s">
        <v>762</v>
      </c>
      <c r="K17" s="229">
        <v>130.4</v>
      </c>
      <c r="L17" s="228" t="s">
        <v>115</v>
      </c>
      <c r="M17" s="229">
        <v>126.7</v>
      </c>
      <c r="N17" s="228" t="s">
        <v>1553</v>
      </c>
    </row>
    <row r="18" spans="1:14">
      <c r="A18" s="228" t="s">
        <v>1605</v>
      </c>
      <c r="B18" s="228" t="s">
        <v>1606</v>
      </c>
      <c r="C18" s="229">
        <v>1103121854</v>
      </c>
      <c r="D18" s="228" t="s">
        <v>1607</v>
      </c>
      <c r="E18" s="228" t="s">
        <v>1608</v>
      </c>
      <c r="F18" s="229">
        <v>114.15234030000001</v>
      </c>
      <c r="G18" s="229">
        <v>22.28668622</v>
      </c>
      <c r="H18" s="229">
        <v>0</v>
      </c>
      <c r="I18" s="229">
        <v>3.7</v>
      </c>
      <c r="J18" s="228" t="s">
        <v>762</v>
      </c>
      <c r="K18" s="229">
        <v>58.9</v>
      </c>
      <c r="L18" s="228" t="s">
        <v>115</v>
      </c>
      <c r="M18" s="229">
        <v>55.2</v>
      </c>
      <c r="N18" s="228" t="s">
        <v>1553</v>
      </c>
    </row>
    <row r="19" spans="1:14">
      <c r="A19" s="228" t="s">
        <v>1609</v>
      </c>
      <c r="B19" s="228" t="s">
        <v>1610</v>
      </c>
      <c r="C19" s="229">
        <v>1810151856</v>
      </c>
      <c r="D19" s="228" t="s">
        <v>1611</v>
      </c>
      <c r="E19" s="228"/>
      <c r="F19" s="229">
        <v>114.15235850000001</v>
      </c>
      <c r="G19" s="229">
        <v>22.286286820000001</v>
      </c>
      <c r="H19" s="229">
        <v>0</v>
      </c>
      <c r="I19" s="229">
        <v>19</v>
      </c>
      <c r="J19" s="228" t="s">
        <v>194</v>
      </c>
      <c r="K19" s="229">
        <v>104.800003</v>
      </c>
      <c r="L19" s="228" t="s">
        <v>194</v>
      </c>
      <c r="M19" s="229">
        <v>85.800003000000004</v>
      </c>
      <c r="N19" s="228" t="s">
        <v>1553</v>
      </c>
    </row>
    <row r="20" spans="1:14">
      <c r="A20" s="228" t="s">
        <v>1612</v>
      </c>
      <c r="B20" s="228" t="s">
        <v>1613</v>
      </c>
      <c r="C20" s="229">
        <v>1103122129</v>
      </c>
      <c r="D20" s="228" t="s">
        <v>1416</v>
      </c>
      <c r="E20" s="228" t="s">
        <v>1614</v>
      </c>
      <c r="F20" s="229">
        <v>114.15217869999999</v>
      </c>
      <c r="G20" s="229">
        <v>22.28629862</v>
      </c>
      <c r="H20" s="229">
        <v>0</v>
      </c>
      <c r="I20" s="229">
        <v>3.7</v>
      </c>
      <c r="J20" s="228" t="s">
        <v>762</v>
      </c>
      <c r="K20" s="229">
        <v>64.8</v>
      </c>
      <c r="L20" s="228">
        <v>3</v>
      </c>
      <c r="M20" s="229">
        <v>61.1</v>
      </c>
      <c r="N20" s="228" t="s">
        <v>1553</v>
      </c>
    </row>
    <row r="21" spans="1:14">
      <c r="A21" s="228" t="s">
        <v>1615</v>
      </c>
      <c r="B21" s="228" t="s">
        <v>1616</v>
      </c>
      <c r="C21" s="229">
        <v>1103121716</v>
      </c>
      <c r="D21" s="228" t="s">
        <v>1617</v>
      </c>
      <c r="E21" s="228" t="s">
        <v>1618</v>
      </c>
      <c r="F21" s="229">
        <v>114.1522554</v>
      </c>
      <c r="G21" s="229">
        <v>22.286837999999999</v>
      </c>
      <c r="H21" s="229">
        <v>0</v>
      </c>
      <c r="I21" s="229">
        <v>3.6</v>
      </c>
      <c r="J21" s="228" t="s">
        <v>762</v>
      </c>
      <c r="K21" s="229">
        <v>71</v>
      </c>
      <c r="L21" s="228" t="s">
        <v>115</v>
      </c>
      <c r="M21" s="229">
        <v>67.400000000000006</v>
      </c>
      <c r="N21" s="228" t="s">
        <v>1553</v>
      </c>
    </row>
    <row r="22" spans="1:14">
      <c r="A22" s="228" t="s">
        <v>1619</v>
      </c>
      <c r="B22" s="228" t="s">
        <v>1620</v>
      </c>
      <c r="C22" s="229">
        <v>1103121420</v>
      </c>
      <c r="D22" s="228" t="s">
        <v>1621</v>
      </c>
      <c r="E22" s="228" t="s">
        <v>1622</v>
      </c>
      <c r="F22" s="229">
        <v>114.15066779999999</v>
      </c>
      <c r="G22" s="229">
        <v>22.287236679999999</v>
      </c>
      <c r="H22" s="229">
        <v>0</v>
      </c>
      <c r="I22" s="229">
        <v>3.7</v>
      </c>
      <c r="J22" s="228" t="s">
        <v>762</v>
      </c>
      <c r="K22" s="229">
        <v>74.099999999999994</v>
      </c>
      <c r="L22" s="228" t="s">
        <v>115</v>
      </c>
      <c r="M22" s="229">
        <v>70.400000000000006</v>
      </c>
      <c r="N22" s="228" t="s">
        <v>1553</v>
      </c>
    </row>
    <row r="23" spans="1:14">
      <c r="A23" s="228" t="s">
        <v>1623</v>
      </c>
      <c r="B23" s="228" t="s">
        <v>1624</v>
      </c>
      <c r="C23" s="229">
        <v>1103121840</v>
      </c>
      <c r="D23" s="228" t="s">
        <v>1625</v>
      </c>
      <c r="E23" s="228" t="s">
        <v>1626</v>
      </c>
      <c r="F23" s="229">
        <v>114.15064409999999</v>
      </c>
      <c r="G23" s="229">
        <v>22.286652849999999</v>
      </c>
      <c r="H23" s="229">
        <v>0</v>
      </c>
      <c r="I23" s="229">
        <v>19.100000000000001</v>
      </c>
      <c r="J23" s="228" t="s">
        <v>762</v>
      </c>
      <c r="K23" s="229">
        <v>111</v>
      </c>
      <c r="L23" s="228" t="s">
        <v>115</v>
      </c>
      <c r="M23" s="229">
        <v>91.9</v>
      </c>
      <c r="N23" s="228" t="s">
        <v>1553</v>
      </c>
    </row>
    <row r="24" spans="1:14">
      <c r="A24" s="228" t="s">
        <v>1627</v>
      </c>
      <c r="B24" s="228" t="s">
        <v>1628</v>
      </c>
      <c r="C24" s="229">
        <v>1103121802</v>
      </c>
      <c r="D24" s="400" t="s">
        <v>1629</v>
      </c>
      <c r="E24" s="372"/>
      <c r="F24" s="229">
        <v>114.1501961</v>
      </c>
      <c r="G24" s="229">
        <v>22.286718520000001</v>
      </c>
      <c r="H24" s="229">
        <v>0</v>
      </c>
      <c r="I24" s="229">
        <v>3.7</v>
      </c>
      <c r="J24" s="228" t="s">
        <v>762</v>
      </c>
      <c r="K24" s="229">
        <v>109</v>
      </c>
      <c r="L24" s="228">
        <v>3</v>
      </c>
      <c r="M24" s="229">
        <v>105.3</v>
      </c>
      <c r="N24" s="228" t="s">
        <v>1553</v>
      </c>
    </row>
    <row r="25" spans="1:14">
      <c r="A25" s="228" t="s">
        <v>1630</v>
      </c>
      <c r="B25" s="228" t="s">
        <v>1631</v>
      </c>
      <c r="C25" s="229">
        <v>1103121354</v>
      </c>
      <c r="D25" s="228" t="s">
        <v>1632</v>
      </c>
      <c r="E25" s="228" t="s">
        <v>1633</v>
      </c>
      <c r="F25" s="229">
        <v>114.15036600000001</v>
      </c>
      <c r="G25" s="229">
        <v>22.287309860000001</v>
      </c>
      <c r="H25" s="229">
        <v>0</v>
      </c>
      <c r="I25" s="229">
        <v>3.4</v>
      </c>
      <c r="J25" s="228" t="s">
        <v>762</v>
      </c>
      <c r="K25" s="229">
        <v>20.8</v>
      </c>
      <c r="L25" s="228" t="s">
        <v>115</v>
      </c>
      <c r="M25" s="229">
        <v>17.399999999999999</v>
      </c>
      <c r="N25" s="228" t="s">
        <v>1553</v>
      </c>
    </row>
    <row r="26" spans="1:14">
      <c r="A26" s="228" t="s">
        <v>1634</v>
      </c>
      <c r="B26" s="228" t="s">
        <v>1635</v>
      </c>
      <c r="C26" s="229">
        <v>1103121141</v>
      </c>
      <c r="D26" s="228" t="s">
        <v>1636</v>
      </c>
      <c r="E26" s="228" t="s">
        <v>1637</v>
      </c>
      <c r="F26" s="229">
        <v>114.1491929</v>
      </c>
      <c r="G26" s="229">
        <v>22.287699929999999</v>
      </c>
      <c r="H26" s="229">
        <v>0</v>
      </c>
      <c r="I26" s="229">
        <v>3.5</v>
      </c>
      <c r="J26" s="228" t="s">
        <v>762</v>
      </c>
      <c r="K26" s="229">
        <v>78.099999999999994</v>
      </c>
      <c r="L26" s="228" t="s">
        <v>115</v>
      </c>
      <c r="M26" s="229">
        <v>74.599999999999994</v>
      </c>
      <c r="N26" s="228" t="s">
        <v>1553</v>
      </c>
    </row>
    <row r="27" spans="1:14">
      <c r="A27" s="228" t="s">
        <v>1638</v>
      </c>
      <c r="B27" s="228" t="s">
        <v>1639</v>
      </c>
      <c r="C27" s="229">
        <v>1103121112</v>
      </c>
      <c r="D27" s="228" t="s">
        <v>1640</v>
      </c>
      <c r="E27" s="228" t="s">
        <v>1641</v>
      </c>
      <c r="F27" s="229">
        <v>114.14868559999999</v>
      </c>
      <c r="G27" s="229">
        <v>22.28781455</v>
      </c>
      <c r="H27" s="229">
        <v>0</v>
      </c>
      <c r="I27" s="229">
        <v>3.4</v>
      </c>
      <c r="J27" s="228" t="s">
        <v>762</v>
      </c>
      <c r="K27" s="229">
        <v>78.400000000000006</v>
      </c>
      <c r="L27" s="228">
        <v>3</v>
      </c>
      <c r="M27" s="229">
        <v>75</v>
      </c>
      <c r="N27" s="228" t="s">
        <v>1553</v>
      </c>
    </row>
    <row r="28" spans="1:14">
      <c r="A28" s="228" t="s">
        <v>1642</v>
      </c>
      <c r="B28" s="228" t="s">
        <v>1643</v>
      </c>
      <c r="C28" s="229">
        <v>1103120950</v>
      </c>
      <c r="D28" s="228" t="s">
        <v>1644</v>
      </c>
      <c r="E28" s="228" t="s">
        <v>1645</v>
      </c>
      <c r="F28" s="229">
        <v>114.1474182</v>
      </c>
      <c r="G28" s="229">
        <v>22.288064760000001</v>
      </c>
      <c r="H28" s="229">
        <v>0</v>
      </c>
      <c r="I28" s="229">
        <v>22.6</v>
      </c>
      <c r="J28" s="228" t="s">
        <v>762</v>
      </c>
      <c r="K28" s="229">
        <v>123.400002</v>
      </c>
      <c r="L28" s="228" t="s">
        <v>115</v>
      </c>
      <c r="M28" s="229">
        <v>100.80000200000001</v>
      </c>
      <c r="N28" s="228" t="s">
        <v>1553</v>
      </c>
    </row>
    <row r="29" spans="1:14">
      <c r="A29" s="228" t="s">
        <v>1646</v>
      </c>
      <c r="B29" s="228" t="s">
        <v>1647</v>
      </c>
      <c r="C29" s="229">
        <v>1103121358</v>
      </c>
      <c r="D29" s="228" t="s">
        <v>1648</v>
      </c>
      <c r="E29" s="228" t="s">
        <v>1649</v>
      </c>
      <c r="F29" s="229">
        <v>114.14729440000001</v>
      </c>
      <c r="G29" s="229">
        <v>22.287461329999999</v>
      </c>
      <c r="H29" s="229">
        <v>0</v>
      </c>
      <c r="I29" s="229">
        <v>3.9</v>
      </c>
      <c r="J29" s="228" t="s">
        <v>762</v>
      </c>
      <c r="K29" s="229">
        <v>54.5</v>
      </c>
      <c r="L29" s="228" t="s">
        <v>115</v>
      </c>
      <c r="M29" s="229">
        <v>50.6</v>
      </c>
      <c r="N29" s="228" t="s">
        <v>1553</v>
      </c>
    </row>
    <row r="30" spans="1:14">
      <c r="A30" s="228" t="s">
        <v>1650</v>
      </c>
      <c r="B30" s="228" t="s">
        <v>1651</v>
      </c>
      <c r="C30" s="229">
        <v>1103121330</v>
      </c>
      <c r="D30" s="228" t="s">
        <v>1652</v>
      </c>
      <c r="E30" s="228" t="s">
        <v>1653</v>
      </c>
      <c r="F30" s="229">
        <v>114.1469373</v>
      </c>
      <c r="G30" s="229">
        <v>22.28747169</v>
      </c>
      <c r="H30" s="229">
        <v>0</v>
      </c>
      <c r="I30" s="229">
        <v>3.7</v>
      </c>
      <c r="J30" s="228" t="s">
        <v>762</v>
      </c>
      <c r="K30" s="229">
        <v>67.5</v>
      </c>
      <c r="L30" s="228">
        <v>3</v>
      </c>
      <c r="M30" s="229">
        <v>63.8</v>
      </c>
      <c r="N30" s="228" t="s">
        <v>1553</v>
      </c>
    </row>
    <row r="31" spans="1:14">
      <c r="A31" s="228" t="s">
        <v>1654</v>
      </c>
      <c r="B31" s="228" t="s">
        <v>1655</v>
      </c>
      <c r="C31" s="229">
        <v>1103121080</v>
      </c>
      <c r="D31" s="228" t="s">
        <v>1656</v>
      </c>
      <c r="E31" s="228" t="s">
        <v>1657</v>
      </c>
      <c r="F31" s="229">
        <v>114.14697510000001</v>
      </c>
      <c r="G31" s="229">
        <v>22.28787677</v>
      </c>
      <c r="H31" s="229">
        <v>0</v>
      </c>
      <c r="I31" s="229">
        <v>3.7</v>
      </c>
      <c r="J31" s="228" t="s">
        <v>762</v>
      </c>
      <c r="K31" s="229">
        <v>50.4</v>
      </c>
      <c r="L31" s="228" t="s">
        <v>115</v>
      </c>
      <c r="M31" s="229">
        <v>46.7</v>
      </c>
      <c r="N31" s="228" t="s">
        <v>1553</v>
      </c>
    </row>
    <row r="32" spans="1:14">
      <c r="A32" s="228" t="s">
        <v>1658</v>
      </c>
      <c r="B32" s="228" t="s">
        <v>1659</v>
      </c>
      <c r="C32" s="229">
        <v>1103121016</v>
      </c>
      <c r="D32" s="228" t="s">
        <v>1660</v>
      </c>
      <c r="E32" s="228" t="s">
        <v>1661</v>
      </c>
      <c r="F32" s="229">
        <v>114.14554219999999</v>
      </c>
      <c r="G32" s="229">
        <v>22.287994009999998</v>
      </c>
      <c r="H32" s="229">
        <v>0</v>
      </c>
      <c r="I32" s="229">
        <v>3.7</v>
      </c>
      <c r="J32" s="228" t="s">
        <v>762</v>
      </c>
      <c r="K32" s="229">
        <v>40.299999999999997</v>
      </c>
      <c r="L32" s="228" t="s">
        <v>115</v>
      </c>
      <c r="M32" s="229">
        <v>36.6</v>
      </c>
      <c r="N32" s="228" t="s">
        <v>1553</v>
      </c>
    </row>
    <row r="33" spans="1:14">
      <c r="A33" s="228" t="s">
        <v>1662</v>
      </c>
      <c r="B33" s="228" t="s">
        <v>1663</v>
      </c>
      <c r="C33" s="229">
        <v>1103121249</v>
      </c>
      <c r="D33" s="228" t="s">
        <v>1664</v>
      </c>
      <c r="E33" s="228" t="s">
        <v>1665</v>
      </c>
      <c r="F33" s="229">
        <v>114.1454359</v>
      </c>
      <c r="G33" s="229">
        <v>22.287663389999999</v>
      </c>
      <c r="H33" s="229">
        <v>0</v>
      </c>
      <c r="I33" s="229">
        <v>3.7</v>
      </c>
      <c r="J33" s="228" t="s">
        <v>762</v>
      </c>
      <c r="K33" s="229">
        <v>40</v>
      </c>
      <c r="L33" s="228" t="s">
        <v>115</v>
      </c>
      <c r="M33" s="229">
        <v>36.299999999999997</v>
      </c>
      <c r="N33" s="228" t="s">
        <v>1553</v>
      </c>
    </row>
    <row r="34" spans="1:14">
      <c r="A34" s="228" t="s">
        <v>1666</v>
      </c>
      <c r="B34" s="228" t="s">
        <v>1667</v>
      </c>
      <c r="C34" s="229">
        <v>1810156458</v>
      </c>
      <c r="D34" s="228" t="s">
        <v>1668</v>
      </c>
      <c r="E34" s="340"/>
      <c r="F34" s="229">
        <v>114.14499240000001</v>
      </c>
      <c r="G34" s="229">
        <v>22.28767006</v>
      </c>
      <c r="H34" s="229">
        <v>0</v>
      </c>
      <c r="I34" s="229">
        <v>3.7</v>
      </c>
      <c r="J34" s="228" t="s">
        <v>194</v>
      </c>
      <c r="K34" s="229">
        <v>98.8</v>
      </c>
      <c r="L34" s="228" t="s">
        <v>293</v>
      </c>
      <c r="M34" s="229">
        <v>95.1</v>
      </c>
      <c r="N34" s="228" t="s">
        <v>1553</v>
      </c>
    </row>
    <row r="35" spans="1:14">
      <c r="A35" s="228" t="s">
        <v>1669</v>
      </c>
      <c r="B35" s="228" t="s">
        <v>1670</v>
      </c>
      <c r="C35" s="229">
        <v>1103121008</v>
      </c>
      <c r="D35" s="228" t="s">
        <v>1671</v>
      </c>
      <c r="E35" s="228" t="s">
        <v>1672</v>
      </c>
      <c r="F35" s="229">
        <v>114.1449989</v>
      </c>
      <c r="G35" s="229">
        <v>22.288023429999999</v>
      </c>
      <c r="H35" s="229">
        <v>0</v>
      </c>
      <c r="I35" s="229">
        <v>3.5</v>
      </c>
      <c r="J35" s="228" t="s">
        <v>126</v>
      </c>
      <c r="K35" s="229">
        <v>79</v>
      </c>
      <c r="L35" s="228" t="s">
        <v>115</v>
      </c>
      <c r="M35" s="229">
        <v>75.5</v>
      </c>
      <c r="N35" s="228" t="s">
        <v>1553</v>
      </c>
    </row>
    <row r="36" spans="1:14">
      <c r="A36" s="228" t="s">
        <v>1673</v>
      </c>
      <c r="B36" s="228" t="s">
        <v>1674</v>
      </c>
      <c r="C36" s="229">
        <v>1103120999</v>
      </c>
      <c r="D36" s="228" t="s">
        <v>1675</v>
      </c>
      <c r="E36" s="228" t="s">
        <v>1676</v>
      </c>
      <c r="F36" s="229">
        <v>114.1436344</v>
      </c>
      <c r="G36" s="229">
        <v>22.288048029999999</v>
      </c>
      <c r="H36" s="229">
        <v>0</v>
      </c>
      <c r="I36" s="229">
        <v>3.4</v>
      </c>
      <c r="J36" s="228" t="s">
        <v>126</v>
      </c>
      <c r="K36" s="229">
        <v>48.3</v>
      </c>
      <c r="L36" s="228" t="s">
        <v>115</v>
      </c>
      <c r="M36" s="229">
        <v>44.9</v>
      </c>
      <c r="N36" s="228" t="s">
        <v>1553</v>
      </c>
    </row>
    <row r="37" spans="1:14">
      <c r="A37" s="228" t="s">
        <v>1677</v>
      </c>
      <c r="B37" s="228" t="s">
        <v>1678</v>
      </c>
      <c r="C37" s="229">
        <v>1103121193</v>
      </c>
      <c r="D37" s="228" t="s">
        <v>1473</v>
      </c>
      <c r="E37" s="228" t="s">
        <v>1679</v>
      </c>
      <c r="F37" s="229">
        <v>114.1434996</v>
      </c>
      <c r="G37" s="229">
        <v>22.287704720000001</v>
      </c>
      <c r="H37" s="229">
        <v>0</v>
      </c>
      <c r="I37" s="229">
        <v>3.6</v>
      </c>
      <c r="J37" s="228" t="s">
        <v>126</v>
      </c>
      <c r="K37" s="229">
        <v>45.6</v>
      </c>
      <c r="L37" s="228" t="s">
        <v>115</v>
      </c>
      <c r="M37" s="229">
        <v>42</v>
      </c>
      <c r="N37" s="228" t="s">
        <v>1553</v>
      </c>
    </row>
    <row r="38" spans="1:14">
      <c r="A38" s="228" t="s">
        <v>1680</v>
      </c>
      <c r="B38" s="228" t="s">
        <v>1681</v>
      </c>
      <c r="C38" s="229">
        <v>1103121183</v>
      </c>
      <c r="D38" s="228" t="s">
        <v>1476</v>
      </c>
      <c r="E38" s="228" t="s">
        <v>1682</v>
      </c>
      <c r="F38" s="229">
        <v>114.14309900000001</v>
      </c>
      <c r="G38" s="229">
        <v>22.287719389999999</v>
      </c>
      <c r="H38" s="229">
        <v>0</v>
      </c>
      <c r="I38" s="229">
        <v>3.7</v>
      </c>
      <c r="J38" s="228" t="s">
        <v>126</v>
      </c>
      <c r="K38" s="229">
        <v>55.4</v>
      </c>
      <c r="L38" s="228" t="s">
        <v>115</v>
      </c>
      <c r="M38" s="229">
        <v>51.7</v>
      </c>
      <c r="N38" s="228" t="s">
        <v>1553</v>
      </c>
    </row>
    <row r="39" spans="1:14">
      <c r="A39" s="228" t="s">
        <v>1683</v>
      </c>
      <c r="B39" s="228" t="s">
        <v>1684</v>
      </c>
      <c r="C39" s="229">
        <v>1103120982</v>
      </c>
      <c r="D39" s="228" t="s">
        <v>1478</v>
      </c>
      <c r="E39" s="228" t="s">
        <v>1685</v>
      </c>
      <c r="F39" s="229">
        <v>114.14314659999999</v>
      </c>
      <c r="G39" s="229">
        <v>22.28806827</v>
      </c>
      <c r="H39" s="229">
        <v>0</v>
      </c>
      <c r="I39" s="229">
        <v>3.3</v>
      </c>
      <c r="J39" s="228" t="s">
        <v>126</v>
      </c>
      <c r="K39" s="229">
        <v>32.700000000000003</v>
      </c>
      <c r="L39" s="228" t="s">
        <v>115</v>
      </c>
      <c r="M39" s="229">
        <v>29.4</v>
      </c>
      <c r="N39" s="228" t="s">
        <v>1553</v>
      </c>
    </row>
    <row r="40" spans="1:14">
      <c r="A40" s="228" t="s">
        <v>1686</v>
      </c>
      <c r="B40" s="228" t="s">
        <v>1687</v>
      </c>
      <c r="C40" s="229">
        <v>1103120926</v>
      </c>
      <c r="D40" s="228" t="s">
        <v>1481</v>
      </c>
      <c r="E40" s="228" t="s">
        <v>1688</v>
      </c>
      <c r="F40" s="229">
        <v>114.14154449999999</v>
      </c>
      <c r="G40" s="229">
        <v>22.28813413</v>
      </c>
      <c r="H40" s="229">
        <v>0</v>
      </c>
      <c r="I40" s="229">
        <v>4.2</v>
      </c>
      <c r="J40" s="228" t="s">
        <v>126</v>
      </c>
      <c r="K40" s="229">
        <v>26</v>
      </c>
      <c r="L40" s="228">
        <v>3</v>
      </c>
      <c r="M40" s="229">
        <v>21.8</v>
      </c>
      <c r="N40" s="228" t="s">
        <v>1553</v>
      </c>
    </row>
    <row r="41" spans="1:14">
      <c r="A41" s="228" t="s">
        <v>1689</v>
      </c>
      <c r="B41" s="228" t="s">
        <v>1690</v>
      </c>
      <c r="C41" s="229">
        <v>1103121148</v>
      </c>
      <c r="D41" s="228" t="s">
        <v>1484</v>
      </c>
      <c r="E41" s="228" t="s">
        <v>1691</v>
      </c>
      <c r="F41" s="229">
        <v>114.1416548</v>
      </c>
      <c r="G41" s="229">
        <v>22.287771429999999</v>
      </c>
      <c r="H41" s="229">
        <v>0</v>
      </c>
      <c r="I41" s="229">
        <v>13.7</v>
      </c>
      <c r="J41" s="228" t="s">
        <v>115</v>
      </c>
      <c r="K41" s="229">
        <v>92.6</v>
      </c>
      <c r="L41" s="228">
        <v>3</v>
      </c>
      <c r="M41" s="229">
        <v>78.900000000000006</v>
      </c>
      <c r="N41" s="228" t="s">
        <v>1553</v>
      </c>
    </row>
    <row r="42" spans="1:14">
      <c r="A42" s="228" t="s">
        <v>1692</v>
      </c>
      <c r="B42" s="228" t="s">
        <v>1693</v>
      </c>
      <c r="C42" s="229">
        <v>1103121139</v>
      </c>
      <c r="D42" s="228" t="s">
        <v>1487</v>
      </c>
      <c r="E42" s="228" t="s">
        <v>1694</v>
      </c>
      <c r="F42" s="229">
        <v>114.14134749999999</v>
      </c>
      <c r="G42" s="229">
        <v>22.287757500000001</v>
      </c>
      <c r="H42" s="229">
        <v>0</v>
      </c>
      <c r="I42" s="229">
        <v>4.3</v>
      </c>
      <c r="J42" s="228" t="s">
        <v>418</v>
      </c>
      <c r="K42" s="229">
        <v>54.3</v>
      </c>
      <c r="L42" s="228" t="s">
        <v>115</v>
      </c>
      <c r="M42" s="229">
        <v>50</v>
      </c>
      <c r="N42" s="228" t="s">
        <v>1553</v>
      </c>
    </row>
    <row r="43" spans="1:14">
      <c r="A43" s="228" t="s">
        <v>1695</v>
      </c>
      <c r="B43" s="228" t="s">
        <v>1696</v>
      </c>
      <c r="C43" s="229">
        <v>1103120932</v>
      </c>
      <c r="D43" s="228" t="s">
        <v>1697</v>
      </c>
      <c r="E43" s="228" t="s">
        <v>1698</v>
      </c>
      <c r="F43" s="229">
        <v>114.1412874</v>
      </c>
      <c r="G43" s="229">
        <v>22.28813422</v>
      </c>
      <c r="H43" s="229">
        <v>0</v>
      </c>
      <c r="I43" s="229">
        <v>4.3</v>
      </c>
      <c r="J43" s="228" t="s">
        <v>126</v>
      </c>
      <c r="K43" s="229">
        <v>24.1</v>
      </c>
      <c r="L43" s="228">
        <v>3</v>
      </c>
      <c r="M43" s="229">
        <v>19.8</v>
      </c>
      <c r="N43" s="228" t="s">
        <v>1553</v>
      </c>
    </row>
    <row r="44" spans="1:14">
      <c r="A44" s="228" t="s">
        <v>1699</v>
      </c>
      <c r="B44" s="228" t="s">
        <v>1700</v>
      </c>
      <c r="C44" s="229">
        <v>1103121082</v>
      </c>
      <c r="D44" s="228" t="s">
        <v>1493</v>
      </c>
      <c r="E44" s="228" t="s">
        <v>1701</v>
      </c>
      <c r="F44" s="229">
        <v>114.1395267</v>
      </c>
      <c r="G44" s="229">
        <v>22.287847970000001</v>
      </c>
      <c r="H44" s="229">
        <v>0</v>
      </c>
      <c r="I44" s="229">
        <v>3.7</v>
      </c>
      <c r="J44" s="228" t="s">
        <v>126</v>
      </c>
      <c r="K44" s="229">
        <v>45.9</v>
      </c>
      <c r="L44" s="228" t="s">
        <v>115</v>
      </c>
      <c r="M44" s="229">
        <v>42.2</v>
      </c>
      <c r="N44" s="228" t="s">
        <v>1553</v>
      </c>
    </row>
    <row r="45" spans="1:14">
      <c r="A45" s="228" t="s">
        <v>1702</v>
      </c>
      <c r="B45" s="228" t="s">
        <v>1703</v>
      </c>
      <c r="C45" s="229">
        <v>1103121419</v>
      </c>
      <c r="D45" s="228" t="s">
        <v>1496</v>
      </c>
      <c r="E45" s="228" t="s">
        <v>1704</v>
      </c>
      <c r="F45" s="229">
        <v>114.1396977</v>
      </c>
      <c r="G45" s="229">
        <v>22.287392860000001</v>
      </c>
      <c r="H45" s="229">
        <v>0</v>
      </c>
      <c r="I45" s="229">
        <v>10.8</v>
      </c>
      <c r="J45" s="228" t="s">
        <v>115</v>
      </c>
      <c r="K45" s="229">
        <v>73</v>
      </c>
      <c r="L45" s="228" t="s">
        <v>115</v>
      </c>
      <c r="M45" s="229">
        <v>62.2</v>
      </c>
      <c r="N45" s="228" t="s">
        <v>1553</v>
      </c>
    </row>
    <row r="46" spans="1:14">
      <c r="A46" s="228" t="s">
        <v>1705</v>
      </c>
      <c r="B46" s="228" t="s">
        <v>1706</v>
      </c>
      <c r="C46" s="229">
        <v>1103121425</v>
      </c>
      <c r="D46" s="228" t="s">
        <v>1707</v>
      </c>
      <c r="E46" s="228" t="s">
        <v>1708</v>
      </c>
      <c r="F46" s="229">
        <v>114.1392865</v>
      </c>
      <c r="G46" s="229">
        <v>22.287364650000001</v>
      </c>
      <c r="H46" s="229">
        <v>0</v>
      </c>
      <c r="I46" s="229">
        <v>12.4</v>
      </c>
      <c r="J46" s="228" t="s">
        <v>115</v>
      </c>
      <c r="K46" s="229">
        <v>86.3</v>
      </c>
      <c r="L46" s="228" t="s">
        <v>115</v>
      </c>
      <c r="M46" s="229">
        <v>73.900000000000006</v>
      </c>
      <c r="N46" s="228" t="s">
        <v>1553</v>
      </c>
    </row>
    <row r="47" spans="1:14">
      <c r="A47" s="228" t="s">
        <v>1709</v>
      </c>
      <c r="B47" s="228" t="s">
        <v>1710</v>
      </c>
      <c r="C47" s="229">
        <v>1810159283</v>
      </c>
      <c r="D47" s="400" t="s">
        <v>1711</v>
      </c>
      <c r="E47" s="372"/>
      <c r="F47" s="229">
        <v>114.1391234</v>
      </c>
      <c r="G47" s="229">
        <v>22.287721550000001</v>
      </c>
      <c r="H47" s="229">
        <v>0</v>
      </c>
      <c r="I47" s="229">
        <v>17.3</v>
      </c>
      <c r="J47" s="228" t="s">
        <v>194</v>
      </c>
      <c r="K47" s="229">
        <v>100.5</v>
      </c>
      <c r="L47" s="228" t="s">
        <v>194</v>
      </c>
      <c r="M47" s="229">
        <v>83.2</v>
      </c>
      <c r="N47" s="228" t="s">
        <v>1553</v>
      </c>
    </row>
    <row r="48" spans="1:14">
      <c r="A48" s="228" t="s">
        <v>1712</v>
      </c>
      <c r="B48" s="228" t="s">
        <v>1713</v>
      </c>
      <c r="C48" s="229">
        <v>1103121272</v>
      </c>
      <c r="D48" s="228" t="s">
        <v>1714</v>
      </c>
      <c r="E48" s="228" t="s">
        <v>1715</v>
      </c>
      <c r="F48" s="229">
        <v>114.1378749</v>
      </c>
      <c r="G48" s="229">
        <v>22.287537660000002</v>
      </c>
      <c r="H48" s="229">
        <v>0</v>
      </c>
      <c r="I48" s="229">
        <v>9.8000000000000007</v>
      </c>
      <c r="J48" s="228" t="s">
        <v>115</v>
      </c>
      <c r="K48" s="229">
        <v>80.2</v>
      </c>
      <c r="L48" s="228" t="s">
        <v>315</v>
      </c>
      <c r="M48" s="229">
        <v>70.400000000000006</v>
      </c>
      <c r="N48" s="228" t="s">
        <v>1553</v>
      </c>
    </row>
    <row r="49" spans="1:14">
      <c r="A49" s="228" t="s">
        <v>1716</v>
      </c>
      <c r="B49" s="228" t="s">
        <v>1717</v>
      </c>
      <c r="C49" s="229">
        <v>1103121646</v>
      </c>
      <c r="D49" s="228" t="s">
        <v>1718</v>
      </c>
      <c r="E49" s="228" t="s">
        <v>1719</v>
      </c>
      <c r="F49" s="229">
        <v>114.137775</v>
      </c>
      <c r="G49" s="229">
        <v>22.286989819999999</v>
      </c>
      <c r="H49" s="229">
        <v>0</v>
      </c>
      <c r="I49" s="229">
        <v>4</v>
      </c>
      <c r="J49" s="228" t="s">
        <v>126</v>
      </c>
      <c r="K49" s="229">
        <v>51.9</v>
      </c>
      <c r="L49" s="228" t="s">
        <v>115</v>
      </c>
      <c r="M49" s="229">
        <v>47.9</v>
      </c>
      <c r="N49" s="228" t="s">
        <v>1553</v>
      </c>
    </row>
    <row r="50" spans="1:14">
      <c r="A50" s="228" t="s">
        <v>1720</v>
      </c>
      <c r="B50" s="228" t="s">
        <v>1721</v>
      </c>
      <c r="C50" s="229">
        <v>1103121710</v>
      </c>
      <c r="D50" s="228" t="s">
        <v>1722</v>
      </c>
      <c r="E50" s="228" t="s">
        <v>1723</v>
      </c>
      <c r="F50" s="229">
        <v>114.1375293</v>
      </c>
      <c r="G50" s="229">
        <v>22.286887320000002</v>
      </c>
      <c r="H50" s="229">
        <v>0</v>
      </c>
      <c r="I50" s="229">
        <v>4.0999999999999996</v>
      </c>
      <c r="J50" s="228" t="s">
        <v>126</v>
      </c>
      <c r="K50" s="229">
        <v>33.6</v>
      </c>
      <c r="L50" s="228" t="s">
        <v>115</v>
      </c>
      <c r="M50" s="229">
        <v>29.5</v>
      </c>
      <c r="N50" s="228" t="s">
        <v>1553</v>
      </c>
    </row>
    <row r="51" spans="1:14">
      <c r="A51" s="228" t="s">
        <v>1724</v>
      </c>
      <c r="B51" s="228" t="s">
        <v>1725</v>
      </c>
      <c r="C51" s="229">
        <v>1810143106</v>
      </c>
      <c r="D51" s="228" t="s">
        <v>1726</v>
      </c>
      <c r="E51" s="228" t="s">
        <v>1727</v>
      </c>
      <c r="F51" s="229">
        <v>114.1371694</v>
      </c>
      <c r="G51" s="229">
        <v>22.287472350000002</v>
      </c>
      <c r="H51" s="229">
        <v>0</v>
      </c>
      <c r="I51" s="229">
        <v>16.8</v>
      </c>
      <c r="J51" s="228" t="s">
        <v>194</v>
      </c>
      <c r="K51" s="229">
        <v>157.5</v>
      </c>
      <c r="L51" s="228" t="s">
        <v>293</v>
      </c>
      <c r="M51" s="229">
        <v>140.69999999999999</v>
      </c>
      <c r="N51" s="228" t="s">
        <v>1553</v>
      </c>
    </row>
    <row r="52" spans="1:14">
      <c r="A52" s="228" t="s">
        <v>1728</v>
      </c>
      <c r="B52" s="228" t="s">
        <v>1729</v>
      </c>
      <c r="C52" s="229">
        <v>1103121694</v>
      </c>
      <c r="D52" s="228" t="s">
        <v>1512</v>
      </c>
      <c r="E52" s="228" t="s">
        <v>1730</v>
      </c>
      <c r="F52" s="229">
        <v>114.13625879999999</v>
      </c>
      <c r="G52" s="229">
        <v>22.286942369999998</v>
      </c>
      <c r="H52" s="229">
        <v>0</v>
      </c>
      <c r="I52" s="229">
        <v>18.8</v>
      </c>
      <c r="J52" s="228" t="s">
        <v>115</v>
      </c>
      <c r="K52" s="229">
        <v>111.1</v>
      </c>
      <c r="L52" s="228" t="s">
        <v>115</v>
      </c>
      <c r="M52" s="229">
        <v>92.3</v>
      </c>
      <c r="N52" s="228" t="s">
        <v>1553</v>
      </c>
    </row>
    <row r="53" spans="1:14">
      <c r="A53" s="228" t="s">
        <v>1731</v>
      </c>
      <c r="B53" s="228" t="s">
        <v>1732</v>
      </c>
      <c r="C53" s="229">
        <v>1103121987</v>
      </c>
      <c r="D53" s="340"/>
      <c r="E53" s="340"/>
      <c r="F53" s="229">
        <v>114.1361696</v>
      </c>
      <c r="G53" s="229">
        <v>22.28651142</v>
      </c>
      <c r="H53" s="229">
        <v>0</v>
      </c>
      <c r="I53" s="229">
        <v>3.8</v>
      </c>
      <c r="J53" s="228" t="s">
        <v>126</v>
      </c>
      <c r="K53" s="229">
        <v>45.8</v>
      </c>
      <c r="L53" s="228" t="s">
        <v>315</v>
      </c>
      <c r="M53" s="229">
        <v>42</v>
      </c>
      <c r="N53" s="228" t="s">
        <v>1553</v>
      </c>
    </row>
    <row r="54" spans="1:14">
      <c r="A54" s="228" t="s">
        <v>1733</v>
      </c>
      <c r="B54" s="228" t="s">
        <v>1734</v>
      </c>
      <c r="C54" s="229">
        <v>1103121900</v>
      </c>
      <c r="D54" s="228" t="s">
        <v>1516</v>
      </c>
      <c r="E54" s="228" t="s">
        <v>1735</v>
      </c>
      <c r="F54" s="229">
        <v>114.1356467</v>
      </c>
      <c r="G54" s="229">
        <v>22.286595129999998</v>
      </c>
      <c r="H54" s="229">
        <v>0</v>
      </c>
      <c r="I54" s="229">
        <v>20.2</v>
      </c>
      <c r="J54" s="228" t="s">
        <v>115</v>
      </c>
      <c r="K54" s="229">
        <v>92.9</v>
      </c>
      <c r="L54" s="228" t="s">
        <v>115</v>
      </c>
      <c r="M54" s="229">
        <v>72.7</v>
      </c>
      <c r="N54" s="228" t="s">
        <v>1553</v>
      </c>
    </row>
    <row r="55" spans="1:14">
      <c r="A55" s="228" t="s">
        <v>1736</v>
      </c>
      <c r="B55" s="228" t="s">
        <v>1737</v>
      </c>
      <c r="C55" s="229">
        <v>1103121540</v>
      </c>
      <c r="D55" s="228" t="s">
        <v>1738</v>
      </c>
      <c r="E55" s="228" t="s">
        <v>1739</v>
      </c>
      <c r="F55" s="229">
        <v>114.13591889999999</v>
      </c>
      <c r="G55" s="229">
        <v>22.28710521</v>
      </c>
      <c r="H55" s="229">
        <v>0</v>
      </c>
      <c r="I55" s="229">
        <v>18.600000000000001</v>
      </c>
      <c r="J55" s="228" t="s">
        <v>115</v>
      </c>
      <c r="K55" s="229">
        <v>152</v>
      </c>
      <c r="L55" s="228">
        <v>3</v>
      </c>
      <c r="M55" s="229">
        <v>133.4</v>
      </c>
      <c r="N55" s="228" t="s">
        <v>1553</v>
      </c>
    </row>
    <row r="56" spans="1:14">
      <c r="A56" s="228" t="s">
        <v>1740</v>
      </c>
      <c r="B56" s="228" t="s">
        <v>1741</v>
      </c>
      <c r="C56" s="229">
        <v>1103121696</v>
      </c>
      <c r="D56" s="228" t="s">
        <v>1742</v>
      </c>
      <c r="E56" s="228" t="s">
        <v>1743</v>
      </c>
      <c r="F56" s="229">
        <v>114.1339054</v>
      </c>
      <c r="G56" s="229">
        <v>22.286883039999999</v>
      </c>
      <c r="H56" s="229">
        <v>0</v>
      </c>
      <c r="I56" s="229">
        <v>12.6</v>
      </c>
      <c r="J56" s="228" t="s">
        <v>115</v>
      </c>
      <c r="K56" s="229">
        <v>75.400000000000006</v>
      </c>
      <c r="L56" s="228" t="s">
        <v>115</v>
      </c>
      <c r="M56" s="229">
        <v>62.8</v>
      </c>
      <c r="N56" s="228" t="s">
        <v>1553</v>
      </c>
    </row>
    <row r="57" spans="1:14">
      <c r="A57" s="228" t="s">
        <v>1744</v>
      </c>
      <c r="B57" s="228" t="s">
        <v>1745</v>
      </c>
      <c r="C57" s="229">
        <v>1103121624</v>
      </c>
      <c r="D57" s="228" t="s">
        <v>1527</v>
      </c>
      <c r="E57" s="228" t="s">
        <v>1746</v>
      </c>
      <c r="F57" s="229">
        <v>114.1334574</v>
      </c>
      <c r="G57" s="229">
        <v>22.286974149999999</v>
      </c>
      <c r="H57" s="229">
        <v>0</v>
      </c>
      <c r="I57" s="229">
        <v>19.7</v>
      </c>
      <c r="J57" s="228" t="s">
        <v>115</v>
      </c>
      <c r="K57" s="229">
        <v>79.599999999999994</v>
      </c>
      <c r="L57" s="228">
        <v>3</v>
      </c>
      <c r="M57" s="229">
        <v>59.9</v>
      </c>
      <c r="N57" s="228" t="s">
        <v>1553</v>
      </c>
    </row>
    <row r="58" spans="1:14">
      <c r="A58" s="228" t="s">
        <v>1747</v>
      </c>
      <c r="B58" s="228" t="s">
        <v>1748</v>
      </c>
      <c r="C58" s="229">
        <v>1103121801</v>
      </c>
      <c r="D58" s="228" t="s">
        <v>1530</v>
      </c>
      <c r="E58" s="228" t="s">
        <v>1749</v>
      </c>
      <c r="F58" s="229">
        <v>114.1326744</v>
      </c>
      <c r="G58" s="229">
        <v>22.28679344</v>
      </c>
      <c r="H58" s="229">
        <v>0</v>
      </c>
      <c r="I58" s="229">
        <v>10.6</v>
      </c>
      <c r="J58" s="228" t="s">
        <v>115</v>
      </c>
      <c r="K58" s="229">
        <v>66.2</v>
      </c>
      <c r="L58" s="228" t="s">
        <v>115</v>
      </c>
      <c r="M58" s="229">
        <v>55.6</v>
      </c>
      <c r="N58" s="228" t="s">
        <v>1553</v>
      </c>
    </row>
    <row r="59" spans="1:14">
      <c r="A59" s="228" t="s">
        <v>1750</v>
      </c>
      <c r="B59" s="228" t="s">
        <v>1751</v>
      </c>
      <c r="C59" s="229">
        <v>1103121970</v>
      </c>
      <c r="D59" s="228" t="s">
        <v>1533</v>
      </c>
      <c r="E59" s="228" t="s">
        <v>1752</v>
      </c>
      <c r="F59" s="229">
        <v>114.1325156</v>
      </c>
      <c r="G59" s="229">
        <v>22.28649699</v>
      </c>
      <c r="H59" s="229">
        <v>0</v>
      </c>
      <c r="I59" s="229">
        <v>3.9</v>
      </c>
      <c r="J59" s="228" t="s">
        <v>126</v>
      </c>
      <c r="K59" s="229">
        <v>79.900000000000006</v>
      </c>
      <c r="L59" s="228">
        <v>3</v>
      </c>
      <c r="M59" s="229">
        <v>76</v>
      </c>
      <c r="N59" s="228" t="s">
        <v>1553</v>
      </c>
    </row>
    <row r="60" spans="1:14" ht="15" customHeight="1">
      <c r="C60" s="230"/>
    </row>
    <row r="61" spans="1:14" ht="15" customHeight="1">
      <c r="C61" s="230"/>
    </row>
    <row r="62" spans="1:14" ht="15" customHeight="1">
      <c r="C62" s="230"/>
    </row>
    <row r="63" spans="1:14" ht="15" customHeight="1">
      <c r="C63" s="230"/>
    </row>
    <row r="64" spans="1:14" ht="15" customHeight="1">
      <c r="C64" s="230"/>
    </row>
    <row r="65" spans="3:3" ht="15" customHeight="1">
      <c r="C65" s="230"/>
    </row>
    <row r="66" spans="3:3" ht="15" customHeight="1">
      <c r="C66" s="230"/>
    </row>
    <row r="67" spans="3:3" ht="15" customHeight="1">
      <c r="C67" s="230"/>
    </row>
    <row r="68" spans="3:3" ht="15" customHeight="1">
      <c r="C68" s="230"/>
    </row>
    <row r="69" spans="3:3" ht="15" customHeight="1">
      <c r="C69" s="230"/>
    </row>
    <row r="70" spans="3:3" ht="15" customHeight="1">
      <c r="C70" s="230"/>
    </row>
    <row r="71" spans="3:3" ht="15" customHeight="1">
      <c r="C71" s="230"/>
    </row>
    <row r="72" spans="3:3" ht="15" customHeight="1">
      <c r="C72" s="230"/>
    </row>
    <row r="73" spans="3:3" ht="15" customHeight="1">
      <c r="C73" s="230"/>
    </row>
    <row r="74" spans="3:3" ht="15" customHeight="1">
      <c r="C74" s="230"/>
    </row>
    <row r="75" spans="3:3" ht="15" customHeight="1">
      <c r="C75" s="230"/>
    </row>
    <row r="76" spans="3:3" ht="15" customHeight="1">
      <c r="C76" s="230"/>
    </row>
    <row r="77" spans="3:3" ht="15" customHeight="1">
      <c r="C77" s="230"/>
    </row>
    <row r="78" spans="3:3" ht="15" customHeight="1">
      <c r="C78" s="230"/>
    </row>
    <row r="79" spans="3:3" ht="15" customHeight="1">
      <c r="C79" s="230"/>
    </row>
    <row r="80" spans="3:3" ht="15" customHeight="1">
      <c r="C80" s="230"/>
    </row>
    <row r="81" spans="3:3" ht="15" customHeight="1">
      <c r="C81" s="230"/>
    </row>
    <row r="82" spans="3:3" ht="15" customHeight="1">
      <c r="C82" s="230"/>
    </row>
    <row r="83" spans="3:3" ht="15" customHeight="1">
      <c r="C83" s="230"/>
    </row>
    <row r="84" spans="3:3" ht="15" customHeight="1">
      <c r="C84" s="230"/>
    </row>
    <row r="85" spans="3:3" ht="15" customHeight="1">
      <c r="C85" s="230"/>
    </row>
    <row r="86" spans="3:3" ht="15" customHeight="1">
      <c r="C86" s="230"/>
    </row>
    <row r="87" spans="3:3" ht="15" customHeight="1">
      <c r="C87" s="230"/>
    </row>
    <row r="88" spans="3:3" ht="15" customHeight="1">
      <c r="C88" s="230"/>
    </row>
    <row r="89" spans="3:3" ht="15" customHeight="1">
      <c r="C89" s="230"/>
    </row>
    <row r="90" spans="3:3" ht="15" customHeight="1">
      <c r="C90" s="230"/>
    </row>
    <row r="91" spans="3:3" ht="15" customHeight="1">
      <c r="C91" s="230"/>
    </row>
    <row r="92" spans="3:3" ht="15" customHeight="1">
      <c r="C92" s="230"/>
    </row>
    <row r="93" spans="3:3" ht="15" customHeight="1">
      <c r="C93" s="230"/>
    </row>
    <row r="94" spans="3:3" ht="15" customHeight="1">
      <c r="C94" s="230"/>
    </row>
    <row r="95" spans="3:3" ht="15" customHeight="1">
      <c r="C95" s="230"/>
    </row>
    <row r="96" spans="3:3" ht="15" customHeight="1">
      <c r="C96" s="230"/>
    </row>
    <row r="97" spans="3:3" ht="15" customHeight="1">
      <c r="C97" s="230"/>
    </row>
    <row r="98" spans="3:3" ht="15" customHeight="1">
      <c r="C98" s="230"/>
    </row>
    <row r="99" spans="3:3" ht="15" customHeight="1">
      <c r="C99" s="230"/>
    </row>
    <row r="100" spans="3:3" ht="15" customHeight="1">
      <c r="C100" s="230"/>
    </row>
    <row r="101" spans="3:3" ht="15" customHeight="1">
      <c r="C101" s="230"/>
    </row>
    <row r="102" spans="3:3" ht="15" customHeight="1">
      <c r="C102" s="230"/>
    </row>
    <row r="103" spans="3:3" ht="15" customHeight="1">
      <c r="C103" s="230"/>
    </row>
    <row r="104" spans="3:3" ht="15" customHeight="1">
      <c r="C104" s="230"/>
    </row>
    <row r="105" spans="3:3" ht="15" customHeight="1">
      <c r="C105" s="230"/>
    </row>
    <row r="106" spans="3:3" ht="15" customHeight="1">
      <c r="C106" s="230"/>
    </row>
    <row r="107" spans="3:3" ht="15" customHeight="1">
      <c r="C107" s="230"/>
    </row>
    <row r="108" spans="3:3" ht="15" customHeight="1">
      <c r="C108" s="230"/>
    </row>
    <row r="109" spans="3:3" ht="15" customHeight="1">
      <c r="C109" s="230"/>
    </row>
    <row r="110" spans="3:3" ht="15" customHeight="1">
      <c r="C110" s="230"/>
    </row>
    <row r="111" spans="3:3" ht="15" customHeight="1">
      <c r="C111" s="230"/>
    </row>
    <row r="112" spans="3:3" ht="15" customHeight="1">
      <c r="C112" s="230"/>
    </row>
    <row r="113" spans="3:3" ht="15" customHeight="1">
      <c r="C113" s="230"/>
    </row>
    <row r="114" spans="3:3" ht="15" customHeight="1">
      <c r="C114" s="230"/>
    </row>
    <row r="115" spans="3:3" ht="15" customHeight="1">
      <c r="C115" s="230"/>
    </row>
    <row r="116" spans="3:3" ht="15" customHeight="1">
      <c r="C116" s="230"/>
    </row>
    <row r="117" spans="3:3" ht="15" customHeight="1">
      <c r="C117" s="230"/>
    </row>
    <row r="118" spans="3:3" ht="15" customHeight="1">
      <c r="C118" s="230"/>
    </row>
    <row r="119" spans="3:3" ht="15" customHeight="1">
      <c r="C119" s="230"/>
    </row>
    <row r="120" spans="3:3" ht="15" customHeight="1">
      <c r="C120" s="230"/>
    </row>
    <row r="121" spans="3:3" ht="15" customHeight="1">
      <c r="C121" s="230"/>
    </row>
    <row r="122" spans="3:3" ht="15" customHeight="1">
      <c r="C122" s="230"/>
    </row>
    <row r="123" spans="3:3" ht="15" customHeight="1">
      <c r="C123" s="230"/>
    </row>
    <row r="124" spans="3:3" ht="15" customHeight="1">
      <c r="C124" s="230"/>
    </row>
    <row r="125" spans="3:3" ht="15" customHeight="1">
      <c r="C125" s="230"/>
    </row>
    <row r="126" spans="3:3" ht="15" customHeight="1">
      <c r="C126" s="230"/>
    </row>
    <row r="127" spans="3:3" ht="15" customHeight="1">
      <c r="C127" s="230"/>
    </row>
    <row r="128" spans="3:3" ht="15" customHeight="1">
      <c r="C128" s="230"/>
    </row>
    <row r="129" spans="3:3" ht="15" customHeight="1">
      <c r="C129" s="230"/>
    </row>
    <row r="130" spans="3:3" ht="15" customHeight="1">
      <c r="C130" s="230"/>
    </row>
    <row r="131" spans="3:3" ht="15" customHeight="1">
      <c r="C131" s="230"/>
    </row>
    <row r="132" spans="3:3" ht="15" customHeight="1">
      <c r="C132" s="230"/>
    </row>
    <row r="133" spans="3:3" ht="15" customHeight="1">
      <c r="C133" s="230"/>
    </row>
    <row r="134" spans="3:3" ht="15" customHeight="1">
      <c r="C134" s="230"/>
    </row>
    <row r="135" spans="3:3" ht="15" customHeight="1">
      <c r="C135" s="230"/>
    </row>
    <row r="136" spans="3:3" ht="15" customHeight="1">
      <c r="C136" s="230"/>
    </row>
    <row r="137" spans="3:3" ht="15" customHeight="1">
      <c r="C137" s="230"/>
    </row>
    <row r="138" spans="3:3" ht="15" customHeight="1">
      <c r="C138" s="230"/>
    </row>
    <row r="139" spans="3:3" ht="15" customHeight="1">
      <c r="C139" s="230"/>
    </row>
    <row r="140" spans="3:3" ht="15" customHeight="1">
      <c r="C140" s="230"/>
    </row>
    <row r="141" spans="3:3" ht="15" customHeight="1">
      <c r="C141" s="230"/>
    </row>
    <row r="142" spans="3:3" ht="15" customHeight="1">
      <c r="C142" s="230"/>
    </row>
    <row r="143" spans="3:3" ht="15" customHeight="1">
      <c r="C143" s="230"/>
    </row>
    <row r="144" spans="3:3" ht="15" customHeight="1">
      <c r="C144" s="230"/>
    </row>
    <row r="145" spans="3:3" ht="15" customHeight="1">
      <c r="C145" s="230"/>
    </row>
    <row r="146" spans="3:3" ht="15" customHeight="1">
      <c r="C146" s="230"/>
    </row>
    <row r="147" spans="3:3" ht="15" customHeight="1">
      <c r="C147" s="230"/>
    </row>
    <row r="148" spans="3:3" ht="15" customHeight="1">
      <c r="C148" s="230"/>
    </row>
    <row r="149" spans="3:3" ht="15" customHeight="1">
      <c r="C149" s="230"/>
    </row>
    <row r="150" spans="3:3" ht="15" customHeight="1">
      <c r="C150" s="230"/>
    </row>
    <row r="151" spans="3:3" ht="15" customHeight="1">
      <c r="C151" s="230"/>
    </row>
    <row r="152" spans="3:3" ht="15" customHeight="1">
      <c r="C152" s="230"/>
    </row>
    <row r="153" spans="3:3" ht="15" customHeight="1">
      <c r="C153" s="230"/>
    </row>
    <row r="154" spans="3:3" ht="15" customHeight="1">
      <c r="C154" s="230"/>
    </row>
    <row r="155" spans="3:3" ht="15" customHeight="1">
      <c r="C155" s="230"/>
    </row>
    <row r="156" spans="3:3" ht="15" customHeight="1">
      <c r="C156" s="230"/>
    </row>
    <row r="157" spans="3:3" ht="15" customHeight="1">
      <c r="C157" s="230"/>
    </row>
    <row r="158" spans="3:3" ht="15" customHeight="1">
      <c r="C158" s="230"/>
    </row>
    <row r="159" spans="3:3" ht="15" customHeight="1">
      <c r="C159" s="230"/>
    </row>
    <row r="160" spans="3:3" ht="15" customHeight="1">
      <c r="C160" s="230"/>
    </row>
    <row r="161" spans="3:3" ht="15" customHeight="1">
      <c r="C161" s="230"/>
    </row>
    <row r="162" spans="3:3" ht="15" customHeight="1">
      <c r="C162" s="230"/>
    </row>
    <row r="163" spans="3:3" ht="15" customHeight="1">
      <c r="C163" s="230"/>
    </row>
    <row r="164" spans="3:3" ht="15" customHeight="1">
      <c r="C164" s="230"/>
    </row>
    <row r="165" spans="3:3" ht="15" customHeight="1">
      <c r="C165" s="230"/>
    </row>
    <row r="166" spans="3:3" ht="15" customHeight="1">
      <c r="C166" s="230"/>
    </row>
    <row r="167" spans="3:3" ht="15" customHeight="1">
      <c r="C167" s="230"/>
    </row>
    <row r="168" spans="3:3" ht="15" customHeight="1">
      <c r="C168" s="230"/>
    </row>
    <row r="169" spans="3:3" ht="15" customHeight="1">
      <c r="C169" s="230"/>
    </row>
    <row r="170" spans="3:3" ht="15" customHeight="1">
      <c r="C170" s="230"/>
    </row>
    <row r="171" spans="3:3" ht="15" customHeight="1">
      <c r="C171" s="230"/>
    </row>
    <row r="172" spans="3:3" ht="15" customHeight="1">
      <c r="C172" s="230"/>
    </row>
    <row r="173" spans="3:3" ht="15" customHeight="1">
      <c r="C173" s="230"/>
    </row>
    <row r="174" spans="3:3" ht="15" customHeight="1">
      <c r="C174" s="230"/>
    </row>
    <row r="175" spans="3:3" ht="15" customHeight="1">
      <c r="C175" s="230"/>
    </row>
    <row r="176" spans="3:3" ht="15" customHeight="1">
      <c r="C176" s="230"/>
    </row>
    <row r="177" spans="3:3" ht="15" customHeight="1">
      <c r="C177" s="230"/>
    </row>
    <row r="178" spans="3:3" ht="15" customHeight="1">
      <c r="C178" s="230"/>
    </row>
    <row r="179" spans="3:3" ht="15" customHeight="1">
      <c r="C179" s="230"/>
    </row>
    <row r="180" spans="3:3" ht="15" customHeight="1">
      <c r="C180" s="230"/>
    </row>
    <row r="181" spans="3:3" ht="15" customHeight="1">
      <c r="C181" s="230"/>
    </row>
    <row r="182" spans="3:3" ht="15" customHeight="1">
      <c r="C182" s="230"/>
    </row>
    <row r="183" spans="3:3" ht="15" customHeight="1">
      <c r="C183" s="230"/>
    </row>
    <row r="184" spans="3:3" ht="15" customHeight="1">
      <c r="C184" s="230"/>
    </row>
    <row r="185" spans="3:3" ht="15" customHeight="1">
      <c r="C185" s="230"/>
    </row>
    <row r="186" spans="3:3" ht="15" customHeight="1">
      <c r="C186" s="230"/>
    </row>
    <row r="187" spans="3:3" ht="15" customHeight="1">
      <c r="C187" s="230"/>
    </row>
    <row r="188" spans="3:3" ht="15" customHeight="1">
      <c r="C188" s="230"/>
    </row>
    <row r="189" spans="3:3" ht="15" customHeight="1">
      <c r="C189" s="230"/>
    </row>
    <row r="190" spans="3:3" ht="15" customHeight="1">
      <c r="C190" s="230"/>
    </row>
    <row r="191" spans="3:3" ht="15" customHeight="1">
      <c r="C191" s="230"/>
    </row>
    <row r="192" spans="3:3" ht="15" customHeight="1">
      <c r="C192" s="230"/>
    </row>
    <row r="193" spans="3:3" ht="15" customHeight="1">
      <c r="C193" s="230"/>
    </row>
    <row r="194" spans="3:3" ht="15" customHeight="1">
      <c r="C194" s="230"/>
    </row>
    <row r="195" spans="3:3" ht="15" customHeight="1">
      <c r="C195" s="230"/>
    </row>
    <row r="196" spans="3:3" ht="15" customHeight="1">
      <c r="C196" s="230"/>
    </row>
    <row r="197" spans="3:3" ht="15" customHeight="1">
      <c r="C197" s="230"/>
    </row>
    <row r="198" spans="3:3" ht="15" customHeight="1">
      <c r="C198" s="230"/>
    </row>
    <row r="199" spans="3:3" ht="15" customHeight="1">
      <c r="C199" s="230"/>
    </row>
    <row r="200" spans="3:3" ht="15" customHeight="1">
      <c r="C200" s="230"/>
    </row>
    <row r="201" spans="3:3" ht="15" customHeight="1">
      <c r="C201" s="230"/>
    </row>
    <row r="202" spans="3:3" ht="15" customHeight="1">
      <c r="C202" s="230"/>
    </row>
    <row r="203" spans="3:3" ht="15" customHeight="1">
      <c r="C203" s="230"/>
    </row>
    <row r="204" spans="3:3" ht="15" customHeight="1">
      <c r="C204" s="230"/>
    </row>
    <row r="205" spans="3:3" ht="15" customHeight="1">
      <c r="C205" s="230"/>
    </row>
    <row r="206" spans="3:3" ht="15" customHeight="1">
      <c r="C206" s="230"/>
    </row>
    <row r="207" spans="3:3" ht="15" customHeight="1">
      <c r="C207" s="230"/>
    </row>
    <row r="208" spans="3:3" ht="15" customHeight="1">
      <c r="C208" s="230"/>
    </row>
    <row r="209" spans="3:3" ht="15" customHeight="1">
      <c r="C209" s="230"/>
    </row>
    <row r="210" spans="3:3" ht="15" customHeight="1">
      <c r="C210" s="230"/>
    </row>
    <row r="211" spans="3:3" ht="15" customHeight="1">
      <c r="C211" s="230"/>
    </row>
    <row r="212" spans="3:3" ht="15" customHeight="1">
      <c r="C212" s="230"/>
    </row>
    <row r="213" spans="3:3" ht="15" customHeight="1">
      <c r="C213" s="230"/>
    </row>
    <row r="214" spans="3:3" ht="15" customHeight="1">
      <c r="C214" s="230"/>
    </row>
    <row r="215" spans="3:3" ht="15" customHeight="1">
      <c r="C215" s="230"/>
    </row>
    <row r="216" spans="3:3" ht="15" customHeight="1">
      <c r="C216" s="230"/>
    </row>
    <row r="217" spans="3:3" ht="15" customHeight="1">
      <c r="C217" s="230"/>
    </row>
    <row r="218" spans="3:3" ht="15" customHeight="1">
      <c r="C218" s="230"/>
    </row>
    <row r="219" spans="3:3" ht="15" customHeight="1">
      <c r="C219" s="230"/>
    </row>
    <row r="220" spans="3:3" ht="15" customHeight="1">
      <c r="C220" s="230"/>
    </row>
    <row r="221" spans="3:3" ht="15" customHeight="1">
      <c r="C221" s="230"/>
    </row>
    <row r="222" spans="3:3" ht="15" customHeight="1">
      <c r="C222" s="230"/>
    </row>
    <row r="223" spans="3:3" ht="15" customHeight="1">
      <c r="C223" s="230"/>
    </row>
    <row r="224" spans="3:3" ht="15" customHeight="1">
      <c r="C224" s="230"/>
    </row>
    <row r="225" spans="3:3" ht="15" customHeight="1">
      <c r="C225" s="230"/>
    </row>
    <row r="226" spans="3:3" ht="15" customHeight="1">
      <c r="C226" s="230"/>
    </row>
    <row r="227" spans="3:3" ht="15" customHeight="1">
      <c r="C227" s="230"/>
    </row>
    <row r="228" spans="3:3" ht="15" customHeight="1">
      <c r="C228" s="230"/>
    </row>
    <row r="229" spans="3:3" ht="15" customHeight="1">
      <c r="C229" s="230"/>
    </row>
    <row r="230" spans="3:3" ht="15" customHeight="1">
      <c r="C230" s="230"/>
    </row>
    <row r="231" spans="3:3" ht="15" customHeight="1">
      <c r="C231" s="230"/>
    </row>
    <row r="232" spans="3:3" ht="15" customHeight="1">
      <c r="C232" s="230"/>
    </row>
    <row r="233" spans="3:3" ht="15" customHeight="1">
      <c r="C233" s="230"/>
    </row>
    <row r="234" spans="3:3" ht="15" customHeight="1">
      <c r="C234" s="230"/>
    </row>
    <row r="235" spans="3:3" ht="15" customHeight="1">
      <c r="C235" s="230"/>
    </row>
    <row r="236" spans="3:3" ht="15" customHeight="1">
      <c r="C236" s="230"/>
    </row>
    <row r="237" spans="3:3" ht="15" customHeight="1">
      <c r="C237" s="230"/>
    </row>
    <row r="238" spans="3:3" ht="15" customHeight="1">
      <c r="C238" s="230"/>
    </row>
    <row r="239" spans="3:3" ht="15" customHeight="1">
      <c r="C239" s="230"/>
    </row>
    <row r="240" spans="3:3" ht="15" customHeight="1">
      <c r="C240" s="230"/>
    </row>
    <row r="241" spans="3:3" ht="15" customHeight="1">
      <c r="C241" s="230"/>
    </row>
    <row r="242" spans="3:3" ht="15" customHeight="1">
      <c r="C242" s="230"/>
    </row>
    <row r="243" spans="3:3" ht="15" customHeight="1">
      <c r="C243" s="230"/>
    </row>
    <row r="244" spans="3:3" ht="15" customHeight="1">
      <c r="C244" s="230"/>
    </row>
    <row r="245" spans="3:3" ht="15" customHeight="1">
      <c r="C245" s="230"/>
    </row>
    <row r="246" spans="3:3" ht="15" customHeight="1">
      <c r="C246" s="230"/>
    </row>
    <row r="247" spans="3:3" ht="15" customHeight="1">
      <c r="C247" s="230"/>
    </row>
    <row r="248" spans="3:3" ht="15" customHeight="1">
      <c r="C248" s="230"/>
    </row>
    <row r="249" spans="3:3" ht="15" customHeight="1">
      <c r="C249" s="230"/>
    </row>
    <row r="250" spans="3:3" ht="15" customHeight="1">
      <c r="C250" s="230"/>
    </row>
    <row r="251" spans="3:3" ht="15" customHeight="1">
      <c r="C251" s="230"/>
    </row>
    <row r="252" spans="3:3" ht="15" customHeight="1">
      <c r="C252" s="230"/>
    </row>
    <row r="253" spans="3:3" ht="15" customHeight="1">
      <c r="C253" s="230"/>
    </row>
    <row r="254" spans="3:3" ht="15" customHeight="1">
      <c r="C254" s="230"/>
    </row>
    <row r="255" spans="3:3" ht="15" customHeight="1">
      <c r="C255" s="230"/>
    </row>
    <row r="256" spans="3:3" ht="15" customHeight="1">
      <c r="C256" s="230"/>
    </row>
    <row r="257" spans="3:3" ht="15" customHeight="1">
      <c r="C257" s="230"/>
    </row>
    <row r="258" spans="3:3" ht="15" customHeight="1">
      <c r="C258" s="230"/>
    </row>
    <row r="259" spans="3:3" ht="15" customHeight="1">
      <c r="C259" s="230"/>
    </row>
    <row r="260" spans="3:3" ht="15" customHeight="1">
      <c r="C260" s="230"/>
    </row>
    <row r="261" spans="3:3" ht="15" customHeight="1">
      <c r="C261" s="230"/>
    </row>
    <row r="262" spans="3:3" ht="15" customHeight="1">
      <c r="C262" s="230"/>
    </row>
    <row r="263" spans="3:3" ht="15" customHeight="1">
      <c r="C263" s="230"/>
    </row>
    <row r="264" spans="3:3" ht="15" customHeight="1">
      <c r="C264" s="230"/>
    </row>
    <row r="265" spans="3:3" ht="15" customHeight="1">
      <c r="C265" s="230"/>
    </row>
    <row r="266" spans="3:3" ht="15" customHeight="1">
      <c r="C266" s="230"/>
    </row>
    <row r="267" spans="3:3" ht="15" customHeight="1">
      <c r="C267" s="230"/>
    </row>
    <row r="268" spans="3:3" ht="15" customHeight="1">
      <c r="C268" s="230"/>
    </row>
    <row r="269" spans="3:3" ht="15" customHeight="1">
      <c r="C269" s="230"/>
    </row>
    <row r="270" spans="3:3" ht="15" customHeight="1">
      <c r="C270" s="230"/>
    </row>
    <row r="271" spans="3:3" ht="15" customHeight="1">
      <c r="C271" s="230"/>
    </row>
    <row r="272" spans="3:3" ht="15" customHeight="1">
      <c r="C272" s="230"/>
    </row>
    <row r="273" spans="3:3" ht="15" customHeight="1">
      <c r="C273" s="230"/>
    </row>
    <row r="274" spans="3:3" ht="15" customHeight="1">
      <c r="C274" s="230"/>
    </row>
    <row r="275" spans="3:3" ht="15" customHeight="1">
      <c r="C275" s="230"/>
    </row>
    <row r="276" spans="3:3" ht="15" customHeight="1">
      <c r="C276" s="230"/>
    </row>
    <row r="277" spans="3:3" ht="15" customHeight="1">
      <c r="C277" s="230"/>
    </row>
    <row r="278" spans="3:3" ht="15" customHeight="1">
      <c r="C278" s="230"/>
    </row>
    <row r="279" spans="3:3" ht="15" customHeight="1">
      <c r="C279" s="230"/>
    </row>
    <row r="280" spans="3:3" ht="15" customHeight="1">
      <c r="C280" s="230"/>
    </row>
    <row r="281" spans="3:3" ht="15" customHeight="1">
      <c r="C281" s="230"/>
    </row>
    <row r="282" spans="3:3" ht="15" customHeight="1">
      <c r="C282" s="230"/>
    </row>
    <row r="283" spans="3:3" ht="15" customHeight="1">
      <c r="C283" s="230"/>
    </row>
    <row r="284" spans="3:3" ht="15" customHeight="1">
      <c r="C284" s="230"/>
    </row>
    <row r="285" spans="3:3" ht="15" customHeight="1">
      <c r="C285" s="230"/>
    </row>
    <row r="286" spans="3:3" ht="15" customHeight="1">
      <c r="C286" s="230"/>
    </row>
    <row r="287" spans="3:3" ht="15" customHeight="1">
      <c r="C287" s="230"/>
    </row>
    <row r="288" spans="3:3" ht="15" customHeight="1">
      <c r="C288" s="230"/>
    </row>
    <row r="289" spans="3:3" ht="15" customHeight="1">
      <c r="C289" s="230"/>
    </row>
    <row r="290" spans="3:3" ht="15" customHeight="1">
      <c r="C290" s="230"/>
    </row>
    <row r="291" spans="3:3" ht="15" customHeight="1">
      <c r="C291" s="230"/>
    </row>
    <row r="292" spans="3:3" ht="15" customHeight="1">
      <c r="C292" s="230"/>
    </row>
    <row r="293" spans="3:3" ht="15" customHeight="1">
      <c r="C293" s="230"/>
    </row>
    <row r="294" spans="3:3" ht="15" customHeight="1">
      <c r="C294" s="230"/>
    </row>
    <row r="295" spans="3:3" ht="15" customHeight="1">
      <c r="C295" s="230"/>
    </row>
    <row r="296" spans="3:3" ht="15" customHeight="1">
      <c r="C296" s="230"/>
    </row>
    <row r="297" spans="3:3" ht="15" customHeight="1">
      <c r="C297" s="230"/>
    </row>
    <row r="298" spans="3:3" ht="15" customHeight="1">
      <c r="C298" s="230"/>
    </row>
    <row r="299" spans="3:3" ht="15" customHeight="1">
      <c r="C299" s="230"/>
    </row>
    <row r="300" spans="3:3" ht="15" customHeight="1">
      <c r="C300" s="230"/>
    </row>
    <row r="301" spans="3:3" ht="15" customHeight="1">
      <c r="C301" s="230"/>
    </row>
    <row r="302" spans="3:3" ht="15" customHeight="1">
      <c r="C302" s="230"/>
    </row>
    <row r="303" spans="3:3" ht="15" customHeight="1">
      <c r="C303" s="230"/>
    </row>
    <row r="304" spans="3:3" ht="15" customHeight="1">
      <c r="C304" s="230"/>
    </row>
    <row r="305" spans="3:3" ht="15" customHeight="1">
      <c r="C305" s="230"/>
    </row>
    <row r="306" spans="3:3" ht="15" customHeight="1">
      <c r="C306" s="230"/>
    </row>
    <row r="307" spans="3:3" ht="15" customHeight="1">
      <c r="C307" s="230"/>
    </row>
    <row r="308" spans="3:3" ht="15" customHeight="1">
      <c r="C308" s="230"/>
    </row>
    <row r="309" spans="3:3" ht="15" customHeight="1">
      <c r="C309" s="230"/>
    </row>
    <row r="310" spans="3:3" ht="15" customHeight="1">
      <c r="C310" s="230"/>
    </row>
    <row r="311" spans="3:3" ht="15" customHeight="1">
      <c r="C311" s="230"/>
    </row>
    <row r="312" spans="3:3" ht="15" customHeight="1">
      <c r="C312" s="230"/>
    </row>
    <row r="313" spans="3:3" ht="15" customHeight="1">
      <c r="C313" s="230"/>
    </row>
    <row r="314" spans="3:3" ht="15" customHeight="1">
      <c r="C314" s="230"/>
    </row>
    <row r="315" spans="3:3" ht="15" customHeight="1">
      <c r="C315" s="230"/>
    </row>
    <row r="316" spans="3:3" ht="15" customHeight="1">
      <c r="C316" s="230"/>
    </row>
    <row r="317" spans="3:3" ht="15" customHeight="1">
      <c r="C317" s="230"/>
    </row>
    <row r="318" spans="3:3" ht="15" customHeight="1">
      <c r="C318" s="230"/>
    </row>
    <row r="319" spans="3:3" ht="15" customHeight="1">
      <c r="C319" s="230"/>
    </row>
    <row r="320" spans="3:3" ht="15" customHeight="1">
      <c r="C320" s="230"/>
    </row>
    <row r="321" spans="3:3" ht="15" customHeight="1">
      <c r="C321" s="230"/>
    </row>
    <row r="322" spans="3:3" ht="15" customHeight="1">
      <c r="C322" s="230"/>
    </row>
    <row r="323" spans="3:3" ht="15" customHeight="1">
      <c r="C323" s="230"/>
    </row>
    <row r="324" spans="3:3" ht="15" customHeight="1">
      <c r="C324" s="230"/>
    </row>
    <row r="325" spans="3:3" ht="15" customHeight="1">
      <c r="C325" s="230"/>
    </row>
    <row r="326" spans="3:3" ht="15" customHeight="1">
      <c r="C326" s="230"/>
    </row>
    <row r="327" spans="3:3" ht="15" customHeight="1">
      <c r="C327" s="230"/>
    </row>
    <row r="328" spans="3:3" ht="15" customHeight="1">
      <c r="C328" s="230"/>
    </row>
    <row r="329" spans="3:3" ht="15" customHeight="1">
      <c r="C329" s="230"/>
    </row>
    <row r="330" spans="3:3" ht="15" customHeight="1">
      <c r="C330" s="230"/>
    </row>
    <row r="331" spans="3:3" ht="15" customHeight="1">
      <c r="C331" s="230"/>
    </row>
    <row r="332" spans="3:3" ht="15" customHeight="1">
      <c r="C332" s="230"/>
    </row>
    <row r="333" spans="3:3" ht="15" customHeight="1">
      <c r="C333" s="230"/>
    </row>
    <row r="334" spans="3:3" ht="15" customHeight="1">
      <c r="C334" s="230"/>
    </row>
    <row r="335" spans="3:3" ht="15" customHeight="1">
      <c r="C335" s="230"/>
    </row>
    <row r="336" spans="3:3" ht="15" customHeight="1">
      <c r="C336" s="230"/>
    </row>
    <row r="337" spans="3:3" ht="15" customHeight="1">
      <c r="C337" s="230"/>
    </row>
    <row r="338" spans="3:3" ht="15" customHeight="1">
      <c r="C338" s="230"/>
    </row>
    <row r="339" spans="3:3" ht="15" customHeight="1">
      <c r="C339" s="230"/>
    </row>
    <row r="340" spans="3:3" ht="15" customHeight="1">
      <c r="C340" s="230"/>
    </row>
    <row r="341" spans="3:3" ht="15" customHeight="1">
      <c r="C341" s="230"/>
    </row>
    <row r="342" spans="3:3" ht="15" customHeight="1">
      <c r="C342" s="230"/>
    </row>
    <row r="343" spans="3:3" ht="15" customHeight="1">
      <c r="C343" s="230"/>
    </row>
    <row r="344" spans="3:3" ht="15" customHeight="1">
      <c r="C344" s="230"/>
    </row>
    <row r="345" spans="3:3" ht="15" customHeight="1">
      <c r="C345" s="230"/>
    </row>
    <row r="346" spans="3:3" ht="15" customHeight="1">
      <c r="C346" s="230"/>
    </row>
    <row r="347" spans="3:3" ht="15" customHeight="1">
      <c r="C347" s="230"/>
    </row>
    <row r="348" spans="3:3" ht="15" customHeight="1">
      <c r="C348" s="230"/>
    </row>
    <row r="349" spans="3:3" ht="15" customHeight="1">
      <c r="C349" s="230"/>
    </row>
    <row r="350" spans="3:3" ht="15" customHeight="1">
      <c r="C350" s="230"/>
    </row>
    <row r="351" spans="3:3" ht="15" customHeight="1">
      <c r="C351" s="230"/>
    </row>
    <row r="352" spans="3:3" ht="15" customHeight="1">
      <c r="C352" s="230"/>
    </row>
    <row r="353" spans="3:3" ht="15" customHeight="1">
      <c r="C353" s="230"/>
    </row>
    <row r="354" spans="3:3" ht="15" customHeight="1">
      <c r="C354" s="230"/>
    </row>
    <row r="355" spans="3:3" ht="15" customHeight="1">
      <c r="C355" s="230"/>
    </row>
    <row r="356" spans="3:3" ht="15" customHeight="1">
      <c r="C356" s="230"/>
    </row>
    <row r="357" spans="3:3" ht="15" customHeight="1">
      <c r="C357" s="230"/>
    </row>
    <row r="358" spans="3:3" ht="15" customHeight="1">
      <c r="C358" s="230"/>
    </row>
    <row r="359" spans="3:3" ht="15" customHeight="1">
      <c r="C359" s="230"/>
    </row>
    <row r="360" spans="3:3" ht="15" customHeight="1">
      <c r="C360" s="230"/>
    </row>
    <row r="361" spans="3:3" ht="15" customHeight="1">
      <c r="C361" s="230"/>
    </row>
    <row r="362" spans="3:3" ht="15" customHeight="1">
      <c r="C362" s="230"/>
    </row>
    <row r="363" spans="3:3" ht="15" customHeight="1">
      <c r="C363" s="230"/>
    </row>
    <row r="364" spans="3:3" ht="15" customHeight="1">
      <c r="C364" s="230"/>
    </row>
    <row r="365" spans="3:3" ht="15" customHeight="1">
      <c r="C365" s="230"/>
    </row>
    <row r="366" spans="3:3" ht="15" customHeight="1">
      <c r="C366" s="230"/>
    </row>
    <row r="367" spans="3:3" ht="15" customHeight="1">
      <c r="C367" s="230"/>
    </row>
    <row r="368" spans="3:3" ht="15" customHeight="1">
      <c r="C368" s="230"/>
    </row>
    <row r="369" spans="3:3" ht="15" customHeight="1">
      <c r="C369" s="230"/>
    </row>
    <row r="370" spans="3:3" ht="15" customHeight="1">
      <c r="C370" s="230"/>
    </row>
    <row r="371" spans="3:3" ht="15" customHeight="1">
      <c r="C371" s="230"/>
    </row>
    <row r="372" spans="3:3" ht="15" customHeight="1">
      <c r="C372" s="230"/>
    </row>
    <row r="373" spans="3:3" ht="15" customHeight="1">
      <c r="C373" s="230"/>
    </row>
    <row r="374" spans="3:3" ht="15" customHeight="1">
      <c r="C374" s="230"/>
    </row>
    <row r="375" spans="3:3" ht="15" customHeight="1">
      <c r="C375" s="230"/>
    </row>
    <row r="376" spans="3:3" ht="15" customHeight="1">
      <c r="C376" s="230"/>
    </row>
    <row r="377" spans="3:3" ht="15" customHeight="1">
      <c r="C377" s="230"/>
    </row>
    <row r="378" spans="3:3" ht="15" customHeight="1">
      <c r="C378" s="230"/>
    </row>
    <row r="379" spans="3:3" ht="15" customHeight="1">
      <c r="C379" s="230"/>
    </row>
    <row r="380" spans="3:3" ht="15" customHeight="1">
      <c r="C380" s="230"/>
    </row>
    <row r="381" spans="3:3" ht="15" customHeight="1">
      <c r="C381" s="230"/>
    </row>
    <row r="382" spans="3:3" ht="15" customHeight="1">
      <c r="C382" s="230"/>
    </row>
    <row r="383" spans="3:3" ht="15" customHeight="1">
      <c r="C383" s="230"/>
    </row>
    <row r="384" spans="3:3" ht="15" customHeight="1">
      <c r="C384" s="230"/>
    </row>
    <row r="385" spans="3:3" ht="15" customHeight="1">
      <c r="C385" s="230"/>
    </row>
    <row r="386" spans="3:3" ht="15" customHeight="1">
      <c r="C386" s="230"/>
    </row>
    <row r="387" spans="3:3" ht="15" customHeight="1">
      <c r="C387" s="230"/>
    </row>
    <row r="388" spans="3:3" ht="15" customHeight="1">
      <c r="C388" s="230"/>
    </row>
    <row r="389" spans="3:3" ht="15" customHeight="1">
      <c r="C389" s="230"/>
    </row>
    <row r="390" spans="3:3" ht="15" customHeight="1">
      <c r="C390" s="230"/>
    </row>
    <row r="391" spans="3:3" ht="15" customHeight="1">
      <c r="C391" s="230"/>
    </row>
    <row r="392" spans="3:3" ht="15" customHeight="1">
      <c r="C392" s="230"/>
    </row>
    <row r="393" spans="3:3" ht="15" customHeight="1">
      <c r="C393" s="230"/>
    </row>
    <row r="394" spans="3:3" ht="15" customHeight="1">
      <c r="C394" s="230"/>
    </row>
    <row r="395" spans="3:3" ht="15" customHeight="1">
      <c r="C395" s="230"/>
    </row>
    <row r="396" spans="3:3" ht="15" customHeight="1">
      <c r="C396" s="230"/>
    </row>
    <row r="397" spans="3:3" ht="15" customHeight="1">
      <c r="C397" s="230"/>
    </row>
    <row r="398" spans="3:3" ht="15" customHeight="1">
      <c r="C398" s="230"/>
    </row>
    <row r="399" spans="3:3" ht="15" customHeight="1">
      <c r="C399" s="230"/>
    </row>
    <row r="400" spans="3:3" ht="15" customHeight="1">
      <c r="C400" s="230"/>
    </row>
    <row r="401" spans="3:3" ht="15" customHeight="1">
      <c r="C401" s="230"/>
    </row>
    <row r="402" spans="3:3" ht="15" customHeight="1">
      <c r="C402" s="230"/>
    </row>
    <row r="403" spans="3:3" ht="15" customHeight="1">
      <c r="C403" s="230"/>
    </row>
    <row r="404" spans="3:3" ht="15" customHeight="1">
      <c r="C404" s="230"/>
    </row>
    <row r="405" spans="3:3" ht="15" customHeight="1">
      <c r="C405" s="230"/>
    </row>
    <row r="406" spans="3:3" ht="15" customHeight="1">
      <c r="C406" s="230"/>
    </row>
    <row r="407" spans="3:3" ht="15" customHeight="1">
      <c r="C407" s="230"/>
    </row>
    <row r="408" spans="3:3" ht="15" customHeight="1">
      <c r="C408" s="230"/>
    </row>
    <row r="409" spans="3:3" ht="15" customHeight="1">
      <c r="C409" s="230"/>
    </row>
    <row r="410" spans="3:3" ht="15" customHeight="1">
      <c r="C410" s="230"/>
    </row>
    <row r="411" spans="3:3" ht="15" customHeight="1">
      <c r="C411" s="230"/>
    </row>
    <row r="412" spans="3:3" ht="15" customHeight="1">
      <c r="C412" s="230"/>
    </row>
    <row r="413" spans="3:3" ht="15" customHeight="1">
      <c r="C413" s="230"/>
    </row>
    <row r="414" spans="3:3" ht="15" customHeight="1">
      <c r="C414" s="230"/>
    </row>
    <row r="415" spans="3:3" ht="15" customHeight="1">
      <c r="C415" s="230"/>
    </row>
    <row r="416" spans="3:3" ht="15" customHeight="1">
      <c r="C416" s="230"/>
    </row>
    <row r="417" spans="3:3" ht="15" customHeight="1">
      <c r="C417" s="230"/>
    </row>
    <row r="418" spans="3:3" ht="15" customHeight="1">
      <c r="C418" s="230"/>
    </row>
    <row r="419" spans="3:3" ht="15" customHeight="1">
      <c r="C419" s="230"/>
    </row>
    <row r="420" spans="3:3" ht="15" customHeight="1">
      <c r="C420" s="230"/>
    </row>
    <row r="421" spans="3:3" ht="15" customHeight="1">
      <c r="C421" s="230"/>
    </row>
    <row r="422" spans="3:3" ht="15" customHeight="1">
      <c r="C422" s="230"/>
    </row>
    <row r="423" spans="3:3" ht="15" customHeight="1">
      <c r="C423" s="230"/>
    </row>
    <row r="424" spans="3:3" ht="15" customHeight="1">
      <c r="C424" s="230"/>
    </row>
    <row r="425" spans="3:3" ht="15" customHeight="1">
      <c r="C425" s="230"/>
    </row>
    <row r="426" spans="3:3" ht="15" customHeight="1">
      <c r="C426" s="230"/>
    </row>
    <row r="427" spans="3:3" ht="15" customHeight="1">
      <c r="C427" s="230"/>
    </row>
    <row r="428" spans="3:3" ht="15" customHeight="1">
      <c r="C428" s="230"/>
    </row>
    <row r="429" spans="3:3" ht="15" customHeight="1">
      <c r="C429" s="230"/>
    </row>
    <row r="430" spans="3:3" ht="15" customHeight="1">
      <c r="C430" s="230"/>
    </row>
    <row r="431" spans="3:3" ht="15" customHeight="1">
      <c r="C431" s="230"/>
    </row>
    <row r="432" spans="3:3" ht="15" customHeight="1">
      <c r="C432" s="230"/>
    </row>
    <row r="433" spans="3:3" ht="15" customHeight="1">
      <c r="C433" s="230"/>
    </row>
    <row r="434" spans="3:3" ht="15" customHeight="1">
      <c r="C434" s="230"/>
    </row>
    <row r="435" spans="3:3" ht="15" customHeight="1">
      <c r="C435" s="230"/>
    </row>
    <row r="436" spans="3:3" ht="15" customHeight="1">
      <c r="C436" s="230"/>
    </row>
    <row r="437" spans="3:3" ht="15" customHeight="1">
      <c r="C437" s="230"/>
    </row>
    <row r="438" spans="3:3" ht="15" customHeight="1">
      <c r="C438" s="230"/>
    </row>
    <row r="439" spans="3:3" ht="15" customHeight="1">
      <c r="C439" s="230"/>
    </row>
    <row r="440" spans="3:3" ht="15" customHeight="1">
      <c r="C440" s="230"/>
    </row>
    <row r="441" spans="3:3" ht="15" customHeight="1">
      <c r="C441" s="230"/>
    </row>
    <row r="442" spans="3:3" ht="15" customHeight="1">
      <c r="C442" s="230"/>
    </row>
    <row r="443" spans="3:3" ht="15" customHeight="1">
      <c r="C443" s="230"/>
    </row>
    <row r="444" spans="3:3" ht="15" customHeight="1">
      <c r="C444" s="230"/>
    </row>
    <row r="445" spans="3:3" ht="15" customHeight="1">
      <c r="C445" s="230"/>
    </row>
    <row r="446" spans="3:3" ht="15" customHeight="1">
      <c r="C446" s="230"/>
    </row>
    <row r="447" spans="3:3" ht="15" customHeight="1">
      <c r="C447" s="230"/>
    </row>
    <row r="448" spans="3:3" ht="15" customHeight="1">
      <c r="C448" s="230"/>
    </row>
    <row r="449" spans="3:3" ht="15" customHeight="1">
      <c r="C449" s="230"/>
    </row>
    <row r="450" spans="3:3" ht="15" customHeight="1">
      <c r="C450" s="230"/>
    </row>
    <row r="451" spans="3:3" ht="15" customHeight="1">
      <c r="C451" s="230"/>
    </row>
    <row r="452" spans="3:3" ht="15" customHeight="1">
      <c r="C452" s="230"/>
    </row>
    <row r="453" spans="3:3" ht="15" customHeight="1">
      <c r="C453" s="230"/>
    </row>
    <row r="454" spans="3:3" ht="15" customHeight="1">
      <c r="C454" s="230"/>
    </row>
    <row r="455" spans="3:3" ht="15" customHeight="1">
      <c r="C455" s="230"/>
    </row>
    <row r="456" spans="3:3" ht="15" customHeight="1">
      <c r="C456" s="230"/>
    </row>
    <row r="457" spans="3:3" ht="15" customHeight="1">
      <c r="C457" s="230"/>
    </row>
    <row r="458" spans="3:3" ht="15" customHeight="1">
      <c r="C458" s="230"/>
    </row>
    <row r="459" spans="3:3" ht="15" customHeight="1">
      <c r="C459" s="230"/>
    </row>
    <row r="460" spans="3:3" ht="15" customHeight="1">
      <c r="C460" s="230"/>
    </row>
    <row r="461" spans="3:3" ht="15" customHeight="1">
      <c r="C461" s="230"/>
    </row>
    <row r="462" spans="3:3" ht="15" customHeight="1">
      <c r="C462" s="230"/>
    </row>
    <row r="463" spans="3:3" ht="15" customHeight="1">
      <c r="C463" s="230"/>
    </row>
    <row r="464" spans="3:3" ht="15" customHeight="1">
      <c r="C464" s="230"/>
    </row>
    <row r="465" spans="3:3" ht="15" customHeight="1">
      <c r="C465" s="230"/>
    </row>
    <row r="466" spans="3:3" ht="15" customHeight="1">
      <c r="C466" s="230"/>
    </row>
    <row r="467" spans="3:3" ht="15" customHeight="1">
      <c r="C467" s="230"/>
    </row>
    <row r="468" spans="3:3" ht="15" customHeight="1">
      <c r="C468" s="230"/>
    </row>
    <row r="469" spans="3:3" ht="15" customHeight="1">
      <c r="C469" s="230"/>
    </row>
    <row r="470" spans="3:3" ht="15" customHeight="1">
      <c r="C470" s="230"/>
    </row>
    <row r="471" spans="3:3" ht="15" customHeight="1">
      <c r="C471" s="230"/>
    </row>
    <row r="472" spans="3:3" ht="15" customHeight="1">
      <c r="C472" s="230"/>
    </row>
    <row r="473" spans="3:3" ht="15" customHeight="1">
      <c r="C473" s="230"/>
    </row>
    <row r="474" spans="3:3" ht="15" customHeight="1">
      <c r="C474" s="230"/>
    </row>
    <row r="475" spans="3:3" ht="15" customHeight="1">
      <c r="C475" s="230"/>
    </row>
    <row r="476" spans="3:3" ht="15" customHeight="1">
      <c r="C476" s="230"/>
    </row>
    <row r="477" spans="3:3" ht="15" customHeight="1">
      <c r="C477" s="230"/>
    </row>
    <row r="478" spans="3:3" ht="15" customHeight="1">
      <c r="C478" s="230"/>
    </row>
    <row r="479" spans="3:3" ht="15" customHeight="1">
      <c r="C479" s="230"/>
    </row>
    <row r="480" spans="3:3" ht="15" customHeight="1">
      <c r="C480" s="230"/>
    </row>
    <row r="481" spans="3:3" ht="15" customHeight="1">
      <c r="C481" s="230"/>
    </row>
    <row r="482" spans="3:3" ht="15" customHeight="1">
      <c r="C482" s="230"/>
    </row>
    <row r="483" spans="3:3" ht="15" customHeight="1">
      <c r="C483" s="230"/>
    </row>
    <row r="484" spans="3:3" ht="15" customHeight="1">
      <c r="C484" s="230"/>
    </row>
    <row r="485" spans="3:3" ht="15" customHeight="1">
      <c r="C485" s="230"/>
    </row>
    <row r="486" spans="3:3" ht="15" customHeight="1">
      <c r="C486" s="230"/>
    </row>
    <row r="487" spans="3:3" ht="15" customHeight="1">
      <c r="C487" s="230"/>
    </row>
    <row r="488" spans="3:3" ht="15" customHeight="1">
      <c r="C488" s="230"/>
    </row>
    <row r="489" spans="3:3" ht="15" customHeight="1">
      <c r="C489" s="230"/>
    </row>
    <row r="490" spans="3:3" ht="15" customHeight="1">
      <c r="C490" s="230"/>
    </row>
    <row r="491" spans="3:3" ht="15" customHeight="1">
      <c r="C491" s="230"/>
    </row>
    <row r="492" spans="3:3" ht="15" customHeight="1">
      <c r="C492" s="230"/>
    </row>
    <row r="493" spans="3:3" ht="15" customHeight="1">
      <c r="C493" s="230"/>
    </row>
    <row r="494" spans="3:3" ht="15" customHeight="1">
      <c r="C494" s="230"/>
    </row>
    <row r="495" spans="3:3" ht="15" customHeight="1">
      <c r="C495" s="230"/>
    </row>
    <row r="496" spans="3:3" ht="15" customHeight="1">
      <c r="C496" s="230"/>
    </row>
    <row r="497" spans="3:3" ht="15" customHeight="1">
      <c r="C497" s="230"/>
    </row>
    <row r="498" spans="3:3" ht="15" customHeight="1">
      <c r="C498" s="230"/>
    </row>
    <row r="499" spans="3:3" ht="15" customHeight="1">
      <c r="C499" s="230"/>
    </row>
    <row r="500" spans="3:3" ht="15" customHeight="1">
      <c r="C500" s="230"/>
    </row>
    <row r="501" spans="3:3" ht="15" customHeight="1">
      <c r="C501" s="230"/>
    </row>
    <row r="502" spans="3:3" ht="15" customHeight="1">
      <c r="C502" s="230"/>
    </row>
    <row r="503" spans="3:3" ht="15" customHeight="1">
      <c r="C503" s="230"/>
    </row>
    <row r="504" spans="3:3" ht="15" customHeight="1">
      <c r="C504" s="230"/>
    </row>
    <row r="505" spans="3:3" ht="15" customHeight="1">
      <c r="C505" s="230"/>
    </row>
    <row r="506" spans="3:3" ht="15" customHeight="1">
      <c r="C506" s="230"/>
    </row>
    <row r="507" spans="3:3" ht="15" customHeight="1">
      <c r="C507" s="230"/>
    </row>
    <row r="508" spans="3:3" ht="15" customHeight="1">
      <c r="C508" s="230"/>
    </row>
    <row r="509" spans="3:3" ht="15" customHeight="1">
      <c r="C509" s="230"/>
    </row>
    <row r="510" spans="3:3" ht="15" customHeight="1">
      <c r="C510" s="230"/>
    </row>
    <row r="511" spans="3:3" ht="15" customHeight="1">
      <c r="C511" s="230"/>
    </row>
    <row r="512" spans="3:3" ht="15" customHeight="1">
      <c r="C512" s="230"/>
    </row>
    <row r="513" spans="3:3" ht="15" customHeight="1">
      <c r="C513" s="230"/>
    </row>
    <row r="514" spans="3:3" ht="15" customHeight="1">
      <c r="C514" s="230"/>
    </row>
    <row r="515" spans="3:3" ht="15" customHeight="1">
      <c r="C515" s="230"/>
    </row>
    <row r="516" spans="3:3" ht="15" customHeight="1">
      <c r="C516" s="230"/>
    </row>
    <row r="517" spans="3:3" ht="15" customHeight="1">
      <c r="C517" s="230"/>
    </row>
    <row r="518" spans="3:3" ht="15" customHeight="1">
      <c r="C518" s="230"/>
    </row>
    <row r="519" spans="3:3" ht="15" customHeight="1">
      <c r="C519" s="230"/>
    </row>
    <row r="520" spans="3:3" ht="15" customHeight="1">
      <c r="C520" s="230"/>
    </row>
    <row r="521" spans="3:3" ht="15" customHeight="1">
      <c r="C521" s="230"/>
    </row>
    <row r="522" spans="3:3" ht="15" customHeight="1">
      <c r="C522" s="230"/>
    </row>
    <row r="523" spans="3:3" ht="15" customHeight="1">
      <c r="C523" s="230"/>
    </row>
    <row r="524" spans="3:3" ht="15" customHeight="1">
      <c r="C524" s="230"/>
    </row>
    <row r="525" spans="3:3" ht="15" customHeight="1">
      <c r="C525" s="230"/>
    </row>
    <row r="526" spans="3:3" ht="15" customHeight="1">
      <c r="C526" s="230"/>
    </row>
    <row r="527" spans="3:3" ht="15" customHeight="1">
      <c r="C527" s="230"/>
    </row>
    <row r="528" spans="3:3" ht="15" customHeight="1">
      <c r="C528" s="230"/>
    </row>
    <row r="529" spans="3:3" ht="15" customHeight="1">
      <c r="C529" s="230"/>
    </row>
    <row r="530" spans="3:3" ht="15" customHeight="1">
      <c r="C530" s="230"/>
    </row>
    <row r="531" spans="3:3" ht="15" customHeight="1">
      <c r="C531" s="230"/>
    </row>
    <row r="532" spans="3:3" ht="15" customHeight="1">
      <c r="C532" s="230"/>
    </row>
    <row r="533" spans="3:3" ht="15" customHeight="1">
      <c r="C533" s="230"/>
    </row>
    <row r="534" spans="3:3" ht="15" customHeight="1">
      <c r="C534" s="230"/>
    </row>
    <row r="535" spans="3:3" ht="15" customHeight="1">
      <c r="C535" s="230"/>
    </row>
    <row r="536" spans="3:3" ht="15" customHeight="1">
      <c r="C536" s="230"/>
    </row>
    <row r="537" spans="3:3" ht="15" customHeight="1">
      <c r="C537" s="230"/>
    </row>
    <row r="538" spans="3:3" ht="15" customHeight="1">
      <c r="C538" s="230"/>
    </row>
    <row r="539" spans="3:3" ht="15" customHeight="1">
      <c r="C539" s="230"/>
    </row>
    <row r="540" spans="3:3" ht="15" customHeight="1">
      <c r="C540" s="230"/>
    </row>
    <row r="541" spans="3:3" ht="15" customHeight="1">
      <c r="C541" s="230"/>
    </row>
    <row r="542" spans="3:3" ht="15" customHeight="1">
      <c r="C542" s="230"/>
    </row>
    <row r="543" spans="3:3" ht="15" customHeight="1">
      <c r="C543" s="230"/>
    </row>
    <row r="544" spans="3:3" ht="15" customHeight="1">
      <c r="C544" s="230"/>
    </row>
    <row r="545" spans="3:3" ht="15" customHeight="1">
      <c r="C545" s="230"/>
    </row>
    <row r="546" spans="3:3" ht="15" customHeight="1">
      <c r="C546" s="230"/>
    </row>
    <row r="547" spans="3:3" ht="15" customHeight="1">
      <c r="C547" s="230"/>
    </row>
    <row r="548" spans="3:3" ht="15" customHeight="1">
      <c r="C548" s="230"/>
    </row>
    <row r="549" spans="3:3" ht="15" customHeight="1">
      <c r="C549" s="230"/>
    </row>
    <row r="550" spans="3:3" ht="15" customHeight="1">
      <c r="C550" s="230"/>
    </row>
    <row r="551" spans="3:3" ht="15" customHeight="1">
      <c r="C551" s="230"/>
    </row>
    <row r="552" spans="3:3" ht="15" customHeight="1">
      <c r="C552" s="230"/>
    </row>
    <row r="553" spans="3:3" ht="15" customHeight="1">
      <c r="C553" s="230"/>
    </row>
    <row r="554" spans="3:3" ht="15" customHeight="1">
      <c r="C554" s="230"/>
    </row>
    <row r="555" spans="3:3" ht="15" customHeight="1">
      <c r="C555" s="230"/>
    </row>
    <row r="556" spans="3:3" ht="15" customHeight="1">
      <c r="C556" s="230"/>
    </row>
    <row r="557" spans="3:3" ht="15" customHeight="1">
      <c r="C557" s="230"/>
    </row>
    <row r="558" spans="3:3" ht="15" customHeight="1">
      <c r="C558" s="230"/>
    </row>
    <row r="559" spans="3:3" ht="15" customHeight="1">
      <c r="C559" s="230"/>
    </row>
    <row r="560" spans="3:3" ht="15" customHeight="1">
      <c r="C560" s="230"/>
    </row>
    <row r="561" spans="3:3" ht="15" customHeight="1">
      <c r="C561" s="230"/>
    </row>
    <row r="562" spans="3:3" ht="15" customHeight="1">
      <c r="C562" s="230"/>
    </row>
    <row r="563" spans="3:3" ht="15" customHeight="1">
      <c r="C563" s="230"/>
    </row>
    <row r="564" spans="3:3" ht="15" customHeight="1">
      <c r="C564" s="230"/>
    </row>
    <row r="565" spans="3:3" ht="15" customHeight="1">
      <c r="C565" s="230"/>
    </row>
    <row r="566" spans="3:3" ht="15" customHeight="1">
      <c r="C566" s="230"/>
    </row>
    <row r="567" spans="3:3" ht="15" customHeight="1">
      <c r="C567" s="230"/>
    </row>
    <row r="568" spans="3:3" ht="15" customHeight="1">
      <c r="C568" s="230"/>
    </row>
    <row r="569" spans="3:3" ht="15" customHeight="1">
      <c r="C569" s="230"/>
    </row>
    <row r="570" spans="3:3" ht="15" customHeight="1">
      <c r="C570" s="230"/>
    </row>
    <row r="571" spans="3:3" ht="15" customHeight="1">
      <c r="C571" s="230"/>
    </row>
    <row r="572" spans="3:3" ht="15" customHeight="1">
      <c r="C572" s="230"/>
    </row>
    <row r="573" spans="3:3" ht="15" customHeight="1">
      <c r="C573" s="230"/>
    </row>
    <row r="574" spans="3:3" ht="15" customHeight="1">
      <c r="C574" s="230"/>
    </row>
    <row r="575" spans="3:3" ht="15" customHeight="1">
      <c r="C575" s="230"/>
    </row>
    <row r="576" spans="3:3" ht="15" customHeight="1">
      <c r="C576" s="230"/>
    </row>
    <row r="577" spans="3:3" ht="15" customHeight="1">
      <c r="C577" s="230"/>
    </row>
    <row r="578" spans="3:3" ht="15" customHeight="1">
      <c r="C578" s="230"/>
    </row>
    <row r="579" spans="3:3" ht="15" customHeight="1">
      <c r="C579" s="230"/>
    </row>
    <row r="580" spans="3:3" ht="15" customHeight="1">
      <c r="C580" s="230"/>
    </row>
    <row r="581" spans="3:3" ht="15" customHeight="1">
      <c r="C581" s="230"/>
    </row>
    <row r="582" spans="3:3" ht="15" customHeight="1">
      <c r="C582" s="230"/>
    </row>
    <row r="583" spans="3:3" ht="15" customHeight="1">
      <c r="C583" s="230"/>
    </row>
    <row r="584" spans="3:3" ht="15" customHeight="1">
      <c r="C584" s="230"/>
    </row>
    <row r="585" spans="3:3" ht="15" customHeight="1">
      <c r="C585" s="230"/>
    </row>
    <row r="586" spans="3:3" ht="15" customHeight="1">
      <c r="C586" s="230"/>
    </row>
    <row r="587" spans="3:3" ht="15" customHeight="1">
      <c r="C587" s="230"/>
    </row>
    <row r="588" spans="3:3" ht="15" customHeight="1">
      <c r="C588" s="230"/>
    </row>
    <row r="589" spans="3:3" ht="15" customHeight="1">
      <c r="C589" s="230"/>
    </row>
    <row r="590" spans="3:3" ht="15" customHeight="1">
      <c r="C590" s="230"/>
    </row>
    <row r="591" spans="3:3" ht="15" customHeight="1">
      <c r="C591" s="230"/>
    </row>
    <row r="592" spans="3:3" ht="15" customHeight="1">
      <c r="C592" s="230"/>
    </row>
    <row r="593" spans="3:3" ht="15" customHeight="1">
      <c r="C593" s="230"/>
    </row>
    <row r="594" spans="3:3" ht="15" customHeight="1">
      <c r="C594" s="230"/>
    </row>
    <row r="595" spans="3:3" ht="15" customHeight="1">
      <c r="C595" s="230"/>
    </row>
    <row r="596" spans="3:3" ht="15" customHeight="1">
      <c r="C596" s="230"/>
    </row>
    <row r="597" spans="3:3" ht="15" customHeight="1">
      <c r="C597" s="230"/>
    </row>
    <row r="598" spans="3:3" ht="15" customHeight="1">
      <c r="C598" s="230"/>
    </row>
    <row r="599" spans="3:3" ht="15" customHeight="1">
      <c r="C599" s="230"/>
    </row>
    <row r="600" spans="3:3" ht="15" customHeight="1">
      <c r="C600" s="230"/>
    </row>
    <row r="601" spans="3:3" ht="15" customHeight="1">
      <c r="C601" s="230"/>
    </row>
    <row r="602" spans="3:3" ht="15" customHeight="1">
      <c r="C602" s="230"/>
    </row>
    <row r="603" spans="3:3" ht="15" customHeight="1">
      <c r="C603" s="230"/>
    </row>
    <row r="604" spans="3:3" ht="15" customHeight="1">
      <c r="C604" s="230"/>
    </row>
    <row r="605" spans="3:3" ht="15" customHeight="1">
      <c r="C605" s="230"/>
    </row>
    <row r="606" spans="3:3" ht="15" customHeight="1">
      <c r="C606" s="230"/>
    </row>
    <row r="607" spans="3:3" ht="15" customHeight="1">
      <c r="C607" s="230"/>
    </row>
    <row r="608" spans="3:3" ht="15" customHeight="1">
      <c r="C608" s="230"/>
    </row>
    <row r="609" spans="3:3" ht="15" customHeight="1">
      <c r="C609" s="230"/>
    </row>
    <row r="610" spans="3:3" ht="15" customHeight="1">
      <c r="C610" s="230"/>
    </row>
    <row r="611" spans="3:3" ht="15" customHeight="1">
      <c r="C611" s="230"/>
    </row>
    <row r="612" spans="3:3" ht="15" customHeight="1">
      <c r="C612" s="230"/>
    </row>
    <row r="613" spans="3:3" ht="15" customHeight="1">
      <c r="C613" s="230"/>
    </row>
    <row r="614" spans="3:3" ht="15" customHeight="1">
      <c r="C614" s="230"/>
    </row>
    <row r="615" spans="3:3" ht="15" customHeight="1">
      <c r="C615" s="230"/>
    </row>
    <row r="616" spans="3:3" ht="15" customHeight="1">
      <c r="C616" s="230"/>
    </row>
    <row r="617" spans="3:3" ht="15" customHeight="1">
      <c r="C617" s="230"/>
    </row>
    <row r="618" spans="3:3" ht="15" customHeight="1">
      <c r="C618" s="230"/>
    </row>
    <row r="619" spans="3:3" ht="15" customHeight="1">
      <c r="C619" s="230"/>
    </row>
    <row r="620" spans="3:3" ht="15" customHeight="1">
      <c r="C620" s="230"/>
    </row>
    <row r="621" spans="3:3" ht="15" customHeight="1">
      <c r="C621" s="230"/>
    </row>
    <row r="622" spans="3:3" ht="15" customHeight="1">
      <c r="C622" s="230"/>
    </row>
    <row r="623" spans="3:3" ht="15" customHeight="1">
      <c r="C623" s="230"/>
    </row>
    <row r="624" spans="3:3" ht="15" customHeight="1">
      <c r="C624" s="230"/>
    </row>
    <row r="625" spans="3:3" ht="15" customHeight="1">
      <c r="C625" s="230"/>
    </row>
    <row r="626" spans="3:3" ht="15" customHeight="1">
      <c r="C626" s="230"/>
    </row>
    <row r="627" spans="3:3" ht="15" customHeight="1">
      <c r="C627" s="230"/>
    </row>
    <row r="628" spans="3:3" ht="15" customHeight="1">
      <c r="C628" s="230"/>
    </row>
    <row r="629" spans="3:3" ht="15" customHeight="1">
      <c r="C629" s="230"/>
    </row>
    <row r="630" spans="3:3" ht="15" customHeight="1">
      <c r="C630" s="230"/>
    </row>
    <row r="631" spans="3:3" ht="15" customHeight="1">
      <c r="C631" s="230"/>
    </row>
    <row r="632" spans="3:3" ht="15" customHeight="1">
      <c r="C632" s="230"/>
    </row>
    <row r="633" spans="3:3" ht="15" customHeight="1">
      <c r="C633" s="230"/>
    </row>
    <row r="634" spans="3:3" ht="15" customHeight="1">
      <c r="C634" s="230"/>
    </row>
    <row r="635" spans="3:3" ht="15" customHeight="1">
      <c r="C635" s="230"/>
    </row>
    <row r="636" spans="3:3" ht="15" customHeight="1">
      <c r="C636" s="230"/>
    </row>
    <row r="637" spans="3:3" ht="15" customHeight="1">
      <c r="C637" s="230"/>
    </row>
    <row r="638" spans="3:3" ht="15" customHeight="1">
      <c r="C638" s="230"/>
    </row>
    <row r="639" spans="3:3" ht="15" customHeight="1">
      <c r="C639" s="230"/>
    </row>
    <row r="640" spans="3:3" ht="15" customHeight="1">
      <c r="C640" s="230"/>
    </row>
    <row r="641" spans="3:3" ht="15" customHeight="1">
      <c r="C641" s="230"/>
    </row>
    <row r="642" spans="3:3" ht="15" customHeight="1">
      <c r="C642" s="230"/>
    </row>
    <row r="643" spans="3:3" ht="15" customHeight="1">
      <c r="C643" s="230"/>
    </row>
    <row r="644" spans="3:3" ht="15" customHeight="1">
      <c r="C644" s="230"/>
    </row>
    <row r="645" spans="3:3" ht="15" customHeight="1">
      <c r="C645" s="230"/>
    </row>
    <row r="646" spans="3:3" ht="15" customHeight="1">
      <c r="C646" s="230"/>
    </row>
    <row r="647" spans="3:3" ht="15" customHeight="1">
      <c r="C647" s="230"/>
    </row>
    <row r="648" spans="3:3" ht="15" customHeight="1">
      <c r="C648" s="230"/>
    </row>
    <row r="649" spans="3:3" ht="15" customHeight="1">
      <c r="C649" s="230"/>
    </row>
    <row r="650" spans="3:3" ht="15" customHeight="1">
      <c r="C650" s="230"/>
    </row>
    <row r="651" spans="3:3" ht="15" customHeight="1">
      <c r="C651" s="230"/>
    </row>
    <row r="652" spans="3:3" ht="15" customHeight="1">
      <c r="C652" s="230"/>
    </row>
    <row r="653" spans="3:3" ht="15" customHeight="1">
      <c r="C653" s="230"/>
    </row>
    <row r="654" spans="3:3" ht="15" customHeight="1">
      <c r="C654" s="230"/>
    </row>
    <row r="655" spans="3:3" ht="15" customHeight="1">
      <c r="C655" s="230"/>
    </row>
    <row r="656" spans="3:3" ht="15" customHeight="1">
      <c r="C656" s="230"/>
    </row>
    <row r="657" spans="3:3" ht="15" customHeight="1">
      <c r="C657" s="230"/>
    </row>
    <row r="658" spans="3:3" ht="15" customHeight="1">
      <c r="C658" s="230"/>
    </row>
    <row r="659" spans="3:3" ht="15" customHeight="1">
      <c r="C659" s="230"/>
    </row>
    <row r="660" spans="3:3" ht="15" customHeight="1">
      <c r="C660" s="230"/>
    </row>
    <row r="661" spans="3:3" ht="15" customHeight="1">
      <c r="C661" s="230"/>
    </row>
    <row r="662" spans="3:3" ht="15" customHeight="1">
      <c r="C662" s="230"/>
    </row>
    <row r="663" spans="3:3" ht="15" customHeight="1">
      <c r="C663" s="230"/>
    </row>
    <row r="664" spans="3:3" ht="15" customHeight="1">
      <c r="C664" s="230"/>
    </row>
    <row r="665" spans="3:3" ht="15" customHeight="1">
      <c r="C665" s="230"/>
    </row>
    <row r="666" spans="3:3" ht="15" customHeight="1">
      <c r="C666" s="230"/>
    </row>
    <row r="667" spans="3:3" ht="15" customHeight="1">
      <c r="C667" s="230"/>
    </row>
    <row r="668" spans="3:3" ht="15" customHeight="1">
      <c r="C668" s="230"/>
    </row>
    <row r="669" spans="3:3" ht="15" customHeight="1">
      <c r="C669" s="230"/>
    </row>
    <row r="670" spans="3:3" ht="15" customHeight="1">
      <c r="C670" s="230"/>
    </row>
    <row r="671" spans="3:3" ht="15" customHeight="1">
      <c r="C671" s="230"/>
    </row>
    <row r="672" spans="3:3" ht="15" customHeight="1">
      <c r="C672" s="230"/>
    </row>
    <row r="673" spans="3:3" ht="15" customHeight="1">
      <c r="C673" s="230"/>
    </row>
    <row r="674" spans="3:3" ht="15" customHeight="1">
      <c r="C674" s="230"/>
    </row>
    <row r="675" spans="3:3" ht="15" customHeight="1">
      <c r="C675" s="230"/>
    </row>
    <row r="676" spans="3:3" ht="15" customHeight="1">
      <c r="C676" s="230"/>
    </row>
    <row r="677" spans="3:3" ht="15" customHeight="1">
      <c r="C677" s="230"/>
    </row>
    <row r="678" spans="3:3" ht="15" customHeight="1">
      <c r="C678" s="230"/>
    </row>
    <row r="679" spans="3:3" ht="15" customHeight="1">
      <c r="C679" s="230"/>
    </row>
    <row r="680" spans="3:3" ht="15" customHeight="1">
      <c r="C680" s="230"/>
    </row>
    <row r="681" spans="3:3" ht="15" customHeight="1">
      <c r="C681" s="230"/>
    </row>
    <row r="682" spans="3:3" ht="15" customHeight="1">
      <c r="C682" s="230"/>
    </row>
    <row r="683" spans="3:3" ht="15" customHeight="1">
      <c r="C683" s="230"/>
    </row>
    <row r="684" spans="3:3" ht="15" customHeight="1">
      <c r="C684" s="230"/>
    </row>
    <row r="685" spans="3:3" ht="15" customHeight="1">
      <c r="C685" s="230"/>
    </row>
    <row r="686" spans="3:3" ht="15" customHeight="1">
      <c r="C686" s="230"/>
    </row>
    <row r="687" spans="3:3" ht="15" customHeight="1">
      <c r="C687" s="230"/>
    </row>
    <row r="688" spans="3:3" ht="15" customHeight="1">
      <c r="C688" s="230"/>
    </row>
    <row r="689" spans="3:3" ht="15" customHeight="1">
      <c r="C689" s="230"/>
    </row>
    <row r="690" spans="3:3" ht="15" customHeight="1">
      <c r="C690" s="230"/>
    </row>
    <row r="691" spans="3:3" ht="15" customHeight="1">
      <c r="C691" s="230"/>
    </row>
    <row r="692" spans="3:3" ht="15" customHeight="1">
      <c r="C692" s="230"/>
    </row>
    <row r="693" spans="3:3" ht="15" customHeight="1">
      <c r="C693" s="230"/>
    </row>
    <row r="694" spans="3:3" ht="15" customHeight="1">
      <c r="C694" s="230"/>
    </row>
    <row r="695" spans="3:3" ht="15" customHeight="1">
      <c r="C695" s="230"/>
    </row>
    <row r="696" spans="3:3" ht="15" customHeight="1">
      <c r="C696" s="230"/>
    </row>
    <row r="697" spans="3:3" ht="15" customHeight="1">
      <c r="C697" s="230"/>
    </row>
    <row r="698" spans="3:3" ht="15" customHeight="1">
      <c r="C698" s="230"/>
    </row>
    <row r="699" spans="3:3" ht="15" customHeight="1">
      <c r="C699" s="230"/>
    </row>
    <row r="700" spans="3:3" ht="15" customHeight="1">
      <c r="C700" s="230"/>
    </row>
    <row r="701" spans="3:3" ht="15" customHeight="1">
      <c r="C701" s="230"/>
    </row>
    <row r="702" spans="3:3" ht="15" customHeight="1">
      <c r="C702" s="230"/>
    </row>
    <row r="703" spans="3:3" ht="15" customHeight="1">
      <c r="C703" s="230"/>
    </row>
    <row r="704" spans="3:3" ht="15" customHeight="1">
      <c r="C704" s="230"/>
    </row>
    <row r="705" spans="3:3" ht="15" customHeight="1">
      <c r="C705" s="230"/>
    </row>
    <row r="706" spans="3:3" ht="15" customHeight="1">
      <c r="C706" s="230"/>
    </row>
    <row r="707" spans="3:3" ht="15" customHeight="1">
      <c r="C707" s="230"/>
    </row>
    <row r="708" spans="3:3" ht="15" customHeight="1">
      <c r="C708" s="230"/>
    </row>
    <row r="709" spans="3:3" ht="15" customHeight="1">
      <c r="C709" s="230"/>
    </row>
    <row r="710" spans="3:3" ht="15" customHeight="1">
      <c r="C710" s="230"/>
    </row>
    <row r="711" spans="3:3" ht="15" customHeight="1">
      <c r="C711" s="230"/>
    </row>
    <row r="712" spans="3:3" ht="15" customHeight="1">
      <c r="C712" s="230"/>
    </row>
    <row r="713" spans="3:3" ht="15" customHeight="1">
      <c r="C713" s="230"/>
    </row>
    <row r="714" spans="3:3" ht="15" customHeight="1">
      <c r="C714" s="230"/>
    </row>
    <row r="715" spans="3:3" ht="15" customHeight="1">
      <c r="C715" s="230"/>
    </row>
    <row r="716" spans="3:3" ht="15" customHeight="1">
      <c r="C716" s="230"/>
    </row>
    <row r="717" spans="3:3" ht="15" customHeight="1">
      <c r="C717" s="230"/>
    </row>
    <row r="718" spans="3:3" ht="15" customHeight="1">
      <c r="C718" s="230"/>
    </row>
    <row r="719" spans="3:3" ht="15" customHeight="1">
      <c r="C719" s="230"/>
    </row>
    <row r="720" spans="3:3" ht="15" customHeight="1">
      <c r="C720" s="230"/>
    </row>
    <row r="721" spans="3:3" ht="15" customHeight="1">
      <c r="C721" s="230"/>
    </row>
    <row r="722" spans="3:3" ht="15" customHeight="1">
      <c r="C722" s="230"/>
    </row>
    <row r="723" spans="3:3" ht="15" customHeight="1">
      <c r="C723" s="230"/>
    </row>
    <row r="724" spans="3:3" ht="15" customHeight="1">
      <c r="C724" s="230"/>
    </row>
    <row r="725" spans="3:3" ht="15" customHeight="1">
      <c r="C725" s="230"/>
    </row>
    <row r="726" spans="3:3" ht="15" customHeight="1">
      <c r="C726" s="230"/>
    </row>
    <row r="727" spans="3:3" ht="15" customHeight="1">
      <c r="C727" s="230"/>
    </row>
    <row r="728" spans="3:3" ht="15" customHeight="1">
      <c r="C728" s="230"/>
    </row>
    <row r="729" spans="3:3" ht="15" customHeight="1">
      <c r="C729" s="230"/>
    </row>
    <row r="730" spans="3:3" ht="15" customHeight="1">
      <c r="C730" s="230"/>
    </row>
    <row r="731" spans="3:3" ht="15" customHeight="1">
      <c r="C731" s="230"/>
    </row>
    <row r="732" spans="3:3" ht="15" customHeight="1">
      <c r="C732" s="230"/>
    </row>
    <row r="733" spans="3:3" ht="15" customHeight="1">
      <c r="C733" s="230"/>
    </row>
    <row r="734" spans="3:3" ht="15" customHeight="1">
      <c r="C734" s="230"/>
    </row>
    <row r="735" spans="3:3" ht="15" customHeight="1">
      <c r="C735" s="230"/>
    </row>
    <row r="736" spans="3:3" ht="15" customHeight="1">
      <c r="C736" s="230"/>
    </row>
    <row r="737" spans="3:3" ht="15" customHeight="1">
      <c r="C737" s="230"/>
    </row>
    <row r="738" spans="3:3" ht="15" customHeight="1">
      <c r="C738" s="230"/>
    </row>
    <row r="739" spans="3:3" ht="15" customHeight="1">
      <c r="C739" s="230"/>
    </row>
    <row r="740" spans="3:3" ht="15" customHeight="1">
      <c r="C740" s="230"/>
    </row>
    <row r="741" spans="3:3" ht="15" customHeight="1">
      <c r="C741" s="230"/>
    </row>
    <row r="742" spans="3:3" ht="15" customHeight="1">
      <c r="C742" s="230"/>
    </row>
    <row r="743" spans="3:3" ht="15" customHeight="1">
      <c r="C743" s="230"/>
    </row>
    <row r="744" spans="3:3" ht="15" customHeight="1">
      <c r="C744" s="230"/>
    </row>
    <row r="745" spans="3:3" ht="15" customHeight="1">
      <c r="C745" s="230"/>
    </row>
    <row r="746" spans="3:3" ht="15" customHeight="1">
      <c r="C746" s="230"/>
    </row>
    <row r="747" spans="3:3" ht="15" customHeight="1">
      <c r="C747" s="230"/>
    </row>
    <row r="748" spans="3:3" ht="15" customHeight="1">
      <c r="C748" s="230"/>
    </row>
    <row r="749" spans="3:3" ht="15" customHeight="1">
      <c r="C749" s="230"/>
    </row>
    <row r="750" spans="3:3" ht="15" customHeight="1">
      <c r="C750" s="230"/>
    </row>
    <row r="751" spans="3:3" ht="15" customHeight="1">
      <c r="C751" s="230"/>
    </row>
    <row r="752" spans="3:3" ht="15" customHeight="1">
      <c r="C752" s="230"/>
    </row>
    <row r="753" spans="3:3" ht="15" customHeight="1">
      <c r="C753" s="230"/>
    </row>
    <row r="754" spans="3:3" ht="15" customHeight="1">
      <c r="C754" s="230"/>
    </row>
    <row r="755" spans="3:3" ht="15" customHeight="1">
      <c r="C755" s="230"/>
    </row>
    <row r="756" spans="3:3" ht="15" customHeight="1">
      <c r="C756" s="230"/>
    </row>
    <row r="757" spans="3:3" ht="15" customHeight="1">
      <c r="C757" s="230"/>
    </row>
    <row r="758" spans="3:3" ht="15" customHeight="1">
      <c r="C758" s="230"/>
    </row>
    <row r="759" spans="3:3" ht="15" customHeight="1">
      <c r="C759" s="230"/>
    </row>
    <row r="760" spans="3:3" ht="15" customHeight="1">
      <c r="C760" s="230"/>
    </row>
    <row r="761" spans="3:3" ht="15" customHeight="1">
      <c r="C761" s="230"/>
    </row>
    <row r="762" spans="3:3" ht="15" customHeight="1">
      <c r="C762" s="230"/>
    </row>
    <row r="763" spans="3:3" ht="15" customHeight="1">
      <c r="C763" s="230"/>
    </row>
    <row r="764" spans="3:3" ht="15" customHeight="1">
      <c r="C764" s="230"/>
    </row>
    <row r="765" spans="3:3" ht="15" customHeight="1">
      <c r="C765" s="230"/>
    </row>
    <row r="766" spans="3:3" ht="15" customHeight="1">
      <c r="C766" s="230"/>
    </row>
    <row r="767" spans="3:3" ht="15" customHeight="1">
      <c r="C767" s="230"/>
    </row>
    <row r="768" spans="3:3" ht="15" customHeight="1">
      <c r="C768" s="230"/>
    </row>
    <row r="769" spans="3:3" ht="15" customHeight="1">
      <c r="C769" s="230"/>
    </row>
    <row r="770" spans="3:3" ht="15" customHeight="1">
      <c r="C770" s="230"/>
    </row>
    <row r="771" spans="3:3" ht="15" customHeight="1">
      <c r="C771" s="230"/>
    </row>
    <row r="772" spans="3:3" ht="15" customHeight="1">
      <c r="C772" s="230"/>
    </row>
    <row r="773" spans="3:3" ht="15" customHeight="1">
      <c r="C773" s="230"/>
    </row>
    <row r="774" spans="3:3" ht="15" customHeight="1">
      <c r="C774" s="230"/>
    </row>
    <row r="775" spans="3:3" ht="15" customHeight="1">
      <c r="C775" s="230"/>
    </row>
    <row r="776" spans="3:3" ht="15" customHeight="1">
      <c r="C776" s="230"/>
    </row>
    <row r="777" spans="3:3" ht="15" customHeight="1">
      <c r="C777" s="230"/>
    </row>
    <row r="778" spans="3:3" ht="15" customHeight="1">
      <c r="C778" s="230"/>
    </row>
    <row r="779" spans="3:3" ht="15" customHeight="1">
      <c r="C779" s="230"/>
    </row>
    <row r="780" spans="3:3" ht="15" customHeight="1">
      <c r="C780" s="230"/>
    </row>
    <row r="781" spans="3:3" ht="15" customHeight="1">
      <c r="C781" s="230"/>
    </row>
    <row r="782" spans="3:3" ht="15" customHeight="1">
      <c r="C782" s="230"/>
    </row>
    <row r="783" spans="3:3" ht="15" customHeight="1">
      <c r="C783" s="230"/>
    </row>
    <row r="784" spans="3:3" ht="15" customHeight="1">
      <c r="C784" s="230"/>
    </row>
    <row r="785" spans="3:3" ht="15" customHeight="1">
      <c r="C785" s="230"/>
    </row>
    <row r="786" spans="3:3" ht="15" customHeight="1">
      <c r="C786" s="230"/>
    </row>
    <row r="787" spans="3:3" ht="15" customHeight="1">
      <c r="C787" s="230"/>
    </row>
    <row r="788" spans="3:3" ht="15" customHeight="1">
      <c r="C788" s="230"/>
    </row>
    <row r="789" spans="3:3" ht="15" customHeight="1">
      <c r="C789" s="230"/>
    </row>
    <row r="790" spans="3:3" ht="15" customHeight="1">
      <c r="C790" s="230"/>
    </row>
    <row r="791" spans="3:3" ht="15" customHeight="1">
      <c r="C791" s="230"/>
    </row>
    <row r="792" spans="3:3" ht="15" customHeight="1">
      <c r="C792" s="230"/>
    </row>
    <row r="793" spans="3:3" ht="15" customHeight="1">
      <c r="C793" s="230"/>
    </row>
    <row r="794" spans="3:3" ht="15" customHeight="1">
      <c r="C794" s="230"/>
    </row>
    <row r="795" spans="3:3" ht="15" customHeight="1">
      <c r="C795" s="230"/>
    </row>
    <row r="796" spans="3:3" ht="15" customHeight="1">
      <c r="C796" s="230"/>
    </row>
    <row r="797" spans="3:3" ht="15" customHeight="1">
      <c r="C797" s="230"/>
    </row>
    <row r="798" spans="3:3" ht="15" customHeight="1">
      <c r="C798" s="230"/>
    </row>
    <row r="799" spans="3:3" ht="15" customHeight="1">
      <c r="C799" s="230"/>
    </row>
    <row r="800" spans="3:3" ht="15" customHeight="1">
      <c r="C800" s="230"/>
    </row>
    <row r="801" spans="3:3" ht="15" customHeight="1">
      <c r="C801" s="230"/>
    </row>
    <row r="802" spans="3:3" ht="15" customHeight="1">
      <c r="C802" s="230"/>
    </row>
    <row r="803" spans="3:3" ht="15" customHeight="1">
      <c r="C803" s="230"/>
    </row>
    <row r="804" spans="3:3" ht="15" customHeight="1">
      <c r="C804" s="230"/>
    </row>
    <row r="805" spans="3:3" ht="15" customHeight="1">
      <c r="C805" s="230"/>
    </row>
    <row r="806" spans="3:3" ht="15" customHeight="1">
      <c r="C806" s="230"/>
    </row>
    <row r="807" spans="3:3" ht="15" customHeight="1">
      <c r="C807" s="230"/>
    </row>
    <row r="808" spans="3:3" ht="15" customHeight="1">
      <c r="C808" s="230"/>
    </row>
    <row r="809" spans="3:3" ht="15" customHeight="1">
      <c r="C809" s="230"/>
    </row>
    <row r="810" spans="3:3" ht="15" customHeight="1">
      <c r="C810" s="230"/>
    </row>
    <row r="811" spans="3:3" ht="15" customHeight="1">
      <c r="C811" s="230"/>
    </row>
    <row r="812" spans="3:3" ht="15" customHeight="1">
      <c r="C812" s="230"/>
    </row>
    <row r="813" spans="3:3" ht="15" customHeight="1">
      <c r="C813" s="230"/>
    </row>
    <row r="814" spans="3:3" ht="15" customHeight="1">
      <c r="C814" s="230"/>
    </row>
    <row r="815" spans="3:3" ht="15" customHeight="1">
      <c r="C815" s="230"/>
    </row>
    <row r="816" spans="3:3" ht="15" customHeight="1">
      <c r="C816" s="230"/>
    </row>
    <row r="817" spans="3:3" ht="15" customHeight="1">
      <c r="C817" s="230"/>
    </row>
    <row r="818" spans="3:3" ht="15" customHeight="1">
      <c r="C818" s="230"/>
    </row>
    <row r="819" spans="3:3" ht="15" customHeight="1">
      <c r="C819" s="230"/>
    </row>
    <row r="820" spans="3:3" ht="15" customHeight="1">
      <c r="C820" s="230"/>
    </row>
    <row r="821" spans="3:3" ht="15" customHeight="1">
      <c r="C821" s="230"/>
    </row>
    <row r="822" spans="3:3" ht="15" customHeight="1">
      <c r="C822" s="230"/>
    </row>
    <row r="823" spans="3:3" ht="15" customHeight="1">
      <c r="C823" s="230"/>
    </row>
    <row r="824" spans="3:3" ht="15" customHeight="1">
      <c r="C824" s="230"/>
    </row>
    <row r="825" spans="3:3" ht="15" customHeight="1">
      <c r="C825" s="230"/>
    </row>
    <row r="826" spans="3:3" ht="15" customHeight="1">
      <c r="C826" s="230"/>
    </row>
    <row r="827" spans="3:3" ht="15" customHeight="1">
      <c r="C827" s="230"/>
    </row>
    <row r="828" spans="3:3" ht="15" customHeight="1">
      <c r="C828" s="230"/>
    </row>
    <row r="829" spans="3:3" ht="15" customHeight="1">
      <c r="C829" s="230"/>
    </row>
    <row r="830" spans="3:3" ht="15" customHeight="1">
      <c r="C830" s="230"/>
    </row>
    <row r="831" spans="3:3" ht="15" customHeight="1">
      <c r="C831" s="230"/>
    </row>
    <row r="832" spans="3:3" ht="15" customHeight="1">
      <c r="C832" s="230"/>
    </row>
    <row r="833" spans="3:3" ht="15" customHeight="1">
      <c r="C833" s="230"/>
    </row>
    <row r="834" spans="3:3" ht="15" customHeight="1">
      <c r="C834" s="230"/>
    </row>
    <row r="835" spans="3:3" ht="15" customHeight="1">
      <c r="C835" s="230"/>
    </row>
    <row r="836" spans="3:3" ht="15" customHeight="1">
      <c r="C836" s="230"/>
    </row>
    <row r="837" spans="3:3" ht="15" customHeight="1">
      <c r="C837" s="230"/>
    </row>
    <row r="838" spans="3:3" ht="15" customHeight="1">
      <c r="C838" s="230"/>
    </row>
    <row r="839" spans="3:3" ht="15" customHeight="1">
      <c r="C839" s="230"/>
    </row>
    <row r="840" spans="3:3" ht="15" customHeight="1">
      <c r="C840" s="230"/>
    </row>
    <row r="841" spans="3:3" ht="15" customHeight="1">
      <c r="C841" s="230"/>
    </row>
    <row r="842" spans="3:3" ht="15" customHeight="1">
      <c r="C842" s="230"/>
    </row>
    <row r="843" spans="3:3" ht="15" customHeight="1">
      <c r="C843" s="230"/>
    </row>
    <row r="844" spans="3:3" ht="15" customHeight="1">
      <c r="C844" s="230"/>
    </row>
    <row r="845" spans="3:3" ht="15" customHeight="1">
      <c r="C845" s="230"/>
    </row>
    <row r="846" spans="3:3" ht="15" customHeight="1">
      <c r="C846" s="230"/>
    </row>
    <row r="847" spans="3:3" ht="15" customHeight="1">
      <c r="C847" s="230"/>
    </row>
    <row r="848" spans="3:3" ht="15" customHeight="1">
      <c r="C848" s="230"/>
    </row>
    <row r="849" spans="3:3" ht="15" customHeight="1">
      <c r="C849" s="230"/>
    </row>
    <row r="850" spans="3:3" ht="15" customHeight="1">
      <c r="C850" s="230"/>
    </row>
    <row r="851" spans="3:3" ht="15" customHeight="1">
      <c r="C851" s="230"/>
    </row>
    <row r="852" spans="3:3" ht="15" customHeight="1">
      <c r="C852" s="230"/>
    </row>
    <row r="853" spans="3:3" ht="15" customHeight="1">
      <c r="C853" s="230"/>
    </row>
    <row r="854" spans="3:3" ht="15" customHeight="1">
      <c r="C854" s="230"/>
    </row>
    <row r="855" spans="3:3" ht="15" customHeight="1">
      <c r="C855" s="230"/>
    </row>
    <row r="856" spans="3:3" ht="15" customHeight="1">
      <c r="C856" s="230"/>
    </row>
    <row r="857" spans="3:3" ht="15" customHeight="1">
      <c r="C857" s="230"/>
    </row>
    <row r="858" spans="3:3" ht="15" customHeight="1">
      <c r="C858" s="230"/>
    </row>
    <row r="859" spans="3:3" ht="15" customHeight="1">
      <c r="C859" s="230"/>
    </row>
    <row r="860" spans="3:3" ht="15" customHeight="1">
      <c r="C860" s="230"/>
    </row>
    <row r="861" spans="3:3" ht="15" customHeight="1">
      <c r="C861" s="230"/>
    </row>
    <row r="862" spans="3:3" ht="15" customHeight="1">
      <c r="C862" s="230"/>
    </row>
    <row r="863" spans="3:3" ht="15" customHeight="1">
      <c r="C863" s="230"/>
    </row>
    <row r="864" spans="3:3" ht="15" customHeight="1">
      <c r="C864" s="230"/>
    </row>
    <row r="865" spans="3:3" ht="15" customHeight="1">
      <c r="C865" s="230"/>
    </row>
    <row r="866" spans="3:3" ht="15" customHeight="1">
      <c r="C866" s="230"/>
    </row>
    <row r="867" spans="3:3" ht="15" customHeight="1">
      <c r="C867" s="230"/>
    </row>
    <row r="868" spans="3:3" ht="15" customHeight="1">
      <c r="C868" s="230"/>
    </row>
    <row r="869" spans="3:3" ht="15" customHeight="1">
      <c r="C869" s="230"/>
    </row>
    <row r="870" spans="3:3" ht="15" customHeight="1">
      <c r="C870" s="230"/>
    </row>
    <row r="871" spans="3:3" ht="15" customHeight="1">
      <c r="C871" s="230"/>
    </row>
    <row r="872" spans="3:3" ht="15" customHeight="1">
      <c r="C872" s="230"/>
    </row>
    <row r="873" spans="3:3" ht="15" customHeight="1">
      <c r="C873" s="230"/>
    </row>
    <row r="874" spans="3:3" ht="15" customHeight="1">
      <c r="C874" s="230"/>
    </row>
    <row r="875" spans="3:3" ht="15" customHeight="1">
      <c r="C875" s="230"/>
    </row>
    <row r="876" spans="3:3" ht="15" customHeight="1">
      <c r="C876" s="230"/>
    </row>
    <row r="877" spans="3:3" ht="15" customHeight="1">
      <c r="C877" s="230"/>
    </row>
    <row r="878" spans="3:3" ht="15" customHeight="1">
      <c r="C878" s="230"/>
    </row>
    <row r="879" spans="3:3" ht="15" customHeight="1">
      <c r="C879" s="230"/>
    </row>
    <row r="880" spans="3:3" ht="15" customHeight="1">
      <c r="C880" s="230"/>
    </row>
    <row r="881" spans="3:3" ht="15" customHeight="1">
      <c r="C881" s="230"/>
    </row>
    <row r="882" spans="3:3" ht="15" customHeight="1">
      <c r="C882" s="230"/>
    </row>
    <row r="883" spans="3:3" ht="15" customHeight="1">
      <c r="C883" s="230"/>
    </row>
    <row r="884" spans="3:3" ht="15" customHeight="1">
      <c r="C884" s="230"/>
    </row>
    <row r="885" spans="3:3" ht="15" customHeight="1">
      <c r="C885" s="230"/>
    </row>
    <row r="886" spans="3:3" ht="15" customHeight="1">
      <c r="C886" s="230"/>
    </row>
    <row r="887" spans="3:3" ht="15" customHeight="1">
      <c r="C887" s="230"/>
    </row>
    <row r="888" spans="3:3" ht="15" customHeight="1">
      <c r="C888" s="230"/>
    </row>
    <row r="889" spans="3:3" ht="15" customHeight="1">
      <c r="C889" s="230"/>
    </row>
    <row r="890" spans="3:3" ht="15" customHeight="1">
      <c r="C890" s="230"/>
    </row>
    <row r="891" spans="3:3" ht="15" customHeight="1">
      <c r="C891" s="230"/>
    </row>
    <row r="892" spans="3:3" ht="15" customHeight="1">
      <c r="C892" s="230"/>
    </row>
    <row r="893" spans="3:3" ht="15" customHeight="1">
      <c r="C893" s="230"/>
    </row>
    <row r="894" spans="3:3" ht="15" customHeight="1">
      <c r="C894" s="230"/>
    </row>
    <row r="895" spans="3:3" ht="15" customHeight="1">
      <c r="C895" s="230"/>
    </row>
    <row r="896" spans="3:3" ht="15" customHeight="1">
      <c r="C896" s="230"/>
    </row>
    <row r="897" spans="3:3" ht="15" customHeight="1">
      <c r="C897" s="230"/>
    </row>
    <row r="898" spans="3:3" ht="15" customHeight="1">
      <c r="C898" s="230"/>
    </row>
    <row r="899" spans="3:3" ht="15" customHeight="1">
      <c r="C899" s="230"/>
    </row>
    <row r="900" spans="3:3" ht="15" customHeight="1">
      <c r="C900" s="230"/>
    </row>
    <row r="901" spans="3:3" ht="15" customHeight="1">
      <c r="C901" s="230"/>
    </row>
    <row r="902" spans="3:3" ht="15" customHeight="1">
      <c r="C902" s="230"/>
    </row>
    <row r="903" spans="3:3" ht="15" customHeight="1">
      <c r="C903" s="230"/>
    </row>
    <row r="904" spans="3:3" ht="15" customHeight="1">
      <c r="C904" s="230"/>
    </row>
    <row r="905" spans="3:3" ht="15" customHeight="1">
      <c r="C905" s="230"/>
    </row>
    <row r="906" spans="3:3" ht="15" customHeight="1">
      <c r="C906" s="230"/>
    </row>
    <row r="907" spans="3:3" ht="15" customHeight="1">
      <c r="C907" s="230"/>
    </row>
    <row r="908" spans="3:3" ht="15" customHeight="1">
      <c r="C908" s="230"/>
    </row>
    <row r="909" spans="3:3" ht="15" customHeight="1">
      <c r="C909" s="230"/>
    </row>
    <row r="910" spans="3:3" ht="15" customHeight="1">
      <c r="C910" s="230"/>
    </row>
    <row r="911" spans="3:3" ht="15" customHeight="1">
      <c r="C911" s="230"/>
    </row>
    <row r="912" spans="3:3" ht="15" customHeight="1">
      <c r="C912" s="230"/>
    </row>
    <row r="913" spans="3:3" ht="15" customHeight="1">
      <c r="C913" s="230"/>
    </row>
    <row r="914" spans="3:3" ht="15" customHeight="1">
      <c r="C914" s="230"/>
    </row>
    <row r="915" spans="3:3" ht="15" customHeight="1">
      <c r="C915" s="230"/>
    </row>
    <row r="916" spans="3:3" ht="15" customHeight="1">
      <c r="C916" s="230"/>
    </row>
    <row r="917" spans="3:3" ht="15" customHeight="1">
      <c r="C917" s="230"/>
    </row>
    <row r="918" spans="3:3" ht="15" customHeight="1">
      <c r="C918" s="230"/>
    </row>
    <row r="919" spans="3:3" ht="15" customHeight="1">
      <c r="C919" s="230"/>
    </row>
    <row r="920" spans="3:3" ht="15" customHeight="1">
      <c r="C920" s="230"/>
    </row>
    <row r="921" spans="3:3" ht="15" customHeight="1">
      <c r="C921" s="230"/>
    </row>
    <row r="922" spans="3:3" ht="15" customHeight="1">
      <c r="C922" s="230"/>
    </row>
    <row r="923" spans="3:3" ht="15" customHeight="1">
      <c r="C923" s="230"/>
    </row>
    <row r="924" spans="3:3" ht="15" customHeight="1">
      <c r="C924" s="230"/>
    </row>
    <row r="925" spans="3:3" ht="15" customHeight="1">
      <c r="C925" s="230"/>
    </row>
    <row r="926" spans="3:3" ht="15" customHeight="1">
      <c r="C926" s="230"/>
    </row>
    <row r="927" spans="3:3" ht="15" customHeight="1">
      <c r="C927" s="230"/>
    </row>
    <row r="928" spans="3:3" ht="15" customHeight="1">
      <c r="C928" s="230"/>
    </row>
    <row r="929" spans="3:3" ht="15" customHeight="1">
      <c r="C929" s="230"/>
    </row>
    <row r="930" spans="3:3" ht="15" customHeight="1">
      <c r="C930" s="230"/>
    </row>
    <row r="931" spans="3:3" ht="15" customHeight="1">
      <c r="C931" s="230"/>
    </row>
    <row r="932" spans="3:3" ht="15" customHeight="1">
      <c r="C932" s="230"/>
    </row>
    <row r="933" spans="3:3" ht="15" customHeight="1">
      <c r="C933" s="230"/>
    </row>
    <row r="934" spans="3:3" ht="15" customHeight="1">
      <c r="C934" s="230"/>
    </row>
    <row r="935" spans="3:3" ht="15" customHeight="1">
      <c r="C935" s="230"/>
    </row>
    <row r="936" spans="3:3" ht="15" customHeight="1">
      <c r="C936" s="230"/>
    </row>
    <row r="937" spans="3:3" ht="15" customHeight="1">
      <c r="C937" s="230"/>
    </row>
    <row r="938" spans="3:3" ht="15" customHeight="1">
      <c r="C938" s="230"/>
    </row>
    <row r="939" spans="3:3" ht="15" customHeight="1">
      <c r="C939" s="230"/>
    </row>
    <row r="940" spans="3:3" ht="15" customHeight="1">
      <c r="C940" s="230"/>
    </row>
    <row r="941" spans="3:3" ht="15" customHeight="1">
      <c r="C941" s="230"/>
    </row>
    <row r="942" spans="3:3" ht="15" customHeight="1">
      <c r="C942" s="230"/>
    </row>
    <row r="943" spans="3:3" ht="15" customHeight="1">
      <c r="C943" s="230"/>
    </row>
    <row r="944" spans="3:3" ht="15" customHeight="1">
      <c r="C944" s="230"/>
    </row>
    <row r="945" spans="3:3" ht="15" customHeight="1">
      <c r="C945" s="230"/>
    </row>
    <row r="946" spans="3:3" ht="15" customHeight="1">
      <c r="C946" s="230"/>
    </row>
    <row r="947" spans="3:3" ht="15" customHeight="1">
      <c r="C947" s="230"/>
    </row>
    <row r="948" spans="3:3" ht="15" customHeight="1">
      <c r="C948" s="230"/>
    </row>
    <row r="949" spans="3:3" ht="15" customHeight="1">
      <c r="C949" s="230"/>
    </row>
    <row r="950" spans="3:3" ht="15" customHeight="1">
      <c r="C950" s="230"/>
    </row>
    <row r="951" spans="3:3" ht="15" customHeight="1">
      <c r="C951" s="230"/>
    </row>
    <row r="952" spans="3:3" ht="15" customHeight="1">
      <c r="C952" s="230"/>
    </row>
    <row r="953" spans="3:3" ht="15" customHeight="1">
      <c r="C953" s="230"/>
    </row>
    <row r="954" spans="3:3" ht="15" customHeight="1">
      <c r="C954" s="230"/>
    </row>
    <row r="955" spans="3:3" ht="15" customHeight="1">
      <c r="C955" s="230"/>
    </row>
    <row r="956" spans="3:3" ht="15" customHeight="1">
      <c r="C956" s="230"/>
    </row>
    <row r="957" spans="3:3" ht="15" customHeight="1">
      <c r="C957" s="230"/>
    </row>
    <row r="958" spans="3:3" ht="15" customHeight="1">
      <c r="C958" s="230"/>
    </row>
    <row r="959" spans="3:3" ht="15" customHeight="1">
      <c r="C959" s="230"/>
    </row>
    <row r="960" spans="3:3" ht="15" customHeight="1">
      <c r="C960" s="230"/>
    </row>
    <row r="961" spans="3:3" ht="15" customHeight="1">
      <c r="C961" s="230"/>
    </row>
    <row r="962" spans="3:3" ht="15" customHeight="1">
      <c r="C962" s="230"/>
    </row>
    <row r="963" spans="3:3" ht="15" customHeight="1">
      <c r="C963" s="230"/>
    </row>
    <row r="964" spans="3:3" ht="15" customHeight="1">
      <c r="C964" s="230"/>
    </row>
    <row r="965" spans="3:3" ht="15" customHeight="1">
      <c r="C965" s="230"/>
    </row>
    <row r="966" spans="3:3" ht="15" customHeight="1">
      <c r="C966" s="230"/>
    </row>
    <row r="967" spans="3:3" ht="15" customHeight="1">
      <c r="C967" s="230"/>
    </row>
    <row r="968" spans="3:3" ht="15" customHeight="1">
      <c r="C968" s="230"/>
    </row>
    <row r="969" spans="3:3" ht="15" customHeight="1">
      <c r="C969" s="230"/>
    </row>
    <row r="970" spans="3:3" ht="15" customHeight="1">
      <c r="C970" s="230"/>
    </row>
    <row r="971" spans="3:3" ht="15" customHeight="1">
      <c r="C971" s="230"/>
    </row>
    <row r="972" spans="3:3" ht="15" customHeight="1">
      <c r="C972" s="230"/>
    </row>
    <row r="973" spans="3:3" ht="15" customHeight="1">
      <c r="C973" s="230"/>
    </row>
    <row r="974" spans="3:3" ht="15" customHeight="1">
      <c r="C974" s="230"/>
    </row>
    <row r="975" spans="3:3" ht="15" customHeight="1">
      <c r="C975" s="230"/>
    </row>
    <row r="976" spans="3:3" ht="15" customHeight="1">
      <c r="C976" s="230"/>
    </row>
    <row r="977" spans="3:3" ht="15" customHeight="1">
      <c r="C977" s="230"/>
    </row>
    <row r="978" spans="3:3" ht="15" customHeight="1">
      <c r="C978" s="230"/>
    </row>
    <row r="979" spans="3:3" ht="15" customHeight="1">
      <c r="C979" s="230"/>
    </row>
    <row r="980" spans="3:3" ht="15" customHeight="1">
      <c r="C980" s="230"/>
    </row>
    <row r="981" spans="3:3" ht="15" customHeight="1">
      <c r="C981" s="230"/>
    </row>
    <row r="982" spans="3:3" ht="15" customHeight="1">
      <c r="C982" s="230"/>
    </row>
    <row r="983" spans="3:3" ht="15" customHeight="1">
      <c r="C983" s="230"/>
    </row>
    <row r="984" spans="3:3" ht="15" customHeight="1">
      <c r="C984" s="230"/>
    </row>
    <row r="985" spans="3:3" ht="15" customHeight="1">
      <c r="C985" s="230"/>
    </row>
    <row r="986" spans="3:3" ht="15" customHeight="1">
      <c r="C986" s="230"/>
    </row>
    <row r="987" spans="3:3" ht="15" customHeight="1">
      <c r="C987" s="230"/>
    </row>
    <row r="988" spans="3:3" ht="15" customHeight="1">
      <c r="C988" s="230"/>
    </row>
    <row r="989" spans="3:3" ht="15" customHeight="1">
      <c r="C989" s="230"/>
    </row>
    <row r="990" spans="3:3" ht="15" customHeight="1">
      <c r="C990" s="230"/>
    </row>
    <row r="991" spans="3:3" ht="15" customHeight="1">
      <c r="C991" s="230"/>
    </row>
    <row r="992" spans="3:3" ht="15" customHeight="1">
      <c r="C992" s="230"/>
    </row>
    <row r="993" spans="3:3" ht="15" customHeight="1">
      <c r="C993" s="230"/>
    </row>
    <row r="994" spans="3:3" ht="15" customHeight="1">
      <c r="C994" s="230"/>
    </row>
    <row r="995" spans="3:3" ht="15" customHeight="1">
      <c r="C995" s="230"/>
    </row>
    <row r="996" spans="3:3" ht="15" customHeight="1">
      <c r="C996" s="230"/>
    </row>
    <row r="997" spans="3:3" ht="15" customHeight="1">
      <c r="C997" s="230"/>
    </row>
    <row r="998" spans="3:3" ht="15" customHeight="1">
      <c r="C998" s="230"/>
    </row>
    <row r="999" spans="3:3" ht="15" customHeight="1">
      <c r="C999" s="230"/>
    </row>
    <row r="1000" spans="3:3" ht="15" customHeight="1">
      <c r="C1000" s="230"/>
    </row>
    <row r="1001" spans="3:3" ht="15" customHeight="1">
      <c r="C1001" s="230"/>
    </row>
  </sheetData>
  <mergeCells count="2">
    <mergeCell ref="D24:E24"/>
    <mergeCell ref="D47:E4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D9EAD3"/>
    <outlinePr summaryBelow="0" summaryRight="0"/>
  </sheetPr>
  <dimension ref="A1:AC1001"/>
  <sheetViews>
    <sheetView workbookViewId="0"/>
  </sheetViews>
  <sheetFormatPr defaultColWidth="14.453125" defaultRowHeight="15" customHeight="1"/>
  <cols>
    <col min="1" max="1" width="3.7265625" customWidth="1"/>
    <col min="2" max="2" width="10.08984375" customWidth="1"/>
    <col min="3" max="3" width="10.54296875" customWidth="1"/>
    <col min="4" max="4" width="10.81640625" customWidth="1"/>
    <col min="5" max="5" width="10.54296875" customWidth="1"/>
    <col min="6" max="6" width="10.81640625" customWidth="1"/>
    <col min="12" max="12" width="4.81640625" customWidth="1"/>
    <col min="13" max="13" width="22.54296875" customWidth="1"/>
  </cols>
  <sheetData>
    <row r="1" spans="1:29" ht="15" customHeight="1">
      <c r="A1" s="90" t="s">
        <v>95</v>
      </c>
      <c r="B1" s="91" t="s">
        <v>40</v>
      </c>
      <c r="C1" s="90" t="s">
        <v>515</v>
      </c>
      <c r="D1" s="92" t="s">
        <v>516</v>
      </c>
      <c r="E1" s="92" t="s">
        <v>517</v>
      </c>
      <c r="F1" s="92" t="s">
        <v>518</v>
      </c>
      <c r="G1" s="93" t="s">
        <v>519</v>
      </c>
      <c r="H1" s="94" t="s">
        <v>520</v>
      </c>
      <c r="I1" s="90" t="s">
        <v>521</v>
      </c>
      <c r="J1" s="90" t="s">
        <v>522</v>
      </c>
      <c r="K1" s="90" t="s">
        <v>523</v>
      </c>
      <c r="L1" s="95"/>
      <c r="M1" s="379" t="s">
        <v>524</v>
      </c>
      <c r="N1" s="372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</row>
    <row r="2" spans="1:29" ht="15" customHeight="1">
      <c r="A2" s="96"/>
      <c r="B2" s="341">
        <f ca="1">IFERROR(__xludf.DUMMYFUNCTION("UNIQUE(QUERY(C_all, ""SELECT D""))"),200)</f>
        <v>200</v>
      </c>
      <c r="C2" s="98">
        <f ca="1">IFERROR(__xludf.DUMMYFUNCTION("IFERROR(AVERAGE(QUERY(QUERY(C_all,""SELECT U,COUNT(G) WHERE D=""&amp;$B2&amp;"" GROUP BY U,G""),""SELECT Col1"")))"),31)</f>
        <v>31</v>
      </c>
      <c r="D2" s="98">
        <f ca="1">IFERROR(__xludf.DUMMYFUNCTION("IFERROR(STDEV(QUERY(QUERY(C_all,""SELECT U,COUNT(G) WHERE D=""&amp;$B2&amp;"" GROUP BY U,G""),""SELECT Col1"")))"),25.1197133741609)</f>
        <v>25.119713374160899</v>
      </c>
      <c r="E2" s="98">
        <f ca="1">IFERROR(__xludf.DUMMYFUNCTION("IFERROR(AVERAGE(QUERY(QUERY('C'!$D$3:$Y$370,""SELECT U,COUNT(G) WHERE D=""&amp;$B2&amp;"" AND Q=FALSE AND R=FALSE GROUP BY U,G""),""SELECT Col1"")))"),49.3333333333333)</f>
        <v>49.3333333333333</v>
      </c>
      <c r="F2" s="98">
        <f ca="1">IFERROR(__xludf.DUMMYFUNCTION("IFERROR(STDEV(QUERY(QUERY('C'!$D$3:$Y$370,""SELECT U,COUNT(G) WHERE D=""&amp;$B2&amp;"" AND Q=FALSE AND R=FALSE GROUP BY U,G""),""SELECT Col1"")))"),1.15470053837925)</f>
        <v>1.1547005383792499</v>
      </c>
      <c r="G2" s="99" t="str">
        <f ca="1">IFERROR(__xludf.DUMMYFUNCTION("IFERROR(AVERAGE(QUERY(QUERY(C_all,""SELECT U,COUNT(G) WHERE D=""&amp;$B2&amp;"" AND Q=FALSE AND R=FALSE AND U&gt;=""&amp;C_mean-2*C_sd&amp;"" AND U&lt;=""&amp;C_mean+2*C_sd&amp;"" GROUP BY U,G""),""SELECT Col1"")))"),"")</f>
        <v/>
      </c>
      <c r="H2" s="98" t="str">
        <f ca="1">IFERROR(__xludf.DUMMYFUNCTION("IFERROR(STDEV(QUERY(QUERY(C_all,""SELECT U,COUNT(G) WHERE D=""&amp;$B2&amp;"" AND Q=FALSE AND R=FALSE AND U&gt;=""&amp;C_mean-2*C_sd&amp;"" AND U&lt;=""&amp;C_mean+2*C_sd&amp;"" GROUP BY U,G""),""SELECT Col1"")))"),"")</f>
        <v/>
      </c>
      <c r="I2" s="100" t="str">
        <f ca="1">IFERROR(__xludf.DUMMYFUNCTION("IFERROR(IF(ISBLANK(G2),,RANK.AVG(B2,QUERY(B$2:G$43,""SELECT B WHERE G IS NOT NULL""),TRUE)))"),"")</f>
        <v/>
      </c>
      <c r="J2" s="100" t="s">
        <v>556</v>
      </c>
      <c r="K2" s="100" t="e">
        <f t="shared" ref="K2:K43" ca="1" si="0">IF(ISBLANK(G2),,(I2-J2)^2)</f>
        <v>#VALUE!</v>
      </c>
      <c r="L2" s="101"/>
      <c r="M2" s="21" t="s">
        <v>525</v>
      </c>
      <c r="N2" s="103">
        <f ca="1">IFERROR(__xludf.DUMMYFUNCTION("AVERAGE(QUERY(QUERY(C_all,""SELECT U,COUNT(G) GROUP BY U,G""),""SELECT Col1""))"),19.4277108433734)</f>
        <v>19.427710843373401</v>
      </c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</row>
    <row r="3" spans="1:29" ht="15" customHeight="1">
      <c r="A3" s="96"/>
      <c r="B3" s="341">
        <f ca="1">IFERROR(__xludf.DUMMYFUNCTION("""COMPUTED_VALUE"""),400)</f>
        <v>400</v>
      </c>
      <c r="C3" s="98">
        <f ca="1">IFERROR(__xludf.DUMMYFUNCTION("IFERROR(AVERAGE(QUERY(QUERY(C_all,""SELECT U,COUNT(G) WHERE D=""&amp;$B3&amp;"" GROUP BY U,G""),""SELECT Col1"")))"),24.625)</f>
        <v>24.625</v>
      </c>
      <c r="D3" s="98">
        <f ca="1">IFERROR(__xludf.DUMMYFUNCTION("IFERROR(STDEV(QUERY(QUERY(C_all,""SELECT U,COUNT(G) WHERE D=""&amp;$B3&amp;"" GROUP BY U,G""),""SELECT Col1"")))"),16.0351177108245)</f>
        <v>16.035117710824501</v>
      </c>
      <c r="E3" s="98">
        <f ca="1">IFERROR(__xludf.DUMMYFUNCTION("IFERROR(AVERAGE(QUERY(QUERY('C'!$D$3:$Y$370,""SELECT U,COUNT(G) WHERE D=""&amp;$B3&amp;"" AND Q=FALSE AND R=FALSE GROUP BY U,G""),""SELECT Col1"")))"),32.4)</f>
        <v>32.4</v>
      </c>
      <c r="F3" s="98">
        <f ca="1">IFERROR(__xludf.DUMMYFUNCTION("IFERROR(STDEV(QUERY(QUERY('C'!$D$3:$Y$370,""SELECT U,COUNT(G) WHERE D=""&amp;$B3&amp;"" AND Q=FALSE AND R=FALSE GROUP BY U,G""),""SELECT Col1"")))"),6.65582451691749)</f>
        <v>6.6558245169174901</v>
      </c>
      <c r="G3" s="99">
        <f ca="1">IFERROR(__xludf.DUMMYFUNCTION("IFERROR(AVERAGE(QUERY(QUERY(C_all,""SELECT U,COUNT(G) WHERE D=""&amp;$B3&amp;"" AND Q=FALSE AND R=FALSE AND U&gt;=""&amp;C_mean-2*C_sd&amp;"" AND U&lt;=""&amp;C_mean+2*C_sd&amp;"" GROUP BY U,G""),""SELECT Col1"")))"),29.5)</f>
        <v>29.5</v>
      </c>
      <c r="H3" s="98">
        <f ca="1">IFERROR(__xludf.DUMMYFUNCTION("IFERROR(STDEV(QUERY(QUERY(C_all,""SELECT U,COUNT(G) WHERE D=""&amp;$B3&amp;"" AND Q=FALSE AND R=FALSE AND U&gt;=""&amp;C_mean-2*C_sd&amp;"" AND U&lt;=""&amp;C_mean+2*C_sd&amp;"" GROUP BY U,G""),""SELECT Col1"")))"),1.73205080756887)</f>
        <v>1.7320508075688701</v>
      </c>
      <c r="I3" s="100">
        <f ca="1">IFERROR(__xludf.DUMMYFUNCTION("IFERROR(IF(ISBLANK(G3),,RANK.AVG(B3,QUERY(B$2:G$43,""SELECT B WHERE G IS NOT NULL""),TRUE)))"),1)</f>
        <v>1</v>
      </c>
      <c r="J3" s="100">
        <v>40</v>
      </c>
      <c r="K3" s="100">
        <f t="shared" ca="1" si="0"/>
        <v>1521</v>
      </c>
      <c r="L3" s="101"/>
      <c r="M3" s="21" t="s">
        <v>526</v>
      </c>
      <c r="N3" s="103">
        <f ca="1">IFERROR(__xludf.DUMMYFUNCTION("STDEV(QUERY(QUERY(C_all,""SELECT U,COUNT(G) GROUP BY U,G""),""SELECT Col1""))"),11.535216675336)</f>
        <v>11.535216675336001</v>
      </c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</row>
    <row r="4" spans="1:29" ht="15" customHeight="1">
      <c r="A4" s="96"/>
      <c r="B4" s="97">
        <f ca="1">IFERROR(__xludf.DUMMYFUNCTION("""COMPUTED_VALUE"""),600)</f>
        <v>600</v>
      </c>
      <c r="C4" s="98">
        <f ca="1">IFERROR(__xludf.DUMMYFUNCTION("IFERROR(AVERAGE(QUERY(QUERY(C_all,""SELECT U,COUNT(G) WHERE D=""&amp;$B4&amp;"" GROUP BY U,G""),""SELECT Col1"")))"),18.090909090909)</f>
        <v>18.090909090909001</v>
      </c>
      <c r="D4" s="98">
        <f ca="1">IFERROR(__xludf.DUMMYFUNCTION("IFERROR(STDEV(QUERY(QUERY(C_all,""SELECT U,COUNT(G) WHERE D=""&amp;$B4&amp;"" GROUP BY U,G""),""SELECT Col1"")))"),12.8565512129384)</f>
        <v>12.856551212938401</v>
      </c>
      <c r="E4" s="98">
        <f ca="1">IFERROR(__xludf.DUMMYFUNCTION("IFERROR(AVERAGE(QUERY(QUERY('C'!$D$3:$Y$370,""SELECT U,COUNT(G) WHERE D=""&amp;$B4&amp;"" AND Q=FALSE AND R=FALSE GROUP BY U,G""),""SELECT Col1"")))"),24.875)</f>
        <v>24.875</v>
      </c>
      <c r="F4" s="98">
        <f ca="1">IFERROR(__xludf.DUMMYFUNCTION("IFERROR(STDEV(QUERY(QUERY('C'!$D$3:$Y$370,""SELECT U,COUNT(G) WHERE D=""&amp;$B4&amp;"" AND Q=FALSE AND R=FALSE GROUP BY U,G""),""SELECT Col1"")))"),6.57783073230507)</f>
        <v>6.5778307323050704</v>
      </c>
      <c r="G4" s="99">
        <f ca="1">IFERROR(__xludf.DUMMYFUNCTION("IFERROR(AVERAGE(QUERY(QUERY(C_all,""SELECT U,COUNT(G) WHERE D=""&amp;$B4&amp;"" AND Q=FALSE AND R=FALSE AND U&gt;=""&amp;C_mean-2*C_sd&amp;"" AND U&lt;=""&amp;C_mean+2*C_sd&amp;"" GROUP BY U,G""),""SELECT Col1"")))"),24.875)</f>
        <v>24.875</v>
      </c>
      <c r="H4" s="98">
        <f ca="1">IFERROR(__xludf.DUMMYFUNCTION("IFERROR(STDEV(QUERY(QUERY(C_all,""SELECT U,COUNT(G) WHERE D=""&amp;$B4&amp;"" AND Q=FALSE AND R=FALSE AND U&gt;=""&amp;C_mean-2*C_sd&amp;"" AND U&lt;=""&amp;C_mean+2*C_sd&amp;"" GROUP BY U,G""),""SELECT Col1"")))"),6.57783073230507)</f>
        <v>6.5778307323050704</v>
      </c>
      <c r="I4" s="100">
        <f ca="1">IFERROR(__xludf.DUMMYFUNCTION("IFERROR(IF(ISBLANK(G4),,RANK.AVG(B4,QUERY(B$2:G$43,""SELECT B WHERE G IS NOT NULL""),TRUE)))"),2)</f>
        <v>2</v>
      </c>
      <c r="J4" s="100">
        <v>37</v>
      </c>
      <c r="K4" s="100">
        <f t="shared" ca="1" si="0"/>
        <v>1225</v>
      </c>
      <c r="L4" s="101"/>
      <c r="M4" s="21" t="s">
        <v>527</v>
      </c>
      <c r="N4" s="103">
        <f ca="1">IFERROR(__xludf.DUMMYFUNCTION("AVERAGE(QUERY(QUERY(C_all,""SELECT U,COUNT(G) WHERE Q=FALSE AND R=FALSE GROUP BY U,G""),""SELECT Col1""))"),21.1301369863013)</f>
        <v>21.130136986301299</v>
      </c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</row>
    <row r="5" spans="1:29" ht="15" customHeight="1">
      <c r="A5" s="96"/>
      <c r="B5" s="97">
        <f ca="1">IFERROR(__xludf.DUMMYFUNCTION("""COMPUTED_VALUE"""),800)</f>
        <v>800</v>
      </c>
      <c r="C5" s="98">
        <f ca="1">IFERROR(__xludf.DUMMYFUNCTION("IFERROR(AVERAGE(QUERY(QUERY(C_all,""SELECT U,COUNT(G) WHERE D=""&amp;$B5&amp;"" GROUP BY U,G""),""SELECT Col1"")))"),26.3636363636363)</f>
        <v>26.363636363636299</v>
      </c>
      <c r="D5" s="98">
        <f ca="1">IFERROR(__xludf.DUMMYFUNCTION("IFERROR(STDEV(QUERY(QUERY(C_all,""SELECT U,COUNT(G) WHERE D=""&amp;$B5&amp;"" GROUP BY U,G""),""SELECT Col1"")))"),19.8054170734813)</f>
        <v>19.805417073481301</v>
      </c>
      <c r="E5" s="98">
        <f ca="1">IFERROR(__xludf.DUMMYFUNCTION("IFERROR(AVERAGE(QUERY(QUERY('C'!$D$3:$Y$370,""SELECT U,COUNT(G) WHERE D=""&amp;$B5&amp;"" AND Q=FALSE AND R=FALSE GROUP BY U,G""),""SELECT Col1"")))"),31.8888888888888)</f>
        <v>31.8888888888888</v>
      </c>
      <c r="F5" s="98">
        <f ca="1">IFERROR(__xludf.DUMMYFUNCTION("IFERROR(STDEV(QUERY(QUERY('C'!$D$3:$Y$370,""SELECT U,COUNT(G) WHERE D=""&amp;$B5&amp;"" AND Q=FALSE AND R=FALSE GROUP BY U,G""),""SELECT Col1"")))"),17.3453483998192)</f>
        <v>17.345348399819201</v>
      </c>
      <c r="G5" s="99">
        <f ca="1">IFERROR(__xludf.DUMMYFUNCTION("IFERROR(AVERAGE(QUERY(QUERY(C_all,""SELECT U,COUNT(G) WHERE D=""&amp;$B5&amp;"" AND Q=FALSE AND R=FALSE AND U&gt;=""&amp;C_mean-2*C_sd&amp;"" AND U&lt;=""&amp;C_mean+2*C_sd&amp;"" GROUP BY U,G""),""SELECT Col1"")))"),24.4285714285714)</f>
        <v>24.428571428571399</v>
      </c>
      <c r="H5" s="98">
        <f ca="1">IFERROR(__xludf.DUMMYFUNCTION("IFERROR(STDEV(QUERY(QUERY(C_all,""SELECT U,COUNT(G) WHERE D=""&amp;$B5&amp;"" AND Q=FALSE AND R=FALSE AND U&gt;=""&amp;C_mean-2*C_sd&amp;"" AND U&lt;=""&amp;C_mean+2*C_sd&amp;"" GROUP BY U,G""),""SELECT Col1"")))"),7.80720058358826)</f>
        <v>7.8072005835882603</v>
      </c>
      <c r="I5" s="100">
        <f ca="1">IFERROR(__xludf.DUMMYFUNCTION("IFERROR(IF(ISBLANK(G5),,RANK.AVG(B5,QUERY(B$2:G$43,""SELECT B WHERE G IS NOT NULL""),TRUE)))"),3)</f>
        <v>3</v>
      </c>
      <c r="J5" s="100">
        <v>36</v>
      </c>
      <c r="K5" s="100">
        <f t="shared" ca="1" si="0"/>
        <v>1089</v>
      </c>
      <c r="L5" s="101"/>
      <c r="M5" s="21" t="s">
        <v>528</v>
      </c>
      <c r="N5" s="103">
        <f ca="1">IFERROR(__xludf.DUMMYFUNCTION("STDEV(QUERY(QUERY(C_all,""SELECT U,COUNT(G) WHERE Q=FALSE AND R=FALSE GROUP BY U,G""),""SELECT Col1""))"),10.6446919470615)</f>
        <v>10.644691947061499</v>
      </c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</row>
    <row r="6" spans="1:29" ht="15" customHeight="1">
      <c r="A6" s="96"/>
      <c r="B6" s="97">
        <f ca="1">IFERROR(__xludf.DUMMYFUNCTION("""COMPUTED_VALUE"""),1000)</f>
        <v>1000</v>
      </c>
      <c r="C6" s="98">
        <f ca="1">IFERROR(__xludf.DUMMYFUNCTION("IFERROR(AVERAGE(QUERY(QUERY(C_all,""SELECT U,COUNT(G) WHERE D=""&amp;$B6&amp;"" GROUP BY U,G""),""SELECT Col1"")))"),27.5)</f>
        <v>27.5</v>
      </c>
      <c r="D6" s="98">
        <f ca="1">IFERROR(__xludf.DUMMYFUNCTION("IFERROR(STDEV(QUERY(QUERY(C_all,""SELECT U,COUNT(G) WHERE D=""&amp;$B6&amp;"" GROUP BY U,G""),""SELECT Col1"")))"),30.0590328278448)</f>
        <v>30.059032827844799</v>
      </c>
      <c r="E6" s="98">
        <f ca="1">IFERROR(__xludf.DUMMYFUNCTION("IFERROR(AVERAGE(QUERY(QUERY('C'!$D$3:$Y$370,""SELECT U,COUNT(G) WHERE D=""&amp;$B6&amp;"" AND Q=FALSE AND R=FALSE GROUP BY U,G""),""SELECT Col1"")))"),43.3333333333333)</f>
        <v>43.3333333333333</v>
      </c>
      <c r="F6" s="98">
        <f ca="1">IFERROR(__xludf.DUMMYFUNCTION("IFERROR(STDEV(QUERY(QUERY('C'!$D$3:$Y$370,""SELECT U,COUNT(G) WHERE D=""&amp;$B6&amp;"" AND Q=FALSE AND R=FALSE GROUP BY U,G""),""SELECT Col1"")))"),23.8635007211152)</f>
        <v>23.863500721115201</v>
      </c>
      <c r="G6" s="99">
        <f ca="1">IFERROR(__xludf.DUMMYFUNCTION("IFERROR(AVERAGE(QUERY(QUERY(C_all,""SELECT U,COUNT(G) WHERE D=""&amp;$B6&amp;"" AND Q=FALSE AND R=FALSE AND U&gt;=""&amp;C_mean-2*C_sd&amp;"" AND U&lt;=""&amp;C_mean+2*C_sd&amp;"" GROUP BY U,G""),""SELECT Col1"")))"),23.6666666666666)</f>
        <v>23.6666666666666</v>
      </c>
      <c r="H6" s="98">
        <f ca="1">IFERROR(__xludf.DUMMYFUNCTION("IFERROR(STDEV(QUERY(QUERY(C_all,""SELECT U,COUNT(G) WHERE D=""&amp;$B6&amp;"" AND Q=FALSE AND R=FALSE AND U&gt;=""&amp;C_mean-2*C_sd&amp;"" AND U&lt;=""&amp;C_mean+2*C_sd&amp;"" GROUP BY U,G""),""SELECT Col1"")))"),8.38649708360608)</f>
        <v>8.3864970836060806</v>
      </c>
      <c r="I6" s="100">
        <f ca="1">IFERROR(__xludf.DUMMYFUNCTION("IFERROR(IF(ISBLANK(G6),,RANK.AVG(B6,QUERY(B$2:G$43,""SELECT B WHERE G IS NOT NULL""),TRUE)))"),4)</f>
        <v>4</v>
      </c>
      <c r="J6" s="100">
        <v>31</v>
      </c>
      <c r="K6" s="100">
        <f t="shared" ca="1" si="0"/>
        <v>729</v>
      </c>
      <c r="L6" s="101"/>
      <c r="M6" s="21" t="s">
        <v>531</v>
      </c>
      <c r="N6" s="104">
        <f ca="1">IFERROR(__xludf.DUMMYFUNCTION("AVERAGE(QUERY(QUERY(C_all,""SELECT U,COUNT(G) WHERE Q=FALSE AND R=FALSE AND U&gt;""&amp;C_mean-2*C_sd&amp;"" AND U&lt;""&amp;C_mean+2*C_sd&amp;"" GROUP BY U,G""),""SELECT Col1""))"),19.6630824372759)</f>
        <v>19.6630824372759</v>
      </c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</row>
    <row r="7" spans="1:29" ht="15" customHeight="1">
      <c r="A7" s="96"/>
      <c r="B7" s="97">
        <f ca="1">IFERROR(__xludf.DUMMYFUNCTION("""COMPUTED_VALUE"""),1200)</f>
        <v>1200</v>
      </c>
      <c r="C7" s="98">
        <f ca="1">IFERROR(__xludf.DUMMYFUNCTION("IFERROR(AVERAGE(QUERY(QUERY(C_all,""SELECT U,COUNT(G) WHERE D=""&amp;$B7&amp;"" GROUP BY U,G""),""SELECT Col1"")))"),18.75)</f>
        <v>18.75</v>
      </c>
      <c r="D7" s="98">
        <f ca="1">IFERROR(__xludf.DUMMYFUNCTION("IFERROR(STDEV(QUERY(QUERY(C_all,""SELECT U,COUNT(G) WHERE D=""&amp;$B7&amp;"" GROUP BY U,G""),""SELECT Col1"")))"),14.6046381175794)</f>
        <v>14.6046381175794</v>
      </c>
      <c r="E7" s="98">
        <f ca="1">IFERROR(__xludf.DUMMYFUNCTION("IFERROR(AVERAGE(QUERY(QUERY('C'!$D$3:$Y$370,""SELECT U,COUNT(G) WHERE D=""&amp;$B7&amp;"" AND Q=FALSE AND R=FALSE GROUP BY U,G""),""SELECT Col1"")))"),27.4285714285714)</f>
        <v>27.428571428571399</v>
      </c>
      <c r="F7" s="98">
        <f ca="1">IFERROR(__xludf.DUMMYFUNCTION("IFERROR(STDEV(QUERY(QUERY('C'!$D$3:$Y$370,""SELECT U,COUNT(G) WHERE D=""&amp;$B7&amp;"" AND Q=FALSE AND R=FALSE GROUP BY U,G""),""SELECT Col1"")))"),11.8301471230234)</f>
        <v>11.8301471230234</v>
      </c>
      <c r="G7" s="99">
        <f ca="1">IFERROR(__xludf.DUMMYFUNCTION("IFERROR(AVERAGE(QUERY(QUERY(C_all,""SELECT U,COUNT(G) WHERE D=""&amp;$B7&amp;"" AND Q=FALSE AND R=FALSE AND U&gt;=""&amp;C_mean-2*C_sd&amp;"" AND U&lt;=""&amp;C_mean+2*C_sd&amp;"" GROUP BY U,G""),""SELECT Col1"")))"),24.3333333333333)</f>
        <v>24.3333333333333</v>
      </c>
      <c r="H7" s="98">
        <f ca="1">IFERROR(__xludf.DUMMYFUNCTION("IFERROR(STDEV(QUERY(QUERY(C_all,""SELECT U,COUNT(G) WHERE D=""&amp;$B7&amp;"" AND Q=FALSE AND R=FALSE AND U&gt;=""&amp;C_mean-2*C_sd&amp;"" AND U&lt;=""&amp;C_mean+2*C_sd&amp;"" GROUP BY U,G""),""SELECT Col1"")))"),9.35236155560009)</f>
        <v>9.3523615556000905</v>
      </c>
      <c r="I7" s="100">
        <f ca="1">IFERROR(__xludf.DUMMYFUNCTION("IFERROR(IF(ISBLANK(G7),,RANK.AVG(B7,QUERY(B$2:G$43,""SELECT B WHERE G IS NOT NULL""),TRUE)))"),5)</f>
        <v>5</v>
      </c>
      <c r="J7" s="100">
        <v>35</v>
      </c>
      <c r="K7" s="100">
        <f t="shared" ca="1" si="0"/>
        <v>900</v>
      </c>
      <c r="L7" s="101"/>
      <c r="M7" s="21" t="s">
        <v>532</v>
      </c>
      <c r="N7" s="104">
        <f ca="1">IFERROR(__xludf.DUMMYFUNCTION("STDEV(QUERY(QUERY(C_all,""SELECT U,COUNT(G) WHERE Q=FALSE AND R=FALSE AND U&gt;""&amp;C_mean-2*C_sd&amp;"" AND U&lt;""&amp;C_mean+2*C_sd&amp;"" GROUP BY U,G""),""SELECT Col1""))"),8.0859434274477)</f>
        <v>8.0859434274477007</v>
      </c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</row>
    <row r="8" spans="1:29" ht="15" customHeight="1">
      <c r="A8" s="96"/>
      <c r="B8" s="97">
        <f ca="1">IFERROR(__xludf.DUMMYFUNCTION("""COMPUTED_VALUE"""),1400)</f>
        <v>1400</v>
      </c>
      <c r="C8" s="98">
        <f ca="1">IFERROR(__xludf.DUMMYFUNCTION("IFERROR(AVERAGE(QUERY(QUERY(C_all,""SELECT U,COUNT(G) WHERE D=""&amp;$B8&amp;"" GROUP BY U,G""),""SELECT Col1"")))"),20.375)</f>
        <v>20.375</v>
      </c>
      <c r="D8" s="98">
        <f ca="1">IFERROR(__xludf.DUMMYFUNCTION("IFERROR(STDEV(QUERY(QUERY(C_all,""SELECT U,COUNT(G) WHERE D=""&amp;$B8&amp;"" GROUP BY U,G""),""SELECT Col1"")))"),17.3282387201601)</f>
        <v>17.328238720160101</v>
      </c>
      <c r="E8" s="98">
        <f ca="1">IFERROR(__xludf.DUMMYFUNCTION("IFERROR(AVERAGE(QUERY(QUERY('C'!$D$3:$Y$370,""SELECT U,COUNT(G) WHERE D=""&amp;$B8&amp;"" AND Q=FALSE AND R=FALSE GROUP BY U,G""),""SELECT Col1"")))"),32.75)</f>
        <v>32.75</v>
      </c>
      <c r="F8" s="98">
        <f ca="1">IFERROR(__xludf.DUMMYFUNCTION("IFERROR(STDEV(QUERY(QUERY('C'!$D$3:$Y$370,""SELECT U,COUNT(G) WHERE D=""&amp;$B8&amp;"" AND Q=FALSE AND R=FALSE GROUP BY U,G""),""SELECT Col1"")))"),10.5316981853197)</f>
        <v>10.5316981853197</v>
      </c>
      <c r="G8" s="99">
        <f ca="1">IFERROR(__xludf.DUMMYFUNCTION("IFERROR(AVERAGE(QUERY(QUERY(C_all,""SELECT U,COUNT(G) WHERE D=""&amp;$B8&amp;"" AND Q=FALSE AND R=FALSE AND U&gt;=""&amp;C_mean-2*C_sd&amp;"" AND U&lt;=""&amp;C_mean+2*C_sd&amp;"" GROUP BY U,G""),""SELECT Col1"")))"),28.3333333333333)</f>
        <v>28.3333333333333</v>
      </c>
      <c r="H8" s="98">
        <f ca="1">IFERROR(__xludf.DUMMYFUNCTION("IFERROR(STDEV(QUERY(QUERY(C_all,""SELECT U,COUNT(G) WHERE D=""&amp;$B8&amp;"" AND Q=FALSE AND R=FALSE AND U&gt;=""&amp;C_mean-2*C_sd&amp;"" AND U&lt;=""&amp;C_mean+2*C_sd&amp;"" GROUP BY U,G""),""SELECT Col1"")))"),7.02376916856849)</f>
        <v>7.0237691685684904</v>
      </c>
      <c r="I8" s="100">
        <f ca="1">IFERROR(__xludf.DUMMYFUNCTION("IFERROR(IF(ISBLANK(G8),,RANK.AVG(B8,QUERY(B$2:G$43,""SELECT B WHERE G IS NOT NULL""),TRUE)))"),6)</f>
        <v>6</v>
      </c>
      <c r="J8" s="100">
        <v>39</v>
      </c>
      <c r="K8" s="100">
        <f t="shared" ca="1" si="0"/>
        <v>1089</v>
      </c>
      <c r="L8" s="101"/>
      <c r="M8" s="21" t="s">
        <v>1753</v>
      </c>
      <c r="N8" s="104">
        <f ca="1">N6+N7</f>
        <v>27.749025864723599</v>
      </c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</row>
    <row r="9" spans="1:29" ht="15" customHeight="1">
      <c r="A9" s="96"/>
      <c r="B9" s="97">
        <f ca="1">IFERROR(__xludf.DUMMYFUNCTION("""COMPUTED_VALUE"""),1600)</f>
        <v>1600</v>
      </c>
      <c r="C9" s="98">
        <f ca="1">IFERROR(__xludf.DUMMYFUNCTION("IFERROR(AVERAGE(QUERY(QUERY(C_all,""SELECT U,COUNT(G) WHERE D=""&amp;$B9&amp;"" GROUP BY U,G""),""SELECT Col1"")))"),19.1666666666666)</f>
        <v>19.1666666666666</v>
      </c>
      <c r="D9" s="98">
        <f ca="1">IFERROR(__xludf.DUMMYFUNCTION("IFERROR(STDEV(QUERY(QUERY(C_all,""SELECT U,COUNT(G) WHERE D=""&amp;$B9&amp;"" GROUP BY U,G""),""SELECT Col1"")))"),15.867156855173)</f>
        <v>15.867156855173</v>
      </c>
      <c r="E9" s="98">
        <f ca="1">IFERROR(__xludf.DUMMYFUNCTION("IFERROR(AVERAGE(QUERY(QUERY('C'!$D$3:$Y$370,""SELECT U,COUNT(G) WHERE D=""&amp;$B9&amp;"" AND Q=FALSE AND R=FALSE GROUP BY U,G""),""SELECT Col1"")))"),26.6666666666666)</f>
        <v>26.6666666666666</v>
      </c>
      <c r="F9" s="98">
        <f ca="1">IFERROR(__xludf.DUMMYFUNCTION("IFERROR(STDEV(QUERY(QUERY('C'!$D$3:$Y$370,""SELECT U,COUNT(G) WHERE D=""&amp;$B9&amp;"" AND Q=FALSE AND R=FALSE GROUP BY U,G""),""SELECT Col1"")))"),7.23417813807023)</f>
        <v>7.2341781380702299</v>
      </c>
      <c r="G9" s="99">
        <f ca="1">IFERROR(__xludf.DUMMYFUNCTION("IFERROR(AVERAGE(QUERY(QUERY(C_all,""SELECT U,COUNT(G) WHERE D=""&amp;$B9&amp;"" AND Q=FALSE AND R=FALSE AND U&gt;=""&amp;C_mean-2*C_sd&amp;"" AND U&lt;=""&amp;C_mean+2*C_sd&amp;"" GROUP BY U,G""),""SELECT Col1"")))"),26.6666666666666)</f>
        <v>26.6666666666666</v>
      </c>
      <c r="H9" s="98">
        <f ca="1">IFERROR(__xludf.DUMMYFUNCTION("IFERROR(STDEV(QUERY(QUERY(C_all,""SELECT U,COUNT(G) WHERE D=""&amp;$B9&amp;"" AND Q=FALSE AND R=FALSE AND U&gt;=""&amp;C_mean-2*C_sd&amp;"" AND U&lt;=""&amp;C_mean+2*C_sd&amp;"" GROUP BY U,G""),""SELECT Col1"")))"),7.23417813807023)</f>
        <v>7.2341781380702299</v>
      </c>
      <c r="I9" s="100">
        <f ca="1">IFERROR(__xludf.DUMMYFUNCTION("IFERROR(IF(ISBLANK(G9),,RANK.AVG(B9,QUERY(B$2:G$43,""SELECT B WHERE G IS NOT NULL""),TRUE)))"),7)</f>
        <v>7</v>
      </c>
      <c r="J9" s="100">
        <v>38</v>
      </c>
      <c r="K9" s="100">
        <f t="shared" ca="1" si="0"/>
        <v>961</v>
      </c>
      <c r="L9" s="101"/>
      <c r="M9" s="21" t="s">
        <v>1754</v>
      </c>
      <c r="N9" s="104">
        <f ca="1">N6-N7</f>
        <v>11.577139009828199</v>
      </c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</row>
    <row r="10" spans="1:29" ht="15" customHeight="1">
      <c r="A10" s="96"/>
      <c r="B10" s="97">
        <f ca="1">IFERROR(__xludf.DUMMYFUNCTION("""COMPUTED_VALUE"""),1800)</f>
        <v>1800</v>
      </c>
      <c r="C10" s="98">
        <f ca="1">IFERROR(__xludf.DUMMYFUNCTION("IFERROR(AVERAGE(QUERY(QUERY(C_all,""SELECT U,COUNT(G) WHERE D=""&amp;$B10&amp;"" GROUP BY U,G""),""SELECT Col1"")))"),21.5)</f>
        <v>21.5</v>
      </c>
      <c r="D10" s="98">
        <f ca="1">IFERROR(__xludf.DUMMYFUNCTION("IFERROR(STDEV(QUERY(QUERY(C_all,""SELECT U,COUNT(G) WHERE D=""&amp;$B10&amp;"" GROUP BY U,G""),""SELECT Col1"")))"),4.70009671080384)</f>
        <v>4.7000967108038401</v>
      </c>
      <c r="E10" s="98">
        <f ca="1">IFERROR(__xludf.DUMMYFUNCTION("IFERROR(AVERAGE(QUERY(QUERY('C'!$D$3:$Y$370,""SELECT U,COUNT(G) WHERE D=""&amp;$B10&amp;"" AND Q=FALSE AND R=FALSE GROUP BY U,G""),""SELECT Col1"")))"),21.5)</f>
        <v>21.5</v>
      </c>
      <c r="F10" s="98">
        <f ca="1">IFERROR(__xludf.DUMMYFUNCTION("IFERROR(STDEV(QUERY(QUERY('C'!$D$3:$Y$370,""SELECT U,COUNT(G) WHERE D=""&amp;$B10&amp;"" AND Q=FALSE AND R=FALSE GROUP BY U,G""),""SELECT Col1"")))"),4.70009671080384)</f>
        <v>4.7000967108038401</v>
      </c>
      <c r="G10" s="99">
        <f ca="1">IFERROR(__xludf.DUMMYFUNCTION("IFERROR(AVERAGE(QUERY(QUERY(C_all,""SELECT U,COUNT(G) WHERE D=""&amp;$B10&amp;"" AND Q=FALSE AND R=FALSE AND U&gt;=""&amp;C_mean-2*C_sd&amp;"" AND U&lt;=""&amp;C_mean+2*C_sd&amp;"" GROUP BY U,G""),""SELECT Col1"")))"),21.5)</f>
        <v>21.5</v>
      </c>
      <c r="H10" s="98">
        <f ca="1">IFERROR(__xludf.DUMMYFUNCTION("IFERROR(STDEV(QUERY(QUERY(C_all,""SELECT U,COUNT(G) WHERE D=""&amp;$B10&amp;"" AND Q=FALSE AND R=FALSE AND U&gt;=""&amp;C_mean-2*C_sd&amp;"" AND U&lt;=""&amp;C_mean+2*C_sd&amp;"" GROUP BY U,G""),""SELECT Col1"")))"),4.70009671080384)</f>
        <v>4.7000967108038401</v>
      </c>
      <c r="I10" s="100">
        <f ca="1">IFERROR(__xludf.DUMMYFUNCTION("IFERROR(IF(ISBLANK(G10),,RANK.AVG(B10,QUERY(B$2:G$43,""SELECT B WHERE G IS NOT NULL""),TRUE)))"),8)</f>
        <v>8</v>
      </c>
      <c r="J10" s="100">
        <v>26</v>
      </c>
      <c r="K10" s="100">
        <f t="shared" ca="1" si="0"/>
        <v>324</v>
      </c>
      <c r="L10" s="101"/>
      <c r="M10" s="105" t="s">
        <v>533</v>
      </c>
      <c r="N10" s="106">
        <f ca="1">COUNT(C_d2)</f>
        <v>41</v>
      </c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</row>
    <row r="11" spans="1:29" ht="15" customHeight="1">
      <c r="A11" s="96"/>
      <c r="B11" s="97">
        <f ca="1">IFERROR(__xludf.DUMMYFUNCTION("""COMPUTED_VALUE"""),2000)</f>
        <v>2000</v>
      </c>
      <c r="C11" s="98">
        <f ca="1">IFERROR(__xludf.DUMMYFUNCTION("IFERROR(AVERAGE(QUERY(QUERY(C_all,""SELECT U,COUNT(G) WHERE D=""&amp;$B11&amp;"" GROUP BY U,G""),""SELECT Col1"")))"),20.3333333333333)</f>
        <v>20.3333333333333</v>
      </c>
      <c r="D11" s="98">
        <f ca="1">IFERROR(__xludf.DUMMYFUNCTION("IFERROR(STDEV(QUERY(QUERY(C_all,""SELECT U,COUNT(G) WHERE D=""&amp;$B11&amp;"" GROUP BY U,G""),""SELECT Col1"")))"),7.01081415753656)</f>
        <v>7.0108141575365597</v>
      </c>
      <c r="E11" s="98">
        <f ca="1">IFERROR(__xludf.DUMMYFUNCTION("IFERROR(AVERAGE(QUERY(QUERY('C'!$D$3:$Y$370,""SELECT U,COUNT(G) WHERE D=""&amp;$B11&amp;"" AND Q=FALSE AND R=FALSE GROUP BY U,G""),""SELECT Col1"")))"),20.3333333333333)</f>
        <v>20.3333333333333</v>
      </c>
      <c r="F11" s="98">
        <f ca="1">IFERROR(__xludf.DUMMYFUNCTION("IFERROR(STDEV(QUERY(QUERY('C'!$D$3:$Y$370,""SELECT U,COUNT(G) WHERE D=""&amp;$B11&amp;"" AND Q=FALSE AND R=FALSE GROUP BY U,G""),""SELECT Col1"")))"),7.01081415753656)</f>
        <v>7.0108141575365597</v>
      </c>
      <c r="G11" s="99">
        <f ca="1">IFERROR(__xludf.DUMMYFUNCTION("IFERROR(AVERAGE(QUERY(QUERY(C_all,""SELECT U,COUNT(G) WHERE D=""&amp;$B11&amp;"" AND Q=FALSE AND R=FALSE AND U&gt;=""&amp;C_mean-2*C_sd&amp;"" AND U&lt;=""&amp;C_mean+2*C_sd&amp;"" GROUP BY U,G""),""SELECT Col1"")))"),20.3333333333333)</f>
        <v>20.3333333333333</v>
      </c>
      <c r="H11" s="98">
        <f ca="1">IFERROR(__xludf.DUMMYFUNCTION("IFERROR(STDEV(QUERY(QUERY(C_all,""SELECT U,COUNT(G) WHERE D=""&amp;$B11&amp;"" AND Q=FALSE AND R=FALSE AND U&gt;=""&amp;C_mean-2*C_sd&amp;"" AND U&lt;=""&amp;C_mean+2*C_sd&amp;"" GROUP BY U,G""),""SELECT Col1"")))"),7.01081415753656)</f>
        <v>7.0108141575365597</v>
      </c>
      <c r="I11" s="100">
        <f ca="1">IFERROR(__xludf.DUMMYFUNCTION("IFERROR(IF(ISBLANK(G11),,RANK.AVG(B11,QUERY(B$2:G$43,""SELECT B WHERE G IS NOT NULL""),TRUE)))"),9)</f>
        <v>9</v>
      </c>
      <c r="J11" s="100">
        <v>21</v>
      </c>
      <c r="K11" s="100">
        <f t="shared" ca="1" si="0"/>
        <v>144</v>
      </c>
      <c r="L11" s="101"/>
      <c r="M11" s="21" t="s">
        <v>534</v>
      </c>
      <c r="N11" s="107" t="e">
        <f ca="1">1-(6*SUM(C_d2)/(N10^3-N10))</f>
        <v>#VALUE!</v>
      </c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</row>
    <row r="12" spans="1:29" ht="15" customHeight="1">
      <c r="A12" s="96"/>
      <c r="B12" s="97">
        <f ca="1">IFERROR(__xludf.DUMMYFUNCTION("""COMPUTED_VALUE"""),2200)</f>
        <v>2200</v>
      </c>
      <c r="C12" s="98">
        <f ca="1">IFERROR(__xludf.DUMMYFUNCTION("IFERROR(AVERAGE(QUERY(QUERY(C_all,""SELECT U,COUNT(G) WHERE D=""&amp;$B12&amp;"" GROUP BY U,G""),""SELECT Col1"")))"),17.3333333333333)</f>
        <v>17.3333333333333</v>
      </c>
      <c r="D12" s="98">
        <f ca="1">IFERROR(__xludf.DUMMYFUNCTION("IFERROR(STDEV(QUERY(QUERY(C_all,""SELECT U,COUNT(G) WHERE D=""&amp;$B12&amp;"" GROUP BY U,G""),""SELECT Col1"")))"),11.8654068108884)</f>
        <v>11.8654068108884</v>
      </c>
      <c r="E12" s="98">
        <f ca="1">IFERROR(__xludf.DUMMYFUNCTION("IFERROR(AVERAGE(QUERY(QUERY('C'!$D$3:$Y$370,""SELECT U,COUNT(G) WHERE D=""&amp;$B12&amp;"" AND Q=FALSE AND R=FALSE GROUP BY U,G""),""SELECT Col1"")))"),20.4)</f>
        <v>20.399999999999999</v>
      </c>
      <c r="F12" s="98">
        <f ca="1">IFERROR(__xludf.DUMMYFUNCTION("IFERROR(STDEV(QUERY(QUERY('C'!$D$3:$Y$370,""SELECT U,COUNT(G) WHERE D=""&amp;$B12&amp;"" AND Q=FALSE AND R=FALSE GROUP BY U,G""),""SELECT Col1"")))"),10.4583831340115)</f>
        <v>10.4583831340115</v>
      </c>
      <c r="G12" s="99">
        <f ca="1">IFERROR(__xludf.DUMMYFUNCTION("IFERROR(AVERAGE(QUERY(QUERY(C_all,""SELECT U,COUNT(G) WHERE D=""&amp;$B12&amp;"" AND Q=FALSE AND R=FALSE AND U&gt;=""&amp;C_mean-2*C_sd&amp;"" AND U&lt;=""&amp;C_mean+2*C_sd&amp;"" GROUP BY U,G""),""SELECT Col1"")))"),20.4)</f>
        <v>20.399999999999999</v>
      </c>
      <c r="H12" s="98">
        <f ca="1">IFERROR(__xludf.DUMMYFUNCTION("IFERROR(STDEV(QUERY(QUERY(C_all,""SELECT U,COUNT(G) WHERE D=""&amp;$B12&amp;"" AND Q=FALSE AND R=FALSE AND U&gt;=""&amp;C_mean-2*C_sd&amp;"" AND U&lt;=""&amp;C_mean+2*C_sd&amp;"" GROUP BY U,G""),""SELECT Col1"")))"),10.4583831340115)</f>
        <v>10.4583831340115</v>
      </c>
      <c r="I12" s="100">
        <f ca="1">IFERROR(__xludf.DUMMYFUNCTION("IFERROR(IF(ISBLANK(G12),,RANK.AVG(B12,QUERY(B$2:G$43,""SELECT B WHERE G IS NOT NULL""),TRUE)))"),10)</f>
        <v>10</v>
      </c>
      <c r="J12" s="100">
        <v>22</v>
      </c>
      <c r="K12" s="100">
        <f t="shared" ca="1" si="0"/>
        <v>144</v>
      </c>
      <c r="L12" s="101"/>
      <c r="M12" s="21" t="s">
        <v>315</v>
      </c>
      <c r="N12" s="107" t="e">
        <f ca="1">SQRT(N11^2*(N10-2)/(1-N11^2))</f>
        <v>#VALUE!</v>
      </c>
      <c r="O12" s="108"/>
      <c r="P12" s="109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</row>
    <row r="13" spans="1:29" ht="13">
      <c r="A13" s="96"/>
      <c r="B13" s="97">
        <f ca="1">IFERROR(__xludf.DUMMYFUNCTION("""COMPUTED_VALUE"""),2400)</f>
        <v>2400</v>
      </c>
      <c r="C13" s="98">
        <f ca="1">IFERROR(__xludf.DUMMYFUNCTION("IFERROR(AVERAGE(QUERY(QUERY(C_all,""SELECT U,COUNT(G) WHERE D=""&amp;$B13&amp;"" GROUP BY U,G""),""SELECT Col1"")))"),14.0833333333333)</f>
        <v>14.0833333333333</v>
      </c>
      <c r="D13" s="98">
        <f ca="1">IFERROR(__xludf.DUMMYFUNCTION("IFERROR(STDEV(QUERY(QUERY(C_all,""SELECT U,COUNT(G) WHERE D=""&amp;$B13&amp;"" GROUP BY U,G""),""SELECT Col1"")))"),9.27811043981118)</f>
        <v>9.2781104398111793</v>
      </c>
      <c r="E13" s="98">
        <f ca="1">IFERROR(__xludf.DUMMYFUNCTION("IFERROR(AVERAGE(QUERY(QUERY('C'!$D$3:$Y$370,""SELECT U,COUNT(G) WHERE D=""&amp;$B13&amp;"" AND Q=FALSE AND R=FALSE GROUP BY U,G""),""SELECT Col1"")))"),16.7)</f>
        <v>16.7</v>
      </c>
      <c r="F13" s="98">
        <f ca="1">IFERROR(__xludf.DUMMYFUNCTION("IFERROR(STDEV(QUERY(QUERY('C'!$D$3:$Y$370,""SELECT U,COUNT(G) WHERE D=""&amp;$B13&amp;"" AND Q=FALSE AND R=FALSE GROUP BY U,G""),""SELECT Col1"")))"),7.70353454230228)</f>
        <v>7.7035345423022799</v>
      </c>
      <c r="G13" s="99">
        <f ca="1">IFERROR(__xludf.DUMMYFUNCTION("IFERROR(AVERAGE(QUERY(QUERY(C_all,""SELECT U,COUNT(G) WHERE D=""&amp;$B13&amp;"" AND Q=FALSE AND R=FALSE AND U&gt;=""&amp;C_mean-2*C_sd&amp;"" AND U&lt;=""&amp;C_mean+2*C_sd&amp;"" GROUP BY U,G""),""SELECT Col1"")))"),16.7)</f>
        <v>16.7</v>
      </c>
      <c r="H13" s="98">
        <f ca="1">IFERROR(__xludf.DUMMYFUNCTION("IFERROR(STDEV(QUERY(QUERY(C_all,""SELECT U,COUNT(G) WHERE D=""&amp;$B13&amp;"" AND Q=FALSE AND R=FALSE AND U&gt;=""&amp;C_mean-2*C_sd&amp;"" AND U&lt;=""&amp;C_mean+2*C_sd&amp;"" GROUP BY U,G""),""SELECT Col1"")))"),7.70353454230228)</f>
        <v>7.7035345423022799</v>
      </c>
      <c r="I13" s="100">
        <f ca="1">IFERROR(__xludf.DUMMYFUNCTION("IFERROR(IF(ISBLANK(G13),,RANK.AVG(B13,QUERY(B$2:G$43,""SELECT B WHERE G IS NOT NULL""),TRUE)))"),11)</f>
        <v>11</v>
      </c>
      <c r="J13" s="100">
        <v>11</v>
      </c>
      <c r="K13" s="100">
        <f t="shared" ca="1" si="0"/>
        <v>0</v>
      </c>
      <c r="L13" s="101"/>
      <c r="M13" s="110" t="s">
        <v>535</v>
      </c>
      <c r="N13" s="111">
        <f ca="1">_xlfn.T.INV.2T(0.05,N10-2)</f>
        <v>2.0226909200367595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</row>
    <row r="14" spans="1:29" ht="13">
      <c r="A14" s="96"/>
      <c r="B14" s="97">
        <f ca="1">IFERROR(__xludf.DUMMYFUNCTION("""COMPUTED_VALUE"""),2600)</f>
        <v>2600</v>
      </c>
      <c r="C14" s="98">
        <f ca="1">IFERROR(__xludf.DUMMYFUNCTION("IFERROR(AVERAGE(QUERY(QUERY(C_all,""SELECT U,COUNT(G) WHERE D=""&amp;$B14&amp;"" GROUP BY U,G""),""SELECT Col1"")))"),15.9166666666666)</f>
        <v>15.9166666666666</v>
      </c>
      <c r="D14" s="98">
        <f ca="1">IFERROR(__xludf.DUMMYFUNCTION("IFERROR(STDEV(QUERY(QUERY(C_all,""SELECT U,COUNT(G) WHERE D=""&amp;$B14&amp;"" GROUP BY U,G""),""SELECT Col1"")))"),9.44321144654944)</f>
        <v>9.4432114465494408</v>
      </c>
      <c r="E14" s="98">
        <f ca="1">IFERROR(__xludf.DUMMYFUNCTION("IFERROR(AVERAGE(QUERY(QUERY('C'!$D$3:$Y$370,""SELECT U,COUNT(G) WHERE D=""&amp;$B14&amp;"" AND Q=FALSE AND R=FALSE GROUP BY U,G""),""SELECT Col1"")))"),17.8)</f>
        <v>17.8</v>
      </c>
      <c r="F14" s="98">
        <f ca="1">IFERROR(__xludf.DUMMYFUNCTION("IFERROR(STDEV(QUERY(QUERY('C'!$D$3:$Y$370,""SELECT U,COUNT(G) WHERE D=""&amp;$B14&amp;"" AND Q=FALSE AND R=FALSE GROUP BY U,G""),""SELECT Col1"")))"),8.99135387160601)</f>
        <v>8.9913538716060106</v>
      </c>
      <c r="G14" s="99">
        <f ca="1">IFERROR(__xludf.DUMMYFUNCTION("IFERROR(AVERAGE(QUERY(QUERY(C_all,""SELECT U,COUNT(G) WHERE D=""&amp;$B14&amp;"" AND Q=FALSE AND R=FALSE AND U&gt;=""&amp;C_mean-2*C_sd&amp;"" AND U&lt;=""&amp;C_mean+2*C_sd&amp;"" GROUP BY U,G""),""SELECT Col1"")))"),17.8)</f>
        <v>17.8</v>
      </c>
      <c r="H14" s="98">
        <f ca="1">IFERROR(__xludf.DUMMYFUNCTION("IFERROR(STDEV(QUERY(QUERY(C_all,""SELECT U,COUNT(G) WHERE D=""&amp;$B14&amp;"" AND Q=FALSE AND R=FALSE AND U&gt;=""&amp;C_mean-2*C_sd&amp;"" AND U&lt;=""&amp;C_mean+2*C_sd&amp;"" GROUP BY U,G""),""SELECT Col1"")))"),8.99135387160601)</f>
        <v>8.9913538716060106</v>
      </c>
      <c r="I14" s="100">
        <f ca="1">IFERROR(__xludf.DUMMYFUNCTION("IFERROR(IF(ISBLANK(G14),,RANK.AVG(B14,QUERY(B$2:G$43,""SELECT B WHERE G IS NOT NULL""),TRUE)))"),12)</f>
        <v>12</v>
      </c>
      <c r="J14" s="100">
        <v>13</v>
      </c>
      <c r="K14" s="100">
        <f t="shared" ca="1" si="0"/>
        <v>1</v>
      </c>
      <c r="L14" s="101"/>
      <c r="M14" s="21" t="s">
        <v>91</v>
      </c>
      <c r="N14" s="112" t="e">
        <f ca="1">N12&gt;N13</f>
        <v>#VALUE!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</row>
    <row r="15" spans="1:29" ht="13">
      <c r="A15" s="96"/>
      <c r="B15" s="97">
        <f ca="1">IFERROR(__xludf.DUMMYFUNCTION("""COMPUTED_VALUE"""),2800)</f>
        <v>2800</v>
      </c>
      <c r="C15" s="98">
        <f ca="1">IFERROR(__xludf.DUMMYFUNCTION("IFERROR(AVERAGE(QUERY(QUERY(C_all,""SELECT U,COUNT(G) WHERE D=""&amp;$B15&amp;"" GROUP BY U,G""),""SELECT Col1"")))"),19)</f>
        <v>19</v>
      </c>
      <c r="D15" s="98">
        <f ca="1">IFERROR(__xludf.DUMMYFUNCTION("IFERROR(STDEV(QUERY(QUERY(C_all,""SELECT U,COUNT(G) WHERE D=""&amp;$B15&amp;"" GROUP BY U,G""),""SELECT Col1"")))"),9.94530496812897)</f>
        <v>9.9453049681289691</v>
      </c>
      <c r="E15" s="98">
        <f ca="1">IFERROR(__xludf.DUMMYFUNCTION("IFERROR(AVERAGE(QUERY(QUERY('C'!$D$3:$Y$370,""SELECT U,COUNT(G) WHERE D=""&amp;$B15&amp;"" AND Q=FALSE AND R=FALSE GROUP BY U,G""),""SELECT Col1"")))"),19)</f>
        <v>19</v>
      </c>
      <c r="F15" s="98">
        <f ca="1">IFERROR(__xludf.DUMMYFUNCTION("IFERROR(STDEV(QUERY(QUERY('C'!$D$3:$Y$370,""SELECT U,COUNT(G) WHERE D=""&amp;$B15&amp;"" AND Q=FALSE AND R=FALSE GROUP BY U,G""),""SELECT Col1"")))"),9.94530496812897)</f>
        <v>9.9453049681289691</v>
      </c>
      <c r="G15" s="99">
        <f ca="1">IFERROR(__xludf.DUMMYFUNCTION("IFERROR(AVERAGE(QUERY(QUERY(C_all,""SELECT U,COUNT(G) WHERE D=""&amp;$B15&amp;"" AND Q=FALSE AND R=FALSE AND U&gt;=""&amp;C_mean-2*C_sd&amp;"" AND U&lt;=""&amp;C_mean+2*C_sd&amp;"" GROUP BY U,G""),""SELECT Col1"")))"),16.5454545454545)</f>
        <v>16.545454545454501</v>
      </c>
      <c r="H15" s="98">
        <f ca="1">IFERROR(__xludf.DUMMYFUNCTION("IFERROR(STDEV(QUERY(QUERY(C_all,""SELECT U,COUNT(G) WHERE D=""&amp;$B15&amp;"" AND Q=FALSE AND R=FALSE AND U&gt;=""&amp;C_mean-2*C_sd&amp;"" AND U&lt;=""&amp;C_mean+2*C_sd&amp;"" GROUP BY U,G""),""SELECT Col1"")))"),5.41042764231509)</f>
        <v>5.4104276423150903</v>
      </c>
      <c r="I15" s="100">
        <f ca="1">IFERROR(__xludf.DUMMYFUNCTION("IFERROR(IF(ISBLANK(G15),,RANK.AVG(B15,QUERY(B$2:G$43,""SELECT B WHERE G IS NOT NULL""),TRUE)))"),13)</f>
        <v>13</v>
      </c>
      <c r="J15" s="100">
        <v>10</v>
      </c>
      <c r="K15" s="100">
        <f t="shared" ca="1" si="0"/>
        <v>9</v>
      </c>
      <c r="L15" s="101"/>
      <c r="M15" s="101"/>
      <c r="N15" s="112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</row>
    <row r="16" spans="1:29" ht="13">
      <c r="A16" s="96"/>
      <c r="B16" s="97">
        <f ca="1">IFERROR(__xludf.DUMMYFUNCTION("""COMPUTED_VALUE"""),3000)</f>
        <v>3000</v>
      </c>
      <c r="C16" s="98">
        <f ca="1">IFERROR(__xludf.DUMMYFUNCTION("IFERROR(AVERAGE(QUERY(QUERY(C_all,""SELECT U,COUNT(G) WHERE D=""&amp;$B16&amp;"" GROUP BY U,G""),""SELECT Col1"")))"),21.75)</f>
        <v>21.75</v>
      </c>
      <c r="D16" s="98">
        <f ca="1">IFERROR(__xludf.DUMMYFUNCTION("IFERROR(STDEV(QUERY(QUERY(C_all,""SELECT U,COUNT(G) WHERE D=""&amp;$B16&amp;"" GROUP BY U,G""),""SELECT Col1"")))"),9.85462512547465)</f>
        <v>9.8546251254746497</v>
      </c>
      <c r="E16" s="98">
        <f ca="1">IFERROR(__xludf.DUMMYFUNCTION("IFERROR(AVERAGE(QUERY(QUERY('C'!$D$3:$Y$370,""SELECT U,COUNT(G) WHERE D=""&amp;$B16&amp;"" AND Q=FALSE AND R=FALSE GROUP BY U,G""),""SELECT Col1"")))"),21.090909090909)</f>
        <v>21.090909090909001</v>
      </c>
      <c r="F16" s="98">
        <f ca="1">IFERROR(__xludf.DUMMYFUNCTION("IFERROR(STDEV(QUERY(QUERY('C'!$D$3:$Y$370,""SELECT U,COUNT(G) WHERE D=""&amp;$B16&amp;"" AND Q=FALSE AND R=FALSE GROUP BY U,G""),""SELECT Col1"")))"),10.0543975001443)</f>
        <v>10.054397500144299</v>
      </c>
      <c r="G16" s="99">
        <f ca="1">IFERROR(__xludf.DUMMYFUNCTION("IFERROR(AVERAGE(QUERY(QUERY(C_all,""SELECT U,COUNT(G) WHERE D=""&amp;$B16&amp;"" AND Q=FALSE AND R=FALSE AND U&gt;=""&amp;C_mean-2*C_sd&amp;"" AND U&lt;=""&amp;C_mean+2*C_sd&amp;"" GROUP BY U,G""),""SELECT Col1"")))"),21.090909090909)</f>
        <v>21.090909090909001</v>
      </c>
      <c r="H16" s="98">
        <f ca="1">IFERROR(__xludf.DUMMYFUNCTION("IFERROR(STDEV(QUERY(QUERY(C_all,""SELECT U,COUNT(G) WHERE D=""&amp;$B16&amp;"" AND Q=FALSE AND R=FALSE AND U&gt;=""&amp;C_mean-2*C_sd&amp;"" AND U&lt;=""&amp;C_mean+2*C_sd&amp;"" GROUP BY U,G""),""SELECT Col1"")))"),10.0543975001443)</f>
        <v>10.054397500144299</v>
      </c>
      <c r="I16" s="100">
        <f ca="1">IFERROR(__xludf.DUMMYFUNCTION("IFERROR(IF(ISBLANK(G16),,RANK.AVG(B16,QUERY(B$2:G$43,""SELECT B WHERE G IS NOT NULL""),TRUE)))"),14)</f>
        <v>14</v>
      </c>
      <c r="J16" s="100">
        <v>25</v>
      </c>
      <c r="K16" s="100">
        <f t="shared" ca="1" si="0"/>
        <v>121</v>
      </c>
      <c r="L16" s="101"/>
      <c r="N16" s="113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</row>
    <row r="17" spans="1:29" ht="13">
      <c r="A17" s="96"/>
      <c r="B17" s="97">
        <f ca="1">IFERROR(__xludf.DUMMYFUNCTION("""COMPUTED_VALUE"""),3200)</f>
        <v>3200</v>
      </c>
      <c r="C17" s="98">
        <f ca="1">IFERROR(__xludf.DUMMYFUNCTION("IFERROR(AVERAGE(QUERY(QUERY(C_all,""SELECT U,COUNT(G) WHERE D=""&amp;$B17&amp;"" GROUP BY U,G""),""SELECT Col1"")))"),16.4545454545454)</f>
        <v>16.4545454545454</v>
      </c>
      <c r="D17" s="98">
        <f ca="1">IFERROR(__xludf.DUMMYFUNCTION("IFERROR(STDEV(QUERY(QUERY(C_all,""SELECT U,COUNT(G) WHERE D=""&amp;$B17&amp;"" GROUP BY U,G""),""SELECT Col1"")))"),6.93344988247029)</f>
        <v>6.9334498824702901</v>
      </c>
      <c r="E17" s="98">
        <f ca="1">IFERROR(__xludf.DUMMYFUNCTION("IFERROR(AVERAGE(QUERY(QUERY('C'!$D$3:$Y$370,""SELECT U,COUNT(G) WHERE D=""&amp;$B17&amp;"" AND Q=FALSE AND R=FALSE GROUP BY U,G""),""SELECT Col1"")))"),18.1)</f>
        <v>18.100000000000001</v>
      </c>
      <c r="F17" s="98">
        <f ca="1">IFERROR(__xludf.DUMMYFUNCTION("IFERROR(STDEV(QUERY(QUERY('C'!$D$3:$Y$370,""SELECT U,COUNT(G) WHERE D=""&amp;$B17&amp;"" AND Q=FALSE AND R=FALSE GROUP BY U,G""),""SELECT Col1"")))"),4.50801754901444)</f>
        <v>4.5080175490144399</v>
      </c>
      <c r="G17" s="99">
        <f ca="1">IFERROR(__xludf.DUMMYFUNCTION("IFERROR(AVERAGE(QUERY(QUERY(C_all,""SELECT U,COUNT(G) WHERE D=""&amp;$B17&amp;"" AND Q=FALSE AND R=FALSE AND U&gt;=""&amp;C_mean-2*C_sd&amp;"" AND U&lt;=""&amp;C_mean+2*C_sd&amp;"" GROUP BY U,G""),""SELECT Col1"")))"),18.1)</f>
        <v>18.100000000000001</v>
      </c>
      <c r="H17" s="98">
        <f ca="1">IFERROR(__xludf.DUMMYFUNCTION("IFERROR(STDEV(QUERY(QUERY(C_all,""SELECT U,COUNT(G) WHERE D=""&amp;$B17&amp;"" AND Q=FALSE AND R=FALSE AND U&gt;=""&amp;C_mean-2*C_sd&amp;"" AND U&lt;=""&amp;C_mean+2*C_sd&amp;"" GROUP BY U,G""),""SELECT Col1"")))"),4.50801754901444)</f>
        <v>4.5080175490144399</v>
      </c>
      <c r="I17" s="100">
        <f ca="1">IFERROR(__xludf.DUMMYFUNCTION("IFERROR(IF(ISBLANK(G17),,RANK.AVG(B17,QUERY(B$2:G$43,""SELECT B WHERE G IS NOT NULL""),TRUE)))"),15)</f>
        <v>15</v>
      </c>
      <c r="J17" s="100">
        <v>14</v>
      </c>
      <c r="K17" s="100">
        <f t="shared" ca="1" si="0"/>
        <v>1</v>
      </c>
      <c r="L17" s="101"/>
      <c r="N17" s="113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</row>
    <row r="18" spans="1:29" ht="13">
      <c r="A18" s="96"/>
      <c r="B18" s="97">
        <f ca="1">IFERROR(__xludf.DUMMYFUNCTION("""COMPUTED_VALUE"""),3400)</f>
        <v>3400</v>
      </c>
      <c r="C18" s="98">
        <f ca="1">IFERROR(__xludf.DUMMYFUNCTION("IFERROR(AVERAGE(QUERY(QUERY(C_all,""SELECT U,COUNT(G) WHERE D=""&amp;$B18&amp;"" GROUP BY U,G""),""SELECT Col1"")))"),18.4545454545454)</f>
        <v>18.4545454545454</v>
      </c>
      <c r="D18" s="98">
        <f ca="1">IFERROR(__xludf.DUMMYFUNCTION("IFERROR(STDEV(QUERY(QUERY(C_all,""SELECT U,COUNT(G) WHERE D=""&amp;$B18&amp;"" GROUP BY U,G""),""SELECT Col1"")))"),11.4049431069482)</f>
        <v>11.404943106948201</v>
      </c>
      <c r="E18" s="98">
        <f ca="1">IFERROR(__xludf.DUMMYFUNCTION("IFERROR(AVERAGE(QUERY(QUERY('C'!$D$3:$Y$370,""SELECT U,COUNT(G) WHERE D=""&amp;$B18&amp;"" AND Q=FALSE AND R=FALSE GROUP BY U,G""),""SELECT Col1"")))"),22.75)</f>
        <v>22.75</v>
      </c>
      <c r="F18" s="98">
        <f ca="1">IFERROR(__xludf.DUMMYFUNCTION("IFERROR(STDEV(QUERY(QUERY('C'!$D$3:$Y$370,""SELECT U,COUNT(G) WHERE D=""&amp;$B18&amp;"" AND Q=FALSE AND R=FALSE GROUP BY U,G""),""SELECT Col1"")))"),8.79529094783923)</f>
        <v>8.7952909478392307</v>
      </c>
      <c r="G18" s="99">
        <f ca="1">IFERROR(__xludf.DUMMYFUNCTION("IFERROR(AVERAGE(QUERY(QUERY(C_all,""SELECT U,COUNT(G) WHERE D=""&amp;$B18&amp;"" AND Q=FALSE AND R=FALSE AND U&gt;=""&amp;C_mean-2*C_sd&amp;"" AND U&lt;=""&amp;C_mean+2*C_sd&amp;"" GROUP BY U,G""),""SELECT Col1"")))"),22.75)</f>
        <v>22.75</v>
      </c>
      <c r="H18" s="98">
        <f ca="1">IFERROR(__xludf.DUMMYFUNCTION("IFERROR(STDEV(QUERY(QUERY(C_all,""SELECT U,COUNT(G) WHERE D=""&amp;$B18&amp;"" AND Q=FALSE AND R=FALSE AND U&gt;=""&amp;C_mean-2*C_sd&amp;"" AND U&lt;=""&amp;C_mean+2*C_sd&amp;"" GROUP BY U,G""),""SELECT Col1"")))"),8.79529094783923)</f>
        <v>8.7952909478392307</v>
      </c>
      <c r="I18" s="100">
        <f ca="1">IFERROR(__xludf.DUMMYFUNCTION("IFERROR(IF(ISBLANK(G18),,RANK.AVG(B18,QUERY(B$2:G$43,""SELECT B WHERE G IS NOT NULL""),TRUE)))"),16)</f>
        <v>16</v>
      </c>
      <c r="J18" s="100">
        <v>29</v>
      </c>
      <c r="K18" s="100">
        <f t="shared" ca="1" si="0"/>
        <v>169</v>
      </c>
      <c r="L18" s="101"/>
      <c r="N18" s="113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</row>
    <row r="19" spans="1:29" ht="13">
      <c r="A19" s="96"/>
      <c r="B19" s="97">
        <f ca="1">IFERROR(__xludf.DUMMYFUNCTION("""COMPUTED_VALUE"""),3600)</f>
        <v>3600</v>
      </c>
      <c r="C19" s="98">
        <f ca="1">IFERROR(__xludf.DUMMYFUNCTION("IFERROR(AVERAGE(QUERY(QUERY(C_all,""SELECT U,COUNT(G) WHERE D=""&amp;$B19&amp;"" GROUP BY U,G""),""SELECT Col1"")))"),18.875)</f>
        <v>18.875</v>
      </c>
      <c r="D19" s="98">
        <f ca="1">IFERROR(__xludf.DUMMYFUNCTION("IFERROR(STDEV(QUERY(QUERY(C_all,""SELECT U,COUNT(G) WHERE D=""&amp;$B19&amp;"" GROUP BY U,G""),""SELECT Col1"")))"),4.67325215607779)</f>
        <v>4.6732521560777904</v>
      </c>
      <c r="E19" s="98">
        <f ca="1">IFERROR(__xludf.DUMMYFUNCTION("IFERROR(AVERAGE(QUERY(QUERY('C'!$D$3:$Y$370,""SELECT U,COUNT(G) WHERE D=""&amp;$B19&amp;"" AND Q=FALSE AND R=FALSE GROUP BY U,G""),""SELECT Col1"")))"),18.875)</f>
        <v>18.875</v>
      </c>
      <c r="F19" s="98">
        <f ca="1">IFERROR(__xludf.DUMMYFUNCTION("IFERROR(STDEV(QUERY(QUERY('C'!$D$3:$Y$370,""SELECT U,COUNT(G) WHERE D=""&amp;$B19&amp;"" AND Q=FALSE AND R=FALSE GROUP BY U,G""),""SELECT Col1"")))"),4.67325215607779)</f>
        <v>4.6732521560777904</v>
      </c>
      <c r="G19" s="99">
        <f ca="1">IFERROR(__xludf.DUMMYFUNCTION("IFERROR(AVERAGE(QUERY(QUERY(C_all,""SELECT U,COUNT(G) WHERE D=""&amp;$B19&amp;"" AND Q=FALSE AND R=FALSE AND U&gt;=""&amp;C_mean-2*C_sd&amp;"" AND U&lt;=""&amp;C_mean+2*C_sd&amp;"" GROUP BY U,G""),""SELECT Col1"")))"),18.875)</f>
        <v>18.875</v>
      </c>
      <c r="H19" s="98">
        <f ca="1">IFERROR(__xludf.DUMMYFUNCTION("IFERROR(STDEV(QUERY(QUERY(C_all,""SELECT U,COUNT(G) WHERE D=""&amp;$B19&amp;"" AND Q=FALSE AND R=FALSE AND U&gt;=""&amp;C_mean-2*C_sd&amp;"" AND U&lt;=""&amp;C_mean+2*C_sd&amp;"" GROUP BY U,G""),""SELECT Col1"")))"),4.67325215607779)</f>
        <v>4.6732521560777904</v>
      </c>
      <c r="I19" s="100">
        <f ca="1">IFERROR(__xludf.DUMMYFUNCTION("IFERROR(IF(ISBLANK(G19),,RANK.AVG(B19,QUERY(B$2:G$43,""SELECT B WHERE G IS NOT NULL""),TRUE)))"),17)</f>
        <v>17</v>
      </c>
      <c r="J19" s="100">
        <v>18</v>
      </c>
      <c r="K19" s="100">
        <f t="shared" ca="1" si="0"/>
        <v>1</v>
      </c>
      <c r="L19" s="101"/>
      <c r="N19" s="113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</row>
    <row r="20" spans="1:29" ht="13">
      <c r="A20" s="96"/>
      <c r="B20" s="97">
        <f ca="1">IFERROR(__xludf.DUMMYFUNCTION("""COMPUTED_VALUE"""),3800)</f>
        <v>3800</v>
      </c>
      <c r="C20" s="98">
        <f ca="1">IFERROR(__xludf.DUMMYFUNCTION("IFERROR(AVERAGE(QUERY(QUERY(C_all,""SELECT U,COUNT(G) WHERE D=""&amp;$B20&amp;"" GROUP BY U,G""),""SELECT Col1"")))"),16.1428571428571)</f>
        <v>16.1428571428571</v>
      </c>
      <c r="D20" s="98">
        <f ca="1">IFERROR(__xludf.DUMMYFUNCTION("IFERROR(STDEV(QUERY(QUERY(C_all,""SELECT U,COUNT(G) WHERE D=""&amp;$B20&amp;"" GROUP BY U,G""),""SELECT Col1"")))"),8.82097068408708)</f>
        <v>8.8209706840870794</v>
      </c>
      <c r="E20" s="98">
        <f ca="1">IFERROR(__xludf.DUMMYFUNCTION("IFERROR(AVERAGE(QUERY(QUERY('C'!$D$3:$Y$370,""SELECT U,COUNT(G) WHERE D=""&amp;$B20&amp;"" AND Q=FALSE AND R=FALSE GROUP BY U,G""),""SELECT Col1"")))"),18.8333333333333)</f>
        <v>18.8333333333333</v>
      </c>
      <c r="F20" s="98">
        <f ca="1">IFERROR(__xludf.DUMMYFUNCTION("IFERROR(STDEV(QUERY(QUERY('C'!$D$3:$Y$370,""SELECT U,COUNT(G) WHERE D=""&amp;$B20&amp;"" AND Q=FALSE AND R=FALSE GROUP BY U,G""),""SELECT Col1"")))"),5.70672118354021)</f>
        <v>5.7067211835402096</v>
      </c>
      <c r="G20" s="99">
        <f ca="1">IFERROR(__xludf.DUMMYFUNCTION("IFERROR(AVERAGE(QUERY(QUERY(C_all,""SELECT U,COUNT(G) WHERE D=""&amp;$B20&amp;"" AND Q=FALSE AND R=FALSE AND U&gt;=""&amp;C_mean-2*C_sd&amp;"" AND U&lt;=""&amp;C_mean+2*C_sd&amp;"" GROUP BY U,G""),""SELECT Col1"")))"),18.8333333333333)</f>
        <v>18.8333333333333</v>
      </c>
      <c r="H20" s="98">
        <f ca="1">IFERROR(__xludf.DUMMYFUNCTION("IFERROR(STDEV(QUERY(QUERY(C_all,""SELECT U,COUNT(G) WHERE D=""&amp;$B20&amp;"" AND Q=FALSE AND R=FALSE AND U&gt;=""&amp;C_mean-2*C_sd&amp;"" AND U&lt;=""&amp;C_mean+2*C_sd&amp;"" GROUP BY U,G""),""SELECT Col1"")))"),5.70672118354021)</f>
        <v>5.7067211835402096</v>
      </c>
      <c r="I20" s="100">
        <f ca="1">IFERROR(__xludf.DUMMYFUNCTION("IFERROR(IF(ISBLANK(G20),,RANK.AVG(B20,QUERY(B$2:G$43,""SELECT B WHERE G IS NOT NULL""),TRUE)))"),18)</f>
        <v>18</v>
      </c>
      <c r="J20" s="100">
        <v>17</v>
      </c>
      <c r="K20" s="100">
        <f t="shared" ca="1" si="0"/>
        <v>1</v>
      </c>
      <c r="L20" s="101"/>
      <c r="M20" s="101"/>
      <c r="N20" s="112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</row>
    <row r="21" spans="1:29" ht="13">
      <c r="A21" s="96"/>
      <c r="B21" s="97">
        <f ca="1">IFERROR(__xludf.DUMMYFUNCTION("""COMPUTED_VALUE"""),4000)</f>
        <v>4000</v>
      </c>
      <c r="C21" s="98">
        <f ca="1">IFERROR(__xludf.DUMMYFUNCTION("IFERROR(AVERAGE(QUERY(QUERY(C_all,""SELECT U,COUNT(G) WHERE D=""&amp;$B21&amp;"" GROUP BY U,G""),""SELECT Col1"")))"),14.4285714285714)</f>
        <v>14.4285714285714</v>
      </c>
      <c r="D21" s="98">
        <f ca="1">IFERROR(__xludf.DUMMYFUNCTION("IFERROR(STDEV(QUERY(QUERY(C_all,""SELECT U,COUNT(G) WHERE D=""&amp;$B21&amp;"" GROUP BY U,G""),""SELECT Col1"")))"),10.6748480528942)</f>
        <v>10.6748480528942</v>
      </c>
      <c r="E21" s="98">
        <f ca="1">IFERROR(__xludf.DUMMYFUNCTION("IFERROR(AVERAGE(QUERY(QUERY('C'!$D$3:$Y$370,""SELECT U,COUNT(G) WHERE D=""&amp;$B21&amp;"" AND Q=FALSE AND R=FALSE GROUP BY U,G""),""SELECT Col1"")))"),22.25)</f>
        <v>22.25</v>
      </c>
      <c r="F21" s="98">
        <f ca="1">IFERROR(__xludf.DUMMYFUNCTION("IFERROR(STDEV(QUERY(QUERY('C'!$D$3:$Y$370,""SELECT U,COUNT(G) WHERE D=""&amp;$B21&amp;"" AND Q=FALSE AND R=FALSE GROUP BY U,G""),""SELECT Col1"")))"),2.3629078131263)</f>
        <v>2.3629078131262999</v>
      </c>
      <c r="G21" s="99">
        <f ca="1">IFERROR(__xludf.DUMMYFUNCTION("IFERROR(AVERAGE(QUERY(QUERY(C_all,""SELECT U,COUNT(G) WHERE D=""&amp;$B21&amp;"" AND Q=FALSE AND R=FALSE AND U&gt;=""&amp;C_mean-2*C_sd&amp;"" AND U&lt;=""&amp;C_mean+2*C_sd&amp;"" GROUP BY U,G""),""SELECT Col1"")))"),22.25)</f>
        <v>22.25</v>
      </c>
      <c r="H21" s="98">
        <f ca="1">IFERROR(__xludf.DUMMYFUNCTION("IFERROR(STDEV(QUERY(QUERY(C_all,""SELECT U,COUNT(G) WHERE D=""&amp;$B21&amp;"" AND Q=FALSE AND R=FALSE AND U&gt;=""&amp;C_mean-2*C_sd&amp;"" AND U&lt;=""&amp;C_mean+2*C_sd&amp;"" GROUP BY U,G""),""SELECT Col1"")))"),2.3629078131263)</f>
        <v>2.3629078131262999</v>
      </c>
      <c r="I21" s="100">
        <f ca="1">IFERROR(__xludf.DUMMYFUNCTION("IFERROR(IF(ISBLANK(G21),,RANK.AVG(B21,QUERY(B$2:G$43,""SELECT B WHERE G IS NOT NULL""),TRUE)))"),19)</f>
        <v>19</v>
      </c>
      <c r="J21" s="100">
        <v>28</v>
      </c>
      <c r="K21" s="100">
        <f t="shared" ca="1" si="0"/>
        <v>81</v>
      </c>
      <c r="L21" s="101"/>
      <c r="M21" s="101"/>
      <c r="N21" s="112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</row>
    <row r="22" spans="1:29" ht="13">
      <c r="A22" s="96"/>
      <c r="B22" s="97">
        <f ca="1">IFERROR(__xludf.DUMMYFUNCTION("""COMPUTED_VALUE"""),4200)</f>
        <v>4200</v>
      </c>
      <c r="C22" s="98">
        <f ca="1">IFERROR(__xludf.DUMMYFUNCTION("IFERROR(AVERAGE(QUERY(QUERY(C_all,""SELECT U,COUNT(G) WHERE D=""&amp;$B22&amp;"" GROUP BY U,G""),""SELECT Col1"")))"),18.5)</f>
        <v>18.5</v>
      </c>
      <c r="D22" s="98">
        <f ca="1">IFERROR(__xludf.DUMMYFUNCTION("IFERROR(STDEV(QUERY(QUERY(C_all,""SELECT U,COUNT(G) WHERE D=""&amp;$B22&amp;"" GROUP BY U,G""),""SELECT Col1"")))"),17.1214151618041)</f>
        <v>17.121415161804102</v>
      </c>
      <c r="E22" s="98">
        <f ca="1">IFERROR(__xludf.DUMMYFUNCTION("IFERROR(AVERAGE(QUERY(QUERY('C'!$D$3:$Y$370,""SELECT U,COUNT(G) WHERE D=""&amp;$B22&amp;"" AND Q=FALSE AND R=FALSE GROUP BY U,G""),""SELECT Col1"")))"),29.2)</f>
        <v>29.2</v>
      </c>
      <c r="F22" s="98">
        <f ca="1">IFERROR(__xludf.DUMMYFUNCTION("IFERROR(STDEV(QUERY(QUERY('C'!$D$3:$Y$370,""SELECT U,COUNT(G) WHERE D=""&amp;$B22&amp;"" AND Q=FALSE AND R=FALSE GROUP BY U,G""),""SELECT Col1"")))"),11.4324100696222)</f>
        <v>11.4324100696222</v>
      </c>
      <c r="G22" s="99">
        <f ca="1">IFERROR(__xludf.DUMMYFUNCTION("IFERROR(AVERAGE(QUERY(QUERY(C_all,""SELECT U,COUNT(G) WHERE D=""&amp;$B22&amp;"" AND Q=FALSE AND R=FALSE AND U&gt;=""&amp;C_mean-2*C_sd&amp;"" AND U&lt;=""&amp;C_mean+2*C_sd&amp;"" GROUP BY U,G""),""SELECT Col1"")))"),24.25)</f>
        <v>24.25</v>
      </c>
      <c r="H22" s="98">
        <f ca="1">IFERROR(__xludf.DUMMYFUNCTION("IFERROR(STDEV(QUERY(QUERY(C_all,""SELECT U,COUNT(G) WHERE D=""&amp;$B22&amp;"" AND Q=FALSE AND R=FALSE AND U&gt;=""&amp;C_mean-2*C_sd&amp;"" AND U&lt;=""&amp;C_mean+2*C_sd&amp;"" GROUP BY U,G""),""SELECT Col1"")))"),3.30403793359983)</f>
        <v>3.30403793359983</v>
      </c>
      <c r="I22" s="100">
        <f ca="1">IFERROR(__xludf.DUMMYFUNCTION("IFERROR(IF(ISBLANK(G22),,RANK.AVG(B22,QUERY(B$2:G$43,""SELECT B WHERE G IS NOT NULL""),TRUE)))"),20)</f>
        <v>20</v>
      </c>
      <c r="J22" s="100">
        <v>33.5</v>
      </c>
      <c r="K22" s="100">
        <f t="shared" ca="1" si="0"/>
        <v>182.25</v>
      </c>
      <c r="L22" s="101"/>
      <c r="M22" s="101"/>
      <c r="N22" s="112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</row>
    <row r="23" spans="1:29" ht="13">
      <c r="A23" s="96"/>
      <c r="B23" s="97">
        <f ca="1">IFERROR(__xludf.DUMMYFUNCTION("""COMPUTED_VALUE"""),4400)</f>
        <v>4400</v>
      </c>
      <c r="C23" s="98">
        <f ca="1">IFERROR(__xludf.DUMMYFUNCTION("IFERROR(AVERAGE(QUERY(QUERY(C_all,""SELECT U,COUNT(G) WHERE D=""&amp;$B23&amp;"" GROUP BY U,G""),""SELECT Col1"")))"),24.25)</f>
        <v>24.25</v>
      </c>
      <c r="D23" s="98">
        <f ca="1">IFERROR(__xludf.DUMMYFUNCTION("IFERROR(STDEV(QUERY(QUERY(C_all,""SELECT U,COUNT(G) WHERE D=""&amp;$B23&amp;"" GROUP BY U,G""),""SELECT Col1"")))"),8.25919401117843)</f>
        <v>8.2591940111784297</v>
      </c>
      <c r="E23" s="98">
        <f ca="1">IFERROR(__xludf.DUMMYFUNCTION("IFERROR(AVERAGE(QUERY(QUERY('C'!$D$3:$Y$370,""SELECT U,COUNT(G) WHERE D=""&amp;$B23&amp;"" AND Q=FALSE AND R=FALSE GROUP BY U,G""),""SELECT Col1"")))"),24.25)</f>
        <v>24.25</v>
      </c>
      <c r="F23" s="98">
        <f ca="1">IFERROR(__xludf.DUMMYFUNCTION("IFERROR(STDEV(QUERY(QUERY('C'!$D$3:$Y$370,""SELECT U,COUNT(G) WHERE D=""&amp;$B23&amp;"" AND Q=FALSE AND R=FALSE GROUP BY U,G""),""SELECT Col1"")))"),8.25919401117843)</f>
        <v>8.2591940111784297</v>
      </c>
      <c r="G23" s="99">
        <f ca="1">IFERROR(__xludf.DUMMYFUNCTION("IFERROR(AVERAGE(QUERY(QUERY(C_all,""SELECT U,COUNT(G) WHERE D=""&amp;$B23&amp;"" AND Q=FALSE AND R=FALSE AND U&gt;=""&amp;C_mean-2*C_sd&amp;"" AND U&lt;=""&amp;C_mean+2*C_sd&amp;"" GROUP BY U,G""),""SELECT Col1"")))"),24.25)</f>
        <v>24.25</v>
      </c>
      <c r="H23" s="98">
        <f ca="1">IFERROR(__xludf.DUMMYFUNCTION("IFERROR(STDEV(QUERY(QUERY(C_all,""SELECT U,COUNT(G) WHERE D=""&amp;$B23&amp;"" AND Q=FALSE AND R=FALSE AND U&gt;=""&amp;C_mean-2*C_sd&amp;"" AND U&lt;=""&amp;C_mean+2*C_sd&amp;"" GROUP BY U,G""),""SELECT Col1"")))"),8.25919401117843)</f>
        <v>8.2591940111784297</v>
      </c>
      <c r="I23" s="100">
        <f ca="1">IFERROR(__xludf.DUMMYFUNCTION("IFERROR(IF(ISBLANK(G23),,RANK.AVG(B23,QUERY(B$2:G$43,""SELECT B WHERE G IS NOT NULL""),TRUE)))"),21)</f>
        <v>21</v>
      </c>
      <c r="J23" s="100">
        <v>33.5</v>
      </c>
      <c r="K23" s="100">
        <f t="shared" ca="1" si="0"/>
        <v>156.25</v>
      </c>
      <c r="L23" s="101"/>
      <c r="M23" s="101"/>
      <c r="N23" s="112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</row>
    <row r="24" spans="1:29" ht="13">
      <c r="A24" s="96"/>
      <c r="B24" s="97">
        <f ca="1">IFERROR(__xludf.DUMMYFUNCTION("""COMPUTED_VALUE"""),4600)</f>
        <v>4600</v>
      </c>
      <c r="C24" s="98">
        <f ca="1">IFERROR(__xludf.DUMMYFUNCTION("IFERROR(AVERAGE(QUERY(QUERY(C_all,""SELECT U,COUNT(G) WHERE D=""&amp;$B24&amp;"" GROUP BY U,G""),""SELECT Col1"")))"),21.875)</f>
        <v>21.875</v>
      </c>
      <c r="D24" s="98">
        <f ca="1">IFERROR(__xludf.DUMMYFUNCTION("IFERROR(STDEV(QUERY(QUERY(C_all,""SELECT U,COUNT(G) WHERE D=""&amp;$B24&amp;"" GROUP BY U,G""),""SELECT Col1"")))"),7.39570338584698)</f>
        <v>7.3957033858469803</v>
      </c>
      <c r="E24" s="98">
        <f ca="1">IFERROR(__xludf.DUMMYFUNCTION("IFERROR(AVERAGE(QUERY(QUERY('C'!$D$3:$Y$370,""SELECT U,COUNT(G) WHERE D=""&amp;$B24&amp;"" AND Q=FALSE AND R=FALSE GROUP BY U,G""),""SELECT Col1"")))"),24.1428571428571)</f>
        <v>24.1428571428571</v>
      </c>
      <c r="F24" s="98">
        <f ca="1">IFERROR(__xludf.DUMMYFUNCTION("IFERROR(STDEV(QUERY(QUERY('C'!$D$3:$Y$370,""SELECT U,COUNT(G) WHERE D=""&amp;$B24&amp;"" AND Q=FALSE AND R=FALSE GROUP BY U,G""),""SELECT Col1"")))"),3.97611918955202)</f>
        <v>3.97611918955202</v>
      </c>
      <c r="G24" s="99">
        <f ca="1">IFERROR(__xludf.DUMMYFUNCTION("IFERROR(AVERAGE(QUERY(QUERY(C_all,""SELECT U,COUNT(G) WHERE D=""&amp;$B24&amp;"" AND Q=FALSE AND R=FALSE AND U&gt;=""&amp;C_mean-2*C_sd&amp;"" AND U&lt;=""&amp;C_mean+2*C_sd&amp;"" GROUP BY U,G""),""SELECT Col1"")))"),24.1428571428571)</f>
        <v>24.1428571428571</v>
      </c>
      <c r="H24" s="98">
        <f ca="1">IFERROR(__xludf.DUMMYFUNCTION("IFERROR(STDEV(QUERY(QUERY(C_all,""SELECT U,COUNT(G) WHERE D=""&amp;$B24&amp;"" AND Q=FALSE AND R=FALSE AND U&gt;=""&amp;C_mean-2*C_sd&amp;"" AND U&lt;=""&amp;C_mean+2*C_sd&amp;"" GROUP BY U,G""),""SELECT Col1"")))"),3.97611918955202)</f>
        <v>3.97611918955202</v>
      </c>
      <c r="I24" s="100">
        <f ca="1">IFERROR(__xludf.DUMMYFUNCTION("IFERROR(IF(ISBLANK(G24),,RANK.AVG(B24,QUERY(B$2:G$43,""SELECT B WHERE G IS NOT NULL""),TRUE)))"),22)</f>
        <v>22</v>
      </c>
      <c r="J24" s="100">
        <v>32</v>
      </c>
      <c r="K24" s="100">
        <f t="shared" ca="1" si="0"/>
        <v>100</v>
      </c>
      <c r="L24" s="101"/>
      <c r="M24" s="101"/>
      <c r="N24" s="112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</row>
    <row r="25" spans="1:29" ht="13">
      <c r="A25" s="96"/>
      <c r="B25" s="97">
        <f ca="1">IFERROR(__xludf.DUMMYFUNCTION("""COMPUTED_VALUE"""),4800)</f>
        <v>4800</v>
      </c>
      <c r="C25" s="98">
        <f ca="1">IFERROR(__xludf.DUMMYFUNCTION("IFERROR(AVERAGE(QUERY(QUERY(C_all,""SELECT U,COUNT(G) WHERE D=""&amp;$B25&amp;"" GROUP BY U,G""),""SELECT Col1"")))"),21.8571428571428)</f>
        <v>21.857142857142801</v>
      </c>
      <c r="D25" s="98">
        <f ca="1">IFERROR(__xludf.DUMMYFUNCTION("IFERROR(STDEV(QUERY(QUERY(C_all,""SELECT U,COUNT(G) WHERE D=""&amp;$B25&amp;"" GROUP BY U,G""),""SELECT Col1"")))"),5.42919795883245)</f>
        <v>5.4291979588324502</v>
      </c>
      <c r="E25" s="98">
        <f ca="1">IFERROR(__xludf.DUMMYFUNCTION("IFERROR(AVERAGE(QUERY(QUERY('C'!$D$3:$Y$370,""SELECT U,COUNT(G) WHERE D=""&amp;$B25&amp;"" AND Q=FALSE AND R=FALSE GROUP BY U,G""),""SELECT Col1"")))"),21.8571428571428)</f>
        <v>21.857142857142801</v>
      </c>
      <c r="F25" s="98">
        <f ca="1">IFERROR(__xludf.DUMMYFUNCTION("IFERROR(STDEV(QUERY(QUERY('C'!$D$3:$Y$370,""SELECT U,COUNT(G) WHERE D=""&amp;$B25&amp;"" AND Q=FALSE AND R=FALSE GROUP BY U,G""),""SELECT Col1"")))"),5.42919795883245)</f>
        <v>5.4291979588324502</v>
      </c>
      <c r="G25" s="99">
        <f ca="1">IFERROR(__xludf.DUMMYFUNCTION("IFERROR(AVERAGE(QUERY(QUERY(C_all,""SELECT U,COUNT(G) WHERE D=""&amp;$B25&amp;"" AND Q=FALSE AND R=FALSE AND U&gt;=""&amp;C_mean-2*C_sd&amp;"" AND U&lt;=""&amp;C_mean+2*C_sd&amp;"" GROUP BY U,G""),""SELECT Col1"")))"),21.8571428571428)</f>
        <v>21.857142857142801</v>
      </c>
      <c r="H25" s="98">
        <f ca="1">IFERROR(__xludf.DUMMYFUNCTION("IFERROR(STDEV(QUERY(QUERY(C_all,""SELECT U,COUNT(G) WHERE D=""&amp;$B25&amp;"" AND Q=FALSE AND R=FALSE AND U&gt;=""&amp;C_mean-2*C_sd&amp;"" AND U&lt;=""&amp;C_mean+2*C_sd&amp;"" GROUP BY U,G""),""SELECT Col1"")))"),5.42919795883245)</f>
        <v>5.4291979588324502</v>
      </c>
      <c r="I25" s="100">
        <f ca="1">IFERROR(__xludf.DUMMYFUNCTION("IFERROR(IF(ISBLANK(G25),,RANK.AVG(B25,QUERY(B$2:G$43,""SELECT B WHERE G IS NOT NULL""),TRUE)))"),23)</f>
        <v>23</v>
      </c>
      <c r="J25" s="100">
        <v>27</v>
      </c>
      <c r="K25" s="100">
        <f t="shared" ca="1" si="0"/>
        <v>16</v>
      </c>
      <c r="L25" s="101"/>
      <c r="M25" s="101"/>
      <c r="N25" s="112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</row>
    <row r="26" spans="1:29" ht="13">
      <c r="A26" s="96"/>
      <c r="B26" s="97">
        <f ca="1">IFERROR(__xludf.DUMMYFUNCTION("""COMPUTED_VALUE"""),5000)</f>
        <v>5000</v>
      </c>
      <c r="C26" s="98">
        <f ca="1">IFERROR(__xludf.DUMMYFUNCTION("IFERROR(AVERAGE(QUERY(QUERY(C_all,""SELECT U,COUNT(G) WHERE D=""&amp;$B26&amp;"" GROUP BY U,G""),""SELECT Col1"")))"),21.25)</f>
        <v>21.25</v>
      </c>
      <c r="D26" s="98">
        <f ca="1">IFERROR(__xludf.DUMMYFUNCTION("IFERROR(STDEV(QUERY(QUERY(C_all,""SELECT U,COUNT(G) WHERE D=""&amp;$B26&amp;"" GROUP BY U,G""),""SELECT Col1"")))"),10.6200618776782)</f>
        <v>10.6200618776782</v>
      </c>
      <c r="E26" s="98">
        <f ca="1">IFERROR(__xludf.DUMMYFUNCTION("IFERROR(AVERAGE(QUERY(QUERY('C'!$D$3:$Y$370,""SELECT U,COUNT(G) WHERE D=""&amp;$B26&amp;"" AND Q=FALSE AND R=FALSE GROUP BY U,G""),""SELECT Col1"")))"),22.8571428571428)</f>
        <v>22.857142857142801</v>
      </c>
      <c r="F26" s="98">
        <f ca="1">IFERROR(__xludf.DUMMYFUNCTION("IFERROR(STDEV(QUERY(QUERY('C'!$D$3:$Y$370,""SELECT U,COUNT(G) WHERE D=""&amp;$B26&amp;"" AND Q=FALSE AND R=FALSE GROUP BY U,G""),""SELECT Col1"")))"),10.3670724158843)</f>
        <v>10.3670724158843</v>
      </c>
      <c r="G26" s="99">
        <f ca="1">IFERROR(__xludf.DUMMYFUNCTION("IFERROR(AVERAGE(QUERY(QUERY(C_all,""SELECT U,COUNT(G) WHERE D=""&amp;$B26&amp;"" AND Q=FALSE AND R=FALSE AND U&gt;=""&amp;C_mean-2*C_sd&amp;"" AND U&lt;=""&amp;C_mean+2*C_sd&amp;"" GROUP BY U,G""),""SELECT Col1"")))"),22.8571428571428)</f>
        <v>22.857142857142801</v>
      </c>
      <c r="H26" s="98">
        <f ca="1">IFERROR(__xludf.DUMMYFUNCTION("IFERROR(STDEV(QUERY(QUERY(C_all,""SELECT U,COUNT(G) WHERE D=""&amp;$B26&amp;"" AND Q=FALSE AND R=FALSE AND U&gt;=""&amp;C_mean-2*C_sd&amp;"" AND U&lt;=""&amp;C_mean+2*C_sd&amp;"" GROUP BY U,G""),""SELECT Col1"")))"),10.3670724158843)</f>
        <v>10.3670724158843</v>
      </c>
      <c r="I26" s="100">
        <f ca="1">IFERROR(__xludf.DUMMYFUNCTION("IFERROR(IF(ISBLANK(G26),,RANK.AVG(B26,QUERY(B$2:G$43,""SELECT B WHERE G IS NOT NULL""),TRUE)))"),24)</f>
        <v>24</v>
      </c>
      <c r="J26" s="100">
        <v>30</v>
      </c>
      <c r="K26" s="100">
        <f t="shared" ca="1" si="0"/>
        <v>36</v>
      </c>
      <c r="L26" s="101"/>
      <c r="M26" s="101"/>
      <c r="N26" s="112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</row>
    <row r="27" spans="1:29" ht="13">
      <c r="A27" s="96"/>
      <c r="B27" s="97">
        <f ca="1">IFERROR(__xludf.DUMMYFUNCTION("""COMPUTED_VALUE"""),5200)</f>
        <v>5200</v>
      </c>
      <c r="C27" s="98">
        <f ca="1">IFERROR(__xludf.DUMMYFUNCTION("IFERROR(AVERAGE(QUERY(QUERY(C_all,""SELECT U,COUNT(G) WHERE D=""&amp;$B27&amp;"" GROUP BY U,G""),""SELECT Col1"")))"),20.5)</f>
        <v>20.5</v>
      </c>
      <c r="D27" s="98">
        <f ca="1">IFERROR(__xludf.DUMMYFUNCTION("IFERROR(STDEV(QUERY(QUERY(C_all,""SELECT U,COUNT(G) WHERE D=""&amp;$B27&amp;"" GROUP BY U,G""),""SELECT Col1"")))"),5.85540043769119)</f>
        <v>5.8554004376911903</v>
      </c>
      <c r="E27" s="98">
        <f ca="1">IFERROR(__xludf.DUMMYFUNCTION("IFERROR(AVERAGE(QUERY(QUERY('C'!$D$3:$Y$370,""SELECT U,COUNT(G) WHERE D=""&amp;$B27&amp;"" AND Q=FALSE AND R=FALSE GROUP BY U,G""),""SELECT Col1"")))"),20.5)</f>
        <v>20.5</v>
      </c>
      <c r="F27" s="98">
        <f ca="1">IFERROR(__xludf.DUMMYFUNCTION("IFERROR(STDEV(QUERY(QUERY('C'!$D$3:$Y$370,""SELECT U,COUNT(G) WHERE D=""&amp;$B27&amp;"" AND Q=FALSE AND R=FALSE GROUP BY U,G""),""SELECT Col1"")))"),5.85540043769119)</f>
        <v>5.8554004376911903</v>
      </c>
      <c r="G27" s="99">
        <f ca="1">IFERROR(__xludf.DUMMYFUNCTION("IFERROR(AVERAGE(QUERY(QUERY(C_all,""SELECT U,COUNT(G) WHERE D=""&amp;$B27&amp;"" AND Q=FALSE AND R=FALSE AND U&gt;=""&amp;C_mean-2*C_sd&amp;"" AND U&lt;=""&amp;C_mean+2*C_sd&amp;"" GROUP BY U,G""),""SELECT Col1"")))"),20.5)</f>
        <v>20.5</v>
      </c>
      <c r="H27" s="98">
        <f ca="1">IFERROR(__xludf.DUMMYFUNCTION("IFERROR(STDEV(QUERY(QUERY(C_all,""SELECT U,COUNT(G) WHERE D=""&amp;$B27&amp;"" AND Q=FALSE AND R=FALSE AND U&gt;=""&amp;C_mean-2*C_sd&amp;"" AND U&lt;=""&amp;C_mean+2*C_sd&amp;"" GROUP BY U,G""),""SELECT Col1"")))"),5.85540043769119)</f>
        <v>5.8554004376911903</v>
      </c>
      <c r="I27" s="100">
        <f ca="1">IFERROR(__xludf.DUMMYFUNCTION("IFERROR(IF(ISBLANK(G27),,RANK.AVG(B27,QUERY(B$2:G$43,""SELECT B WHERE G IS NOT NULL""),TRUE)))"),25)</f>
        <v>25</v>
      </c>
      <c r="J27" s="100">
        <v>23</v>
      </c>
      <c r="K27" s="100">
        <f t="shared" ca="1" si="0"/>
        <v>4</v>
      </c>
      <c r="L27" s="101"/>
      <c r="M27" s="101"/>
      <c r="N27" s="112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</row>
    <row r="28" spans="1:29" ht="13">
      <c r="A28" s="96"/>
      <c r="B28" s="97">
        <f ca="1">IFERROR(__xludf.DUMMYFUNCTION("""COMPUTED_VALUE"""),5400)</f>
        <v>5400</v>
      </c>
      <c r="C28" s="98">
        <f ca="1">IFERROR(__xludf.DUMMYFUNCTION("IFERROR(AVERAGE(QUERY(QUERY(C_all,""SELECT U,COUNT(G) WHERE D=""&amp;$B28&amp;"" GROUP BY U,G""),""SELECT Col1"")))"),18.625)</f>
        <v>18.625</v>
      </c>
      <c r="D28" s="98">
        <f ca="1">IFERROR(__xludf.DUMMYFUNCTION("IFERROR(STDEV(QUERY(QUERY(C_all,""SELECT U,COUNT(G) WHERE D=""&amp;$B28&amp;"" GROUP BY U,G""),""SELECT Col1"")))"),7.04956938907821)</f>
        <v>7.0495693890782096</v>
      </c>
      <c r="E28" s="98">
        <f ca="1">IFERROR(__xludf.DUMMYFUNCTION("IFERROR(AVERAGE(QUERY(QUERY('C'!$D$3:$Y$370,""SELECT U,COUNT(G) WHERE D=""&amp;$B28&amp;"" AND Q=FALSE AND R=FALSE GROUP BY U,G""),""SELECT Col1"")))"),18.625)</f>
        <v>18.625</v>
      </c>
      <c r="F28" s="98">
        <f ca="1">IFERROR(__xludf.DUMMYFUNCTION("IFERROR(STDEV(QUERY(QUERY('C'!$D$3:$Y$370,""SELECT U,COUNT(G) WHERE D=""&amp;$B28&amp;"" AND Q=FALSE AND R=FALSE GROUP BY U,G""),""SELECT Col1"")))"),7.04956938907821)</f>
        <v>7.0495693890782096</v>
      </c>
      <c r="G28" s="99">
        <f ca="1">IFERROR(__xludf.DUMMYFUNCTION("IFERROR(AVERAGE(QUERY(QUERY(C_all,""SELECT U,COUNT(G) WHERE D=""&amp;$B28&amp;"" AND Q=FALSE AND R=FALSE AND U&gt;=""&amp;C_mean-2*C_sd&amp;"" AND U&lt;=""&amp;C_mean+2*C_sd&amp;"" GROUP BY U,G""),""SELECT Col1"")))"),18.625)</f>
        <v>18.625</v>
      </c>
      <c r="H28" s="98">
        <f ca="1">IFERROR(__xludf.DUMMYFUNCTION("IFERROR(STDEV(QUERY(QUERY(C_all,""SELECT U,COUNT(G) WHERE D=""&amp;$B28&amp;"" AND Q=FALSE AND R=FALSE AND U&gt;=""&amp;C_mean-2*C_sd&amp;"" AND U&lt;=""&amp;C_mean+2*C_sd&amp;"" GROUP BY U,G""),""SELECT Col1"")))"),7.04956938907821)</f>
        <v>7.0495693890782096</v>
      </c>
      <c r="I28" s="100">
        <f ca="1">IFERROR(__xludf.DUMMYFUNCTION("IFERROR(IF(ISBLANK(G28),,RANK.AVG(B28,QUERY(B$2:G$43,""SELECT B WHERE G IS NOT NULL""),TRUE)))"),26)</f>
        <v>26</v>
      </c>
      <c r="J28" s="100">
        <v>16</v>
      </c>
      <c r="K28" s="100">
        <f t="shared" ca="1" si="0"/>
        <v>100</v>
      </c>
      <c r="L28" s="101"/>
      <c r="M28" s="101"/>
      <c r="N28" s="112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</row>
    <row r="29" spans="1:29" ht="13">
      <c r="A29" s="96"/>
      <c r="B29" s="97">
        <f ca="1">IFERROR(__xludf.DUMMYFUNCTION("""COMPUTED_VALUE"""),5600)</f>
        <v>5600</v>
      </c>
      <c r="C29" s="98">
        <f ca="1">IFERROR(__xludf.DUMMYFUNCTION("IFERROR(AVERAGE(QUERY(QUERY(C_all,""SELECT U,COUNT(G) WHERE D=""&amp;$B29&amp;"" GROUP BY U,G""),""SELECT Col1"")))"),20.25)</f>
        <v>20.25</v>
      </c>
      <c r="D29" s="98">
        <f ca="1">IFERROR(__xludf.DUMMYFUNCTION("IFERROR(STDEV(QUERY(QUERY(C_all,""SELECT U,COUNT(G) WHERE D=""&amp;$B29&amp;"" GROUP BY U,G""),""SELECT Col1"")))"),8.61477136749929)</f>
        <v>8.6147713674992907</v>
      </c>
      <c r="E29" s="98">
        <f ca="1">IFERROR(__xludf.DUMMYFUNCTION("IFERROR(AVERAGE(QUERY(QUERY('C'!$D$3:$Y$370,""SELECT U,COUNT(G) WHERE D=""&amp;$B29&amp;"" AND Q=FALSE AND R=FALSE GROUP BY U,G""),""SELECT Col1"")))"),20.25)</f>
        <v>20.25</v>
      </c>
      <c r="F29" s="98">
        <f ca="1">IFERROR(__xludf.DUMMYFUNCTION("IFERROR(STDEV(QUERY(QUERY('C'!$D$3:$Y$370,""SELECT U,COUNT(G) WHERE D=""&amp;$B29&amp;"" AND Q=FALSE AND R=FALSE GROUP BY U,G""),""SELECT Col1"")))"),8.61477136749929)</f>
        <v>8.6147713674992907</v>
      </c>
      <c r="G29" s="99">
        <f ca="1">IFERROR(__xludf.DUMMYFUNCTION("IFERROR(AVERAGE(QUERY(QUERY(C_all,""SELECT U,COUNT(G) WHERE D=""&amp;$B29&amp;"" AND Q=FALSE AND R=FALSE AND U&gt;=""&amp;C_mean-2*C_sd&amp;"" AND U&lt;=""&amp;C_mean+2*C_sd&amp;"" GROUP BY U,G""),""SELECT Col1"")))"),20.25)</f>
        <v>20.25</v>
      </c>
      <c r="H29" s="98">
        <f ca="1">IFERROR(__xludf.DUMMYFUNCTION("IFERROR(STDEV(QUERY(QUERY(C_all,""SELECT U,COUNT(G) WHERE D=""&amp;$B29&amp;"" AND Q=FALSE AND R=FALSE AND U&gt;=""&amp;C_mean-2*C_sd&amp;"" AND U&lt;=""&amp;C_mean+2*C_sd&amp;"" GROUP BY U,G""),""SELECT Col1"")))"),8.61477136749929)</f>
        <v>8.6147713674992907</v>
      </c>
      <c r="I29" s="100">
        <f ca="1">IFERROR(__xludf.DUMMYFUNCTION("IFERROR(IF(ISBLANK(G29),,RANK.AVG(B29,QUERY(B$2:G$43,""SELECT B WHERE G IS NOT NULL""),TRUE)))"),27)</f>
        <v>27</v>
      </c>
      <c r="J29" s="100">
        <v>20</v>
      </c>
      <c r="K29" s="100">
        <f t="shared" ca="1" si="0"/>
        <v>49</v>
      </c>
      <c r="L29" s="101"/>
      <c r="M29" s="101"/>
      <c r="N29" s="112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</row>
    <row r="30" spans="1:29" ht="13">
      <c r="A30" s="96"/>
      <c r="B30" s="97">
        <f ca="1">IFERROR(__xludf.DUMMYFUNCTION("""COMPUTED_VALUE"""),5800)</f>
        <v>5800</v>
      </c>
      <c r="C30" s="98">
        <f ca="1">IFERROR(__xludf.DUMMYFUNCTION("IFERROR(AVERAGE(QUERY(QUERY(C_all,""SELECT U,COUNT(G) WHERE D=""&amp;$B30&amp;"" GROUP BY U,G""),""SELECT Col1"")))"),14.75)</f>
        <v>14.75</v>
      </c>
      <c r="D30" s="98">
        <f ca="1">IFERROR(__xludf.DUMMYFUNCTION("IFERROR(STDEV(QUERY(QUERY(C_all,""SELECT U,COUNT(G) WHERE D=""&amp;$B30&amp;"" GROUP BY U,G""),""SELECT Col1"")))"),5.84929788216378)</f>
        <v>5.8492978821637802</v>
      </c>
      <c r="E30" s="98">
        <f ca="1">IFERROR(__xludf.DUMMYFUNCTION("IFERROR(AVERAGE(QUERY(QUERY('C'!$D$3:$Y$370,""SELECT U,COUNT(G) WHERE D=""&amp;$B30&amp;"" AND Q=FALSE AND R=FALSE GROUP BY U,G""),""SELECT Col1"")))"),14.75)</f>
        <v>14.75</v>
      </c>
      <c r="F30" s="98">
        <f ca="1">IFERROR(__xludf.DUMMYFUNCTION("IFERROR(STDEV(QUERY(QUERY('C'!$D$3:$Y$370,""SELECT U,COUNT(G) WHERE D=""&amp;$B30&amp;"" AND Q=FALSE AND R=FALSE GROUP BY U,G""),""SELECT Col1"")))"),5.84929788216378)</f>
        <v>5.8492978821637802</v>
      </c>
      <c r="G30" s="99">
        <f ca="1">IFERROR(__xludf.DUMMYFUNCTION("IFERROR(AVERAGE(QUERY(QUERY(C_all,""SELECT U,COUNT(G) WHERE D=""&amp;$B30&amp;"" AND Q=FALSE AND R=FALSE AND U&gt;=""&amp;C_mean-2*C_sd&amp;"" AND U&lt;=""&amp;C_mean+2*C_sd&amp;"" GROUP BY U,G""),""SELECT Col1"")))"),14.75)</f>
        <v>14.75</v>
      </c>
      <c r="H30" s="98">
        <f ca="1">IFERROR(__xludf.DUMMYFUNCTION("IFERROR(STDEV(QUERY(QUERY(C_all,""SELECT U,COUNT(G) WHERE D=""&amp;$B30&amp;"" AND Q=FALSE AND R=FALSE AND U&gt;=""&amp;C_mean-2*C_sd&amp;"" AND U&lt;=""&amp;C_mean+2*C_sd&amp;"" GROUP BY U,G""),""SELECT Col1"")))"),5.84929788216378)</f>
        <v>5.8492978821637802</v>
      </c>
      <c r="I30" s="100">
        <f ca="1">IFERROR(__xludf.DUMMYFUNCTION("IFERROR(IF(ISBLANK(G30),,RANK.AVG(B30,QUERY(B$2:G$43,""SELECT B WHERE G IS NOT NULL""),TRUE)))"),28)</f>
        <v>28</v>
      </c>
      <c r="J30" s="100">
        <v>8</v>
      </c>
      <c r="K30" s="100">
        <f t="shared" ca="1" si="0"/>
        <v>400</v>
      </c>
      <c r="L30" s="101"/>
      <c r="M30" s="101"/>
      <c r="N30" s="112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</row>
    <row r="31" spans="1:29" ht="13">
      <c r="A31" s="96"/>
      <c r="B31" s="97">
        <f ca="1">IFERROR(__xludf.DUMMYFUNCTION("""COMPUTED_VALUE"""),6000)</f>
        <v>6000</v>
      </c>
      <c r="C31" s="98">
        <f ca="1">IFERROR(__xludf.DUMMYFUNCTION("IFERROR(AVERAGE(QUERY(QUERY(C_all,""SELECT U,COUNT(G) WHERE D=""&amp;$B31&amp;"" GROUP BY U,G""),""SELECT Col1"")))"),14.75)</f>
        <v>14.75</v>
      </c>
      <c r="D31" s="98">
        <f ca="1">IFERROR(__xludf.DUMMYFUNCTION("IFERROR(STDEV(QUERY(QUERY(C_all,""SELECT U,COUNT(G) WHERE D=""&amp;$B31&amp;"" GROUP BY U,G""),""SELECT Col1"")))"),7.04576874037582)</f>
        <v>7.04576874037582</v>
      </c>
      <c r="E31" s="98">
        <f ca="1">IFERROR(__xludf.DUMMYFUNCTION("IFERROR(AVERAGE(QUERY(QUERY('C'!$D$3:$Y$370,""SELECT U,COUNT(G) WHERE D=""&amp;$B31&amp;"" AND Q=FALSE AND R=FALSE GROUP BY U,G""),""SELECT Col1"")))"),13.5714285714285)</f>
        <v>13.5714285714285</v>
      </c>
      <c r="F31" s="98">
        <f ca="1">IFERROR(__xludf.DUMMYFUNCTION("IFERROR(STDEV(QUERY(QUERY('C'!$D$3:$Y$370,""SELECT U,COUNT(G) WHERE D=""&amp;$B31&amp;"" AND Q=FALSE AND R=FALSE GROUP BY U,G""),""SELECT Col1"")))"),6.7046536787802)</f>
        <v>6.7046536787801996</v>
      </c>
      <c r="G31" s="99">
        <f ca="1">IFERROR(__xludf.DUMMYFUNCTION("IFERROR(AVERAGE(QUERY(QUERY(C_all,""SELECT U,COUNT(G) WHERE D=""&amp;$B31&amp;"" AND Q=FALSE AND R=FALSE AND U&gt;=""&amp;C_mean-2*C_sd&amp;"" AND U&lt;=""&amp;C_mean+2*C_sd&amp;"" GROUP BY U,G""),""SELECT Col1"")))"),13.5714285714285)</f>
        <v>13.5714285714285</v>
      </c>
      <c r="H31" s="98">
        <f ca="1">IFERROR(__xludf.DUMMYFUNCTION("IFERROR(STDEV(QUERY(QUERY(C_all,""SELECT U,COUNT(G) WHERE D=""&amp;$B31&amp;"" AND Q=FALSE AND R=FALSE AND U&gt;=""&amp;C_mean-2*C_sd&amp;"" AND U&lt;=""&amp;C_mean+2*C_sd&amp;"" GROUP BY U,G""),""SELECT Col1"")))"),6.7046536787802)</f>
        <v>6.7046536787801996</v>
      </c>
      <c r="I31" s="100">
        <f ca="1">IFERROR(__xludf.DUMMYFUNCTION("IFERROR(IF(ISBLANK(G31),,RANK.AVG(B31,QUERY(B$2:G$43,""SELECT B WHERE G IS NOT NULL""),TRUE)))"),29)</f>
        <v>29</v>
      </c>
      <c r="J31" s="100">
        <v>5</v>
      </c>
      <c r="K31" s="100">
        <f t="shared" ca="1" si="0"/>
        <v>576</v>
      </c>
      <c r="L31" s="101"/>
      <c r="M31" s="101"/>
      <c r="N31" s="112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</row>
    <row r="32" spans="1:29" ht="13">
      <c r="A32" s="96"/>
      <c r="B32" s="97">
        <f ca="1">IFERROR(__xludf.DUMMYFUNCTION("""COMPUTED_VALUE"""),6200)</f>
        <v>6200</v>
      </c>
      <c r="C32" s="98">
        <f ca="1">IFERROR(__xludf.DUMMYFUNCTION("IFERROR(AVERAGE(QUERY(QUERY(C_all,""SELECT U,COUNT(G) WHERE D=""&amp;$B32&amp;"" GROUP BY U,G""),""SELECT Col1"")))"),10.8571428571428)</f>
        <v>10.857142857142801</v>
      </c>
      <c r="D32" s="98">
        <f ca="1">IFERROR(__xludf.DUMMYFUNCTION("IFERROR(STDEV(QUERY(QUERY(C_all,""SELECT U,COUNT(G) WHERE D=""&amp;$B32&amp;"" GROUP BY U,G""),""SELECT Col1"")))"),12.08895599888)</f>
        <v>12.088955998879999</v>
      </c>
      <c r="E32" s="98">
        <f ca="1">IFERROR(__xludf.DUMMYFUNCTION("IFERROR(AVERAGE(QUERY(QUERY('C'!$D$3:$Y$370,""SELECT U,COUNT(G) WHERE D=""&amp;$B32&amp;"" AND Q=FALSE AND R=FALSE GROUP BY U,G""),""SELECT Col1"")))"),19)</f>
        <v>19</v>
      </c>
      <c r="F32" s="98">
        <f ca="1">IFERROR(__xludf.DUMMYFUNCTION("IFERROR(STDEV(QUERY(QUERY('C'!$D$3:$Y$370,""SELECT U,COUNT(G) WHERE D=""&amp;$B32&amp;"" AND Q=FALSE AND R=FALSE GROUP BY U,G""),""SELECT Col1"")))"),9.2736184954957)</f>
        <v>9.2736184954957004</v>
      </c>
      <c r="G32" s="99">
        <f ca="1">IFERROR(__xludf.DUMMYFUNCTION("IFERROR(AVERAGE(QUERY(QUERY(C_all,""SELECT U,COUNT(G) WHERE D=""&amp;$B32&amp;"" AND Q=FALSE AND R=FALSE AND U&gt;=""&amp;C_mean-2*C_sd&amp;"" AND U&lt;=""&amp;C_mean+2*C_sd&amp;"" GROUP BY U,G""),""SELECT Col1"")))"),19)</f>
        <v>19</v>
      </c>
      <c r="H32" s="98">
        <f ca="1">IFERROR(__xludf.DUMMYFUNCTION("IFERROR(STDEV(QUERY(QUERY(C_all,""SELECT U,COUNT(G) WHERE D=""&amp;$B32&amp;"" AND Q=FALSE AND R=FALSE AND U&gt;=""&amp;C_mean-2*C_sd&amp;"" AND U&lt;=""&amp;C_mean+2*C_sd&amp;"" GROUP BY U,G""),""SELECT Col1"")))"),9.2736184954957)</f>
        <v>9.2736184954957004</v>
      </c>
      <c r="I32" s="100">
        <f ca="1">IFERROR(__xludf.DUMMYFUNCTION("IFERROR(IF(ISBLANK(G32),,RANK.AVG(B32,QUERY(B$2:G$43,""SELECT B WHERE G IS NOT NULL""),TRUE)))"),30)</f>
        <v>30</v>
      </c>
      <c r="J32" s="100">
        <v>19</v>
      </c>
      <c r="K32" s="100">
        <f t="shared" ca="1" si="0"/>
        <v>121</v>
      </c>
      <c r="L32" s="101"/>
      <c r="M32" s="101"/>
      <c r="N32" s="112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</row>
    <row r="33" spans="1:29" ht="13">
      <c r="A33" s="96"/>
      <c r="B33" s="97">
        <f ca="1">IFERROR(__xludf.DUMMYFUNCTION("""COMPUTED_VALUE"""),6400)</f>
        <v>6400</v>
      </c>
      <c r="C33" s="98">
        <f ca="1">IFERROR(__xludf.DUMMYFUNCTION("IFERROR(AVERAGE(QUERY(QUERY(C_all,""SELECT U,COUNT(G) WHERE D=""&amp;$B33&amp;"" GROUP BY U,G""),""SELECT Col1"")))"),18.625)</f>
        <v>18.625</v>
      </c>
      <c r="D33" s="98">
        <f ca="1">IFERROR(__xludf.DUMMYFUNCTION("IFERROR(STDEV(QUERY(QUERY(C_all,""SELECT U,COUNT(G) WHERE D=""&amp;$B33&amp;"" GROUP BY U,G""),""SELECT Col1"")))"),11.3381467369483)</f>
        <v>11.3381467369483</v>
      </c>
      <c r="E33" s="98">
        <f ca="1">IFERROR(__xludf.DUMMYFUNCTION("IFERROR(AVERAGE(QUERY(QUERY('C'!$D$3:$Y$370,""SELECT U,COUNT(G) WHERE D=""&amp;$B33&amp;"" AND Q=FALSE AND R=FALSE GROUP BY U,G""),""SELECT Col1"")))"),20.5714285714285)</f>
        <v>20.571428571428498</v>
      </c>
      <c r="F33" s="98">
        <f ca="1">IFERROR(__xludf.DUMMYFUNCTION("IFERROR(STDEV(QUERY(QUERY('C'!$D$3:$Y$370,""SELECT U,COUNT(G) WHERE D=""&amp;$B33&amp;"" AND Q=FALSE AND R=FALSE GROUP BY U,G""),""SELECT Col1"")))"),10.7060285642738)</f>
        <v>10.706028564273799</v>
      </c>
      <c r="G33" s="99">
        <f ca="1">IFERROR(__xludf.DUMMYFUNCTION("IFERROR(AVERAGE(QUERY(QUERY(C_all,""SELECT U,COUNT(G) WHERE D=""&amp;$B33&amp;"" AND Q=FALSE AND R=FALSE AND U&gt;=""&amp;C_mean-2*C_sd&amp;"" AND U&lt;=""&amp;C_mean+2*C_sd&amp;"" GROUP BY U,G""),""SELECT Col1"")))"),20.5714285714285)</f>
        <v>20.571428571428498</v>
      </c>
      <c r="H33" s="98">
        <f ca="1">IFERROR(__xludf.DUMMYFUNCTION("IFERROR(STDEV(QUERY(QUERY(C_all,""SELECT U,COUNT(G) WHERE D=""&amp;$B33&amp;"" AND Q=FALSE AND R=FALSE AND U&gt;=""&amp;C_mean-2*C_sd&amp;"" AND U&lt;=""&amp;C_mean+2*C_sd&amp;"" GROUP BY U,G""),""SELECT Col1"")))"),10.7060285642738)</f>
        <v>10.706028564273799</v>
      </c>
      <c r="I33" s="100">
        <f ca="1">IFERROR(__xludf.DUMMYFUNCTION("IFERROR(IF(ISBLANK(G33),,RANK.AVG(B33,QUERY(B$2:G$43,""SELECT B WHERE G IS NOT NULL""),TRUE)))"),31)</f>
        <v>31</v>
      </c>
      <c r="J33" s="100">
        <v>24</v>
      </c>
      <c r="K33" s="100">
        <f t="shared" ca="1" si="0"/>
        <v>49</v>
      </c>
      <c r="L33" s="101"/>
      <c r="M33" s="101"/>
      <c r="N33" s="112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</row>
    <row r="34" spans="1:29" ht="13">
      <c r="A34" s="96"/>
      <c r="B34" s="97">
        <f ca="1">IFERROR(__xludf.DUMMYFUNCTION("""COMPUTED_VALUE"""),6600)</f>
        <v>6600</v>
      </c>
      <c r="C34" s="98">
        <f ca="1">IFERROR(__xludf.DUMMYFUNCTION("IFERROR(AVERAGE(QUERY(QUERY(C_all,""SELECT U,COUNT(G) WHERE D=""&amp;$B34&amp;"" GROUP BY U,G""),""SELECT Col1"")))"),13.875)</f>
        <v>13.875</v>
      </c>
      <c r="D34" s="98">
        <f ca="1">IFERROR(__xludf.DUMMYFUNCTION("IFERROR(STDEV(QUERY(QUERY(C_all,""SELECT U,COUNT(G) WHERE D=""&amp;$B34&amp;"" GROUP BY U,G""),""SELECT Col1"")))"),9.44816686679787)</f>
        <v>9.4481668667978695</v>
      </c>
      <c r="E34" s="98">
        <f ca="1">IFERROR(__xludf.DUMMYFUNCTION("IFERROR(AVERAGE(QUERY(QUERY('C'!$D$3:$Y$370,""SELECT U,COUNT(G) WHERE D=""&amp;$B34&amp;"" AND Q=FALSE AND R=FALSE GROUP BY U,G""),""SELECT Col1"")))"),13.875)</f>
        <v>13.875</v>
      </c>
      <c r="F34" s="98">
        <f ca="1">IFERROR(__xludf.DUMMYFUNCTION("IFERROR(STDEV(QUERY(QUERY('C'!$D$3:$Y$370,""SELECT U,COUNT(G) WHERE D=""&amp;$B34&amp;"" AND Q=FALSE AND R=FALSE GROUP BY U,G""),""SELECT Col1"")))"),9.44816686679787)</f>
        <v>9.4481668667978695</v>
      </c>
      <c r="G34" s="99">
        <f ca="1">IFERROR(__xludf.DUMMYFUNCTION("IFERROR(AVERAGE(QUERY(QUERY(C_all,""SELECT U,COUNT(G) WHERE D=""&amp;$B34&amp;"" AND Q=FALSE AND R=FALSE AND U&gt;=""&amp;C_mean-2*C_sd&amp;"" AND U&lt;=""&amp;C_mean+2*C_sd&amp;"" GROUP BY U,G""),""SELECT Col1"")))"),13.875)</f>
        <v>13.875</v>
      </c>
      <c r="H34" s="98">
        <f ca="1">IFERROR(__xludf.DUMMYFUNCTION("IFERROR(STDEV(QUERY(QUERY(C_all,""SELECT U,COUNT(G) WHERE D=""&amp;$B34&amp;"" AND Q=FALSE AND R=FALSE AND U&gt;=""&amp;C_mean-2*C_sd&amp;"" AND U&lt;=""&amp;C_mean+2*C_sd&amp;"" GROUP BY U,G""),""SELECT Col1"")))"),9.44816686679787)</f>
        <v>9.4481668667978695</v>
      </c>
      <c r="I34" s="100">
        <f ca="1">IFERROR(__xludf.DUMMYFUNCTION("IFERROR(IF(ISBLANK(G34),,RANK.AVG(B34,QUERY(B$2:G$43,""SELECT B WHERE G IS NOT NULL""),TRUE)))"),32)</f>
        <v>32</v>
      </c>
      <c r="J34" s="100">
        <v>6</v>
      </c>
      <c r="K34" s="100">
        <f t="shared" ca="1" si="0"/>
        <v>676</v>
      </c>
      <c r="L34" s="101"/>
      <c r="M34" s="101"/>
      <c r="N34" s="112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</row>
    <row r="35" spans="1:29" ht="13">
      <c r="A35" s="96"/>
      <c r="B35" s="97">
        <f ca="1">IFERROR(__xludf.DUMMYFUNCTION("""COMPUTED_VALUE"""),6800)</f>
        <v>6800</v>
      </c>
      <c r="C35" s="98">
        <f ca="1">IFERROR(__xludf.DUMMYFUNCTION("IFERROR(AVERAGE(QUERY(QUERY(C_all,""SELECT U,COUNT(G) WHERE D=""&amp;$B35&amp;"" GROUP BY U,G""),""SELECT Col1"")))"),13.375)</f>
        <v>13.375</v>
      </c>
      <c r="D35" s="98">
        <f ca="1">IFERROR(__xludf.DUMMYFUNCTION("IFERROR(STDEV(QUERY(QUERY(C_all,""SELECT U,COUNT(G) WHERE D=""&amp;$B35&amp;"" GROUP BY U,G""),""SELECT Col1"")))"),5.62995813229801)</f>
        <v>5.6299581322980101</v>
      </c>
      <c r="E35" s="98">
        <f ca="1">IFERROR(__xludf.DUMMYFUNCTION("IFERROR(AVERAGE(QUERY(QUERY('C'!$D$3:$Y$370,""SELECT U,COUNT(G) WHERE D=""&amp;$B35&amp;"" AND Q=FALSE AND R=FALSE GROUP BY U,G""),""SELECT Col1"")))"),13.375)</f>
        <v>13.375</v>
      </c>
      <c r="F35" s="98">
        <f ca="1">IFERROR(__xludf.DUMMYFUNCTION("IFERROR(STDEV(QUERY(QUERY('C'!$D$3:$Y$370,""SELECT U,COUNT(G) WHERE D=""&amp;$B35&amp;"" AND Q=FALSE AND R=FALSE GROUP BY U,G""),""SELECT Col1"")))"),5.62995813229801)</f>
        <v>5.6299581322980101</v>
      </c>
      <c r="G35" s="99">
        <f ca="1">IFERROR(__xludf.DUMMYFUNCTION("IFERROR(AVERAGE(QUERY(QUERY(C_all,""SELECT U,COUNT(G) WHERE D=""&amp;$B35&amp;"" AND Q=FALSE AND R=FALSE AND U&gt;=""&amp;C_mean-2*C_sd&amp;"" AND U&lt;=""&amp;C_mean+2*C_sd&amp;"" GROUP BY U,G""),""SELECT Col1"")))"),13.375)</f>
        <v>13.375</v>
      </c>
      <c r="H35" s="98">
        <f ca="1">IFERROR(__xludf.DUMMYFUNCTION("IFERROR(STDEV(QUERY(QUERY(C_all,""SELECT U,COUNT(G) WHERE D=""&amp;$B35&amp;"" AND Q=FALSE AND R=FALSE AND U&gt;=""&amp;C_mean-2*C_sd&amp;"" AND U&lt;=""&amp;C_mean+2*C_sd&amp;"" GROUP BY U,G""),""SELECT Col1"")))"),5.62995813229801)</f>
        <v>5.6299581322980101</v>
      </c>
      <c r="I35" s="100">
        <f ca="1">IFERROR(__xludf.DUMMYFUNCTION("IFERROR(IF(ISBLANK(G35),,RANK.AVG(B35,QUERY(B$2:G$43,""SELECT B WHERE G IS NOT NULL""),TRUE)))"),33)</f>
        <v>33</v>
      </c>
      <c r="J35" s="100">
        <v>4</v>
      </c>
      <c r="K35" s="100">
        <f t="shared" ca="1" si="0"/>
        <v>841</v>
      </c>
      <c r="L35" s="101"/>
      <c r="M35" s="101"/>
      <c r="N35" s="112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</row>
    <row r="36" spans="1:29" ht="13">
      <c r="A36" s="96"/>
      <c r="B36" s="97">
        <f ca="1">IFERROR(__xludf.DUMMYFUNCTION("""COMPUTED_VALUE"""),7000)</f>
        <v>7000</v>
      </c>
      <c r="C36" s="98">
        <f ca="1">IFERROR(__xludf.DUMMYFUNCTION("IFERROR(AVERAGE(QUERY(QUERY(C_all,""SELECT U,COUNT(G) WHERE D=""&amp;$B36&amp;"" GROUP BY U,G""),""SELECT Col1"")))"),8.125)</f>
        <v>8.125</v>
      </c>
      <c r="D36" s="98">
        <f ca="1">IFERROR(__xludf.DUMMYFUNCTION("IFERROR(STDEV(QUERY(QUERY(C_all,""SELECT U,COUNT(G) WHERE D=""&amp;$B36&amp;"" GROUP BY U,G""),""SELECT Col1"")))"),6.35694221192188)</f>
        <v>6.3569422119218801</v>
      </c>
      <c r="E36" s="98">
        <f ca="1">IFERROR(__xludf.DUMMYFUNCTION("IFERROR(AVERAGE(QUERY(QUERY('C'!$D$3:$Y$370,""SELECT U,COUNT(G) WHERE D=""&amp;$B36&amp;"" AND Q=FALSE AND R=FALSE GROUP BY U,G""),""SELECT Col1"")))"),8.83333333333333)</f>
        <v>8.8333333333333304</v>
      </c>
      <c r="F36" s="98">
        <f ca="1">IFERROR(__xludf.DUMMYFUNCTION("IFERROR(STDEV(QUERY(QUERY('C'!$D$3:$Y$370,""SELECT U,COUNT(G) WHERE D=""&amp;$B36&amp;"" AND Q=FALSE AND R=FALSE GROUP BY U,G""),""SELECT Col1"")))"),7.11102430502573)</f>
        <v>7.1110243050257296</v>
      </c>
      <c r="G36" s="99">
        <f ca="1">IFERROR(__xludf.DUMMYFUNCTION("IFERROR(AVERAGE(QUERY(QUERY(C_all,""SELECT U,COUNT(G) WHERE D=""&amp;$B36&amp;"" AND Q=FALSE AND R=FALSE AND U&gt;=""&amp;C_mean-2*C_sd&amp;"" AND U&lt;=""&amp;C_mean+2*C_sd&amp;"" GROUP BY U,G""),""SELECT Col1"")))"),8.83333333333333)</f>
        <v>8.8333333333333304</v>
      </c>
      <c r="H36" s="98">
        <f ca="1">IFERROR(__xludf.DUMMYFUNCTION("IFERROR(STDEV(QUERY(QUERY(C_all,""SELECT U,COUNT(G) WHERE D=""&amp;$B36&amp;"" AND Q=FALSE AND R=FALSE AND U&gt;=""&amp;C_mean-2*C_sd&amp;"" AND U&lt;=""&amp;C_mean+2*C_sd&amp;"" GROUP BY U,G""),""SELECT Col1"")))"),7.11102430502573)</f>
        <v>7.1110243050257296</v>
      </c>
      <c r="I36" s="100">
        <f ca="1">IFERROR(__xludf.DUMMYFUNCTION("IFERROR(IF(ISBLANK(G36),,RANK.AVG(B36,QUERY(B$2:G$43,""SELECT B WHERE G IS NOT NULL""),TRUE)))"),34)</f>
        <v>34</v>
      </c>
      <c r="J36" s="100">
        <v>1</v>
      </c>
      <c r="K36" s="100">
        <f t="shared" ca="1" si="0"/>
        <v>1089</v>
      </c>
      <c r="L36" s="101"/>
      <c r="M36" s="101"/>
      <c r="N36" s="112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</row>
    <row r="37" spans="1:29" ht="13">
      <c r="A37" s="96"/>
      <c r="B37" s="97">
        <f ca="1">IFERROR(__xludf.DUMMYFUNCTION("""COMPUTED_VALUE"""),7200)</f>
        <v>7200</v>
      </c>
      <c r="C37" s="98">
        <f ca="1">IFERROR(__xludf.DUMMYFUNCTION("IFERROR(AVERAGE(QUERY(QUERY(C_all,""SELECT U,COUNT(G) WHERE D=""&amp;$B37&amp;"" GROUP BY U,G""),""SELECT Col1"")))"),18.25)</f>
        <v>18.25</v>
      </c>
      <c r="D37" s="98">
        <f ca="1">IFERROR(__xludf.DUMMYFUNCTION("IFERROR(STDEV(QUERY(QUERY(C_all,""SELECT U,COUNT(G) WHERE D=""&amp;$B37&amp;"" GROUP BY U,G""),""SELECT Col1"")))"),10.6887791632159)</f>
        <v>10.6887791632159</v>
      </c>
      <c r="E37" s="98">
        <f ca="1">IFERROR(__xludf.DUMMYFUNCTION("IFERROR(AVERAGE(QUERY(QUERY('C'!$D$3:$Y$370,""SELECT U,COUNT(G) WHERE D=""&amp;$B37&amp;"" AND Q=FALSE AND R=FALSE GROUP BY U,G""),""SELECT Col1"")))"),18.25)</f>
        <v>18.25</v>
      </c>
      <c r="F37" s="98">
        <f ca="1">IFERROR(__xludf.DUMMYFUNCTION("IFERROR(STDEV(QUERY(QUERY('C'!$D$3:$Y$370,""SELECT U,COUNT(G) WHERE D=""&amp;$B37&amp;"" AND Q=FALSE AND R=FALSE GROUP BY U,G""),""SELECT Col1"")))"),10.6887791632159)</f>
        <v>10.6887791632159</v>
      </c>
      <c r="G37" s="99">
        <f ca="1">IFERROR(__xludf.DUMMYFUNCTION("IFERROR(AVERAGE(QUERY(QUERY(C_all,""SELECT U,COUNT(G) WHERE D=""&amp;$B37&amp;"" AND Q=FALSE AND R=FALSE AND U&gt;=""&amp;C_mean-2*C_sd&amp;"" AND U&lt;=""&amp;C_mean+2*C_sd&amp;"" GROUP BY U,G""),""SELECT Col1"")))"),18.25)</f>
        <v>18.25</v>
      </c>
      <c r="H37" s="98">
        <f ca="1">IFERROR(__xludf.DUMMYFUNCTION("IFERROR(STDEV(QUERY(QUERY(C_all,""SELECT U,COUNT(G) WHERE D=""&amp;$B37&amp;"" AND Q=FALSE AND R=FALSE AND U&gt;=""&amp;C_mean-2*C_sd&amp;"" AND U&lt;=""&amp;C_mean+2*C_sd&amp;"" GROUP BY U,G""),""SELECT Col1"")))"),10.6887791632159)</f>
        <v>10.6887791632159</v>
      </c>
      <c r="I37" s="100">
        <f ca="1">IFERROR(__xludf.DUMMYFUNCTION("IFERROR(IF(ISBLANK(G37),,RANK.AVG(B37,QUERY(B$2:G$43,""SELECT B WHERE G IS NOT NULL""),TRUE)))"),35)</f>
        <v>35</v>
      </c>
      <c r="J37" s="100">
        <v>15</v>
      </c>
      <c r="K37" s="100">
        <f t="shared" ca="1" si="0"/>
        <v>400</v>
      </c>
      <c r="L37" s="101"/>
      <c r="M37" s="101"/>
      <c r="N37" s="112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</row>
    <row r="38" spans="1:29" ht="13">
      <c r="A38" s="96"/>
      <c r="B38" s="97">
        <f ca="1">IFERROR(__xludf.DUMMYFUNCTION("""COMPUTED_VALUE"""),7400)</f>
        <v>7400</v>
      </c>
      <c r="C38" s="98">
        <f ca="1">IFERROR(__xludf.DUMMYFUNCTION("IFERROR(AVERAGE(QUERY(QUERY(C_all,""SELECT U,COUNT(G) WHERE D=""&amp;$B38&amp;"" GROUP BY U,G""),""SELECT Col1"")))"),30)</f>
        <v>30</v>
      </c>
      <c r="D38" s="98">
        <f ca="1">IFERROR(__xludf.DUMMYFUNCTION("IFERROR(STDEV(QUERY(QUERY(C_all,""SELECT U,COUNT(G) WHERE D=""&amp;$B38&amp;"" GROUP BY U,G""),""SELECT Col1"")))"),5.35412613473633)</f>
        <v>5.3541261347363296</v>
      </c>
      <c r="E38" s="98">
        <f ca="1">IFERROR(__xludf.DUMMYFUNCTION("IFERROR(AVERAGE(QUERY(QUERY('C'!$D$3:$Y$370,""SELECT U,COUNT(G) WHERE D=""&amp;$B38&amp;"" AND Q=FALSE AND R=FALSE GROUP BY U,G""),""SELECT Col1"")))"),30)</f>
        <v>30</v>
      </c>
      <c r="F38" s="98">
        <f ca="1">IFERROR(__xludf.DUMMYFUNCTION("IFERROR(STDEV(QUERY(QUERY('C'!$D$3:$Y$370,""SELECT U,COUNT(G) WHERE D=""&amp;$B38&amp;"" AND Q=FALSE AND R=FALSE GROUP BY U,G""),""SELECT Col1"")))"),5.35412613473633)</f>
        <v>5.3541261347363296</v>
      </c>
      <c r="G38" s="99">
        <f ca="1">IFERROR(__xludf.DUMMYFUNCTION("IFERROR(AVERAGE(QUERY(QUERY(C_all,""SELECT U,COUNT(G) WHERE D=""&amp;$B38&amp;"" AND Q=FALSE AND R=FALSE AND U&gt;=""&amp;C_mean-2*C_sd&amp;"" AND U&lt;=""&amp;C_mean+2*C_sd&amp;"" GROUP BY U,G""),""SELECT Col1"")))"),30)</f>
        <v>30</v>
      </c>
      <c r="H38" s="98">
        <f ca="1">IFERROR(__xludf.DUMMYFUNCTION("IFERROR(STDEV(QUERY(QUERY(C_all,""SELECT U,COUNT(G) WHERE D=""&amp;$B38&amp;"" AND Q=FALSE AND R=FALSE AND U&gt;=""&amp;C_mean-2*C_sd&amp;"" AND U&lt;=""&amp;C_mean+2*C_sd&amp;"" GROUP BY U,G""),""SELECT Col1"")))"),5.35412613473633)</f>
        <v>5.3541261347363296</v>
      </c>
      <c r="I38" s="100">
        <f ca="1">IFERROR(__xludf.DUMMYFUNCTION("IFERROR(IF(ISBLANK(G38),,RANK.AVG(B38,QUERY(B$2:G$43,""SELECT B WHERE G IS NOT NULL""),TRUE)))"),36)</f>
        <v>36</v>
      </c>
      <c r="J38" s="100">
        <v>41</v>
      </c>
      <c r="K38" s="100">
        <f t="shared" ca="1" si="0"/>
        <v>25</v>
      </c>
      <c r="L38" s="101"/>
      <c r="M38" s="101"/>
      <c r="N38" s="112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</row>
    <row r="39" spans="1:29" ht="13">
      <c r="A39" s="96"/>
      <c r="B39" s="97">
        <f ca="1">IFERROR(__xludf.DUMMYFUNCTION("""COMPUTED_VALUE"""),7600)</f>
        <v>7600</v>
      </c>
      <c r="C39" s="98">
        <f ca="1">IFERROR(__xludf.DUMMYFUNCTION("IFERROR(AVERAGE(QUERY(QUERY(C_all,""SELECT U,COUNT(G) WHERE D=""&amp;$B39&amp;"" GROUP BY U,G""),""SELECT Col1"")))"),14.25)</f>
        <v>14.25</v>
      </c>
      <c r="D39" s="98">
        <f ca="1">IFERROR(__xludf.DUMMYFUNCTION("IFERROR(STDEV(QUERY(QUERY(C_all,""SELECT U,COUNT(G) WHERE D=""&amp;$B39&amp;"" GROUP BY U,G""),""SELECT Col1"")))"),5.56027577253742)</f>
        <v>5.5602757725374197</v>
      </c>
      <c r="E39" s="98">
        <f ca="1">IFERROR(__xludf.DUMMYFUNCTION("IFERROR(AVERAGE(QUERY(QUERY('C'!$D$3:$Y$370,""SELECT U,COUNT(G) WHERE D=""&amp;$B39&amp;"" AND Q=FALSE AND R=FALSE GROUP BY U,G""),""SELECT Col1"")))"),14.25)</f>
        <v>14.25</v>
      </c>
      <c r="F39" s="98">
        <f ca="1">IFERROR(__xludf.DUMMYFUNCTION("IFERROR(STDEV(QUERY(QUERY('C'!$D$3:$Y$370,""SELECT U,COUNT(G) WHERE D=""&amp;$B39&amp;"" AND Q=FALSE AND R=FALSE GROUP BY U,G""),""SELECT Col1"")))"),5.56027577253742)</f>
        <v>5.5602757725374197</v>
      </c>
      <c r="G39" s="99">
        <f ca="1">IFERROR(__xludf.DUMMYFUNCTION("IFERROR(AVERAGE(QUERY(QUERY(C_all,""SELECT U,COUNT(G) WHERE D=""&amp;$B39&amp;"" AND Q=FALSE AND R=FALSE AND U&gt;=""&amp;C_mean-2*C_sd&amp;"" AND U&lt;=""&amp;C_mean+2*C_sd&amp;"" GROUP BY U,G""),""SELECT Col1"")))"),14.25)</f>
        <v>14.25</v>
      </c>
      <c r="H39" s="98">
        <f ca="1">IFERROR(__xludf.DUMMYFUNCTION("IFERROR(STDEV(QUERY(QUERY(C_all,""SELECT U,COUNT(G) WHERE D=""&amp;$B39&amp;"" AND Q=FALSE AND R=FALSE AND U&gt;=""&amp;C_mean-2*C_sd&amp;"" AND U&lt;=""&amp;C_mean+2*C_sd&amp;"" GROUP BY U,G""),""SELECT Col1"")))"),5.56027577253742)</f>
        <v>5.5602757725374197</v>
      </c>
      <c r="I39" s="100">
        <f ca="1">IFERROR(__xludf.DUMMYFUNCTION("IFERROR(IF(ISBLANK(G39),,RANK.AVG(B39,QUERY(B$2:G$43,""SELECT B WHERE G IS NOT NULL""),TRUE)))"),37)</f>
        <v>37</v>
      </c>
      <c r="J39" s="100">
        <v>7</v>
      </c>
      <c r="K39" s="100">
        <f t="shared" ca="1" si="0"/>
        <v>900</v>
      </c>
      <c r="L39" s="101"/>
      <c r="M39" s="101"/>
      <c r="N39" s="112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</row>
    <row r="40" spans="1:29" ht="13">
      <c r="A40" s="96"/>
      <c r="B40" s="97">
        <f ca="1">IFERROR(__xludf.DUMMYFUNCTION("""COMPUTED_VALUE"""),7800)</f>
        <v>7800</v>
      </c>
      <c r="C40" s="98">
        <f ca="1">IFERROR(__xludf.DUMMYFUNCTION("IFERROR(AVERAGE(QUERY(QUERY(C_all,""SELECT U,COUNT(G) WHERE D=""&amp;$B40&amp;"" GROUP BY U,G""),""SELECT Col1"")))"),16)</f>
        <v>16</v>
      </c>
      <c r="D40" s="98">
        <f ca="1">IFERROR(__xludf.DUMMYFUNCTION("IFERROR(STDEV(QUERY(QUERY(C_all,""SELECT U,COUNT(G) WHERE D=""&amp;$B40&amp;"" GROUP BY U,G""),""SELECT Col1"")))"),8.48528137423857)</f>
        <v>8.4852813742385695</v>
      </c>
      <c r="E40" s="98">
        <f ca="1">IFERROR(__xludf.DUMMYFUNCTION("IFERROR(AVERAGE(QUERY(QUERY('C'!$D$3:$Y$370,""SELECT U,COUNT(G) WHERE D=""&amp;$B40&amp;"" AND Q=FALSE AND R=FALSE GROUP BY U,G""),""SELECT Col1"")))"),16)</f>
        <v>16</v>
      </c>
      <c r="F40" s="98">
        <f ca="1">IFERROR(__xludf.DUMMYFUNCTION("IFERROR(STDEV(QUERY(QUERY('C'!$D$3:$Y$370,""SELECT U,COUNT(G) WHERE D=""&amp;$B40&amp;"" AND Q=FALSE AND R=FALSE GROUP BY U,G""),""SELECT Col1"")))"),8.48528137423857)</f>
        <v>8.4852813742385695</v>
      </c>
      <c r="G40" s="99">
        <f ca="1">IFERROR(__xludf.DUMMYFUNCTION("IFERROR(AVERAGE(QUERY(QUERY(C_all,""SELECT U,COUNT(G) WHERE D=""&amp;$B40&amp;"" AND Q=FALSE AND R=FALSE AND U&gt;=""&amp;C_mean-2*C_sd&amp;"" AND U&lt;=""&amp;C_mean+2*C_sd&amp;"" GROUP BY U,G""),""SELECT Col1"")))"),16)</f>
        <v>16</v>
      </c>
      <c r="H40" s="98">
        <f ca="1">IFERROR(__xludf.DUMMYFUNCTION("IFERROR(STDEV(QUERY(QUERY(C_all,""SELECT U,COUNT(G) WHERE D=""&amp;$B40&amp;"" AND Q=FALSE AND R=FALSE AND U&gt;=""&amp;C_mean-2*C_sd&amp;"" AND U&lt;=""&amp;C_mean+2*C_sd&amp;"" GROUP BY U,G""),""SELECT Col1"")))"),8.48528137423857)</f>
        <v>8.4852813742385695</v>
      </c>
      <c r="I40" s="100">
        <f ca="1">IFERROR(__xludf.DUMMYFUNCTION("IFERROR(IF(ISBLANK(G40),,RANK.AVG(B40,QUERY(B$2:G$43,""SELECT B WHERE G IS NOT NULL""),TRUE)))"),38)</f>
        <v>38</v>
      </c>
      <c r="J40" s="100">
        <v>9</v>
      </c>
      <c r="K40" s="100">
        <f t="shared" ca="1" si="0"/>
        <v>841</v>
      </c>
      <c r="L40" s="101"/>
      <c r="M40" s="101"/>
      <c r="N40" s="112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</row>
    <row r="41" spans="1:29" ht="13">
      <c r="A41" s="96"/>
      <c r="B41" s="97">
        <f ca="1">IFERROR(__xludf.DUMMYFUNCTION("""COMPUTED_VALUE"""),8000)</f>
        <v>8000</v>
      </c>
      <c r="C41" s="98">
        <f ca="1">IFERROR(__xludf.DUMMYFUNCTION("IFERROR(AVERAGE(QUERY(QUERY(C_all,""SELECT U,COUNT(G) WHERE D=""&amp;$B41&amp;"" GROUP BY U,G""),""SELECT Col1"")))"),11.5)</f>
        <v>11.5</v>
      </c>
      <c r="D41" s="98">
        <f ca="1">IFERROR(__xludf.DUMMYFUNCTION("IFERROR(STDEV(QUERY(QUERY(C_all,""SELECT U,COUNT(G) WHERE D=""&amp;$B41&amp;"" GROUP BY U,G""),""SELECT Col1"")))"),4.20317340430616)</f>
        <v>4.2031734043061597</v>
      </c>
      <c r="E41" s="98">
        <f ca="1">IFERROR(__xludf.DUMMYFUNCTION("IFERROR(AVERAGE(QUERY(QUERY('C'!$D$3:$Y$370,""SELECT U,COUNT(G) WHERE D=""&amp;$B41&amp;"" AND Q=FALSE AND R=FALSE GROUP BY U,G""),""SELECT Col1"")))"),11.5)</f>
        <v>11.5</v>
      </c>
      <c r="F41" s="98">
        <f ca="1">IFERROR(__xludf.DUMMYFUNCTION("IFERROR(STDEV(QUERY(QUERY('C'!$D$3:$Y$370,""SELECT U,COUNT(G) WHERE D=""&amp;$B41&amp;"" AND Q=FALSE AND R=FALSE GROUP BY U,G""),""SELECT Col1"")))"),4.20317340430616)</f>
        <v>4.2031734043061597</v>
      </c>
      <c r="G41" s="99">
        <f ca="1">IFERROR(__xludf.DUMMYFUNCTION("IFERROR(AVERAGE(QUERY(QUERY(C_all,""SELECT U,COUNT(G) WHERE D=""&amp;$B41&amp;"" AND Q=FALSE AND R=FALSE AND U&gt;=""&amp;C_mean-2*C_sd&amp;"" AND U&lt;=""&amp;C_mean+2*C_sd&amp;"" GROUP BY U,G""),""SELECT Col1"")))"),11.5)</f>
        <v>11.5</v>
      </c>
      <c r="H41" s="98">
        <f ca="1">IFERROR(__xludf.DUMMYFUNCTION("IFERROR(STDEV(QUERY(QUERY(C_all,""SELECT U,COUNT(G) WHERE D=""&amp;$B41&amp;"" AND Q=FALSE AND R=FALSE AND U&gt;=""&amp;C_mean-2*C_sd&amp;"" AND U&lt;=""&amp;C_mean+2*C_sd&amp;"" GROUP BY U,G""),""SELECT Col1"")))"),4.20317340430616)</f>
        <v>4.2031734043061597</v>
      </c>
      <c r="I41" s="100">
        <f ca="1">IFERROR(__xludf.DUMMYFUNCTION("IFERROR(IF(ISBLANK(G41),,RANK.AVG(B41,QUERY(B$2:G$43,""SELECT B WHERE G IS NOT NULL""),TRUE)))"),39)</f>
        <v>39</v>
      </c>
      <c r="J41" s="100">
        <v>2</v>
      </c>
      <c r="K41" s="100">
        <f t="shared" ca="1" si="0"/>
        <v>1369</v>
      </c>
      <c r="L41" s="101"/>
      <c r="M41" s="101"/>
      <c r="N41" s="112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</row>
    <row r="42" spans="1:29" ht="13">
      <c r="A42" s="96"/>
      <c r="B42" s="97">
        <f ca="1">IFERROR(__xludf.DUMMYFUNCTION("""COMPUTED_VALUE"""),8200)</f>
        <v>8200</v>
      </c>
      <c r="C42" s="98">
        <f ca="1">IFERROR(__xludf.DUMMYFUNCTION("IFERROR(AVERAGE(QUERY(QUERY(C_all,""SELECT U,COUNT(G) WHERE D=""&amp;$B42&amp;"" GROUP BY U,G""),""SELECT Col1"")))"),17.5)</f>
        <v>17.5</v>
      </c>
      <c r="D42" s="98">
        <f ca="1">IFERROR(__xludf.DUMMYFUNCTION("IFERROR(STDEV(QUERY(QUERY(C_all,""SELECT U,COUNT(G) WHERE D=""&amp;$B42&amp;"" GROUP BY U,G""),""SELECT Col1"")))"),11)</f>
        <v>11</v>
      </c>
      <c r="E42" s="98">
        <f ca="1">IFERROR(__xludf.DUMMYFUNCTION("IFERROR(AVERAGE(QUERY(QUERY('C'!$D$3:$Y$370,""SELECT U,COUNT(G) WHERE D=""&amp;$B42&amp;"" AND Q=FALSE AND R=FALSE GROUP BY U,G""),""SELECT Col1"")))"),17.5)</f>
        <v>17.5</v>
      </c>
      <c r="F42" s="98">
        <f ca="1">IFERROR(__xludf.DUMMYFUNCTION("IFERROR(STDEV(QUERY(QUERY('C'!$D$3:$Y$370,""SELECT U,COUNT(G) WHERE D=""&amp;$B42&amp;"" AND Q=FALSE AND R=FALSE GROUP BY U,G""),""SELECT Col1"")))"),11)</f>
        <v>11</v>
      </c>
      <c r="G42" s="99">
        <f ca="1">IFERROR(__xludf.DUMMYFUNCTION("IFERROR(AVERAGE(QUERY(QUERY(C_all,""SELECT U,COUNT(G) WHERE D=""&amp;$B42&amp;"" AND Q=FALSE AND R=FALSE AND U&gt;=""&amp;C_mean-2*C_sd&amp;"" AND U&lt;=""&amp;C_mean+2*C_sd&amp;"" GROUP BY U,G""),""SELECT Col1"")))"),17.5)</f>
        <v>17.5</v>
      </c>
      <c r="H42" s="98">
        <f ca="1">IFERROR(__xludf.DUMMYFUNCTION("IFERROR(STDEV(QUERY(QUERY(C_all,""SELECT U,COUNT(G) WHERE D=""&amp;$B42&amp;"" AND Q=FALSE AND R=FALSE AND U&gt;=""&amp;C_mean-2*C_sd&amp;"" AND U&lt;=""&amp;C_mean+2*C_sd&amp;"" GROUP BY U,G""),""SELECT Col1"")))"),11)</f>
        <v>11</v>
      </c>
      <c r="I42" s="100">
        <f ca="1">IFERROR(__xludf.DUMMYFUNCTION("IFERROR(IF(ISBLANK(G42),,RANK.AVG(B42,QUERY(B$2:G$43,""SELECT B WHERE G IS NOT NULL""),TRUE)))"),40)</f>
        <v>40</v>
      </c>
      <c r="J42" s="100">
        <v>12</v>
      </c>
      <c r="K42" s="100">
        <f t="shared" ca="1" si="0"/>
        <v>784</v>
      </c>
      <c r="L42" s="101"/>
      <c r="M42" s="101"/>
      <c r="N42" s="112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</row>
    <row r="43" spans="1:29" ht="13">
      <c r="A43" s="96"/>
      <c r="B43" s="97">
        <f ca="1">IFERROR(__xludf.DUMMYFUNCTION("""COMPUTED_VALUE"""),8400)</f>
        <v>8400</v>
      </c>
      <c r="C43" s="98">
        <f ca="1">IFERROR(__xludf.DUMMYFUNCTION("IFERROR(AVERAGE(QUERY(QUERY(C_all,""SELECT U,COUNT(G) WHERE D=""&amp;$B43&amp;"" GROUP BY U,G""),""SELECT Col1"")))"),13.25)</f>
        <v>13.25</v>
      </c>
      <c r="D43" s="98">
        <f ca="1">IFERROR(__xludf.DUMMYFUNCTION("IFERROR(STDEV(QUERY(QUERY(C_all,""SELECT U,COUNT(G) WHERE D=""&amp;$B43&amp;"" GROUP BY U,G""),""SELECT Col1"")))"),1.89296944860009)</f>
        <v>1.8929694486000901</v>
      </c>
      <c r="E43" s="98">
        <f ca="1">IFERROR(__xludf.DUMMYFUNCTION("IFERROR(AVERAGE(QUERY(QUERY('C'!$D$3:$Y$370,""SELECT U,COUNT(G) WHERE D=""&amp;$B43&amp;"" AND Q=FALSE AND R=FALSE GROUP BY U,G""),""SELECT Col1"")))"),13.25)</f>
        <v>13.25</v>
      </c>
      <c r="F43" s="98">
        <f ca="1">IFERROR(__xludf.DUMMYFUNCTION("IFERROR(STDEV(QUERY(QUERY('C'!$D$3:$Y$370,""SELECT U,COUNT(G) WHERE D=""&amp;$B43&amp;"" AND Q=FALSE AND R=FALSE GROUP BY U,G""),""SELECT Col1"")))"),1.89296944860009)</f>
        <v>1.8929694486000901</v>
      </c>
      <c r="G43" s="99">
        <f ca="1">IFERROR(__xludf.DUMMYFUNCTION("IFERROR(AVERAGE(QUERY(QUERY(C_all,""SELECT U,COUNT(G) WHERE D=""&amp;$B43&amp;"" AND Q=FALSE AND R=FALSE AND U&gt;=""&amp;C_mean-2*C_sd&amp;"" AND U&lt;=""&amp;C_mean+2*C_sd&amp;"" GROUP BY U,G""),""SELECT Col1"")))"),13.25)</f>
        <v>13.25</v>
      </c>
      <c r="H43" s="98">
        <f ca="1">IFERROR(__xludf.DUMMYFUNCTION("IFERROR(STDEV(QUERY(QUERY(C_all,""SELECT U,COUNT(G) WHERE D=""&amp;$B43&amp;"" AND Q=FALSE AND R=FALSE AND U&gt;=""&amp;C_mean-2*C_sd&amp;"" AND U&lt;=""&amp;C_mean+2*C_sd&amp;"" GROUP BY U,G""),""SELECT Col1"")))"),1.89296944860009)</f>
        <v>1.8929694486000901</v>
      </c>
      <c r="I43" s="100">
        <f ca="1">IFERROR(__xludf.DUMMYFUNCTION("IFERROR(IF(ISBLANK(G43),,RANK.AVG(B43,QUERY(B$2:G$43,""SELECT B WHERE G IS NOT NULL""),TRUE)))"),41)</f>
        <v>41</v>
      </c>
      <c r="J43" s="100">
        <v>3</v>
      </c>
      <c r="K43" s="100">
        <f t="shared" ca="1" si="0"/>
        <v>1444</v>
      </c>
      <c r="L43" s="101"/>
      <c r="M43" s="101"/>
      <c r="N43" s="112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</row>
    <row r="44" spans="1:29" ht="13">
      <c r="A44" s="96"/>
      <c r="B44" s="97"/>
      <c r="C44" s="98"/>
      <c r="D44" s="98"/>
      <c r="E44" s="98"/>
      <c r="F44" s="98"/>
      <c r="G44" s="99"/>
      <c r="H44" s="98"/>
      <c r="I44" s="100"/>
      <c r="J44" s="100"/>
      <c r="K44" s="100"/>
      <c r="L44" s="101"/>
      <c r="M44" s="101"/>
      <c r="N44" s="112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</row>
    <row r="45" spans="1:29" ht="13">
      <c r="A45" s="96"/>
      <c r="B45" s="97"/>
      <c r="C45" s="98"/>
      <c r="D45" s="98"/>
      <c r="E45" s="98"/>
      <c r="F45" s="98"/>
      <c r="G45" s="99"/>
      <c r="H45" s="98"/>
      <c r="I45" s="100"/>
      <c r="J45" s="100"/>
      <c r="K45" s="100"/>
      <c r="L45" s="101"/>
      <c r="M45" s="101"/>
      <c r="N45" s="112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</row>
    <row r="46" spans="1:29" ht="13">
      <c r="A46" s="96"/>
      <c r="B46" s="97"/>
      <c r="C46" s="98"/>
      <c r="D46" s="98"/>
      <c r="E46" s="98"/>
      <c r="F46" s="98"/>
      <c r="G46" s="99"/>
      <c r="H46" s="98"/>
      <c r="I46" s="100"/>
      <c r="J46" s="100"/>
      <c r="K46" s="100"/>
      <c r="L46" s="101"/>
      <c r="M46" s="101"/>
      <c r="N46" s="112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</row>
    <row r="47" spans="1:29" ht="13">
      <c r="A47" s="96"/>
      <c r="B47" s="97"/>
      <c r="C47" s="98"/>
      <c r="D47" s="98"/>
      <c r="E47" s="98"/>
      <c r="F47" s="98"/>
      <c r="G47" s="99"/>
      <c r="H47" s="98"/>
      <c r="I47" s="100"/>
      <c r="J47" s="100"/>
      <c r="K47" s="100"/>
      <c r="L47" s="101"/>
      <c r="M47" s="101"/>
      <c r="N47" s="112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</row>
    <row r="48" spans="1:29" ht="13">
      <c r="A48" s="96"/>
      <c r="B48" s="97"/>
      <c r="C48" s="98"/>
      <c r="D48" s="98"/>
      <c r="E48" s="98"/>
      <c r="F48" s="98"/>
      <c r="G48" s="99"/>
      <c r="H48" s="98"/>
      <c r="I48" s="100"/>
      <c r="J48" s="100"/>
      <c r="K48" s="100"/>
      <c r="L48" s="101"/>
      <c r="M48" s="101"/>
      <c r="N48" s="112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</row>
    <row r="49" spans="1:29" ht="13">
      <c r="A49" s="96"/>
      <c r="B49" s="97"/>
      <c r="C49" s="98"/>
      <c r="D49" s="98"/>
      <c r="E49" s="98"/>
      <c r="F49" s="98"/>
      <c r="G49" s="99"/>
      <c r="H49" s="98"/>
      <c r="I49" s="100"/>
      <c r="J49" s="100"/>
      <c r="K49" s="100"/>
      <c r="L49" s="101"/>
      <c r="M49" s="101"/>
      <c r="N49" s="112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</row>
    <row r="50" spans="1:29" ht="13">
      <c r="A50" s="96"/>
      <c r="B50" s="97"/>
      <c r="C50" s="98"/>
      <c r="D50" s="98"/>
      <c r="E50" s="98"/>
      <c r="F50" s="98"/>
      <c r="G50" s="99"/>
      <c r="H50" s="98"/>
      <c r="I50" s="100"/>
      <c r="J50" s="100"/>
      <c r="K50" s="100"/>
      <c r="L50" s="101"/>
      <c r="M50" s="101"/>
      <c r="N50" s="112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</row>
    <row r="51" spans="1:29" ht="13">
      <c r="A51" s="96"/>
      <c r="B51" s="97"/>
      <c r="C51" s="98"/>
      <c r="D51" s="98"/>
      <c r="E51" s="98"/>
      <c r="F51" s="98"/>
      <c r="G51" s="99"/>
      <c r="H51" s="98"/>
      <c r="I51" s="100"/>
      <c r="J51" s="100"/>
      <c r="K51" s="100"/>
      <c r="L51" s="101"/>
      <c r="M51" s="101"/>
      <c r="N51" s="112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</row>
    <row r="52" spans="1:29" ht="13">
      <c r="A52" s="96"/>
      <c r="B52" s="97"/>
      <c r="C52" s="98"/>
      <c r="D52" s="98"/>
      <c r="E52" s="98"/>
      <c r="F52" s="98"/>
      <c r="G52" s="99"/>
      <c r="H52" s="98"/>
      <c r="I52" s="100"/>
      <c r="J52" s="100"/>
      <c r="K52" s="100"/>
      <c r="L52" s="101"/>
      <c r="M52" s="101"/>
      <c r="N52" s="112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</row>
    <row r="53" spans="1:29" ht="13">
      <c r="A53" s="96"/>
      <c r="B53" s="97"/>
      <c r="C53" s="98"/>
      <c r="D53" s="98"/>
      <c r="E53" s="98"/>
      <c r="F53" s="98"/>
      <c r="G53" s="99"/>
      <c r="H53" s="98"/>
      <c r="I53" s="100"/>
      <c r="J53" s="100"/>
      <c r="K53" s="100"/>
      <c r="L53" s="101"/>
      <c r="M53" s="101"/>
      <c r="N53" s="112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</row>
    <row r="54" spans="1:29" ht="13">
      <c r="A54" s="96"/>
      <c r="B54" s="97"/>
      <c r="C54" s="98"/>
      <c r="D54" s="98"/>
      <c r="E54" s="98"/>
      <c r="F54" s="98"/>
      <c r="G54" s="99"/>
      <c r="H54" s="98"/>
      <c r="I54" s="100"/>
      <c r="J54" s="100"/>
      <c r="K54" s="100"/>
      <c r="L54" s="101"/>
      <c r="M54" s="101"/>
      <c r="N54" s="112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</row>
    <row r="55" spans="1:29" ht="13">
      <c r="A55" s="96"/>
      <c r="B55" s="97"/>
      <c r="C55" s="98"/>
      <c r="D55" s="98"/>
      <c r="E55" s="98"/>
      <c r="F55" s="98"/>
      <c r="G55" s="99"/>
      <c r="H55" s="98"/>
      <c r="I55" s="100"/>
      <c r="J55" s="100"/>
      <c r="K55" s="100"/>
      <c r="L55" s="101"/>
      <c r="M55" s="101"/>
      <c r="N55" s="112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</row>
    <row r="56" spans="1:29" ht="13">
      <c r="A56" s="96"/>
      <c r="B56" s="97"/>
      <c r="C56" s="98"/>
      <c r="D56" s="98"/>
      <c r="E56" s="98"/>
      <c r="F56" s="98"/>
      <c r="G56" s="99"/>
      <c r="H56" s="98"/>
      <c r="I56" s="100"/>
      <c r="J56" s="100"/>
      <c r="K56" s="100"/>
      <c r="L56" s="101"/>
      <c r="M56" s="101"/>
      <c r="N56" s="112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</row>
    <row r="57" spans="1:29" ht="13">
      <c r="A57" s="96"/>
      <c r="B57" s="97"/>
      <c r="C57" s="98"/>
      <c r="D57" s="98"/>
      <c r="E57" s="98"/>
      <c r="F57" s="98"/>
      <c r="G57" s="99"/>
      <c r="H57" s="98"/>
      <c r="I57" s="100"/>
      <c r="J57" s="100"/>
      <c r="K57" s="100"/>
      <c r="L57" s="101"/>
      <c r="M57" s="101"/>
      <c r="N57" s="112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</row>
    <row r="58" spans="1:29" ht="13">
      <c r="A58" s="96"/>
      <c r="B58" s="97"/>
      <c r="C58" s="98"/>
      <c r="D58" s="98"/>
      <c r="E58" s="98"/>
      <c r="F58" s="98"/>
      <c r="G58" s="99"/>
      <c r="H58" s="98"/>
      <c r="I58" s="100"/>
      <c r="J58" s="100"/>
      <c r="K58" s="100"/>
      <c r="L58" s="101"/>
      <c r="M58" s="101"/>
      <c r="N58" s="112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</row>
    <row r="59" spans="1:29" ht="13">
      <c r="A59" s="96"/>
      <c r="B59" s="97"/>
      <c r="C59" s="98"/>
      <c r="D59" s="98"/>
      <c r="E59" s="98"/>
      <c r="F59" s="98"/>
      <c r="G59" s="99"/>
      <c r="H59" s="98"/>
      <c r="I59" s="100"/>
      <c r="J59" s="100"/>
      <c r="K59" s="100"/>
      <c r="L59" s="101"/>
      <c r="M59" s="101"/>
      <c r="N59" s="112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</row>
    <row r="60" spans="1:29" ht="13">
      <c r="A60" s="96"/>
      <c r="B60" s="97"/>
      <c r="C60" s="98"/>
      <c r="D60" s="98"/>
      <c r="E60" s="98"/>
      <c r="F60" s="98"/>
      <c r="G60" s="99"/>
      <c r="H60" s="98"/>
      <c r="I60" s="100"/>
      <c r="J60" s="100"/>
      <c r="K60" s="100"/>
      <c r="L60" s="101"/>
      <c r="M60" s="101"/>
      <c r="N60" s="112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</row>
    <row r="61" spans="1:29" ht="13">
      <c r="A61" s="96"/>
      <c r="B61" s="97"/>
      <c r="C61" s="98"/>
      <c r="D61" s="98"/>
      <c r="E61" s="98"/>
      <c r="F61" s="98"/>
      <c r="G61" s="99"/>
      <c r="H61" s="98"/>
      <c r="I61" s="100"/>
      <c r="J61" s="100"/>
      <c r="K61" s="100"/>
      <c r="L61" s="101"/>
      <c r="M61" s="101"/>
      <c r="N61" s="112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</row>
    <row r="62" spans="1:29" ht="13">
      <c r="A62" s="96"/>
      <c r="B62" s="97"/>
      <c r="C62" s="98"/>
      <c r="D62" s="98"/>
      <c r="E62" s="98"/>
      <c r="F62" s="98"/>
      <c r="G62" s="99"/>
      <c r="H62" s="98"/>
      <c r="I62" s="100"/>
      <c r="J62" s="100"/>
      <c r="K62" s="100"/>
      <c r="L62" s="101"/>
      <c r="M62" s="101"/>
      <c r="N62" s="112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</row>
    <row r="63" spans="1:29" ht="13">
      <c r="A63" s="96"/>
      <c r="B63" s="97"/>
      <c r="C63" s="98"/>
      <c r="D63" s="98"/>
      <c r="E63" s="98"/>
      <c r="F63" s="98"/>
      <c r="G63" s="99"/>
      <c r="H63" s="98"/>
      <c r="I63" s="100"/>
      <c r="J63" s="100"/>
      <c r="K63" s="100"/>
      <c r="L63" s="101"/>
      <c r="M63" s="101"/>
      <c r="N63" s="112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</row>
    <row r="64" spans="1:29" ht="13">
      <c r="A64" s="115"/>
      <c r="B64" s="97"/>
      <c r="C64" s="115"/>
      <c r="D64" s="115"/>
      <c r="E64" s="115"/>
      <c r="F64" s="115"/>
      <c r="G64" s="99"/>
      <c r="H64" s="98"/>
      <c r="I64" s="100"/>
      <c r="J64" s="100"/>
      <c r="K64" s="100"/>
      <c r="L64" s="101"/>
      <c r="M64" s="101"/>
      <c r="N64" s="112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</row>
    <row r="65" spans="1:29" ht="13">
      <c r="A65" s="115"/>
      <c r="B65" s="97"/>
      <c r="C65" s="115"/>
      <c r="D65" s="115"/>
      <c r="E65" s="115"/>
      <c r="F65" s="115"/>
      <c r="G65" s="99"/>
      <c r="H65" s="98"/>
      <c r="I65" s="100"/>
      <c r="J65" s="100"/>
      <c r="K65" s="100"/>
      <c r="L65" s="101"/>
      <c r="M65" s="101"/>
      <c r="N65" s="112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</row>
    <row r="66" spans="1:29" ht="13">
      <c r="A66" s="115"/>
      <c r="B66" s="97"/>
      <c r="C66" s="115"/>
      <c r="D66" s="115"/>
      <c r="E66" s="115"/>
      <c r="F66" s="115"/>
      <c r="G66" s="99"/>
      <c r="H66" s="98"/>
      <c r="I66" s="100"/>
      <c r="J66" s="100"/>
      <c r="K66" s="100"/>
      <c r="L66" s="101"/>
      <c r="M66" s="101"/>
      <c r="N66" s="112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</row>
    <row r="67" spans="1:29" ht="13">
      <c r="A67" s="115"/>
      <c r="B67" s="97"/>
      <c r="C67" s="115"/>
      <c r="D67" s="115"/>
      <c r="E67" s="115"/>
      <c r="F67" s="115"/>
      <c r="G67" s="99"/>
      <c r="H67" s="98"/>
      <c r="I67" s="100"/>
      <c r="J67" s="100"/>
      <c r="K67" s="100"/>
      <c r="L67" s="101"/>
      <c r="M67" s="101"/>
      <c r="N67" s="112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</row>
    <row r="68" spans="1:29" ht="13">
      <c r="A68" s="115"/>
      <c r="B68" s="97"/>
      <c r="C68" s="115"/>
      <c r="D68" s="115"/>
      <c r="E68" s="115"/>
      <c r="F68" s="115"/>
      <c r="G68" s="99"/>
      <c r="H68" s="98"/>
      <c r="I68" s="100"/>
      <c r="J68" s="100"/>
      <c r="K68" s="100"/>
      <c r="L68" s="101"/>
      <c r="M68" s="101"/>
      <c r="N68" s="112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</row>
    <row r="69" spans="1:29" ht="13">
      <c r="A69" s="115"/>
      <c r="B69" s="97"/>
      <c r="C69" s="115"/>
      <c r="D69" s="115"/>
      <c r="E69" s="115"/>
      <c r="F69" s="115"/>
      <c r="G69" s="99"/>
      <c r="H69" s="98"/>
      <c r="I69" s="100"/>
      <c r="J69" s="100"/>
      <c r="K69" s="100"/>
      <c r="L69" s="101"/>
      <c r="M69" s="101"/>
      <c r="N69" s="112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</row>
    <row r="70" spans="1:29" ht="13">
      <c r="A70" s="115"/>
      <c r="B70" s="97"/>
      <c r="C70" s="115"/>
      <c r="D70" s="115"/>
      <c r="E70" s="115"/>
      <c r="F70" s="115"/>
      <c r="G70" s="99"/>
      <c r="H70" s="98"/>
      <c r="I70" s="100"/>
      <c r="J70" s="100"/>
      <c r="K70" s="100"/>
      <c r="L70" s="101"/>
      <c r="M70" s="101"/>
      <c r="N70" s="112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</row>
    <row r="71" spans="1:29" ht="13">
      <c r="A71" s="115"/>
      <c r="B71" s="97"/>
      <c r="C71" s="115"/>
      <c r="D71" s="115"/>
      <c r="E71" s="115"/>
      <c r="F71" s="115"/>
      <c r="G71" s="99"/>
      <c r="H71" s="98"/>
      <c r="I71" s="100"/>
      <c r="J71" s="100"/>
      <c r="K71" s="100"/>
      <c r="L71" s="101"/>
      <c r="M71" s="101"/>
      <c r="N71" s="112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</row>
    <row r="72" spans="1:29" ht="13">
      <c r="A72" s="115"/>
      <c r="B72" s="97"/>
      <c r="C72" s="115"/>
      <c r="D72" s="115"/>
      <c r="E72" s="115"/>
      <c r="F72" s="115"/>
      <c r="G72" s="99"/>
      <c r="H72" s="98"/>
      <c r="I72" s="100"/>
      <c r="J72" s="100"/>
      <c r="K72" s="100"/>
      <c r="L72" s="101"/>
      <c r="M72" s="101"/>
      <c r="N72" s="112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</row>
    <row r="73" spans="1:29" ht="13">
      <c r="A73" s="115"/>
      <c r="B73" s="97"/>
      <c r="C73" s="115"/>
      <c r="D73" s="115"/>
      <c r="E73" s="115"/>
      <c r="F73" s="115"/>
      <c r="G73" s="99"/>
      <c r="H73" s="98"/>
      <c r="I73" s="100"/>
      <c r="J73" s="100"/>
      <c r="K73" s="100"/>
      <c r="L73" s="101"/>
      <c r="M73" s="101"/>
      <c r="N73" s="112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</row>
    <row r="74" spans="1:29" ht="13">
      <c r="A74" s="115"/>
      <c r="B74" s="97"/>
      <c r="C74" s="115"/>
      <c r="D74" s="115"/>
      <c r="E74" s="115"/>
      <c r="F74" s="115"/>
      <c r="G74" s="99"/>
      <c r="H74" s="98"/>
      <c r="I74" s="100"/>
      <c r="J74" s="100"/>
      <c r="K74" s="100"/>
      <c r="L74" s="101"/>
      <c r="M74" s="101"/>
      <c r="N74" s="112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</row>
    <row r="75" spans="1:29" ht="13">
      <c r="A75" s="115"/>
      <c r="B75" s="97"/>
      <c r="C75" s="115"/>
      <c r="D75" s="115"/>
      <c r="E75" s="115"/>
      <c r="F75" s="115"/>
      <c r="G75" s="99"/>
      <c r="H75" s="98"/>
      <c r="I75" s="100"/>
      <c r="J75" s="100"/>
      <c r="K75" s="100"/>
      <c r="L75" s="101"/>
      <c r="M75" s="101"/>
      <c r="N75" s="112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</row>
    <row r="76" spans="1:29" ht="13">
      <c r="A76" s="115"/>
      <c r="B76" s="97"/>
      <c r="C76" s="115"/>
      <c r="D76" s="115"/>
      <c r="E76" s="115"/>
      <c r="F76" s="115"/>
      <c r="G76" s="99"/>
      <c r="H76" s="98"/>
      <c r="I76" s="100"/>
      <c r="J76" s="100"/>
      <c r="K76" s="100"/>
      <c r="L76" s="101"/>
      <c r="M76" s="101"/>
      <c r="N76" s="112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</row>
    <row r="77" spans="1:29" ht="13">
      <c r="A77" s="115"/>
      <c r="B77" s="97"/>
      <c r="C77" s="115"/>
      <c r="D77" s="115"/>
      <c r="E77" s="115"/>
      <c r="F77" s="115"/>
      <c r="G77" s="99"/>
      <c r="H77" s="98"/>
      <c r="I77" s="100"/>
      <c r="J77" s="100"/>
      <c r="K77" s="100"/>
      <c r="L77" s="101"/>
      <c r="M77" s="101"/>
      <c r="N77" s="112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</row>
    <row r="78" spans="1:29" ht="13">
      <c r="A78" s="115"/>
      <c r="B78" s="97"/>
      <c r="C78" s="115"/>
      <c r="D78" s="115"/>
      <c r="E78" s="115"/>
      <c r="F78" s="115"/>
      <c r="G78" s="99"/>
      <c r="H78" s="98"/>
      <c r="I78" s="100"/>
      <c r="J78" s="100"/>
      <c r="K78" s="100"/>
      <c r="L78" s="101"/>
      <c r="M78" s="101"/>
      <c r="N78" s="112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</row>
    <row r="79" spans="1:29" ht="13">
      <c r="A79" s="115"/>
      <c r="B79" s="97"/>
      <c r="C79" s="115"/>
      <c r="D79" s="115"/>
      <c r="E79" s="115"/>
      <c r="F79" s="115"/>
      <c r="G79" s="99"/>
      <c r="H79" s="98"/>
      <c r="I79" s="100"/>
      <c r="J79" s="100"/>
      <c r="K79" s="100"/>
      <c r="L79" s="101"/>
      <c r="M79" s="101"/>
      <c r="N79" s="112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</row>
    <row r="80" spans="1:29" ht="13">
      <c r="A80" s="115"/>
      <c r="B80" s="97"/>
      <c r="C80" s="115"/>
      <c r="D80" s="115"/>
      <c r="E80" s="115"/>
      <c r="F80" s="115"/>
      <c r="G80" s="99"/>
      <c r="H80" s="98"/>
      <c r="I80" s="100"/>
      <c r="J80" s="100"/>
      <c r="K80" s="100"/>
      <c r="L80" s="101"/>
      <c r="M80" s="101"/>
      <c r="N80" s="112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</row>
    <row r="81" spans="1:29" ht="13">
      <c r="A81" s="115"/>
      <c r="B81" s="97"/>
      <c r="C81" s="115"/>
      <c r="D81" s="115"/>
      <c r="E81" s="115"/>
      <c r="F81" s="115"/>
      <c r="G81" s="99"/>
      <c r="H81" s="98"/>
      <c r="I81" s="100"/>
      <c r="J81" s="100"/>
      <c r="K81" s="100"/>
      <c r="L81" s="101"/>
      <c r="M81" s="101"/>
      <c r="N81" s="112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</row>
    <row r="82" spans="1:29" ht="13">
      <c r="A82" s="115"/>
      <c r="B82" s="97"/>
      <c r="C82" s="115"/>
      <c r="D82" s="115"/>
      <c r="E82" s="115"/>
      <c r="F82" s="115"/>
      <c r="G82" s="99"/>
      <c r="H82" s="98"/>
      <c r="I82" s="100"/>
      <c r="J82" s="100"/>
      <c r="K82" s="100"/>
      <c r="L82" s="101"/>
      <c r="M82" s="101"/>
      <c r="N82" s="112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</row>
    <row r="83" spans="1:29" ht="13">
      <c r="A83" s="115"/>
      <c r="B83" s="97"/>
      <c r="C83" s="115"/>
      <c r="D83" s="115"/>
      <c r="E83" s="115"/>
      <c r="F83" s="115"/>
      <c r="G83" s="99"/>
      <c r="H83" s="98"/>
      <c r="I83" s="100"/>
      <c r="J83" s="100"/>
      <c r="K83" s="100"/>
      <c r="L83" s="101"/>
      <c r="M83" s="101"/>
      <c r="N83" s="112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</row>
    <row r="84" spans="1:29" ht="13">
      <c r="A84" s="115"/>
      <c r="B84" s="97"/>
      <c r="C84" s="115"/>
      <c r="D84" s="115"/>
      <c r="E84" s="115"/>
      <c r="F84" s="115"/>
      <c r="G84" s="99"/>
      <c r="H84" s="98"/>
      <c r="I84" s="100"/>
      <c r="J84" s="100"/>
      <c r="K84" s="100"/>
      <c r="L84" s="101"/>
      <c r="M84" s="101"/>
      <c r="N84" s="112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</row>
    <row r="85" spans="1:29" ht="13">
      <c r="A85" s="115"/>
      <c r="B85" s="97"/>
      <c r="C85" s="115"/>
      <c r="D85" s="115"/>
      <c r="E85" s="115"/>
      <c r="F85" s="115"/>
      <c r="G85" s="99"/>
      <c r="H85" s="98"/>
      <c r="I85" s="100"/>
      <c r="J85" s="100"/>
      <c r="K85" s="100"/>
      <c r="L85" s="101"/>
      <c r="M85" s="101"/>
      <c r="N85" s="112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</row>
    <row r="86" spans="1:29" ht="13">
      <c r="A86" s="115"/>
      <c r="B86" s="97"/>
      <c r="C86" s="115"/>
      <c r="D86" s="115"/>
      <c r="E86" s="115"/>
      <c r="F86" s="115"/>
      <c r="G86" s="99"/>
      <c r="H86" s="98"/>
      <c r="I86" s="100"/>
      <c r="J86" s="100"/>
      <c r="K86" s="100"/>
      <c r="L86" s="101"/>
      <c r="M86" s="101"/>
      <c r="N86" s="112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</row>
    <row r="87" spans="1:29" ht="13">
      <c r="A87" s="115"/>
      <c r="B87" s="97"/>
      <c r="C87" s="115"/>
      <c r="D87" s="115"/>
      <c r="E87" s="115"/>
      <c r="F87" s="115"/>
      <c r="G87" s="99"/>
      <c r="H87" s="98"/>
      <c r="I87" s="100"/>
      <c r="J87" s="100"/>
      <c r="K87" s="100"/>
      <c r="L87" s="101"/>
      <c r="M87" s="101"/>
      <c r="N87" s="112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</row>
    <row r="88" spans="1:29" ht="13">
      <c r="A88" s="115"/>
      <c r="B88" s="97"/>
      <c r="C88" s="115"/>
      <c r="D88" s="115"/>
      <c r="E88" s="115"/>
      <c r="F88" s="115"/>
      <c r="G88" s="99"/>
      <c r="H88" s="98"/>
      <c r="I88" s="100"/>
      <c r="J88" s="100"/>
      <c r="K88" s="100"/>
      <c r="L88" s="101"/>
      <c r="M88" s="101"/>
      <c r="N88" s="112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</row>
    <row r="89" spans="1:29" ht="13">
      <c r="A89" s="115"/>
      <c r="B89" s="97"/>
      <c r="C89" s="115"/>
      <c r="D89" s="115"/>
      <c r="E89" s="115"/>
      <c r="F89" s="115"/>
      <c r="G89" s="99"/>
      <c r="H89" s="98"/>
      <c r="I89" s="100"/>
      <c r="J89" s="100"/>
      <c r="K89" s="100"/>
      <c r="L89" s="101"/>
      <c r="M89" s="101"/>
      <c r="N89" s="112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</row>
    <row r="90" spans="1:29" ht="13">
      <c r="A90" s="115"/>
      <c r="B90" s="97"/>
      <c r="C90" s="115"/>
      <c r="D90" s="115"/>
      <c r="E90" s="115"/>
      <c r="F90" s="115"/>
      <c r="G90" s="99"/>
      <c r="H90" s="98"/>
      <c r="I90" s="100"/>
      <c r="J90" s="100"/>
      <c r="K90" s="100"/>
      <c r="L90" s="101"/>
      <c r="M90" s="101"/>
      <c r="N90" s="112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</row>
    <row r="91" spans="1:29" ht="13">
      <c r="A91" s="115"/>
      <c r="B91" s="97"/>
      <c r="C91" s="115"/>
      <c r="D91" s="115"/>
      <c r="E91" s="115"/>
      <c r="F91" s="115"/>
      <c r="G91" s="99"/>
      <c r="H91" s="98"/>
      <c r="I91" s="100"/>
      <c r="J91" s="100"/>
      <c r="K91" s="100"/>
      <c r="L91" s="101"/>
      <c r="M91" s="101"/>
      <c r="N91" s="112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</row>
    <row r="92" spans="1:29" ht="13">
      <c r="A92" s="115"/>
      <c r="B92" s="97"/>
      <c r="C92" s="115"/>
      <c r="D92" s="115"/>
      <c r="E92" s="115"/>
      <c r="F92" s="115"/>
      <c r="G92" s="99"/>
      <c r="H92" s="98"/>
      <c r="I92" s="100"/>
      <c r="J92" s="100"/>
      <c r="K92" s="100"/>
      <c r="L92" s="101"/>
      <c r="M92" s="101"/>
      <c r="N92" s="112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</row>
    <row r="93" spans="1:29" ht="13">
      <c r="A93" s="115"/>
      <c r="B93" s="97"/>
      <c r="C93" s="115"/>
      <c r="D93" s="115"/>
      <c r="E93" s="115"/>
      <c r="F93" s="115"/>
      <c r="G93" s="99"/>
      <c r="H93" s="98"/>
      <c r="I93" s="100"/>
      <c r="J93" s="100"/>
      <c r="K93" s="100"/>
      <c r="L93" s="101"/>
      <c r="M93" s="101"/>
      <c r="N93" s="112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</row>
    <row r="94" spans="1:29" ht="13">
      <c r="A94" s="115"/>
      <c r="B94" s="97"/>
      <c r="C94" s="115"/>
      <c r="D94" s="115"/>
      <c r="E94" s="115"/>
      <c r="F94" s="115"/>
      <c r="G94" s="99"/>
      <c r="H94" s="98"/>
      <c r="I94" s="100"/>
      <c r="J94" s="100"/>
      <c r="K94" s="100"/>
      <c r="L94" s="101"/>
      <c r="M94" s="101"/>
      <c r="N94" s="112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</row>
    <row r="95" spans="1:29" ht="13">
      <c r="A95" s="115"/>
      <c r="B95" s="97"/>
      <c r="C95" s="115"/>
      <c r="D95" s="115"/>
      <c r="E95" s="115"/>
      <c r="F95" s="115"/>
      <c r="G95" s="99"/>
      <c r="H95" s="98"/>
      <c r="I95" s="100"/>
      <c r="J95" s="100"/>
      <c r="K95" s="100"/>
      <c r="L95" s="101"/>
      <c r="M95" s="101"/>
      <c r="N95" s="112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</row>
    <row r="96" spans="1:29" ht="13">
      <c r="A96" s="115"/>
      <c r="B96" s="97"/>
      <c r="C96" s="115"/>
      <c r="D96" s="115"/>
      <c r="E96" s="115"/>
      <c r="F96" s="115"/>
      <c r="G96" s="99"/>
      <c r="H96" s="98"/>
      <c r="I96" s="100"/>
      <c r="J96" s="100"/>
      <c r="K96" s="100"/>
      <c r="L96" s="101"/>
      <c r="M96" s="101"/>
      <c r="N96" s="112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</row>
    <row r="97" spans="1:29" ht="13">
      <c r="A97" s="115"/>
      <c r="B97" s="97"/>
      <c r="C97" s="115"/>
      <c r="D97" s="115"/>
      <c r="E97" s="115"/>
      <c r="F97" s="115"/>
      <c r="G97" s="99"/>
      <c r="H97" s="98"/>
      <c r="I97" s="100"/>
      <c r="J97" s="100"/>
      <c r="K97" s="100"/>
      <c r="L97" s="101"/>
      <c r="M97" s="101"/>
      <c r="N97" s="112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</row>
    <row r="98" spans="1:29" ht="13">
      <c r="A98" s="115"/>
      <c r="B98" s="97"/>
      <c r="C98" s="115"/>
      <c r="D98" s="115"/>
      <c r="E98" s="115"/>
      <c r="F98" s="115"/>
      <c r="G98" s="99"/>
      <c r="H98" s="98"/>
      <c r="I98" s="100"/>
      <c r="J98" s="100"/>
      <c r="K98" s="100"/>
      <c r="L98" s="101"/>
      <c r="M98" s="101"/>
      <c r="N98" s="112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</row>
    <row r="99" spans="1:29" ht="13">
      <c r="A99" s="115"/>
      <c r="B99" s="97"/>
      <c r="C99" s="115"/>
      <c r="D99" s="115"/>
      <c r="E99" s="115"/>
      <c r="F99" s="115"/>
      <c r="G99" s="99"/>
      <c r="H99" s="98"/>
      <c r="I99" s="100"/>
      <c r="J99" s="100"/>
      <c r="K99" s="100"/>
      <c r="L99" s="101"/>
      <c r="M99" s="101"/>
      <c r="N99" s="112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</row>
    <row r="100" spans="1:29" ht="13">
      <c r="A100" s="115"/>
      <c r="B100" s="97"/>
      <c r="C100" s="115"/>
      <c r="D100" s="115"/>
      <c r="E100" s="115"/>
      <c r="F100" s="115"/>
      <c r="G100" s="99"/>
      <c r="H100" s="98"/>
      <c r="I100" s="100"/>
      <c r="J100" s="100"/>
      <c r="K100" s="100"/>
      <c r="L100" s="101"/>
      <c r="M100" s="101"/>
      <c r="N100" s="112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</row>
    <row r="101" spans="1:29" ht="13">
      <c r="A101" s="115"/>
      <c r="B101" s="97"/>
      <c r="C101" s="115"/>
      <c r="D101" s="115"/>
      <c r="E101" s="115"/>
      <c r="F101" s="115"/>
      <c r="G101" s="99"/>
      <c r="H101" s="98"/>
      <c r="I101" s="100"/>
      <c r="J101" s="100"/>
      <c r="K101" s="100"/>
      <c r="L101" s="101"/>
      <c r="M101" s="101"/>
      <c r="N101" s="112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</row>
    <row r="102" spans="1:29" ht="13">
      <c r="A102" s="115"/>
      <c r="B102" s="97"/>
      <c r="C102" s="115"/>
      <c r="D102" s="115"/>
      <c r="E102" s="115"/>
      <c r="F102" s="115"/>
      <c r="G102" s="99"/>
      <c r="H102" s="98"/>
      <c r="I102" s="100"/>
      <c r="J102" s="100"/>
      <c r="K102" s="100"/>
      <c r="L102" s="101"/>
      <c r="M102" s="101"/>
      <c r="N102" s="112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</row>
    <row r="103" spans="1:29" ht="13">
      <c r="A103" s="115"/>
      <c r="B103" s="97"/>
      <c r="C103" s="115"/>
      <c r="D103" s="115"/>
      <c r="E103" s="115"/>
      <c r="F103" s="115"/>
      <c r="G103" s="99"/>
      <c r="H103" s="98"/>
      <c r="I103" s="100"/>
      <c r="J103" s="100"/>
      <c r="K103" s="100"/>
      <c r="L103" s="101"/>
      <c r="M103" s="101"/>
      <c r="N103" s="112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</row>
    <row r="104" spans="1:29" ht="13">
      <c r="A104" s="115"/>
      <c r="B104" s="97"/>
      <c r="C104" s="115"/>
      <c r="D104" s="115"/>
      <c r="E104" s="115"/>
      <c r="F104" s="115"/>
      <c r="G104" s="99"/>
      <c r="H104" s="98"/>
      <c r="I104" s="100"/>
      <c r="J104" s="100"/>
      <c r="K104" s="100"/>
      <c r="L104" s="101"/>
      <c r="M104" s="101"/>
      <c r="N104" s="112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</row>
    <row r="105" spans="1:29" ht="13">
      <c r="A105" s="115"/>
      <c r="B105" s="97"/>
      <c r="C105" s="115"/>
      <c r="D105" s="115"/>
      <c r="E105" s="115"/>
      <c r="F105" s="115"/>
      <c r="G105" s="99"/>
      <c r="H105" s="98"/>
      <c r="I105" s="100"/>
      <c r="J105" s="100"/>
      <c r="K105" s="100"/>
      <c r="L105" s="101"/>
      <c r="M105" s="101"/>
      <c r="N105" s="112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</row>
    <row r="106" spans="1:29" ht="13">
      <c r="A106" s="115"/>
      <c r="B106" s="97"/>
      <c r="C106" s="115"/>
      <c r="D106" s="115"/>
      <c r="E106" s="115"/>
      <c r="F106" s="115"/>
      <c r="G106" s="99"/>
      <c r="H106" s="98"/>
      <c r="I106" s="100"/>
      <c r="J106" s="100"/>
      <c r="K106" s="100"/>
      <c r="L106" s="101"/>
      <c r="M106" s="101"/>
      <c r="N106" s="112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</row>
    <row r="107" spans="1:29" ht="13">
      <c r="A107" s="115"/>
      <c r="B107" s="97"/>
      <c r="C107" s="115"/>
      <c r="D107" s="115"/>
      <c r="E107" s="115"/>
      <c r="F107" s="115"/>
      <c r="G107" s="99"/>
      <c r="H107" s="98"/>
      <c r="I107" s="100"/>
      <c r="J107" s="100"/>
      <c r="K107" s="100"/>
      <c r="L107" s="101"/>
      <c r="M107" s="101"/>
      <c r="N107" s="112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</row>
    <row r="108" spans="1:29" ht="13">
      <c r="A108" s="115"/>
      <c r="B108" s="97"/>
      <c r="C108" s="115"/>
      <c r="D108" s="115"/>
      <c r="E108" s="115"/>
      <c r="F108" s="115"/>
      <c r="G108" s="99"/>
      <c r="H108" s="98"/>
      <c r="I108" s="100"/>
      <c r="J108" s="100"/>
      <c r="K108" s="100"/>
      <c r="L108" s="101"/>
      <c r="M108" s="101"/>
      <c r="N108" s="112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</row>
    <row r="109" spans="1:29" ht="13">
      <c r="A109" s="115"/>
      <c r="B109" s="97"/>
      <c r="C109" s="115"/>
      <c r="D109" s="115"/>
      <c r="E109" s="115"/>
      <c r="F109" s="115"/>
      <c r="G109" s="99"/>
      <c r="H109" s="98"/>
      <c r="I109" s="100"/>
      <c r="J109" s="100"/>
      <c r="K109" s="100"/>
      <c r="L109" s="101"/>
      <c r="M109" s="101"/>
      <c r="N109" s="112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</row>
    <row r="110" spans="1:29" ht="13">
      <c r="A110" s="115"/>
      <c r="B110" s="97"/>
      <c r="C110" s="115"/>
      <c r="D110" s="115"/>
      <c r="E110" s="115"/>
      <c r="F110" s="115"/>
      <c r="G110" s="99"/>
      <c r="H110" s="98"/>
      <c r="I110" s="100"/>
      <c r="J110" s="100"/>
      <c r="K110" s="100"/>
      <c r="L110" s="101"/>
      <c r="M110" s="101"/>
      <c r="N110" s="112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</row>
    <row r="111" spans="1:29" ht="13">
      <c r="A111" s="115"/>
      <c r="B111" s="97"/>
      <c r="C111" s="115"/>
      <c r="D111" s="115"/>
      <c r="E111" s="115"/>
      <c r="F111" s="115"/>
      <c r="G111" s="99"/>
      <c r="H111" s="98"/>
      <c r="I111" s="100"/>
      <c r="J111" s="100"/>
      <c r="K111" s="100"/>
      <c r="L111" s="101"/>
      <c r="M111" s="101"/>
      <c r="N111" s="112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</row>
    <row r="112" spans="1:29" ht="13">
      <c r="A112" s="115"/>
      <c r="B112" s="97"/>
      <c r="C112" s="115"/>
      <c r="D112" s="115"/>
      <c r="E112" s="115"/>
      <c r="F112" s="115"/>
      <c r="G112" s="99"/>
      <c r="H112" s="98"/>
      <c r="I112" s="100"/>
      <c r="J112" s="100"/>
      <c r="K112" s="100"/>
      <c r="L112" s="101"/>
      <c r="M112" s="101"/>
      <c r="N112" s="112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</row>
    <row r="113" spans="1:29" ht="13">
      <c r="A113" s="115"/>
      <c r="B113" s="97"/>
      <c r="C113" s="115"/>
      <c r="D113" s="115"/>
      <c r="E113" s="115"/>
      <c r="F113" s="115"/>
      <c r="G113" s="99"/>
      <c r="H113" s="98"/>
      <c r="I113" s="100"/>
      <c r="J113" s="100"/>
      <c r="K113" s="100"/>
      <c r="L113" s="101"/>
      <c r="M113" s="101"/>
      <c r="N113" s="112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</row>
    <row r="114" spans="1:29" ht="13">
      <c r="A114" s="115"/>
      <c r="B114" s="97"/>
      <c r="C114" s="115"/>
      <c r="D114" s="115"/>
      <c r="E114" s="115"/>
      <c r="F114" s="115"/>
      <c r="G114" s="99"/>
      <c r="H114" s="98"/>
      <c r="I114" s="100"/>
      <c r="J114" s="100"/>
      <c r="K114" s="100"/>
      <c r="L114" s="101"/>
      <c r="M114" s="101"/>
      <c r="N114" s="112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</row>
    <row r="115" spans="1:29" ht="13">
      <c r="A115" s="115"/>
      <c r="B115" s="97"/>
      <c r="C115" s="115"/>
      <c r="D115" s="115"/>
      <c r="E115" s="115"/>
      <c r="F115" s="115"/>
      <c r="G115" s="99"/>
      <c r="H115" s="98"/>
      <c r="I115" s="100"/>
      <c r="J115" s="100"/>
      <c r="K115" s="100"/>
      <c r="L115" s="101"/>
      <c r="M115" s="101"/>
      <c r="N115" s="112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</row>
    <row r="116" spans="1:29" ht="13">
      <c r="A116" s="115"/>
      <c r="B116" s="97"/>
      <c r="C116" s="115"/>
      <c r="D116" s="115"/>
      <c r="E116" s="115"/>
      <c r="F116" s="115"/>
      <c r="G116" s="99"/>
      <c r="H116" s="98"/>
      <c r="I116" s="100"/>
      <c r="J116" s="100"/>
      <c r="K116" s="100"/>
      <c r="L116" s="101"/>
      <c r="M116" s="101"/>
      <c r="N116" s="112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</row>
    <row r="117" spans="1:29" ht="13">
      <c r="A117" s="115"/>
      <c r="B117" s="97"/>
      <c r="C117" s="115"/>
      <c r="D117" s="115"/>
      <c r="E117" s="115"/>
      <c r="F117" s="115"/>
      <c r="G117" s="99"/>
      <c r="H117" s="98"/>
      <c r="I117" s="100"/>
      <c r="J117" s="100"/>
      <c r="K117" s="100"/>
      <c r="L117" s="101"/>
      <c r="M117" s="101"/>
      <c r="N117" s="112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</row>
    <row r="118" spans="1:29" ht="13">
      <c r="A118" s="115"/>
      <c r="B118" s="97"/>
      <c r="C118" s="115"/>
      <c r="D118" s="115"/>
      <c r="E118" s="115"/>
      <c r="F118" s="115"/>
      <c r="G118" s="99"/>
      <c r="H118" s="98"/>
      <c r="I118" s="100"/>
      <c r="J118" s="100"/>
      <c r="K118" s="100"/>
      <c r="L118" s="101"/>
      <c r="M118" s="101"/>
      <c r="N118" s="112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</row>
    <row r="119" spans="1:29" ht="13">
      <c r="A119" s="115"/>
      <c r="B119" s="97"/>
      <c r="C119" s="115"/>
      <c r="D119" s="115"/>
      <c r="E119" s="115"/>
      <c r="F119" s="115"/>
      <c r="G119" s="99"/>
      <c r="H119" s="98"/>
      <c r="I119" s="100"/>
      <c r="J119" s="100"/>
      <c r="K119" s="100"/>
      <c r="L119" s="101"/>
      <c r="M119" s="101"/>
      <c r="N119" s="112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</row>
    <row r="120" spans="1:29" ht="13">
      <c r="A120" s="115"/>
      <c r="B120" s="97"/>
      <c r="C120" s="115"/>
      <c r="D120" s="115"/>
      <c r="E120" s="115"/>
      <c r="F120" s="115"/>
      <c r="G120" s="99"/>
      <c r="H120" s="98"/>
      <c r="I120" s="100"/>
      <c r="J120" s="100"/>
      <c r="K120" s="100"/>
      <c r="L120" s="101"/>
      <c r="M120" s="101"/>
      <c r="N120" s="112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</row>
    <row r="121" spans="1:29" ht="13">
      <c r="A121" s="115"/>
      <c r="B121" s="97"/>
      <c r="C121" s="115"/>
      <c r="D121" s="115"/>
      <c r="E121" s="115"/>
      <c r="F121" s="115"/>
      <c r="G121" s="99"/>
      <c r="H121" s="98"/>
      <c r="I121" s="100"/>
      <c r="J121" s="100"/>
      <c r="K121" s="100"/>
      <c r="L121" s="101"/>
      <c r="M121" s="101"/>
      <c r="N121" s="112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</row>
    <row r="122" spans="1:29" ht="13">
      <c r="A122" s="115"/>
      <c r="B122" s="97"/>
      <c r="C122" s="115"/>
      <c r="D122" s="115"/>
      <c r="E122" s="115"/>
      <c r="F122" s="115"/>
      <c r="G122" s="99"/>
      <c r="H122" s="98"/>
      <c r="I122" s="100"/>
      <c r="J122" s="100"/>
      <c r="K122" s="100"/>
      <c r="L122" s="101"/>
      <c r="M122" s="101"/>
      <c r="N122" s="112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</row>
    <row r="123" spans="1:29" ht="13">
      <c r="A123" s="115"/>
      <c r="B123" s="97"/>
      <c r="C123" s="115"/>
      <c r="D123" s="115"/>
      <c r="E123" s="115"/>
      <c r="F123" s="115"/>
      <c r="G123" s="99"/>
      <c r="H123" s="98"/>
      <c r="I123" s="100"/>
      <c r="J123" s="100"/>
      <c r="K123" s="100"/>
      <c r="L123" s="101"/>
      <c r="M123" s="101"/>
      <c r="N123" s="112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</row>
    <row r="124" spans="1:29" ht="13">
      <c r="A124" s="115"/>
      <c r="B124" s="97"/>
      <c r="C124" s="115"/>
      <c r="D124" s="115"/>
      <c r="E124" s="115"/>
      <c r="F124" s="115"/>
      <c r="G124" s="99"/>
      <c r="H124" s="98"/>
      <c r="I124" s="100"/>
      <c r="J124" s="100"/>
      <c r="K124" s="100"/>
      <c r="L124" s="101"/>
      <c r="M124" s="101"/>
      <c r="N124" s="112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</row>
    <row r="125" spans="1:29" ht="13">
      <c r="A125" s="115"/>
      <c r="B125" s="97"/>
      <c r="C125" s="115"/>
      <c r="D125" s="115"/>
      <c r="E125" s="115"/>
      <c r="F125" s="115"/>
      <c r="G125" s="99"/>
      <c r="H125" s="98"/>
      <c r="I125" s="100"/>
      <c r="J125" s="100"/>
      <c r="K125" s="100"/>
      <c r="L125" s="101"/>
      <c r="M125" s="101"/>
      <c r="N125" s="112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</row>
    <row r="126" spans="1:29" ht="13">
      <c r="A126" s="115"/>
      <c r="B126" s="97"/>
      <c r="C126" s="115"/>
      <c r="D126" s="115"/>
      <c r="E126" s="115"/>
      <c r="F126" s="115"/>
      <c r="G126" s="99"/>
      <c r="H126" s="98"/>
      <c r="I126" s="100"/>
      <c r="J126" s="100"/>
      <c r="K126" s="100"/>
      <c r="L126" s="101"/>
      <c r="M126" s="101"/>
      <c r="N126" s="112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</row>
    <row r="127" spans="1:29" ht="13">
      <c r="A127" s="115"/>
      <c r="B127" s="97"/>
      <c r="C127" s="115"/>
      <c r="D127" s="115"/>
      <c r="E127" s="115"/>
      <c r="F127" s="115"/>
      <c r="G127" s="99"/>
      <c r="H127" s="98"/>
      <c r="I127" s="100"/>
      <c r="J127" s="100"/>
      <c r="K127" s="100"/>
      <c r="L127" s="101"/>
      <c r="M127" s="101"/>
      <c r="N127" s="112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</row>
    <row r="128" spans="1:29" ht="13">
      <c r="A128" s="115"/>
      <c r="B128" s="97"/>
      <c r="C128" s="115"/>
      <c r="D128" s="115"/>
      <c r="E128" s="115"/>
      <c r="F128" s="115"/>
      <c r="G128" s="99"/>
      <c r="H128" s="98"/>
      <c r="I128" s="100"/>
      <c r="J128" s="100"/>
      <c r="K128" s="100"/>
      <c r="L128" s="101"/>
      <c r="M128" s="101"/>
      <c r="N128" s="112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</row>
    <row r="129" spans="1:29" ht="13">
      <c r="A129" s="115"/>
      <c r="B129" s="97"/>
      <c r="C129" s="115"/>
      <c r="D129" s="115"/>
      <c r="E129" s="115"/>
      <c r="F129" s="115"/>
      <c r="G129" s="99"/>
      <c r="H129" s="98"/>
      <c r="I129" s="100"/>
      <c r="J129" s="100"/>
      <c r="K129" s="100"/>
      <c r="L129" s="101"/>
      <c r="M129" s="101"/>
      <c r="N129" s="112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</row>
    <row r="130" spans="1:29" ht="13">
      <c r="A130" s="115"/>
      <c r="B130" s="97"/>
      <c r="C130" s="115"/>
      <c r="D130" s="115"/>
      <c r="E130" s="115"/>
      <c r="F130" s="115"/>
      <c r="G130" s="99"/>
      <c r="H130" s="98"/>
      <c r="I130" s="100"/>
      <c r="J130" s="100"/>
      <c r="K130" s="100"/>
      <c r="L130" s="101"/>
      <c r="M130" s="101"/>
      <c r="N130" s="112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</row>
    <row r="131" spans="1:29" ht="13">
      <c r="A131" s="115"/>
      <c r="B131" s="97"/>
      <c r="C131" s="115"/>
      <c r="D131" s="115"/>
      <c r="E131" s="115"/>
      <c r="F131" s="115"/>
      <c r="G131" s="99"/>
      <c r="H131" s="98"/>
      <c r="I131" s="100"/>
      <c r="J131" s="100"/>
      <c r="K131" s="100"/>
      <c r="L131" s="101"/>
      <c r="M131" s="101"/>
      <c r="N131" s="112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</row>
    <row r="132" spans="1:29" ht="13">
      <c r="A132" s="115"/>
      <c r="B132" s="97"/>
      <c r="C132" s="115"/>
      <c r="D132" s="115"/>
      <c r="E132" s="115"/>
      <c r="F132" s="115"/>
      <c r="G132" s="99"/>
      <c r="H132" s="98"/>
      <c r="I132" s="100"/>
      <c r="J132" s="100"/>
      <c r="K132" s="100"/>
      <c r="L132" s="101"/>
      <c r="M132" s="101"/>
      <c r="N132" s="112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</row>
    <row r="133" spans="1:29" ht="13">
      <c r="A133" s="115"/>
      <c r="B133" s="97"/>
      <c r="C133" s="115"/>
      <c r="D133" s="115"/>
      <c r="E133" s="115"/>
      <c r="F133" s="115"/>
      <c r="G133" s="99"/>
      <c r="H133" s="98"/>
      <c r="I133" s="100"/>
      <c r="J133" s="100"/>
      <c r="K133" s="100"/>
      <c r="L133" s="101"/>
      <c r="M133" s="101"/>
      <c r="N133" s="112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</row>
    <row r="134" spans="1:29" ht="13">
      <c r="A134" s="115"/>
      <c r="B134" s="97"/>
      <c r="C134" s="115"/>
      <c r="D134" s="115"/>
      <c r="E134" s="115"/>
      <c r="F134" s="115"/>
      <c r="G134" s="99"/>
      <c r="H134" s="98"/>
      <c r="I134" s="100"/>
      <c r="J134" s="100"/>
      <c r="K134" s="100"/>
      <c r="L134" s="101"/>
      <c r="M134" s="101"/>
      <c r="N134" s="112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</row>
    <row r="135" spans="1:29" ht="13">
      <c r="A135" s="115"/>
      <c r="B135" s="97"/>
      <c r="C135" s="115"/>
      <c r="D135" s="115"/>
      <c r="E135" s="115"/>
      <c r="F135" s="115"/>
      <c r="G135" s="99"/>
      <c r="H135" s="98"/>
      <c r="I135" s="100"/>
      <c r="J135" s="100"/>
      <c r="K135" s="100"/>
      <c r="L135" s="101"/>
      <c r="M135" s="101"/>
      <c r="N135" s="112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</row>
    <row r="136" spans="1:29" ht="13">
      <c r="A136" s="115"/>
      <c r="B136" s="97"/>
      <c r="C136" s="115"/>
      <c r="D136" s="115"/>
      <c r="E136" s="115"/>
      <c r="F136" s="115"/>
      <c r="G136" s="99"/>
      <c r="H136" s="98"/>
      <c r="I136" s="100"/>
      <c r="J136" s="100"/>
      <c r="K136" s="100"/>
      <c r="L136" s="101"/>
      <c r="M136" s="101"/>
      <c r="N136" s="112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</row>
    <row r="137" spans="1:29" ht="13">
      <c r="A137" s="115"/>
      <c r="B137" s="97"/>
      <c r="C137" s="115"/>
      <c r="D137" s="115"/>
      <c r="E137" s="115"/>
      <c r="F137" s="115"/>
      <c r="G137" s="99"/>
      <c r="H137" s="98"/>
      <c r="I137" s="100"/>
      <c r="J137" s="100"/>
      <c r="K137" s="100"/>
      <c r="L137" s="101"/>
      <c r="M137" s="101"/>
      <c r="N137" s="112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</row>
    <row r="138" spans="1:29" ht="13">
      <c r="A138" s="115"/>
      <c r="B138" s="97"/>
      <c r="C138" s="115"/>
      <c r="D138" s="115"/>
      <c r="E138" s="115"/>
      <c r="F138" s="115"/>
      <c r="G138" s="99"/>
      <c r="H138" s="98"/>
      <c r="I138" s="100"/>
      <c r="J138" s="100"/>
      <c r="K138" s="100"/>
      <c r="L138" s="101"/>
      <c r="M138" s="101"/>
      <c r="N138" s="112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</row>
    <row r="139" spans="1:29" ht="13">
      <c r="A139" s="115"/>
      <c r="B139" s="97"/>
      <c r="C139" s="115"/>
      <c r="D139" s="115"/>
      <c r="E139" s="115"/>
      <c r="F139" s="115"/>
      <c r="G139" s="99"/>
      <c r="H139" s="98"/>
      <c r="I139" s="100"/>
      <c r="J139" s="100"/>
      <c r="K139" s="100"/>
      <c r="L139" s="101"/>
      <c r="M139" s="101"/>
      <c r="N139" s="112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</row>
    <row r="140" spans="1:29" ht="13">
      <c r="A140" s="115"/>
      <c r="B140" s="97"/>
      <c r="C140" s="115"/>
      <c r="D140" s="115"/>
      <c r="E140" s="115"/>
      <c r="F140" s="115"/>
      <c r="G140" s="99"/>
      <c r="H140" s="98"/>
      <c r="I140" s="100"/>
      <c r="J140" s="100"/>
      <c r="K140" s="100"/>
      <c r="L140" s="101"/>
      <c r="M140" s="101"/>
      <c r="N140" s="112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</row>
    <row r="141" spans="1:29" ht="13">
      <c r="A141" s="115"/>
      <c r="B141" s="97"/>
      <c r="C141" s="115"/>
      <c r="D141" s="115"/>
      <c r="E141" s="115"/>
      <c r="F141" s="115"/>
      <c r="G141" s="99"/>
      <c r="H141" s="98"/>
      <c r="I141" s="100"/>
      <c r="J141" s="100"/>
      <c r="K141" s="100"/>
      <c r="L141" s="101"/>
      <c r="M141" s="101"/>
      <c r="N141" s="112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</row>
    <row r="142" spans="1:29" ht="13">
      <c r="A142" s="115"/>
      <c r="B142" s="97"/>
      <c r="C142" s="115"/>
      <c r="D142" s="115"/>
      <c r="E142" s="115"/>
      <c r="F142" s="115"/>
      <c r="G142" s="99"/>
      <c r="H142" s="98"/>
      <c r="I142" s="100"/>
      <c r="J142" s="100"/>
      <c r="K142" s="100"/>
      <c r="L142" s="101"/>
      <c r="M142" s="101"/>
      <c r="N142" s="112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</row>
    <row r="143" spans="1:29" ht="13">
      <c r="A143" s="115"/>
      <c r="B143" s="97"/>
      <c r="C143" s="115"/>
      <c r="D143" s="115"/>
      <c r="E143" s="115"/>
      <c r="F143" s="115"/>
      <c r="G143" s="99"/>
      <c r="H143" s="98"/>
      <c r="I143" s="100"/>
      <c r="J143" s="100"/>
      <c r="K143" s="100"/>
      <c r="L143" s="101"/>
      <c r="M143" s="101"/>
      <c r="N143" s="112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</row>
    <row r="144" spans="1:29" ht="13">
      <c r="A144" s="115"/>
      <c r="B144" s="97"/>
      <c r="C144" s="115"/>
      <c r="D144" s="115"/>
      <c r="E144" s="115"/>
      <c r="F144" s="115"/>
      <c r="G144" s="99"/>
      <c r="H144" s="98"/>
      <c r="I144" s="100"/>
      <c r="J144" s="100"/>
      <c r="K144" s="100"/>
      <c r="L144" s="101"/>
      <c r="M144" s="101"/>
      <c r="N144" s="112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</row>
    <row r="145" spans="1:29" ht="13">
      <c r="A145" s="115"/>
      <c r="B145" s="97"/>
      <c r="C145" s="115"/>
      <c r="D145" s="115"/>
      <c r="E145" s="115"/>
      <c r="F145" s="115"/>
      <c r="G145" s="99"/>
      <c r="H145" s="98"/>
      <c r="I145" s="100"/>
      <c r="J145" s="100"/>
      <c r="K145" s="100"/>
      <c r="L145" s="101"/>
      <c r="M145" s="101"/>
      <c r="N145" s="112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</row>
    <row r="146" spans="1:29" ht="13">
      <c r="A146" s="115"/>
      <c r="B146" s="97"/>
      <c r="C146" s="115"/>
      <c r="D146" s="115"/>
      <c r="E146" s="115"/>
      <c r="F146" s="115"/>
      <c r="G146" s="99"/>
      <c r="H146" s="98"/>
      <c r="I146" s="100"/>
      <c r="J146" s="100"/>
      <c r="K146" s="100"/>
      <c r="L146" s="101"/>
      <c r="M146" s="101"/>
      <c r="N146" s="112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</row>
    <row r="147" spans="1:29" ht="13">
      <c r="A147" s="115"/>
      <c r="B147" s="97"/>
      <c r="C147" s="115"/>
      <c r="D147" s="115"/>
      <c r="E147" s="115"/>
      <c r="F147" s="115"/>
      <c r="G147" s="99"/>
      <c r="H147" s="98"/>
      <c r="I147" s="100"/>
      <c r="J147" s="100"/>
      <c r="K147" s="100"/>
      <c r="L147" s="101"/>
      <c r="M147" s="101"/>
      <c r="N147" s="112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</row>
    <row r="148" spans="1:29" ht="13">
      <c r="A148" s="115"/>
      <c r="B148" s="97"/>
      <c r="C148" s="115"/>
      <c r="D148" s="115"/>
      <c r="E148" s="115"/>
      <c r="F148" s="115"/>
      <c r="G148" s="99"/>
      <c r="H148" s="98"/>
      <c r="I148" s="100"/>
      <c r="J148" s="100"/>
      <c r="K148" s="100"/>
      <c r="L148" s="101"/>
      <c r="M148" s="101"/>
      <c r="N148" s="112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</row>
    <row r="149" spans="1:29" ht="13">
      <c r="A149" s="115"/>
      <c r="B149" s="97"/>
      <c r="C149" s="115"/>
      <c r="D149" s="115"/>
      <c r="E149" s="115"/>
      <c r="F149" s="115"/>
      <c r="G149" s="99"/>
      <c r="H149" s="98"/>
      <c r="I149" s="100"/>
      <c r="J149" s="100"/>
      <c r="K149" s="100"/>
      <c r="L149" s="101"/>
      <c r="M149" s="101"/>
      <c r="N149" s="112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</row>
    <row r="150" spans="1:29" ht="13">
      <c r="A150" s="115"/>
      <c r="B150" s="97"/>
      <c r="C150" s="115"/>
      <c r="D150" s="115"/>
      <c r="E150" s="115"/>
      <c r="F150" s="115"/>
      <c r="G150" s="99"/>
      <c r="H150" s="98"/>
      <c r="I150" s="100"/>
      <c r="J150" s="100"/>
      <c r="K150" s="100"/>
      <c r="L150" s="101"/>
      <c r="M150" s="101"/>
      <c r="N150" s="112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</row>
    <row r="151" spans="1:29" ht="13">
      <c r="A151" s="115"/>
      <c r="B151" s="97"/>
      <c r="C151" s="115"/>
      <c r="D151" s="115"/>
      <c r="E151" s="115"/>
      <c r="F151" s="115"/>
      <c r="G151" s="99"/>
      <c r="H151" s="98"/>
      <c r="I151" s="100"/>
      <c r="J151" s="100"/>
      <c r="K151" s="100"/>
      <c r="L151" s="101"/>
      <c r="M151" s="101"/>
      <c r="N151" s="112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</row>
    <row r="152" spans="1:29" ht="13">
      <c r="A152" s="115"/>
      <c r="B152" s="97"/>
      <c r="C152" s="115"/>
      <c r="D152" s="115"/>
      <c r="E152" s="115"/>
      <c r="F152" s="115"/>
      <c r="G152" s="99"/>
      <c r="H152" s="98"/>
      <c r="I152" s="100"/>
      <c r="J152" s="100"/>
      <c r="K152" s="100"/>
      <c r="L152" s="101"/>
      <c r="M152" s="101"/>
      <c r="N152" s="112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</row>
    <row r="153" spans="1:29" ht="13">
      <c r="A153" s="115"/>
      <c r="B153" s="97"/>
      <c r="C153" s="115"/>
      <c r="D153" s="115"/>
      <c r="E153" s="115"/>
      <c r="F153" s="115"/>
      <c r="G153" s="99"/>
      <c r="H153" s="98"/>
      <c r="I153" s="100"/>
      <c r="J153" s="100"/>
      <c r="K153" s="100"/>
      <c r="L153" s="101"/>
      <c r="M153" s="101"/>
      <c r="N153" s="112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</row>
    <row r="154" spans="1:29" ht="13">
      <c r="A154" s="115"/>
      <c r="B154" s="97"/>
      <c r="C154" s="115"/>
      <c r="D154" s="115"/>
      <c r="E154" s="115"/>
      <c r="F154" s="115"/>
      <c r="G154" s="99"/>
      <c r="H154" s="98"/>
      <c r="I154" s="100"/>
      <c r="J154" s="100"/>
      <c r="K154" s="100"/>
      <c r="L154" s="101"/>
      <c r="M154" s="101"/>
      <c r="N154" s="112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</row>
    <row r="155" spans="1:29" ht="13">
      <c r="A155" s="115"/>
      <c r="B155" s="97"/>
      <c r="C155" s="115"/>
      <c r="D155" s="115"/>
      <c r="E155" s="115"/>
      <c r="F155" s="115"/>
      <c r="G155" s="99"/>
      <c r="H155" s="98"/>
      <c r="I155" s="100"/>
      <c r="J155" s="100"/>
      <c r="K155" s="100"/>
      <c r="L155" s="101"/>
      <c r="M155" s="101"/>
      <c r="N155" s="112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</row>
    <row r="156" spans="1:29" ht="13">
      <c r="A156" s="115"/>
      <c r="B156" s="97"/>
      <c r="C156" s="115"/>
      <c r="D156" s="115"/>
      <c r="E156" s="115"/>
      <c r="F156" s="115"/>
      <c r="G156" s="99"/>
      <c r="H156" s="98"/>
      <c r="I156" s="100"/>
      <c r="J156" s="100"/>
      <c r="K156" s="100"/>
      <c r="L156" s="101"/>
      <c r="M156" s="101"/>
      <c r="N156" s="112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</row>
    <row r="157" spans="1:29" ht="13">
      <c r="A157" s="115"/>
      <c r="B157" s="97"/>
      <c r="C157" s="115"/>
      <c r="D157" s="115"/>
      <c r="E157" s="115"/>
      <c r="F157" s="115"/>
      <c r="G157" s="99"/>
      <c r="H157" s="98"/>
      <c r="I157" s="100"/>
      <c r="J157" s="100"/>
      <c r="K157" s="100"/>
      <c r="L157" s="101"/>
      <c r="M157" s="101"/>
      <c r="N157" s="112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</row>
    <row r="158" spans="1:29" ht="13">
      <c r="A158" s="115"/>
      <c r="B158" s="97"/>
      <c r="C158" s="115"/>
      <c r="D158" s="115"/>
      <c r="E158" s="115"/>
      <c r="F158" s="115"/>
      <c r="G158" s="99"/>
      <c r="H158" s="98"/>
      <c r="I158" s="100"/>
      <c r="J158" s="100"/>
      <c r="K158" s="100"/>
      <c r="L158" s="101"/>
      <c r="M158" s="101"/>
      <c r="N158" s="112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</row>
    <row r="159" spans="1:29" ht="13">
      <c r="A159" s="115"/>
      <c r="B159" s="97"/>
      <c r="C159" s="115"/>
      <c r="D159" s="115"/>
      <c r="E159" s="115"/>
      <c r="F159" s="115"/>
      <c r="G159" s="99"/>
      <c r="H159" s="98"/>
      <c r="I159" s="100"/>
      <c r="J159" s="100"/>
      <c r="K159" s="100"/>
      <c r="L159" s="101"/>
      <c r="M159" s="101"/>
      <c r="N159" s="112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</row>
    <row r="160" spans="1:29" ht="13">
      <c r="A160" s="115"/>
      <c r="B160" s="97"/>
      <c r="C160" s="115"/>
      <c r="D160" s="115"/>
      <c r="E160" s="115"/>
      <c r="F160" s="115"/>
      <c r="G160" s="99"/>
      <c r="H160" s="98"/>
      <c r="I160" s="100"/>
      <c r="J160" s="100"/>
      <c r="K160" s="100"/>
      <c r="L160" s="101"/>
      <c r="M160" s="101"/>
      <c r="N160" s="112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</row>
    <row r="161" spans="1:29" ht="13">
      <c r="A161" s="115"/>
      <c r="B161" s="97"/>
      <c r="C161" s="115"/>
      <c r="D161" s="115"/>
      <c r="E161" s="115"/>
      <c r="F161" s="115"/>
      <c r="G161" s="99"/>
      <c r="H161" s="98"/>
      <c r="I161" s="100"/>
      <c r="J161" s="100"/>
      <c r="K161" s="100"/>
      <c r="L161" s="101"/>
      <c r="M161" s="101"/>
      <c r="N161" s="112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</row>
    <row r="162" spans="1:29" ht="13">
      <c r="A162" s="115"/>
      <c r="B162" s="97"/>
      <c r="C162" s="115"/>
      <c r="D162" s="115"/>
      <c r="E162" s="115"/>
      <c r="F162" s="115"/>
      <c r="G162" s="99"/>
      <c r="H162" s="98"/>
      <c r="I162" s="100"/>
      <c r="J162" s="100"/>
      <c r="K162" s="100"/>
      <c r="L162" s="101"/>
      <c r="M162" s="101"/>
      <c r="N162" s="112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</row>
    <row r="163" spans="1:29" ht="13">
      <c r="A163" s="115"/>
      <c r="B163" s="97"/>
      <c r="C163" s="115"/>
      <c r="D163" s="115"/>
      <c r="E163" s="115"/>
      <c r="F163" s="115"/>
      <c r="G163" s="99"/>
      <c r="H163" s="98"/>
      <c r="I163" s="100"/>
      <c r="J163" s="100"/>
      <c r="K163" s="100"/>
      <c r="L163" s="101"/>
      <c r="M163" s="101"/>
      <c r="N163" s="112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</row>
    <row r="164" spans="1:29" ht="13">
      <c r="A164" s="115"/>
      <c r="B164" s="97"/>
      <c r="C164" s="115"/>
      <c r="D164" s="115"/>
      <c r="E164" s="115"/>
      <c r="F164" s="115"/>
      <c r="G164" s="99"/>
      <c r="H164" s="98"/>
      <c r="I164" s="100"/>
      <c r="J164" s="100"/>
      <c r="K164" s="100"/>
      <c r="L164" s="101"/>
      <c r="M164" s="101"/>
      <c r="N164" s="112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</row>
    <row r="165" spans="1:29" ht="13">
      <c r="A165" s="115"/>
      <c r="B165" s="97"/>
      <c r="C165" s="115"/>
      <c r="D165" s="115"/>
      <c r="E165" s="115"/>
      <c r="F165" s="115"/>
      <c r="G165" s="99"/>
      <c r="H165" s="98"/>
      <c r="I165" s="100"/>
      <c r="J165" s="100"/>
      <c r="K165" s="100"/>
      <c r="L165" s="101"/>
      <c r="M165" s="101"/>
      <c r="N165" s="112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</row>
    <row r="166" spans="1:29" ht="13">
      <c r="A166" s="115"/>
      <c r="B166" s="97"/>
      <c r="C166" s="115"/>
      <c r="D166" s="115"/>
      <c r="E166" s="115"/>
      <c r="F166" s="115"/>
      <c r="G166" s="99"/>
      <c r="H166" s="98"/>
      <c r="I166" s="100"/>
      <c r="J166" s="100"/>
      <c r="K166" s="100"/>
      <c r="L166" s="101"/>
      <c r="M166" s="101"/>
      <c r="N166" s="112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</row>
    <row r="167" spans="1:29" ht="13">
      <c r="A167" s="115"/>
      <c r="B167" s="97"/>
      <c r="C167" s="115"/>
      <c r="D167" s="115"/>
      <c r="E167" s="115"/>
      <c r="F167" s="115"/>
      <c r="G167" s="99"/>
      <c r="H167" s="98"/>
      <c r="I167" s="100"/>
      <c r="J167" s="100"/>
      <c r="K167" s="100"/>
      <c r="L167" s="101"/>
      <c r="M167" s="101"/>
      <c r="N167" s="112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</row>
    <row r="168" spans="1:29" ht="13">
      <c r="A168" s="115"/>
      <c r="B168" s="97"/>
      <c r="C168" s="115"/>
      <c r="D168" s="115"/>
      <c r="E168" s="115"/>
      <c r="F168" s="115"/>
      <c r="G168" s="99"/>
      <c r="H168" s="98"/>
      <c r="I168" s="100"/>
      <c r="J168" s="100"/>
      <c r="K168" s="100"/>
      <c r="L168" s="101"/>
      <c r="M168" s="101"/>
      <c r="N168" s="112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</row>
    <row r="169" spans="1:29" ht="13">
      <c r="A169" s="115"/>
      <c r="B169" s="97"/>
      <c r="C169" s="115"/>
      <c r="D169" s="115"/>
      <c r="E169" s="115"/>
      <c r="F169" s="115"/>
      <c r="G169" s="99"/>
      <c r="H169" s="98"/>
      <c r="I169" s="100"/>
      <c r="J169" s="100"/>
      <c r="K169" s="100"/>
      <c r="L169" s="101"/>
      <c r="M169" s="101"/>
      <c r="N169" s="112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</row>
    <row r="170" spans="1:29" ht="13">
      <c r="A170" s="115"/>
      <c r="B170" s="97"/>
      <c r="C170" s="115"/>
      <c r="D170" s="115"/>
      <c r="E170" s="115"/>
      <c r="F170" s="115"/>
      <c r="G170" s="99"/>
      <c r="H170" s="98"/>
      <c r="I170" s="100"/>
      <c r="J170" s="100"/>
      <c r="K170" s="100"/>
      <c r="L170" s="101"/>
      <c r="M170" s="101"/>
      <c r="N170" s="112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</row>
    <row r="171" spans="1:29" ht="13">
      <c r="A171" s="115"/>
      <c r="B171" s="97"/>
      <c r="C171" s="115"/>
      <c r="D171" s="115"/>
      <c r="E171" s="115"/>
      <c r="F171" s="115"/>
      <c r="G171" s="99"/>
      <c r="H171" s="98"/>
      <c r="I171" s="100"/>
      <c r="J171" s="100"/>
      <c r="K171" s="100"/>
      <c r="L171" s="101"/>
      <c r="M171" s="101"/>
      <c r="N171" s="112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</row>
    <row r="172" spans="1:29" ht="13">
      <c r="A172" s="115"/>
      <c r="B172" s="97"/>
      <c r="C172" s="115"/>
      <c r="D172" s="115"/>
      <c r="E172" s="115"/>
      <c r="F172" s="115"/>
      <c r="G172" s="99"/>
      <c r="H172" s="98"/>
      <c r="I172" s="100"/>
      <c r="J172" s="100"/>
      <c r="K172" s="100"/>
      <c r="L172" s="101"/>
      <c r="M172" s="101"/>
      <c r="N172" s="112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</row>
    <row r="173" spans="1:29" ht="13">
      <c r="A173" s="115"/>
      <c r="B173" s="97"/>
      <c r="C173" s="115"/>
      <c r="D173" s="115"/>
      <c r="E173" s="115"/>
      <c r="F173" s="115"/>
      <c r="G173" s="99"/>
      <c r="H173" s="98"/>
      <c r="I173" s="100"/>
      <c r="J173" s="100"/>
      <c r="K173" s="100"/>
      <c r="L173" s="101"/>
      <c r="M173" s="101"/>
      <c r="N173" s="112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</row>
    <row r="174" spans="1:29" ht="13">
      <c r="A174" s="115"/>
      <c r="B174" s="97"/>
      <c r="C174" s="115"/>
      <c r="D174" s="115"/>
      <c r="E174" s="115"/>
      <c r="F174" s="115"/>
      <c r="G174" s="99"/>
      <c r="H174" s="98"/>
      <c r="I174" s="100"/>
      <c r="J174" s="100"/>
      <c r="K174" s="100"/>
      <c r="L174" s="101"/>
      <c r="M174" s="101"/>
      <c r="N174" s="112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</row>
    <row r="175" spans="1:29" ht="13">
      <c r="A175" s="115"/>
      <c r="B175" s="97"/>
      <c r="C175" s="115"/>
      <c r="D175" s="115"/>
      <c r="E175" s="115"/>
      <c r="F175" s="115"/>
      <c r="G175" s="99"/>
      <c r="H175" s="98"/>
      <c r="I175" s="100"/>
      <c r="J175" s="100"/>
      <c r="K175" s="100"/>
      <c r="L175" s="101"/>
      <c r="M175" s="101"/>
      <c r="N175" s="112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</row>
    <row r="176" spans="1:29" ht="13">
      <c r="A176" s="115"/>
      <c r="B176" s="97"/>
      <c r="C176" s="115"/>
      <c r="D176" s="115"/>
      <c r="E176" s="115"/>
      <c r="F176" s="115"/>
      <c r="G176" s="99"/>
      <c r="H176" s="98"/>
      <c r="I176" s="100"/>
      <c r="J176" s="100"/>
      <c r="K176" s="100"/>
      <c r="L176" s="101"/>
      <c r="M176" s="101"/>
      <c r="N176" s="112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</row>
    <row r="177" spans="1:29" ht="13">
      <c r="A177" s="115"/>
      <c r="B177" s="97"/>
      <c r="C177" s="115"/>
      <c r="D177" s="115"/>
      <c r="E177" s="115"/>
      <c r="F177" s="115"/>
      <c r="G177" s="99"/>
      <c r="H177" s="98"/>
      <c r="I177" s="100"/>
      <c r="J177" s="100"/>
      <c r="K177" s="100"/>
      <c r="L177" s="101"/>
      <c r="M177" s="101"/>
      <c r="N177" s="112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</row>
    <row r="178" spans="1:29" ht="13">
      <c r="A178" s="115"/>
      <c r="B178" s="97"/>
      <c r="C178" s="115"/>
      <c r="D178" s="115"/>
      <c r="E178" s="115"/>
      <c r="F178" s="115"/>
      <c r="G178" s="99"/>
      <c r="H178" s="98"/>
      <c r="I178" s="100"/>
      <c r="J178" s="100"/>
      <c r="K178" s="100"/>
      <c r="L178" s="101"/>
      <c r="M178" s="101"/>
      <c r="N178" s="112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</row>
    <row r="179" spans="1:29" ht="13">
      <c r="A179" s="115"/>
      <c r="B179" s="97"/>
      <c r="C179" s="115"/>
      <c r="D179" s="115"/>
      <c r="E179" s="115"/>
      <c r="F179" s="115"/>
      <c r="G179" s="99"/>
      <c r="H179" s="98"/>
      <c r="I179" s="100"/>
      <c r="J179" s="100"/>
      <c r="K179" s="100"/>
      <c r="L179" s="101"/>
      <c r="M179" s="101"/>
      <c r="N179" s="112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</row>
    <row r="180" spans="1:29" ht="13">
      <c r="A180" s="115"/>
      <c r="B180" s="97"/>
      <c r="C180" s="115"/>
      <c r="D180" s="115"/>
      <c r="E180" s="115"/>
      <c r="F180" s="115"/>
      <c r="G180" s="99"/>
      <c r="H180" s="98"/>
      <c r="I180" s="100"/>
      <c r="J180" s="100"/>
      <c r="K180" s="100"/>
      <c r="L180" s="101"/>
      <c r="M180" s="101"/>
      <c r="N180" s="112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</row>
    <row r="181" spans="1:29" ht="13">
      <c r="A181" s="115"/>
      <c r="B181" s="97"/>
      <c r="C181" s="115"/>
      <c r="D181" s="115"/>
      <c r="E181" s="115"/>
      <c r="F181" s="115"/>
      <c r="G181" s="99"/>
      <c r="H181" s="98"/>
      <c r="I181" s="100"/>
      <c r="J181" s="100"/>
      <c r="K181" s="100"/>
      <c r="L181" s="101"/>
      <c r="M181" s="101"/>
      <c r="N181" s="112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</row>
    <row r="182" spans="1:29" ht="13">
      <c r="A182" s="115"/>
      <c r="B182" s="97"/>
      <c r="C182" s="115"/>
      <c r="D182" s="115"/>
      <c r="E182" s="115"/>
      <c r="F182" s="115"/>
      <c r="G182" s="99"/>
      <c r="H182" s="98"/>
      <c r="I182" s="100"/>
      <c r="J182" s="100"/>
      <c r="K182" s="100"/>
      <c r="L182" s="101"/>
      <c r="M182" s="101"/>
      <c r="N182" s="112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</row>
    <row r="183" spans="1:29" ht="13">
      <c r="A183" s="115"/>
      <c r="B183" s="97"/>
      <c r="C183" s="115"/>
      <c r="D183" s="115"/>
      <c r="E183" s="115"/>
      <c r="F183" s="115"/>
      <c r="G183" s="99"/>
      <c r="H183" s="98"/>
      <c r="I183" s="100"/>
      <c r="J183" s="100"/>
      <c r="K183" s="100"/>
      <c r="L183" s="101"/>
      <c r="M183" s="101"/>
      <c r="N183" s="112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</row>
    <row r="184" spans="1:29" ht="13">
      <c r="A184" s="115"/>
      <c r="B184" s="97"/>
      <c r="C184" s="115"/>
      <c r="D184" s="115"/>
      <c r="E184" s="115"/>
      <c r="F184" s="115"/>
      <c r="G184" s="99"/>
      <c r="H184" s="98"/>
      <c r="I184" s="100"/>
      <c r="J184" s="100"/>
      <c r="K184" s="100"/>
      <c r="L184" s="101"/>
      <c r="M184" s="101"/>
      <c r="N184" s="112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</row>
    <row r="185" spans="1:29" ht="13">
      <c r="A185" s="115"/>
      <c r="B185" s="97"/>
      <c r="C185" s="115"/>
      <c r="D185" s="115"/>
      <c r="E185" s="115"/>
      <c r="F185" s="115"/>
      <c r="G185" s="99"/>
      <c r="H185" s="98"/>
      <c r="I185" s="100"/>
      <c r="J185" s="100"/>
      <c r="K185" s="100"/>
      <c r="L185" s="101"/>
      <c r="M185" s="101"/>
      <c r="N185" s="112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</row>
    <row r="186" spans="1:29" ht="13">
      <c r="A186" s="115"/>
      <c r="B186" s="97"/>
      <c r="C186" s="115"/>
      <c r="D186" s="115"/>
      <c r="E186" s="115"/>
      <c r="F186" s="115"/>
      <c r="G186" s="99"/>
      <c r="H186" s="98"/>
      <c r="I186" s="100"/>
      <c r="J186" s="100"/>
      <c r="K186" s="100"/>
      <c r="L186" s="101"/>
      <c r="M186" s="101"/>
      <c r="N186" s="112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</row>
    <row r="187" spans="1:29" ht="13">
      <c r="A187" s="115"/>
      <c r="B187" s="97"/>
      <c r="C187" s="115"/>
      <c r="D187" s="115"/>
      <c r="E187" s="115"/>
      <c r="F187" s="115"/>
      <c r="G187" s="99"/>
      <c r="H187" s="98"/>
      <c r="I187" s="100"/>
      <c r="J187" s="100"/>
      <c r="K187" s="100"/>
      <c r="L187" s="101"/>
      <c r="M187" s="101"/>
      <c r="N187" s="112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</row>
    <row r="188" spans="1:29" ht="13">
      <c r="A188" s="115"/>
      <c r="B188" s="97"/>
      <c r="C188" s="115"/>
      <c r="D188" s="115"/>
      <c r="E188" s="115"/>
      <c r="F188" s="115"/>
      <c r="G188" s="99"/>
      <c r="H188" s="98"/>
      <c r="I188" s="100"/>
      <c r="J188" s="100"/>
      <c r="K188" s="100"/>
      <c r="L188" s="101"/>
      <c r="M188" s="101"/>
      <c r="N188" s="112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</row>
    <row r="189" spans="1:29" ht="13">
      <c r="A189" s="115"/>
      <c r="B189" s="97"/>
      <c r="C189" s="115"/>
      <c r="D189" s="115"/>
      <c r="E189" s="115"/>
      <c r="F189" s="115"/>
      <c r="G189" s="99"/>
      <c r="H189" s="98"/>
      <c r="I189" s="100"/>
      <c r="J189" s="100"/>
      <c r="K189" s="100"/>
      <c r="L189" s="101"/>
      <c r="M189" s="101"/>
      <c r="N189" s="112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</row>
    <row r="190" spans="1:29" ht="13">
      <c r="A190" s="115"/>
      <c r="B190" s="97"/>
      <c r="C190" s="115"/>
      <c r="D190" s="115"/>
      <c r="E190" s="115"/>
      <c r="F190" s="115"/>
      <c r="G190" s="99"/>
      <c r="H190" s="98"/>
      <c r="I190" s="100"/>
      <c r="J190" s="100"/>
      <c r="K190" s="100"/>
      <c r="L190" s="101"/>
      <c r="M190" s="101"/>
      <c r="N190" s="112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</row>
    <row r="191" spans="1:29" ht="13">
      <c r="A191" s="115"/>
      <c r="B191" s="97"/>
      <c r="C191" s="115"/>
      <c r="D191" s="115"/>
      <c r="E191" s="115"/>
      <c r="F191" s="115"/>
      <c r="G191" s="99"/>
      <c r="H191" s="98"/>
      <c r="I191" s="100"/>
      <c r="J191" s="100"/>
      <c r="K191" s="100"/>
      <c r="L191" s="101"/>
      <c r="M191" s="101"/>
      <c r="N191" s="112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</row>
    <row r="192" spans="1:29" ht="13">
      <c r="A192" s="115"/>
      <c r="B192" s="97"/>
      <c r="C192" s="115"/>
      <c r="D192" s="115"/>
      <c r="E192" s="115"/>
      <c r="F192" s="115"/>
      <c r="G192" s="99"/>
      <c r="H192" s="98"/>
      <c r="I192" s="100"/>
      <c r="J192" s="100"/>
      <c r="K192" s="100"/>
      <c r="L192" s="101"/>
      <c r="M192" s="101"/>
      <c r="N192" s="112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</row>
    <row r="193" spans="1:29" ht="13">
      <c r="A193" s="115"/>
      <c r="B193" s="97"/>
      <c r="C193" s="115"/>
      <c r="D193" s="115"/>
      <c r="E193" s="115"/>
      <c r="F193" s="115"/>
      <c r="G193" s="99"/>
      <c r="H193" s="98"/>
      <c r="I193" s="100"/>
      <c r="J193" s="100"/>
      <c r="K193" s="100"/>
      <c r="L193" s="101"/>
      <c r="M193" s="101"/>
      <c r="N193" s="112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</row>
    <row r="194" spans="1:29" ht="13">
      <c r="A194" s="115"/>
      <c r="B194" s="97"/>
      <c r="C194" s="115"/>
      <c r="D194" s="115"/>
      <c r="E194" s="115"/>
      <c r="F194" s="115"/>
      <c r="G194" s="99"/>
      <c r="H194" s="98"/>
      <c r="I194" s="100"/>
      <c r="J194" s="100"/>
      <c r="K194" s="100"/>
      <c r="L194" s="101"/>
      <c r="M194" s="101"/>
      <c r="N194" s="112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</row>
    <row r="195" spans="1:29" ht="13">
      <c r="A195" s="115"/>
      <c r="B195" s="97"/>
      <c r="C195" s="115"/>
      <c r="D195" s="115"/>
      <c r="E195" s="115"/>
      <c r="F195" s="115"/>
      <c r="G195" s="99"/>
      <c r="H195" s="98"/>
      <c r="I195" s="100"/>
      <c r="J195" s="100"/>
      <c r="K195" s="100"/>
      <c r="L195" s="101"/>
      <c r="M195" s="101"/>
      <c r="N195" s="112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</row>
    <row r="196" spans="1:29" ht="13">
      <c r="A196" s="115"/>
      <c r="B196" s="97"/>
      <c r="C196" s="115"/>
      <c r="D196" s="115"/>
      <c r="E196" s="115"/>
      <c r="F196" s="115"/>
      <c r="G196" s="99"/>
      <c r="H196" s="98"/>
      <c r="I196" s="100"/>
      <c r="J196" s="100"/>
      <c r="K196" s="100"/>
      <c r="L196" s="101"/>
      <c r="M196" s="101"/>
      <c r="N196" s="112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</row>
    <row r="197" spans="1:29" ht="13">
      <c r="A197" s="115"/>
      <c r="B197" s="97"/>
      <c r="C197" s="115"/>
      <c r="D197" s="115"/>
      <c r="E197" s="115"/>
      <c r="F197" s="115"/>
      <c r="G197" s="99"/>
      <c r="H197" s="98"/>
      <c r="I197" s="100"/>
      <c r="J197" s="100"/>
      <c r="K197" s="100"/>
      <c r="L197" s="101"/>
      <c r="M197" s="101"/>
      <c r="N197" s="112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</row>
    <row r="198" spans="1:29" ht="13">
      <c r="A198" s="115"/>
      <c r="B198" s="97"/>
      <c r="C198" s="115"/>
      <c r="D198" s="115"/>
      <c r="E198" s="115"/>
      <c r="F198" s="115"/>
      <c r="G198" s="99"/>
      <c r="H198" s="98"/>
      <c r="I198" s="100"/>
      <c r="J198" s="100"/>
      <c r="K198" s="100"/>
      <c r="L198" s="101"/>
      <c r="M198" s="101"/>
      <c r="N198" s="112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</row>
    <row r="199" spans="1:29" ht="13">
      <c r="A199" s="115"/>
      <c r="B199" s="97"/>
      <c r="C199" s="115"/>
      <c r="D199" s="115"/>
      <c r="E199" s="115"/>
      <c r="F199" s="115"/>
      <c r="G199" s="99"/>
      <c r="H199" s="98"/>
      <c r="I199" s="100"/>
      <c r="J199" s="100"/>
      <c r="K199" s="100"/>
      <c r="L199" s="101"/>
      <c r="M199" s="101"/>
      <c r="N199" s="112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</row>
    <row r="200" spans="1:29" ht="13">
      <c r="A200" s="115"/>
      <c r="B200" s="97"/>
      <c r="C200" s="115"/>
      <c r="D200" s="115"/>
      <c r="E200" s="115"/>
      <c r="F200" s="115"/>
      <c r="G200" s="99"/>
      <c r="H200" s="98"/>
      <c r="I200" s="100"/>
      <c r="J200" s="100"/>
      <c r="K200" s="100"/>
      <c r="L200" s="101"/>
      <c r="M200" s="101"/>
      <c r="N200" s="112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</row>
    <row r="201" spans="1:29" ht="13">
      <c r="A201" s="115"/>
      <c r="B201" s="97"/>
      <c r="C201" s="115"/>
      <c r="D201" s="115"/>
      <c r="E201" s="115"/>
      <c r="F201" s="115"/>
      <c r="G201" s="99"/>
      <c r="H201" s="98"/>
      <c r="I201" s="100"/>
      <c r="J201" s="100"/>
      <c r="K201" s="100"/>
      <c r="L201" s="101"/>
      <c r="M201" s="101"/>
      <c r="N201" s="112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</row>
    <row r="202" spans="1:29" ht="13">
      <c r="A202" s="115"/>
      <c r="B202" s="97"/>
      <c r="C202" s="115"/>
      <c r="D202" s="115"/>
      <c r="E202" s="115"/>
      <c r="F202" s="115"/>
      <c r="G202" s="99"/>
      <c r="H202" s="98"/>
      <c r="I202" s="100"/>
      <c r="J202" s="100"/>
      <c r="K202" s="100"/>
      <c r="L202" s="101"/>
      <c r="M202" s="101"/>
      <c r="N202" s="112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</row>
    <row r="203" spans="1:29" ht="13">
      <c r="A203" s="115"/>
      <c r="B203" s="97"/>
      <c r="C203" s="115"/>
      <c r="D203" s="115"/>
      <c r="E203" s="115"/>
      <c r="F203" s="115"/>
      <c r="G203" s="99"/>
      <c r="H203" s="98"/>
      <c r="I203" s="100"/>
      <c r="J203" s="100"/>
      <c r="K203" s="100"/>
      <c r="L203" s="101"/>
      <c r="M203" s="101"/>
      <c r="N203" s="112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</row>
    <row r="204" spans="1:29" ht="13">
      <c r="A204" s="115"/>
      <c r="B204" s="97"/>
      <c r="C204" s="115"/>
      <c r="D204" s="115"/>
      <c r="E204" s="115"/>
      <c r="F204" s="115"/>
      <c r="G204" s="99"/>
      <c r="H204" s="98"/>
      <c r="I204" s="100"/>
      <c r="J204" s="100"/>
      <c r="K204" s="100"/>
      <c r="L204" s="101"/>
      <c r="M204" s="101"/>
      <c r="N204" s="112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</row>
    <row r="205" spans="1:29" ht="13">
      <c r="A205" s="115"/>
      <c r="B205" s="97"/>
      <c r="C205" s="115"/>
      <c r="D205" s="115"/>
      <c r="E205" s="115"/>
      <c r="F205" s="115"/>
      <c r="G205" s="99"/>
      <c r="H205" s="98"/>
      <c r="I205" s="100"/>
      <c r="J205" s="100"/>
      <c r="K205" s="100"/>
      <c r="L205" s="101"/>
      <c r="M205" s="101"/>
      <c r="N205" s="112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</row>
    <row r="206" spans="1:29" ht="13">
      <c r="A206" s="115"/>
      <c r="B206" s="97"/>
      <c r="C206" s="115"/>
      <c r="D206" s="115"/>
      <c r="E206" s="115"/>
      <c r="F206" s="115"/>
      <c r="G206" s="99"/>
      <c r="H206" s="98"/>
      <c r="I206" s="100"/>
      <c r="J206" s="100"/>
      <c r="K206" s="100"/>
      <c r="L206" s="101"/>
      <c r="M206" s="101"/>
      <c r="N206" s="112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</row>
    <row r="207" spans="1:29" ht="13">
      <c r="A207" s="115"/>
      <c r="B207" s="97"/>
      <c r="C207" s="115"/>
      <c r="D207" s="115"/>
      <c r="E207" s="115"/>
      <c r="F207" s="115"/>
      <c r="G207" s="99"/>
      <c r="H207" s="98"/>
      <c r="I207" s="100"/>
      <c r="J207" s="100"/>
      <c r="K207" s="100"/>
      <c r="L207" s="101"/>
      <c r="M207" s="101"/>
      <c r="N207" s="112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</row>
    <row r="208" spans="1:29" ht="13">
      <c r="A208" s="115"/>
      <c r="B208" s="97"/>
      <c r="C208" s="115"/>
      <c r="D208" s="115"/>
      <c r="E208" s="115"/>
      <c r="F208" s="115"/>
      <c r="G208" s="99"/>
      <c r="H208" s="98"/>
      <c r="I208" s="100"/>
      <c r="J208" s="100"/>
      <c r="K208" s="100"/>
      <c r="L208" s="101"/>
      <c r="M208" s="101"/>
      <c r="N208" s="112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</row>
    <row r="209" spans="1:29" ht="13">
      <c r="A209" s="115"/>
      <c r="B209" s="97"/>
      <c r="C209" s="115"/>
      <c r="D209" s="115"/>
      <c r="E209" s="115"/>
      <c r="F209" s="115"/>
      <c r="G209" s="99"/>
      <c r="H209" s="98"/>
      <c r="I209" s="100"/>
      <c r="J209" s="100"/>
      <c r="K209" s="100"/>
      <c r="L209" s="101"/>
      <c r="M209" s="101"/>
      <c r="N209" s="112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</row>
    <row r="210" spans="1:29" ht="13">
      <c r="A210" s="115"/>
      <c r="B210" s="97"/>
      <c r="C210" s="115"/>
      <c r="D210" s="115"/>
      <c r="E210" s="115"/>
      <c r="F210" s="115"/>
      <c r="G210" s="99"/>
      <c r="H210" s="98"/>
      <c r="I210" s="100"/>
      <c r="J210" s="100"/>
      <c r="K210" s="100"/>
      <c r="L210" s="101"/>
      <c r="M210" s="101"/>
      <c r="N210" s="112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</row>
    <row r="211" spans="1:29" ht="13">
      <c r="A211" s="115"/>
      <c r="B211" s="97"/>
      <c r="C211" s="115"/>
      <c r="D211" s="115"/>
      <c r="E211" s="115"/>
      <c r="F211" s="115"/>
      <c r="G211" s="99"/>
      <c r="H211" s="98"/>
      <c r="I211" s="100"/>
      <c r="J211" s="100"/>
      <c r="K211" s="100"/>
      <c r="L211" s="101"/>
      <c r="M211" s="101"/>
      <c r="N211" s="112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</row>
    <row r="212" spans="1:29" ht="13">
      <c r="A212" s="115"/>
      <c r="B212" s="97"/>
      <c r="C212" s="115"/>
      <c r="D212" s="115"/>
      <c r="E212" s="115"/>
      <c r="F212" s="115"/>
      <c r="G212" s="99"/>
      <c r="H212" s="98"/>
      <c r="I212" s="100"/>
      <c r="J212" s="100"/>
      <c r="K212" s="100"/>
      <c r="L212" s="101"/>
      <c r="M212" s="101"/>
      <c r="N212" s="112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</row>
    <row r="213" spans="1:29" ht="13">
      <c r="A213" s="115"/>
      <c r="B213" s="97"/>
      <c r="C213" s="115"/>
      <c r="D213" s="115"/>
      <c r="E213" s="115"/>
      <c r="F213" s="115"/>
      <c r="G213" s="99"/>
      <c r="H213" s="98"/>
      <c r="I213" s="100"/>
      <c r="J213" s="100"/>
      <c r="K213" s="100"/>
      <c r="L213" s="101"/>
      <c r="M213" s="101"/>
      <c r="N213" s="112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</row>
    <row r="214" spans="1:29" ht="13">
      <c r="A214" s="115"/>
      <c r="B214" s="97"/>
      <c r="C214" s="115"/>
      <c r="D214" s="115"/>
      <c r="E214" s="115"/>
      <c r="F214" s="115"/>
      <c r="G214" s="99"/>
      <c r="H214" s="98"/>
      <c r="I214" s="100"/>
      <c r="J214" s="100"/>
      <c r="K214" s="100"/>
      <c r="L214" s="101"/>
      <c r="M214" s="101"/>
      <c r="N214" s="112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</row>
    <row r="215" spans="1:29" ht="13">
      <c r="A215" s="115"/>
      <c r="B215" s="97"/>
      <c r="C215" s="115"/>
      <c r="D215" s="115"/>
      <c r="E215" s="115"/>
      <c r="F215" s="115"/>
      <c r="G215" s="99"/>
      <c r="H215" s="98"/>
      <c r="I215" s="100"/>
      <c r="J215" s="100"/>
      <c r="K215" s="100"/>
      <c r="L215" s="101"/>
      <c r="M215" s="101"/>
      <c r="N215" s="112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</row>
    <row r="216" spans="1:29" ht="13">
      <c r="A216" s="115"/>
      <c r="B216" s="97"/>
      <c r="C216" s="115"/>
      <c r="D216" s="115"/>
      <c r="E216" s="115"/>
      <c r="F216" s="115"/>
      <c r="G216" s="99"/>
      <c r="H216" s="98"/>
      <c r="I216" s="100"/>
      <c r="J216" s="100"/>
      <c r="K216" s="100"/>
      <c r="L216" s="101"/>
      <c r="M216" s="101"/>
      <c r="N216" s="112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</row>
    <row r="217" spans="1:29" ht="13">
      <c r="A217" s="115"/>
      <c r="B217" s="97"/>
      <c r="C217" s="115"/>
      <c r="D217" s="115"/>
      <c r="E217" s="115"/>
      <c r="F217" s="115"/>
      <c r="G217" s="99"/>
      <c r="H217" s="98"/>
      <c r="I217" s="100"/>
      <c r="J217" s="100"/>
      <c r="K217" s="100"/>
      <c r="L217" s="101"/>
      <c r="M217" s="101"/>
      <c r="N217" s="112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</row>
    <row r="218" spans="1:29" ht="13">
      <c r="A218" s="115"/>
      <c r="B218" s="97"/>
      <c r="C218" s="115"/>
      <c r="D218" s="115"/>
      <c r="E218" s="115"/>
      <c r="F218" s="115"/>
      <c r="G218" s="99"/>
      <c r="H218" s="98"/>
      <c r="I218" s="100"/>
      <c r="J218" s="100"/>
      <c r="K218" s="100"/>
      <c r="L218" s="101"/>
      <c r="M218" s="101"/>
      <c r="N218" s="112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</row>
    <row r="219" spans="1:29" ht="13">
      <c r="A219" s="115"/>
      <c r="B219" s="97"/>
      <c r="C219" s="115"/>
      <c r="D219" s="115"/>
      <c r="E219" s="115"/>
      <c r="F219" s="115"/>
      <c r="G219" s="99"/>
      <c r="H219" s="98"/>
      <c r="I219" s="100"/>
      <c r="J219" s="100"/>
      <c r="K219" s="100"/>
      <c r="L219" s="101"/>
      <c r="M219" s="101"/>
      <c r="N219" s="112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</row>
    <row r="220" spans="1:29" ht="13">
      <c r="A220" s="115"/>
      <c r="B220" s="97"/>
      <c r="C220" s="115"/>
      <c r="D220" s="115"/>
      <c r="E220" s="115"/>
      <c r="F220" s="115"/>
      <c r="G220" s="99"/>
      <c r="H220" s="98"/>
      <c r="I220" s="100"/>
      <c r="J220" s="100"/>
      <c r="K220" s="100"/>
      <c r="L220" s="101"/>
      <c r="M220" s="101"/>
      <c r="N220" s="112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</row>
    <row r="221" spans="1:29" ht="13">
      <c r="A221" s="115"/>
      <c r="B221" s="97"/>
      <c r="C221" s="115"/>
      <c r="D221" s="115"/>
      <c r="E221" s="115"/>
      <c r="F221" s="115"/>
      <c r="G221" s="99"/>
      <c r="H221" s="98"/>
      <c r="I221" s="100"/>
      <c r="J221" s="100"/>
      <c r="K221" s="100"/>
      <c r="L221" s="101"/>
      <c r="M221" s="101"/>
      <c r="N221" s="112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</row>
    <row r="222" spans="1:29" ht="13">
      <c r="A222" s="115"/>
      <c r="B222" s="97"/>
      <c r="C222" s="115"/>
      <c r="D222" s="115"/>
      <c r="E222" s="115"/>
      <c r="F222" s="115"/>
      <c r="G222" s="99"/>
      <c r="H222" s="98"/>
      <c r="I222" s="100"/>
      <c r="J222" s="100"/>
      <c r="K222" s="100"/>
      <c r="L222" s="101"/>
      <c r="M222" s="101"/>
      <c r="N222" s="112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</row>
    <row r="223" spans="1:29" ht="13">
      <c r="A223" s="115"/>
      <c r="B223" s="97"/>
      <c r="C223" s="115"/>
      <c r="D223" s="115"/>
      <c r="E223" s="115"/>
      <c r="F223" s="115"/>
      <c r="G223" s="99"/>
      <c r="H223" s="98"/>
      <c r="I223" s="100"/>
      <c r="J223" s="100"/>
      <c r="K223" s="100"/>
      <c r="L223" s="101"/>
      <c r="M223" s="101"/>
      <c r="N223" s="112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</row>
    <row r="224" spans="1:29" ht="13">
      <c r="A224" s="115"/>
      <c r="B224" s="97"/>
      <c r="C224" s="115"/>
      <c r="D224" s="115"/>
      <c r="E224" s="115"/>
      <c r="F224" s="115"/>
      <c r="G224" s="99"/>
      <c r="H224" s="98"/>
      <c r="I224" s="100"/>
      <c r="J224" s="100"/>
      <c r="K224" s="100"/>
      <c r="L224" s="101"/>
      <c r="M224" s="101"/>
      <c r="N224" s="112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</row>
    <row r="225" spans="1:29" ht="13">
      <c r="A225" s="115"/>
      <c r="B225" s="97"/>
      <c r="C225" s="115"/>
      <c r="D225" s="115"/>
      <c r="E225" s="115"/>
      <c r="F225" s="115"/>
      <c r="G225" s="99"/>
      <c r="H225" s="98"/>
      <c r="I225" s="100"/>
      <c r="J225" s="100"/>
      <c r="K225" s="100"/>
      <c r="L225" s="101"/>
      <c r="M225" s="101"/>
      <c r="N225" s="112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</row>
    <row r="226" spans="1:29" ht="13">
      <c r="A226" s="115"/>
      <c r="B226" s="97"/>
      <c r="C226" s="115"/>
      <c r="D226" s="115"/>
      <c r="E226" s="115"/>
      <c r="F226" s="115"/>
      <c r="G226" s="99"/>
      <c r="H226" s="98"/>
      <c r="I226" s="100"/>
      <c r="J226" s="100"/>
      <c r="K226" s="100"/>
      <c r="L226" s="101"/>
      <c r="M226" s="101"/>
      <c r="N226" s="112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</row>
    <row r="227" spans="1:29" ht="13">
      <c r="A227" s="115"/>
      <c r="B227" s="97"/>
      <c r="C227" s="115"/>
      <c r="D227" s="115"/>
      <c r="E227" s="115"/>
      <c r="F227" s="115"/>
      <c r="G227" s="99"/>
      <c r="H227" s="98"/>
      <c r="I227" s="100"/>
      <c r="J227" s="100"/>
      <c r="K227" s="100"/>
      <c r="L227" s="101"/>
      <c r="M227" s="101"/>
      <c r="N227" s="112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</row>
    <row r="228" spans="1:29" ht="13">
      <c r="A228" s="115"/>
      <c r="B228" s="97"/>
      <c r="C228" s="115"/>
      <c r="D228" s="115"/>
      <c r="E228" s="115"/>
      <c r="F228" s="115"/>
      <c r="G228" s="99"/>
      <c r="H228" s="98"/>
      <c r="I228" s="100"/>
      <c r="J228" s="100"/>
      <c r="K228" s="100"/>
      <c r="L228" s="101"/>
      <c r="M228" s="101"/>
      <c r="N228" s="112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</row>
    <row r="229" spans="1:29" ht="13">
      <c r="A229" s="115"/>
      <c r="B229" s="97"/>
      <c r="C229" s="115"/>
      <c r="D229" s="115"/>
      <c r="E229" s="115"/>
      <c r="F229" s="115"/>
      <c r="G229" s="99"/>
      <c r="H229" s="98"/>
      <c r="I229" s="100"/>
      <c r="J229" s="100"/>
      <c r="K229" s="100"/>
      <c r="L229" s="101"/>
      <c r="M229" s="101"/>
      <c r="N229" s="112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</row>
    <row r="230" spans="1:29" ht="13">
      <c r="A230" s="115"/>
      <c r="B230" s="97"/>
      <c r="C230" s="115"/>
      <c r="D230" s="115"/>
      <c r="E230" s="115"/>
      <c r="F230" s="115"/>
      <c r="G230" s="99"/>
      <c r="H230" s="98"/>
      <c r="I230" s="100"/>
      <c r="J230" s="100"/>
      <c r="K230" s="100"/>
      <c r="L230" s="101"/>
      <c r="M230" s="101"/>
      <c r="N230" s="112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</row>
    <row r="231" spans="1:29" ht="13">
      <c r="A231" s="115"/>
      <c r="B231" s="97"/>
      <c r="C231" s="115"/>
      <c r="D231" s="115"/>
      <c r="E231" s="115"/>
      <c r="F231" s="115"/>
      <c r="G231" s="99"/>
      <c r="H231" s="98"/>
      <c r="I231" s="100"/>
      <c r="J231" s="100"/>
      <c r="K231" s="100"/>
      <c r="L231" s="101"/>
      <c r="M231" s="101"/>
      <c r="N231" s="112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</row>
    <row r="232" spans="1:29" ht="13">
      <c r="A232" s="115"/>
      <c r="B232" s="97"/>
      <c r="C232" s="115"/>
      <c r="D232" s="115"/>
      <c r="E232" s="115"/>
      <c r="F232" s="115"/>
      <c r="G232" s="99"/>
      <c r="H232" s="98"/>
      <c r="I232" s="100"/>
      <c r="J232" s="100"/>
      <c r="K232" s="100"/>
      <c r="L232" s="101"/>
      <c r="M232" s="101"/>
      <c r="N232" s="112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</row>
    <row r="233" spans="1:29" ht="13">
      <c r="A233" s="115"/>
      <c r="B233" s="97"/>
      <c r="C233" s="115"/>
      <c r="D233" s="115"/>
      <c r="E233" s="115"/>
      <c r="F233" s="115"/>
      <c r="G233" s="99"/>
      <c r="H233" s="98"/>
      <c r="I233" s="100"/>
      <c r="J233" s="100"/>
      <c r="K233" s="100"/>
      <c r="L233" s="101"/>
      <c r="M233" s="101"/>
      <c r="N233" s="112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</row>
    <row r="234" spans="1:29" ht="13">
      <c r="A234" s="115"/>
      <c r="B234" s="97"/>
      <c r="C234" s="115"/>
      <c r="D234" s="115"/>
      <c r="E234" s="115"/>
      <c r="F234" s="115"/>
      <c r="G234" s="99"/>
      <c r="H234" s="98"/>
      <c r="I234" s="100"/>
      <c r="J234" s="100"/>
      <c r="K234" s="100"/>
      <c r="L234" s="101"/>
      <c r="M234" s="101"/>
      <c r="N234" s="112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</row>
    <row r="235" spans="1:29" ht="13">
      <c r="A235" s="115"/>
      <c r="B235" s="97"/>
      <c r="C235" s="115"/>
      <c r="D235" s="115"/>
      <c r="E235" s="115"/>
      <c r="F235" s="115"/>
      <c r="G235" s="99"/>
      <c r="H235" s="98"/>
      <c r="I235" s="100"/>
      <c r="J235" s="100"/>
      <c r="K235" s="100"/>
      <c r="L235" s="101"/>
      <c r="M235" s="101"/>
      <c r="N235" s="112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</row>
    <row r="236" spans="1:29" ht="13">
      <c r="A236" s="115"/>
      <c r="B236" s="97"/>
      <c r="C236" s="115"/>
      <c r="D236" s="115"/>
      <c r="E236" s="115"/>
      <c r="F236" s="115"/>
      <c r="G236" s="99"/>
      <c r="H236" s="98"/>
      <c r="I236" s="100"/>
      <c r="J236" s="100"/>
      <c r="K236" s="100"/>
      <c r="L236" s="101"/>
      <c r="M236" s="101"/>
      <c r="N236" s="112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</row>
    <row r="237" spans="1:29" ht="13">
      <c r="A237" s="115"/>
      <c r="B237" s="97"/>
      <c r="C237" s="115"/>
      <c r="D237" s="115"/>
      <c r="E237" s="115"/>
      <c r="F237" s="115"/>
      <c r="G237" s="99"/>
      <c r="H237" s="98"/>
      <c r="I237" s="100"/>
      <c r="J237" s="100"/>
      <c r="K237" s="100"/>
      <c r="L237" s="101"/>
      <c r="M237" s="101"/>
      <c r="N237" s="112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</row>
    <row r="238" spans="1:29" ht="13">
      <c r="A238" s="115"/>
      <c r="B238" s="97"/>
      <c r="C238" s="115"/>
      <c r="D238" s="115"/>
      <c r="E238" s="115"/>
      <c r="F238" s="115"/>
      <c r="G238" s="99"/>
      <c r="H238" s="98"/>
      <c r="I238" s="100"/>
      <c r="J238" s="100"/>
      <c r="K238" s="100"/>
      <c r="L238" s="101"/>
      <c r="M238" s="101"/>
      <c r="N238" s="112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</row>
    <row r="239" spans="1:29" ht="13">
      <c r="A239" s="115"/>
      <c r="B239" s="97"/>
      <c r="C239" s="115"/>
      <c r="D239" s="115"/>
      <c r="E239" s="115"/>
      <c r="F239" s="115"/>
      <c r="G239" s="99"/>
      <c r="H239" s="98"/>
      <c r="I239" s="100"/>
      <c r="J239" s="100"/>
      <c r="K239" s="100"/>
      <c r="L239" s="101"/>
      <c r="M239" s="101"/>
      <c r="N239" s="112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</row>
    <row r="240" spans="1:29" ht="13">
      <c r="A240" s="115"/>
      <c r="B240" s="97"/>
      <c r="C240" s="115"/>
      <c r="D240" s="115"/>
      <c r="E240" s="115"/>
      <c r="F240" s="115"/>
      <c r="G240" s="99"/>
      <c r="H240" s="98"/>
      <c r="I240" s="100"/>
      <c r="J240" s="100"/>
      <c r="K240" s="100"/>
      <c r="L240" s="101"/>
      <c r="M240" s="101"/>
      <c r="N240" s="112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</row>
    <row r="241" spans="1:29" ht="13">
      <c r="A241" s="115"/>
      <c r="B241" s="97"/>
      <c r="C241" s="115"/>
      <c r="D241" s="115"/>
      <c r="E241" s="115"/>
      <c r="F241" s="115"/>
      <c r="G241" s="99"/>
      <c r="H241" s="98"/>
      <c r="I241" s="100"/>
      <c r="J241" s="100"/>
      <c r="K241" s="100"/>
      <c r="L241" s="101"/>
      <c r="M241" s="101"/>
      <c r="N241" s="112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</row>
    <row r="242" spans="1:29" ht="13">
      <c r="A242" s="115"/>
      <c r="B242" s="97"/>
      <c r="C242" s="115"/>
      <c r="D242" s="115"/>
      <c r="E242" s="115"/>
      <c r="F242" s="115"/>
      <c r="G242" s="99"/>
      <c r="H242" s="98"/>
      <c r="I242" s="100"/>
      <c r="J242" s="100"/>
      <c r="K242" s="100"/>
      <c r="L242" s="101"/>
      <c r="M242" s="101"/>
      <c r="N242" s="112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</row>
    <row r="243" spans="1:29" ht="13">
      <c r="A243" s="115"/>
      <c r="B243" s="97"/>
      <c r="C243" s="115"/>
      <c r="D243" s="115"/>
      <c r="E243" s="115"/>
      <c r="F243" s="115"/>
      <c r="G243" s="99"/>
      <c r="H243" s="98"/>
      <c r="I243" s="100"/>
      <c r="J243" s="100"/>
      <c r="K243" s="100"/>
      <c r="L243" s="101"/>
      <c r="M243" s="101"/>
      <c r="N243" s="112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</row>
    <row r="244" spans="1:29" ht="13">
      <c r="A244" s="115"/>
      <c r="B244" s="97"/>
      <c r="C244" s="115"/>
      <c r="D244" s="115"/>
      <c r="E244" s="115"/>
      <c r="F244" s="115"/>
      <c r="G244" s="99"/>
      <c r="H244" s="98"/>
      <c r="I244" s="100"/>
      <c r="J244" s="100"/>
      <c r="K244" s="100"/>
      <c r="L244" s="101"/>
      <c r="M244" s="101"/>
      <c r="N244" s="112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</row>
    <row r="245" spans="1:29" ht="13">
      <c r="A245" s="115"/>
      <c r="B245" s="97"/>
      <c r="C245" s="115"/>
      <c r="D245" s="115"/>
      <c r="E245" s="115"/>
      <c r="F245" s="115"/>
      <c r="G245" s="99"/>
      <c r="H245" s="98"/>
      <c r="I245" s="100"/>
      <c r="J245" s="100"/>
      <c r="K245" s="100"/>
      <c r="L245" s="101"/>
      <c r="M245" s="101"/>
      <c r="N245" s="112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</row>
    <row r="246" spans="1:29" ht="13">
      <c r="A246" s="115"/>
      <c r="B246" s="97"/>
      <c r="C246" s="115"/>
      <c r="D246" s="115"/>
      <c r="E246" s="115"/>
      <c r="F246" s="115"/>
      <c r="G246" s="99"/>
      <c r="H246" s="98"/>
      <c r="I246" s="100"/>
      <c r="J246" s="100"/>
      <c r="K246" s="100"/>
      <c r="L246" s="101"/>
      <c r="M246" s="101"/>
      <c r="N246" s="112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</row>
    <row r="247" spans="1:29" ht="13">
      <c r="A247" s="115"/>
      <c r="B247" s="97"/>
      <c r="C247" s="115"/>
      <c r="D247" s="115"/>
      <c r="E247" s="115"/>
      <c r="F247" s="115"/>
      <c r="G247" s="99"/>
      <c r="H247" s="98"/>
      <c r="I247" s="100"/>
      <c r="J247" s="100"/>
      <c r="K247" s="100"/>
      <c r="L247" s="101"/>
      <c r="M247" s="101"/>
      <c r="N247" s="112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</row>
    <row r="248" spans="1:29" ht="13">
      <c r="A248" s="115"/>
      <c r="B248" s="97"/>
      <c r="C248" s="115"/>
      <c r="D248" s="115"/>
      <c r="E248" s="115"/>
      <c r="F248" s="115"/>
      <c r="G248" s="99"/>
      <c r="H248" s="98"/>
      <c r="I248" s="100"/>
      <c r="J248" s="100"/>
      <c r="K248" s="100"/>
      <c r="L248" s="101"/>
      <c r="M248" s="101"/>
      <c r="N248" s="112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</row>
    <row r="249" spans="1:29" ht="13">
      <c r="A249" s="115"/>
      <c r="B249" s="97"/>
      <c r="C249" s="115"/>
      <c r="D249" s="115"/>
      <c r="E249" s="115"/>
      <c r="F249" s="115"/>
      <c r="G249" s="99"/>
      <c r="H249" s="98"/>
      <c r="I249" s="100"/>
      <c r="J249" s="100"/>
      <c r="K249" s="100"/>
      <c r="L249" s="101"/>
      <c r="M249" s="101"/>
      <c r="N249" s="112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</row>
    <row r="250" spans="1:29" ht="13">
      <c r="A250" s="115"/>
      <c r="B250" s="97"/>
      <c r="C250" s="115"/>
      <c r="D250" s="115"/>
      <c r="E250" s="115"/>
      <c r="F250" s="115"/>
      <c r="G250" s="99"/>
      <c r="H250" s="98"/>
      <c r="I250" s="100"/>
      <c r="J250" s="100"/>
      <c r="K250" s="100"/>
      <c r="L250" s="101"/>
      <c r="M250" s="101"/>
      <c r="N250" s="112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</row>
    <row r="251" spans="1:29" ht="13">
      <c r="A251" s="115"/>
      <c r="B251" s="97"/>
      <c r="C251" s="115"/>
      <c r="D251" s="115"/>
      <c r="E251" s="115"/>
      <c r="F251" s="115"/>
      <c r="G251" s="99"/>
      <c r="H251" s="98"/>
      <c r="I251" s="100"/>
      <c r="J251" s="100"/>
      <c r="K251" s="100"/>
      <c r="L251" s="101"/>
      <c r="M251" s="101"/>
      <c r="N251" s="112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</row>
    <row r="252" spans="1:29" ht="13">
      <c r="A252" s="115"/>
      <c r="B252" s="97"/>
      <c r="C252" s="115"/>
      <c r="D252" s="115"/>
      <c r="E252" s="115"/>
      <c r="F252" s="115"/>
      <c r="G252" s="99"/>
      <c r="H252" s="98"/>
      <c r="I252" s="100"/>
      <c r="J252" s="100"/>
      <c r="K252" s="100"/>
      <c r="L252" s="101"/>
      <c r="M252" s="101"/>
      <c r="N252" s="112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</row>
    <row r="253" spans="1:29" ht="13">
      <c r="A253" s="115"/>
      <c r="B253" s="97"/>
      <c r="C253" s="115"/>
      <c r="D253" s="115"/>
      <c r="E253" s="115"/>
      <c r="F253" s="115"/>
      <c r="G253" s="99"/>
      <c r="H253" s="98"/>
      <c r="I253" s="100"/>
      <c r="J253" s="100"/>
      <c r="K253" s="100"/>
      <c r="L253" s="101"/>
      <c r="M253" s="101"/>
      <c r="N253" s="112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</row>
    <row r="254" spans="1:29" ht="13">
      <c r="A254" s="115"/>
      <c r="B254" s="97"/>
      <c r="C254" s="115"/>
      <c r="D254" s="115"/>
      <c r="E254" s="115"/>
      <c r="F254" s="115"/>
      <c r="G254" s="99"/>
      <c r="H254" s="98"/>
      <c r="I254" s="100"/>
      <c r="J254" s="100"/>
      <c r="K254" s="100"/>
      <c r="L254" s="101"/>
      <c r="M254" s="101"/>
      <c r="N254" s="112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</row>
    <row r="255" spans="1:29" ht="13">
      <c r="A255" s="115"/>
      <c r="B255" s="97"/>
      <c r="C255" s="115"/>
      <c r="D255" s="115"/>
      <c r="E255" s="115"/>
      <c r="F255" s="115"/>
      <c r="G255" s="99"/>
      <c r="H255" s="98"/>
      <c r="I255" s="100"/>
      <c r="J255" s="100"/>
      <c r="K255" s="100"/>
      <c r="L255" s="101"/>
      <c r="M255" s="101"/>
      <c r="N255" s="112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</row>
    <row r="256" spans="1:29" ht="13">
      <c r="A256" s="115"/>
      <c r="B256" s="97"/>
      <c r="C256" s="115"/>
      <c r="D256" s="115"/>
      <c r="E256" s="115"/>
      <c r="F256" s="115"/>
      <c r="G256" s="99"/>
      <c r="H256" s="98"/>
      <c r="I256" s="100"/>
      <c r="J256" s="100"/>
      <c r="K256" s="100"/>
      <c r="L256" s="101"/>
      <c r="M256" s="101"/>
      <c r="N256" s="112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</row>
    <row r="257" spans="1:29" ht="13">
      <c r="A257" s="115"/>
      <c r="B257" s="97"/>
      <c r="C257" s="115"/>
      <c r="D257" s="115"/>
      <c r="E257" s="115"/>
      <c r="F257" s="115"/>
      <c r="G257" s="99"/>
      <c r="H257" s="98"/>
      <c r="I257" s="100"/>
      <c r="J257" s="100"/>
      <c r="K257" s="100"/>
      <c r="L257" s="101"/>
      <c r="M257" s="101"/>
      <c r="N257" s="112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</row>
    <row r="258" spans="1:29" ht="13">
      <c r="A258" s="115"/>
      <c r="B258" s="97"/>
      <c r="C258" s="115"/>
      <c r="D258" s="115"/>
      <c r="E258" s="115"/>
      <c r="F258" s="115"/>
      <c r="G258" s="99"/>
      <c r="H258" s="98"/>
      <c r="I258" s="100"/>
      <c r="J258" s="100"/>
      <c r="K258" s="100"/>
      <c r="L258" s="101"/>
      <c r="M258" s="101"/>
      <c r="N258" s="112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</row>
    <row r="259" spans="1:29" ht="13">
      <c r="A259" s="115"/>
      <c r="B259" s="97"/>
      <c r="C259" s="115"/>
      <c r="D259" s="115"/>
      <c r="E259" s="115"/>
      <c r="F259" s="115"/>
      <c r="G259" s="99"/>
      <c r="H259" s="98"/>
      <c r="I259" s="100"/>
      <c r="J259" s="100"/>
      <c r="K259" s="100"/>
      <c r="L259" s="101"/>
      <c r="M259" s="101"/>
      <c r="N259" s="112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</row>
    <row r="260" spans="1:29" ht="13">
      <c r="A260" s="115"/>
      <c r="B260" s="97"/>
      <c r="C260" s="115"/>
      <c r="D260" s="115"/>
      <c r="E260" s="115"/>
      <c r="F260" s="115"/>
      <c r="G260" s="99"/>
      <c r="H260" s="98"/>
      <c r="I260" s="100"/>
      <c r="J260" s="100"/>
      <c r="K260" s="100"/>
      <c r="L260" s="101"/>
      <c r="M260" s="101"/>
      <c r="N260" s="112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</row>
    <row r="261" spans="1:29" ht="13">
      <c r="A261" s="115"/>
      <c r="B261" s="97"/>
      <c r="C261" s="115"/>
      <c r="D261" s="115"/>
      <c r="E261" s="115"/>
      <c r="F261" s="115"/>
      <c r="G261" s="99"/>
      <c r="H261" s="98"/>
      <c r="I261" s="100"/>
      <c r="J261" s="100"/>
      <c r="K261" s="100"/>
      <c r="L261" s="101"/>
      <c r="M261" s="101"/>
      <c r="N261" s="112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</row>
    <row r="262" spans="1:29" ht="13">
      <c r="A262" s="115"/>
      <c r="B262" s="97"/>
      <c r="C262" s="115"/>
      <c r="D262" s="115"/>
      <c r="E262" s="115"/>
      <c r="F262" s="115"/>
      <c r="G262" s="99"/>
      <c r="H262" s="98"/>
      <c r="I262" s="100"/>
      <c r="J262" s="100"/>
      <c r="K262" s="100"/>
      <c r="L262" s="101"/>
      <c r="M262" s="101"/>
      <c r="N262" s="112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</row>
    <row r="263" spans="1:29" ht="13">
      <c r="A263" s="115"/>
      <c r="B263" s="97"/>
      <c r="C263" s="115"/>
      <c r="D263" s="115"/>
      <c r="E263" s="115"/>
      <c r="F263" s="115"/>
      <c r="G263" s="99"/>
      <c r="H263" s="98"/>
      <c r="I263" s="100"/>
      <c r="J263" s="100"/>
      <c r="K263" s="100"/>
      <c r="L263" s="101"/>
      <c r="M263" s="101"/>
      <c r="N263" s="112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</row>
    <row r="264" spans="1:29" ht="13">
      <c r="A264" s="115"/>
      <c r="B264" s="97"/>
      <c r="C264" s="115"/>
      <c r="D264" s="115"/>
      <c r="E264" s="115"/>
      <c r="F264" s="115"/>
      <c r="G264" s="99"/>
      <c r="H264" s="98"/>
      <c r="I264" s="100"/>
      <c r="J264" s="100"/>
      <c r="K264" s="100"/>
      <c r="L264" s="101"/>
      <c r="M264" s="101"/>
      <c r="N264" s="112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</row>
    <row r="265" spans="1:29" ht="13">
      <c r="A265" s="115"/>
      <c r="B265" s="97"/>
      <c r="C265" s="115"/>
      <c r="D265" s="115"/>
      <c r="E265" s="115"/>
      <c r="F265" s="115"/>
      <c r="G265" s="99"/>
      <c r="H265" s="98"/>
      <c r="I265" s="100"/>
      <c r="J265" s="100"/>
      <c r="K265" s="100"/>
      <c r="L265" s="101"/>
      <c r="M265" s="101"/>
      <c r="N265" s="112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</row>
    <row r="266" spans="1:29" ht="13">
      <c r="A266" s="115"/>
      <c r="B266" s="97"/>
      <c r="C266" s="115"/>
      <c r="D266" s="115"/>
      <c r="E266" s="115"/>
      <c r="F266" s="115"/>
      <c r="G266" s="99"/>
      <c r="H266" s="98"/>
      <c r="I266" s="100"/>
      <c r="J266" s="100"/>
      <c r="K266" s="100"/>
      <c r="L266" s="101"/>
      <c r="M266" s="101"/>
      <c r="N266" s="112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</row>
    <row r="267" spans="1:29" ht="13">
      <c r="A267" s="115"/>
      <c r="B267" s="97"/>
      <c r="C267" s="115"/>
      <c r="D267" s="115"/>
      <c r="E267" s="115"/>
      <c r="F267" s="115"/>
      <c r="G267" s="99"/>
      <c r="H267" s="98"/>
      <c r="I267" s="100"/>
      <c r="J267" s="100"/>
      <c r="K267" s="100"/>
      <c r="L267" s="101"/>
      <c r="M267" s="101"/>
      <c r="N267" s="112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</row>
    <row r="268" spans="1:29" ht="13">
      <c r="A268" s="115"/>
      <c r="B268" s="97"/>
      <c r="C268" s="115"/>
      <c r="D268" s="115"/>
      <c r="E268" s="115"/>
      <c r="F268" s="115"/>
      <c r="G268" s="99"/>
      <c r="H268" s="98"/>
      <c r="I268" s="100"/>
      <c r="J268" s="100"/>
      <c r="K268" s="100"/>
      <c r="L268" s="101"/>
      <c r="M268" s="101"/>
      <c r="N268" s="112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</row>
    <row r="269" spans="1:29" ht="13">
      <c r="A269" s="115"/>
      <c r="B269" s="97"/>
      <c r="C269" s="115"/>
      <c r="D269" s="115"/>
      <c r="E269" s="115"/>
      <c r="F269" s="115"/>
      <c r="G269" s="99"/>
      <c r="H269" s="98"/>
      <c r="I269" s="100"/>
      <c r="J269" s="100"/>
      <c r="K269" s="100"/>
      <c r="L269" s="101"/>
      <c r="M269" s="101"/>
      <c r="N269" s="112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</row>
    <row r="270" spans="1:29" ht="13">
      <c r="A270" s="115"/>
      <c r="B270" s="97"/>
      <c r="C270" s="115"/>
      <c r="D270" s="115"/>
      <c r="E270" s="115"/>
      <c r="F270" s="115"/>
      <c r="G270" s="99"/>
      <c r="H270" s="98"/>
      <c r="I270" s="100"/>
      <c r="J270" s="100"/>
      <c r="K270" s="100"/>
      <c r="L270" s="101"/>
      <c r="M270" s="101"/>
      <c r="N270" s="112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</row>
    <row r="271" spans="1:29" ht="13">
      <c r="A271" s="115"/>
      <c r="B271" s="97"/>
      <c r="C271" s="115"/>
      <c r="D271" s="115"/>
      <c r="E271" s="115"/>
      <c r="F271" s="115"/>
      <c r="G271" s="99"/>
      <c r="H271" s="98"/>
      <c r="I271" s="100"/>
      <c r="J271" s="100"/>
      <c r="K271" s="100"/>
      <c r="L271" s="101"/>
      <c r="M271" s="101"/>
      <c r="N271" s="112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</row>
    <row r="272" spans="1:29" ht="13">
      <c r="A272" s="115"/>
      <c r="B272" s="97"/>
      <c r="C272" s="115"/>
      <c r="D272" s="115"/>
      <c r="E272" s="115"/>
      <c r="F272" s="115"/>
      <c r="G272" s="99"/>
      <c r="H272" s="98"/>
      <c r="I272" s="100"/>
      <c r="J272" s="100"/>
      <c r="K272" s="100"/>
      <c r="L272" s="101"/>
      <c r="M272" s="101"/>
      <c r="N272" s="112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</row>
    <row r="273" spans="1:29" ht="13">
      <c r="A273" s="115"/>
      <c r="B273" s="97"/>
      <c r="C273" s="115"/>
      <c r="D273" s="115"/>
      <c r="E273" s="115"/>
      <c r="F273" s="115"/>
      <c r="G273" s="99"/>
      <c r="H273" s="98"/>
      <c r="I273" s="100"/>
      <c r="J273" s="100"/>
      <c r="K273" s="100"/>
      <c r="L273" s="101"/>
      <c r="M273" s="101"/>
      <c r="N273" s="112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</row>
    <row r="274" spans="1:29" ht="13">
      <c r="A274" s="115"/>
      <c r="B274" s="97"/>
      <c r="C274" s="115"/>
      <c r="D274" s="115"/>
      <c r="E274" s="115"/>
      <c r="F274" s="115"/>
      <c r="G274" s="99"/>
      <c r="H274" s="98"/>
      <c r="I274" s="100"/>
      <c r="J274" s="100"/>
      <c r="K274" s="100"/>
      <c r="L274" s="101"/>
      <c r="M274" s="101"/>
      <c r="N274" s="112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</row>
    <row r="275" spans="1:29" ht="13">
      <c r="A275" s="115"/>
      <c r="B275" s="97"/>
      <c r="C275" s="115"/>
      <c r="D275" s="115"/>
      <c r="E275" s="115"/>
      <c r="F275" s="115"/>
      <c r="G275" s="99"/>
      <c r="H275" s="98"/>
      <c r="I275" s="100"/>
      <c r="J275" s="100"/>
      <c r="K275" s="100"/>
      <c r="L275" s="101"/>
      <c r="M275" s="101"/>
      <c r="N275" s="112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</row>
    <row r="276" spans="1:29" ht="13">
      <c r="A276" s="115"/>
      <c r="B276" s="97"/>
      <c r="C276" s="115"/>
      <c r="D276" s="115"/>
      <c r="E276" s="115"/>
      <c r="F276" s="115"/>
      <c r="G276" s="99"/>
      <c r="H276" s="98"/>
      <c r="I276" s="100"/>
      <c r="J276" s="100"/>
      <c r="K276" s="100"/>
      <c r="L276" s="101"/>
      <c r="M276" s="101"/>
      <c r="N276" s="112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</row>
    <row r="277" spans="1:29" ht="13">
      <c r="A277" s="115"/>
      <c r="B277" s="97"/>
      <c r="C277" s="115"/>
      <c r="D277" s="115"/>
      <c r="E277" s="115"/>
      <c r="F277" s="115"/>
      <c r="G277" s="99"/>
      <c r="H277" s="98"/>
      <c r="I277" s="100"/>
      <c r="J277" s="100"/>
      <c r="K277" s="100"/>
      <c r="L277" s="101"/>
      <c r="M277" s="101"/>
      <c r="N277" s="112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</row>
    <row r="278" spans="1:29" ht="13">
      <c r="A278" s="115"/>
      <c r="B278" s="97"/>
      <c r="C278" s="115"/>
      <c r="D278" s="115"/>
      <c r="E278" s="115"/>
      <c r="F278" s="115"/>
      <c r="G278" s="99"/>
      <c r="H278" s="98"/>
      <c r="I278" s="100"/>
      <c r="J278" s="100"/>
      <c r="K278" s="100"/>
      <c r="L278" s="101"/>
      <c r="M278" s="101"/>
      <c r="N278" s="112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</row>
    <row r="279" spans="1:29" ht="13">
      <c r="A279" s="115"/>
      <c r="B279" s="97"/>
      <c r="C279" s="115"/>
      <c r="D279" s="115"/>
      <c r="E279" s="115"/>
      <c r="F279" s="115"/>
      <c r="G279" s="99"/>
      <c r="H279" s="98"/>
      <c r="I279" s="100"/>
      <c r="J279" s="100"/>
      <c r="K279" s="100"/>
      <c r="L279" s="101"/>
      <c r="M279" s="101"/>
      <c r="N279" s="112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</row>
    <row r="280" spans="1:29" ht="13">
      <c r="A280" s="115"/>
      <c r="B280" s="97"/>
      <c r="C280" s="115"/>
      <c r="D280" s="115"/>
      <c r="E280" s="115"/>
      <c r="F280" s="115"/>
      <c r="G280" s="99"/>
      <c r="H280" s="98"/>
      <c r="I280" s="100"/>
      <c r="J280" s="100"/>
      <c r="K280" s="100"/>
      <c r="L280" s="101"/>
      <c r="M280" s="101"/>
      <c r="N280" s="112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</row>
    <row r="281" spans="1:29" ht="13">
      <c r="A281" s="115"/>
      <c r="B281" s="97"/>
      <c r="C281" s="115"/>
      <c r="D281" s="115"/>
      <c r="E281" s="115"/>
      <c r="F281" s="115"/>
      <c r="G281" s="99"/>
      <c r="H281" s="98"/>
      <c r="I281" s="100"/>
      <c r="J281" s="100"/>
      <c r="K281" s="100"/>
      <c r="L281" s="101"/>
      <c r="M281" s="101"/>
      <c r="N281" s="112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</row>
    <row r="282" spans="1:29" ht="13">
      <c r="A282" s="115"/>
      <c r="B282" s="97"/>
      <c r="C282" s="115"/>
      <c r="D282" s="115"/>
      <c r="E282" s="115"/>
      <c r="F282" s="115"/>
      <c r="G282" s="99"/>
      <c r="H282" s="98"/>
      <c r="I282" s="100"/>
      <c r="J282" s="100"/>
      <c r="K282" s="100"/>
      <c r="L282" s="101"/>
      <c r="M282" s="101"/>
      <c r="N282" s="112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</row>
    <row r="283" spans="1:29" ht="13">
      <c r="A283" s="115"/>
      <c r="B283" s="97"/>
      <c r="C283" s="115"/>
      <c r="D283" s="115"/>
      <c r="E283" s="115"/>
      <c r="F283" s="115"/>
      <c r="G283" s="99"/>
      <c r="H283" s="98"/>
      <c r="I283" s="100"/>
      <c r="J283" s="100"/>
      <c r="K283" s="100"/>
      <c r="L283" s="101"/>
      <c r="M283" s="101"/>
      <c r="N283" s="112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</row>
    <row r="284" spans="1:29" ht="13">
      <c r="A284" s="115"/>
      <c r="B284" s="97"/>
      <c r="C284" s="115"/>
      <c r="D284" s="115"/>
      <c r="E284" s="115"/>
      <c r="F284" s="115"/>
      <c r="G284" s="99"/>
      <c r="H284" s="98"/>
      <c r="I284" s="100"/>
      <c r="J284" s="100"/>
      <c r="K284" s="100"/>
      <c r="L284" s="101"/>
      <c r="M284" s="101"/>
      <c r="N284" s="112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</row>
    <row r="285" spans="1:29" ht="13">
      <c r="A285" s="115"/>
      <c r="B285" s="97"/>
      <c r="C285" s="115"/>
      <c r="D285" s="115"/>
      <c r="E285" s="115"/>
      <c r="F285" s="115"/>
      <c r="G285" s="99"/>
      <c r="H285" s="98"/>
      <c r="I285" s="100"/>
      <c r="J285" s="100"/>
      <c r="K285" s="100"/>
      <c r="L285" s="101"/>
      <c r="M285" s="101"/>
      <c r="N285" s="112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</row>
    <row r="286" spans="1:29" ht="13">
      <c r="A286" s="115"/>
      <c r="B286" s="97"/>
      <c r="C286" s="115"/>
      <c r="D286" s="115"/>
      <c r="E286" s="115"/>
      <c r="F286" s="115"/>
      <c r="G286" s="99"/>
      <c r="H286" s="98"/>
      <c r="I286" s="100"/>
      <c r="J286" s="100"/>
      <c r="K286" s="100"/>
      <c r="L286" s="101"/>
      <c r="M286" s="101"/>
      <c r="N286" s="112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</row>
    <row r="287" spans="1:29" ht="13">
      <c r="A287" s="115"/>
      <c r="B287" s="97"/>
      <c r="C287" s="115"/>
      <c r="D287" s="115"/>
      <c r="E287" s="115"/>
      <c r="F287" s="115"/>
      <c r="G287" s="99"/>
      <c r="H287" s="98"/>
      <c r="I287" s="100"/>
      <c r="J287" s="100"/>
      <c r="K287" s="100"/>
      <c r="L287" s="101"/>
      <c r="M287" s="101"/>
      <c r="N287" s="112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</row>
    <row r="288" spans="1:29" ht="13">
      <c r="A288" s="115"/>
      <c r="B288" s="97"/>
      <c r="C288" s="115"/>
      <c r="D288" s="115"/>
      <c r="E288" s="115"/>
      <c r="F288" s="115"/>
      <c r="G288" s="99"/>
      <c r="H288" s="98"/>
      <c r="I288" s="100"/>
      <c r="J288" s="100"/>
      <c r="K288" s="100"/>
      <c r="L288" s="101"/>
      <c r="M288" s="101"/>
      <c r="N288" s="112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</row>
    <row r="289" spans="1:29" ht="13">
      <c r="A289" s="115"/>
      <c r="B289" s="97"/>
      <c r="C289" s="115"/>
      <c r="D289" s="115"/>
      <c r="E289" s="115"/>
      <c r="F289" s="115"/>
      <c r="G289" s="99"/>
      <c r="H289" s="98"/>
      <c r="I289" s="100"/>
      <c r="J289" s="100"/>
      <c r="K289" s="100"/>
      <c r="L289" s="101"/>
      <c r="M289" s="101"/>
      <c r="N289" s="112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</row>
    <row r="290" spans="1:29" ht="13">
      <c r="A290" s="115"/>
      <c r="B290" s="97"/>
      <c r="C290" s="115"/>
      <c r="D290" s="115"/>
      <c r="E290" s="115"/>
      <c r="F290" s="115"/>
      <c r="G290" s="99"/>
      <c r="H290" s="98"/>
      <c r="I290" s="100"/>
      <c r="J290" s="100"/>
      <c r="K290" s="100"/>
      <c r="L290" s="101"/>
      <c r="M290" s="101"/>
      <c r="N290" s="112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</row>
    <row r="291" spans="1:29" ht="13">
      <c r="A291" s="115"/>
      <c r="B291" s="97"/>
      <c r="C291" s="115"/>
      <c r="D291" s="115"/>
      <c r="E291" s="115"/>
      <c r="F291" s="115"/>
      <c r="G291" s="99"/>
      <c r="H291" s="98"/>
      <c r="I291" s="100"/>
      <c r="J291" s="100"/>
      <c r="K291" s="100"/>
      <c r="L291" s="101"/>
      <c r="M291" s="101"/>
      <c r="N291" s="112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</row>
    <row r="292" spans="1:29" ht="13">
      <c r="A292" s="115"/>
      <c r="B292" s="97"/>
      <c r="C292" s="115"/>
      <c r="D292" s="115"/>
      <c r="E292" s="115"/>
      <c r="F292" s="115"/>
      <c r="G292" s="99"/>
      <c r="H292" s="98"/>
      <c r="I292" s="100"/>
      <c r="J292" s="100"/>
      <c r="K292" s="100"/>
      <c r="L292" s="101"/>
      <c r="M292" s="101"/>
      <c r="N292" s="112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</row>
    <row r="293" spans="1:29" ht="13">
      <c r="A293" s="115"/>
      <c r="B293" s="97"/>
      <c r="C293" s="115"/>
      <c r="D293" s="115"/>
      <c r="E293" s="115"/>
      <c r="F293" s="115"/>
      <c r="G293" s="99"/>
      <c r="H293" s="98"/>
      <c r="I293" s="100"/>
      <c r="J293" s="100"/>
      <c r="K293" s="100"/>
      <c r="L293" s="101"/>
      <c r="M293" s="101"/>
      <c r="N293" s="112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</row>
    <row r="294" spans="1:29" ht="13">
      <c r="A294" s="115"/>
      <c r="B294" s="97"/>
      <c r="C294" s="115"/>
      <c r="D294" s="115"/>
      <c r="E294" s="115"/>
      <c r="F294" s="115"/>
      <c r="G294" s="99"/>
      <c r="H294" s="98"/>
      <c r="I294" s="100"/>
      <c r="J294" s="100"/>
      <c r="K294" s="100"/>
      <c r="L294" s="101"/>
      <c r="M294" s="101"/>
      <c r="N294" s="112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</row>
    <row r="295" spans="1:29" ht="13">
      <c r="A295" s="115"/>
      <c r="B295" s="97"/>
      <c r="C295" s="115"/>
      <c r="D295" s="115"/>
      <c r="E295" s="115"/>
      <c r="F295" s="115"/>
      <c r="G295" s="99"/>
      <c r="H295" s="98"/>
      <c r="I295" s="100"/>
      <c r="J295" s="100"/>
      <c r="K295" s="100"/>
      <c r="L295" s="101"/>
      <c r="M295" s="101"/>
      <c r="N295" s="112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</row>
    <row r="296" spans="1:29" ht="13">
      <c r="A296" s="115"/>
      <c r="B296" s="97"/>
      <c r="C296" s="115"/>
      <c r="D296" s="115"/>
      <c r="E296" s="115"/>
      <c r="F296" s="115"/>
      <c r="G296" s="99"/>
      <c r="H296" s="98"/>
      <c r="I296" s="100"/>
      <c r="J296" s="100"/>
      <c r="K296" s="100"/>
      <c r="L296" s="101"/>
      <c r="M296" s="101"/>
      <c r="N296" s="112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</row>
    <row r="297" spans="1:29" ht="13">
      <c r="A297" s="115"/>
      <c r="B297" s="97"/>
      <c r="C297" s="115"/>
      <c r="D297" s="115"/>
      <c r="E297" s="115"/>
      <c r="F297" s="115"/>
      <c r="G297" s="99"/>
      <c r="H297" s="98"/>
      <c r="I297" s="100"/>
      <c r="J297" s="100"/>
      <c r="K297" s="100"/>
      <c r="L297" s="101"/>
      <c r="M297" s="101"/>
      <c r="N297" s="112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</row>
    <row r="298" spans="1:29" ht="13">
      <c r="A298" s="115"/>
      <c r="B298" s="97"/>
      <c r="C298" s="115"/>
      <c r="D298" s="115"/>
      <c r="E298" s="115"/>
      <c r="F298" s="115"/>
      <c r="G298" s="99"/>
      <c r="H298" s="98"/>
      <c r="I298" s="100"/>
      <c r="J298" s="100"/>
      <c r="K298" s="100"/>
      <c r="L298" s="101"/>
      <c r="M298" s="101"/>
      <c r="N298" s="112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</row>
    <row r="299" spans="1:29" ht="13">
      <c r="A299" s="115"/>
      <c r="B299" s="97"/>
      <c r="C299" s="115"/>
      <c r="D299" s="115"/>
      <c r="E299" s="115"/>
      <c r="F299" s="115"/>
      <c r="G299" s="99"/>
      <c r="H299" s="98"/>
      <c r="I299" s="100"/>
      <c r="J299" s="100"/>
      <c r="K299" s="100"/>
      <c r="L299" s="101"/>
      <c r="M299" s="101"/>
      <c r="N299" s="112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</row>
    <row r="300" spans="1:29" ht="13">
      <c r="A300" s="115"/>
      <c r="B300" s="97"/>
      <c r="C300" s="115"/>
      <c r="D300" s="115"/>
      <c r="E300" s="115"/>
      <c r="F300" s="115"/>
      <c r="G300" s="99"/>
      <c r="H300" s="98"/>
      <c r="I300" s="100"/>
      <c r="J300" s="100"/>
      <c r="K300" s="100"/>
      <c r="L300" s="101"/>
      <c r="M300" s="101"/>
      <c r="N300" s="112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</row>
    <row r="301" spans="1:29" ht="13">
      <c r="A301" s="115"/>
      <c r="B301" s="97"/>
      <c r="C301" s="115"/>
      <c r="D301" s="115"/>
      <c r="E301" s="115"/>
      <c r="F301" s="115"/>
      <c r="G301" s="99"/>
      <c r="H301" s="98"/>
      <c r="I301" s="100"/>
      <c r="J301" s="100"/>
      <c r="K301" s="100"/>
      <c r="L301" s="101"/>
      <c r="M301" s="101"/>
      <c r="N301" s="112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</row>
    <row r="302" spans="1:29" ht="13">
      <c r="A302" s="115"/>
      <c r="B302" s="97"/>
      <c r="C302" s="115"/>
      <c r="D302" s="115"/>
      <c r="E302" s="115"/>
      <c r="F302" s="115"/>
      <c r="G302" s="99"/>
      <c r="H302" s="98"/>
      <c r="I302" s="100"/>
      <c r="J302" s="100"/>
      <c r="K302" s="100"/>
      <c r="L302" s="101"/>
      <c r="M302" s="101"/>
      <c r="N302" s="112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</row>
    <row r="303" spans="1:29" ht="13">
      <c r="A303" s="115"/>
      <c r="B303" s="97"/>
      <c r="C303" s="115"/>
      <c r="D303" s="115"/>
      <c r="E303" s="115"/>
      <c r="F303" s="115"/>
      <c r="G303" s="99"/>
      <c r="H303" s="98"/>
      <c r="I303" s="100"/>
      <c r="J303" s="100"/>
      <c r="K303" s="100"/>
      <c r="L303" s="101"/>
      <c r="M303" s="101"/>
      <c r="N303" s="112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</row>
    <row r="304" spans="1:29" ht="13">
      <c r="A304" s="115"/>
      <c r="B304" s="97"/>
      <c r="C304" s="115"/>
      <c r="D304" s="115"/>
      <c r="E304" s="115"/>
      <c r="F304" s="115"/>
      <c r="G304" s="99"/>
      <c r="H304" s="98"/>
      <c r="I304" s="100"/>
      <c r="J304" s="100"/>
      <c r="K304" s="100"/>
      <c r="L304" s="101"/>
      <c r="M304" s="101"/>
      <c r="N304" s="112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</row>
    <row r="305" spans="1:29" ht="13">
      <c r="A305" s="115"/>
      <c r="B305" s="97"/>
      <c r="C305" s="115"/>
      <c r="D305" s="115"/>
      <c r="E305" s="115"/>
      <c r="F305" s="115"/>
      <c r="G305" s="99"/>
      <c r="H305" s="98"/>
      <c r="I305" s="100"/>
      <c r="J305" s="100"/>
      <c r="K305" s="100"/>
      <c r="L305" s="101"/>
      <c r="M305" s="101"/>
      <c r="N305" s="112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</row>
    <row r="306" spans="1:29" ht="13">
      <c r="A306" s="115"/>
      <c r="B306" s="97"/>
      <c r="C306" s="115"/>
      <c r="D306" s="115"/>
      <c r="E306" s="115"/>
      <c r="F306" s="115"/>
      <c r="G306" s="99"/>
      <c r="H306" s="98"/>
      <c r="I306" s="100"/>
      <c r="J306" s="100"/>
      <c r="K306" s="100"/>
      <c r="L306" s="101"/>
      <c r="M306" s="101"/>
      <c r="N306" s="112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</row>
    <row r="307" spans="1:29" ht="13">
      <c r="A307" s="115"/>
      <c r="B307" s="97"/>
      <c r="C307" s="115"/>
      <c r="D307" s="115"/>
      <c r="E307" s="115"/>
      <c r="F307" s="115"/>
      <c r="G307" s="99"/>
      <c r="H307" s="98"/>
      <c r="I307" s="100"/>
      <c r="J307" s="100"/>
      <c r="K307" s="100"/>
      <c r="L307" s="101"/>
      <c r="M307" s="101"/>
      <c r="N307" s="112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</row>
    <row r="308" spans="1:29" ht="13">
      <c r="A308" s="115"/>
      <c r="B308" s="97"/>
      <c r="C308" s="115"/>
      <c r="D308" s="115"/>
      <c r="E308" s="115"/>
      <c r="F308" s="115"/>
      <c r="G308" s="99"/>
      <c r="H308" s="98"/>
      <c r="I308" s="100"/>
      <c r="J308" s="100"/>
      <c r="K308" s="100"/>
      <c r="L308" s="101"/>
      <c r="M308" s="101"/>
      <c r="N308" s="112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</row>
    <row r="309" spans="1:29" ht="13">
      <c r="A309" s="115"/>
      <c r="B309" s="97"/>
      <c r="C309" s="115"/>
      <c r="D309" s="115"/>
      <c r="E309" s="115"/>
      <c r="F309" s="115"/>
      <c r="G309" s="99"/>
      <c r="H309" s="98"/>
      <c r="I309" s="100"/>
      <c r="J309" s="100"/>
      <c r="K309" s="100"/>
      <c r="L309" s="101"/>
      <c r="M309" s="101"/>
      <c r="N309" s="112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</row>
    <row r="310" spans="1:29" ht="13">
      <c r="A310" s="115"/>
      <c r="B310" s="97"/>
      <c r="C310" s="115"/>
      <c r="D310" s="115"/>
      <c r="E310" s="115"/>
      <c r="F310" s="115"/>
      <c r="G310" s="99"/>
      <c r="H310" s="98"/>
      <c r="I310" s="100"/>
      <c r="J310" s="100"/>
      <c r="K310" s="100"/>
      <c r="L310" s="101"/>
      <c r="M310" s="101"/>
      <c r="N310" s="112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</row>
    <row r="311" spans="1:29" ht="13">
      <c r="A311" s="115"/>
      <c r="B311" s="97"/>
      <c r="C311" s="115"/>
      <c r="D311" s="115"/>
      <c r="E311" s="115"/>
      <c r="F311" s="115"/>
      <c r="G311" s="99"/>
      <c r="H311" s="98"/>
      <c r="I311" s="100"/>
      <c r="J311" s="100"/>
      <c r="K311" s="100"/>
      <c r="L311" s="101"/>
      <c r="M311" s="101"/>
      <c r="N311" s="112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</row>
    <row r="312" spans="1:29" ht="13">
      <c r="A312" s="115"/>
      <c r="B312" s="97"/>
      <c r="C312" s="115"/>
      <c r="D312" s="115"/>
      <c r="E312" s="115"/>
      <c r="F312" s="115"/>
      <c r="G312" s="99"/>
      <c r="H312" s="98"/>
      <c r="I312" s="100"/>
      <c r="J312" s="100"/>
      <c r="K312" s="100"/>
      <c r="L312" s="101"/>
      <c r="M312" s="101"/>
      <c r="N312" s="112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</row>
    <row r="313" spans="1:29" ht="13">
      <c r="A313" s="115"/>
      <c r="B313" s="97"/>
      <c r="C313" s="115"/>
      <c r="D313" s="115"/>
      <c r="E313" s="115"/>
      <c r="F313" s="115"/>
      <c r="G313" s="99"/>
      <c r="H313" s="98"/>
      <c r="I313" s="100"/>
      <c r="J313" s="100"/>
      <c r="K313" s="100"/>
      <c r="L313" s="101"/>
      <c r="M313" s="101"/>
      <c r="N313" s="112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</row>
    <row r="314" spans="1:29" ht="13">
      <c r="A314" s="115"/>
      <c r="B314" s="97"/>
      <c r="C314" s="115"/>
      <c r="D314" s="115"/>
      <c r="E314" s="115"/>
      <c r="F314" s="115"/>
      <c r="G314" s="99"/>
      <c r="H314" s="98"/>
      <c r="I314" s="100"/>
      <c r="J314" s="100"/>
      <c r="K314" s="100"/>
      <c r="L314" s="101"/>
      <c r="M314" s="101"/>
      <c r="N314" s="112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</row>
    <row r="315" spans="1:29" ht="13">
      <c r="A315" s="115"/>
      <c r="B315" s="97"/>
      <c r="C315" s="115"/>
      <c r="D315" s="115"/>
      <c r="E315" s="115"/>
      <c r="F315" s="115"/>
      <c r="G315" s="99"/>
      <c r="H315" s="98"/>
      <c r="I315" s="100"/>
      <c r="J315" s="100"/>
      <c r="K315" s="100"/>
      <c r="L315" s="101"/>
      <c r="M315" s="101"/>
      <c r="N315" s="112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</row>
    <row r="316" spans="1:29" ht="13">
      <c r="A316" s="115"/>
      <c r="B316" s="97"/>
      <c r="C316" s="115"/>
      <c r="D316" s="115"/>
      <c r="E316" s="115"/>
      <c r="F316" s="115"/>
      <c r="G316" s="99"/>
      <c r="H316" s="98"/>
      <c r="I316" s="100"/>
      <c r="J316" s="100"/>
      <c r="K316" s="100"/>
      <c r="L316" s="101"/>
      <c r="M316" s="101"/>
      <c r="N316" s="112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</row>
    <row r="317" spans="1:29" ht="13">
      <c r="A317" s="115"/>
      <c r="B317" s="97"/>
      <c r="C317" s="115"/>
      <c r="D317" s="115"/>
      <c r="E317" s="115"/>
      <c r="F317" s="115"/>
      <c r="G317" s="99"/>
      <c r="H317" s="98"/>
      <c r="I317" s="100"/>
      <c r="J317" s="100"/>
      <c r="K317" s="100"/>
      <c r="L317" s="101"/>
      <c r="M317" s="101"/>
      <c r="N317" s="112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</row>
    <row r="318" spans="1:29" ht="13">
      <c r="A318" s="115"/>
      <c r="B318" s="97"/>
      <c r="C318" s="115"/>
      <c r="D318" s="115"/>
      <c r="E318" s="115"/>
      <c r="F318" s="115"/>
      <c r="G318" s="99"/>
      <c r="H318" s="98"/>
      <c r="I318" s="100"/>
      <c r="J318" s="100"/>
      <c r="K318" s="100"/>
      <c r="L318" s="101"/>
      <c r="M318" s="101"/>
      <c r="N318" s="112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</row>
    <row r="319" spans="1:29" ht="13">
      <c r="A319" s="115"/>
      <c r="B319" s="97"/>
      <c r="C319" s="115"/>
      <c r="D319" s="115"/>
      <c r="E319" s="115"/>
      <c r="F319" s="115"/>
      <c r="G319" s="99"/>
      <c r="H319" s="98"/>
      <c r="I319" s="100"/>
      <c r="J319" s="100"/>
      <c r="K319" s="100"/>
      <c r="L319" s="101"/>
      <c r="M319" s="101"/>
      <c r="N319" s="112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</row>
    <row r="320" spans="1:29" ht="13">
      <c r="A320" s="115"/>
      <c r="B320" s="97"/>
      <c r="C320" s="115"/>
      <c r="D320" s="115"/>
      <c r="E320" s="115"/>
      <c r="F320" s="115"/>
      <c r="G320" s="99"/>
      <c r="H320" s="98"/>
      <c r="I320" s="100"/>
      <c r="J320" s="100"/>
      <c r="K320" s="100"/>
      <c r="L320" s="101"/>
      <c r="M320" s="101"/>
      <c r="N320" s="112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</row>
    <row r="321" spans="1:29" ht="13">
      <c r="A321" s="115"/>
      <c r="B321" s="97"/>
      <c r="C321" s="115"/>
      <c r="D321" s="115"/>
      <c r="E321" s="115"/>
      <c r="F321" s="115"/>
      <c r="G321" s="99"/>
      <c r="H321" s="98"/>
      <c r="I321" s="100"/>
      <c r="J321" s="100"/>
      <c r="K321" s="100"/>
      <c r="L321" s="101"/>
      <c r="M321" s="101"/>
      <c r="N321" s="112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</row>
    <row r="322" spans="1:29" ht="13">
      <c r="A322" s="115"/>
      <c r="B322" s="97"/>
      <c r="C322" s="115"/>
      <c r="D322" s="115"/>
      <c r="E322" s="115"/>
      <c r="F322" s="115"/>
      <c r="G322" s="99"/>
      <c r="H322" s="98"/>
      <c r="I322" s="100"/>
      <c r="J322" s="100"/>
      <c r="K322" s="100"/>
      <c r="L322" s="101"/>
      <c r="M322" s="101"/>
      <c r="N322" s="112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</row>
    <row r="323" spans="1:29" ht="13">
      <c r="A323" s="115"/>
      <c r="B323" s="97"/>
      <c r="C323" s="115"/>
      <c r="D323" s="115"/>
      <c r="E323" s="115"/>
      <c r="F323" s="115"/>
      <c r="G323" s="99"/>
      <c r="H323" s="98"/>
      <c r="I323" s="100"/>
      <c r="J323" s="100"/>
      <c r="K323" s="100"/>
      <c r="L323" s="101"/>
      <c r="M323" s="101"/>
      <c r="N323" s="112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</row>
    <row r="324" spans="1:29" ht="13">
      <c r="A324" s="115"/>
      <c r="B324" s="97"/>
      <c r="C324" s="115"/>
      <c r="D324" s="115"/>
      <c r="E324" s="115"/>
      <c r="F324" s="115"/>
      <c r="G324" s="99"/>
      <c r="H324" s="98"/>
      <c r="I324" s="100"/>
      <c r="J324" s="100"/>
      <c r="K324" s="100"/>
      <c r="L324" s="101"/>
      <c r="M324" s="101"/>
      <c r="N324" s="112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</row>
    <row r="325" spans="1:29" ht="13">
      <c r="A325" s="115"/>
      <c r="B325" s="97"/>
      <c r="C325" s="115"/>
      <c r="D325" s="115"/>
      <c r="E325" s="115"/>
      <c r="F325" s="115"/>
      <c r="G325" s="99"/>
      <c r="H325" s="98"/>
      <c r="I325" s="100"/>
      <c r="J325" s="100"/>
      <c r="K325" s="100"/>
      <c r="L325" s="101"/>
      <c r="M325" s="101"/>
      <c r="N325" s="112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</row>
    <row r="326" spans="1:29" ht="13">
      <c r="A326" s="115"/>
      <c r="B326" s="97"/>
      <c r="C326" s="115"/>
      <c r="D326" s="115"/>
      <c r="E326" s="115"/>
      <c r="F326" s="115"/>
      <c r="G326" s="99"/>
      <c r="H326" s="98"/>
      <c r="I326" s="100"/>
      <c r="J326" s="100"/>
      <c r="K326" s="100"/>
      <c r="L326" s="101"/>
      <c r="M326" s="101"/>
      <c r="N326" s="112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</row>
    <row r="327" spans="1:29" ht="13">
      <c r="A327" s="115"/>
      <c r="B327" s="97"/>
      <c r="C327" s="115"/>
      <c r="D327" s="115"/>
      <c r="E327" s="115"/>
      <c r="F327" s="115"/>
      <c r="G327" s="99"/>
      <c r="H327" s="98"/>
      <c r="I327" s="100"/>
      <c r="J327" s="100"/>
      <c r="K327" s="100"/>
      <c r="L327" s="101"/>
      <c r="M327" s="101"/>
      <c r="N327" s="112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</row>
    <row r="328" spans="1:29" ht="13">
      <c r="A328" s="115"/>
      <c r="B328" s="97"/>
      <c r="C328" s="115"/>
      <c r="D328" s="115"/>
      <c r="E328" s="115"/>
      <c r="F328" s="115"/>
      <c r="G328" s="99"/>
      <c r="H328" s="98"/>
      <c r="I328" s="100"/>
      <c r="J328" s="100"/>
      <c r="K328" s="100"/>
      <c r="L328" s="101"/>
      <c r="M328" s="101"/>
      <c r="N328" s="112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</row>
    <row r="329" spans="1:29" ht="13">
      <c r="A329" s="115"/>
      <c r="B329" s="97"/>
      <c r="C329" s="115"/>
      <c r="D329" s="115"/>
      <c r="E329" s="115"/>
      <c r="F329" s="115"/>
      <c r="G329" s="99"/>
      <c r="H329" s="98"/>
      <c r="I329" s="100"/>
      <c r="J329" s="100"/>
      <c r="K329" s="100"/>
      <c r="L329" s="101"/>
      <c r="M329" s="101"/>
      <c r="N329" s="112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</row>
    <row r="330" spans="1:29" ht="13">
      <c r="A330" s="115"/>
      <c r="B330" s="97"/>
      <c r="C330" s="115"/>
      <c r="D330" s="115"/>
      <c r="E330" s="115"/>
      <c r="F330" s="115"/>
      <c r="G330" s="99"/>
      <c r="H330" s="98"/>
      <c r="I330" s="100"/>
      <c r="J330" s="100"/>
      <c r="K330" s="100"/>
      <c r="L330" s="101"/>
      <c r="M330" s="101"/>
      <c r="N330" s="112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</row>
    <row r="331" spans="1:29" ht="13">
      <c r="A331" s="115"/>
      <c r="B331" s="97"/>
      <c r="C331" s="115"/>
      <c r="D331" s="115"/>
      <c r="E331" s="115"/>
      <c r="F331" s="115"/>
      <c r="G331" s="99"/>
      <c r="H331" s="98"/>
      <c r="I331" s="100"/>
      <c r="J331" s="100"/>
      <c r="K331" s="100"/>
      <c r="L331" s="101"/>
      <c r="M331" s="101"/>
      <c r="N331" s="112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</row>
    <row r="332" spans="1:29" ht="13">
      <c r="A332" s="115"/>
      <c r="B332" s="97"/>
      <c r="C332" s="115"/>
      <c r="D332" s="115"/>
      <c r="E332" s="115"/>
      <c r="F332" s="115"/>
      <c r="G332" s="99"/>
      <c r="H332" s="98"/>
      <c r="I332" s="100"/>
      <c r="J332" s="100"/>
      <c r="K332" s="100"/>
      <c r="L332" s="101"/>
      <c r="M332" s="101"/>
      <c r="N332" s="112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</row>
    <row r="333" spans="1:29" ht="13">
      <c r="A333" s="115"/>
      <c r="B333" s="97"/>
      <c r="C333" s="115"/>
      <c r="D333" s="115"/>
      <c r="E333" s="115"/>
      <c r="F333" s="115"/>
      <c r="G333" s="99"/>
      <c r="H333" s="98"/>
      <c r="I333" s="100"/>
      <c r="J333" s="100"/>
      <c r="K333" s="100"/>
      <c r="L333" s="101"/>
      <c r="M333" s="101"/>
      <c r="N333" s="112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</row>
    <row r="334" spans="1:29" ht="13">
      <c r="A334" s="115"/>
      <c r="B334" s="97"/>
      <c r="C334" s="115"/>
      <c r="D334" s="115"/>
      <c r="E334" s="115"/>
      <c r="F334" s="115"/>
      <c r="G334" s="99"/>
      <c r="H334" s="98"/>
      <c r="I334" s="100"/>
      <c r="J334" s="100"/>
      <c r="K334" s="100"/>
      <c r="L334" s="101"/>
      <c r="M334" s="101"/>
      <c r="N334" s="112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</row>
    <row r="335" spans="1:29" ht="13">
      <c r="A335" s="115"/>
      <c r="B335" s="97"/>
      <c r="C335" s="115"/>
      <c r="D335" s="115"/>
      <c r="E335" s="115"/>
      <c r="F335" s="115"/>
      <c r="G335" s="99"/>
      <c r="H335" s="98"/>
      <c r="I335" s="100"/>
      <c r="J335" s="100"/>
      <c r="K335" s="100"/>
      <c r="L335" s="101"/>
      <c r="M335" s="101"/>
      <c r="N335" s="112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</row>
    <row r="336" spans="1:29" ht="13">
      <c r="A336" s="115"/>
      <c r="B336" s="97"/>
      <c r="C336" s="115"/>
      <c r="D336" s="115"/>
      <c r="E336" s="115"/>
      <c r="F336" s="115"/>
      <c r="G336" s="99"/>
      <c r="H336" s="98"/>
      <c r="I336" s="100"/>
      <c r="J336" s="100"/>
      <c r="K336" s="100"/>
      <c r="L336" s="101"/>
      <c r="M336" s="101"/>
      <c r="N336" s="112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</row>
    <row r="337" spans="1:29" ht="13">
      <c r="A337" s="115"/>
      <c r="B337" s="97"/>
      <c r="C337" s="115"/>
      <c r="D337" s="115"/>
      <c r="E337" s="115"/>
      <c r="F337" s="115"/>
      <c r="G337" s="99"/>
      <c r="H337" s="98"/>
      <c r="I337" s="100"/>
      <c r="J337" s="100"/>
      <c r="K337" s="100"/>
      <c r="L337" s="101"/>
      <c r="M337" s="101"/>
      <c r="N337" s="112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</row>
    <row r="338" spans="1:29" ht="13">
      <c r="A338" s="115"/>
      <c r="B338" s="97"/>
      <c r="C338" s="115"/>
      <c r="D338" s="115"/>
      <c r="E338" s="115"/>
      <c r="F338" s="115"/>
      <c r="G338" s="99"/>
      <c r="H338" s="98"/>
      <c r="I338" s="100"/>
      <c r="J338" s="100"/>
      <c r="K338" s="100"/>
      <c r="L338" s="101"/>
      <c r="M338" s="101"/>
      <c r="N338" s="112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</row>
    <row r="339" spans="1:29" ht="13">
      <c r="A339" s="115"/>
      <c r="B339" s="97"/>
      <c r="C339" s="115"/>
      <c r="D339" s="115"/>
      <c r="E339" s="115"/>
      <c r="F339" s="115"/>
      <c r="G339" s="99"/>
      <c r="H339" s="98"/>
      <c r="I339" s="100"/>
      <c r="J339" s="100"/>
      <c r="K339" s="100"/>
      <c r="L339" s="101"/>
      <c r="M339" s="101"/>
      <c r="N339" s="112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</row>
    <row r="340" spans="1:29" ht="13">
      <c r="A340" s="115"/>
      <c r="B340" s="97"/>
      <c r="C340" s="115"/>
      <c r="D340" s="115"/>
      <c r="E340" s="115"/>
      <c r="F340" s="115"/>
      <c r="G340" s="99"/>
      <c r="H340" s="98"/>
      <c r="I340" s="100"/>
      <c r="J340" s="100"/>
      <c r="K340" s="100"/>
      <c r="L340" s="101"/>
      <c r="M340" s="101"/>
      <c r="N340" s="112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</row>
    <row r="341" spans="1:29" ht="13">
      <c r="A341" s="115"/>
      <c r="B341" s="97"/>
      <c r="C341" s="115"/>
      <c r="D341" s="115"/>
      <c r="E341" s="115"/>
      <c r="F341" s="115"/>
      <c r="G341" s="99"/>
      <c r="H341" s="98"/>
      <c r="I341" s="100"/>
      <c r="J341" s="100"/>
      <c r="K341" s="100"/>
      <c r="L341" s="101"/>
      <c r="M341" s="101"/>
      <c r="N341" s="112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</row>
    <row r="342" spans="1:29" ht="13">
      <c r="A342" s="115"/>
      <c r="B342" s="97"/>
      <c r="C342" s="115"/>
      <c r="D342" s="115"/>
      <c r="E342" s="115"/>
      <c r="F342" s="115"/>
      <c r="G342" s="99"/>
      <c r="H342" s="98"/>
      <c r="I342" s="100"/>
      <c r="J342" s="100"/>
      <c r="K342" s="100"/>
      <c r="L342" s="101"/>
      <c r="M342" s="101"/>
      <c r="N342" s="112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</row>
    <row r="343" spans="1:29" ht="13">
      <c r="A343" s="115"/>
      <c r="B343" s="97"/>
      <c r="C343" s="115"/>
      <c r="D343" s="115"/>
      <c r="E343" s="115"/>
      <c r="F343" s="115"/>
      <c r="G343" s="99"/>
      <c r="H343" s="98"/>
      <c r="I343" s="100"/>
      <c r="J343" s="100"/>
      <c r="K343" s="100"/>
      <c r="L343" s="101"/>
      <c r="M343" s="101"/>
      <c r="N343" s="112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</row>
    <row r="344" spans="1:29" ht="13">
      <c r="A344" s="115"/>
      <c r="B344" s="97"/>
      <c r="C344" s="115"/>
      <c r="D344" s="115"/>
      <c r="E344" s="115"/>
      <c r="F344" s="115"/>
      <c r="G344" s="99"/>
      <c r="H344" s="98"/>
      <c r="I344" s="100"/>
      <c r="J344" s="100"/>
      <c r="K344" s="100"/>
      <c r="L344" s="101"/>
      <c r="M344" s="101"/>
      <c r="N344" s="112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</row>
    <row r="345" spans="1:29" ht="13">
      <c r="A345" s="115"/>
      <c r="B345" s="97"/>
      <c r="C345" s="115"/>
      <c r="D345" s="115"/>
      <c r="E345" s="115"/>
      <c r="F345" s="115"/>
      <c r="G345" s="99"/>
      <c r="H345" s="98"/>
      <c r="I345" s="100"/>
      <c r="J345" s="100"/>
      <c r="K345" s="100"/>
      <c r="L345" s="101"/>
      <c r="M345" s="101"/>
      <c r="N345" s="112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</row>
    <row r="346" spans="1:29" ht="13">
      <c r="A346" s="115"/>
      <c r="B346" s="97"/>
      <c r="C346" s="115"/>
      <c r="D346" s="115"/>
      <c r="E346" s="115"/>
      <c r="F346" s="115"/>
      <c r="G346" s="99"/>
      <c r="H346" s="98"/>
      <c r="I346" s="100"/>
      <c r="J346" s="100"/>
      <c r="K346" s="100"/>
      <c r="L346" s="101"/>
      <c r="M346" s="101"/>
      <c r="N346" s="112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</row>
    <row r="347" spans="1:29" ht="13">
      <c r="A347" s="115"/>
      <c r="B347" s="97"/>
      <c r="C347" s="115"/>
      <c r="D347" s="115"/>
      <c r="E347" s="115"/>
      <c r="F347" s="115"/>
      <c r="G347" s="99"/>
      <c r="H347" s="98"/>
      <c r="I347" s="100"/>
      <c r="J347" s="100"/>
      <c r="K347" s="100"/>
      <c r="L347" s="101"/>
      <c r="M347" s="101"/>
      <c r="N347" s="112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</row>
    <row r="348" spans="1:29" ht="13">
      <c r="A348" s="115"/>
      <c r="B348" s="97"/>
      <c r="C348" s="115"/>
      <c r="D348" s="115"/>
      <c r="E348" s="115"/>
      <c r="F348" s="115"/>
      <c r="G348" s="99"/>
      <c r="H348" s="98"/>
      <c r="I348" s="100"/>
      <c r="J348" s="100"/>
      <c r="K348" s="100"/>
      <c r="L348" s="101"/>
      <c r="M348" s="101"/>
      <c r="N348" s="112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</row>
    <row r="349" spans="1:29" ht="13">
      <c r="A349" s="115"/>
      <c r="B349" s="97"/>
      <c r="C349" s="115"/>
      <c r="D349" s="115"/>
      <c r="E349" s="115"/>
      <c r="F349" s="115"/>
      <c r="G349" s="99"/>
      <c r="H349" s="98"/>
      <c r="I349" s="100"/>
      <c r="J349" s="100"/>
      <c r="K349" s="100"/>
      <c r="L349" s="101"/>
      <c r="M349" s="101"/>
      <c r="N349" s="112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</row>
    <row r="350" spans="1:29" ht="13">
      <c r="A350" s="115"/>
      <c r="B350" s="97"/>
      <c r="C350" s="115"/>
      <c r="D350" s="115"/>
      <c r="E350" s="115"/>
      <c r="F350" s="115"/>
      <c r="G350" s="99"/>
      <c r="H350" s="98"/>
      <c r="I350" s="100"/>
      <c r="J350" s="100"/>
      <c r="K350" s="100"/>
      <c r="L350" s="101"/>
      <c r="M350" s="101"/>
      <c r="N350" s="112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</row>
    <row r="351" spans="1:29" ht="13">
      <c r="A351" s="115"/>
      <c r="B351" s="97"/>
      <c r="C351" s="115"/>
      <c r="D351" s="115"/>
      <c r="E351" s="115"/>
      <c r="F351" s="115"/>
      <c r="G351" s="99"/>
      <c r="H351" s="98"/>
      <c r="I351" s="100"/>
      <c r="J351" s="100"/>
      <c r="K351" s="100"/>
      <c r="L351" s="101"/>
      <c r="M351" s="101"/>
      <c r="N351" s="112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</row>
    <row r="352" spans="1:29" ht="13">
      <c r="A352" s="115"/>
      <c r="B352" s="97"/>
      <c r="C352" s="115"/>
      <c r="D352" s="115"/>
      <c r="E352" s="115"/>
      <c r="F352" s="115"/>
      <c r="G352" s="99"/>
      <c r="H352" s="98"/>
      <c r="I352" s="100"/>
      <c r="J352" s="100"/>
      <c r="K352" s="100"/>
      <c r="L352" s="101"/>
      <c r="M352" s="101"/>
      <c r="N352" s="112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</row>
    <row r="353" spans="1:29" ht="13">
      <c r="A353" s="115"/>
      <c r="B353" s="97"/>
      <c r="C353" s="115"/>
      <c r="D353" s="115"/>
      <c r="E353" s="115"/>
      <c r="F353" s="115"/>
      <c r="G353" s="99"/>
      <c r="H353" s="98"/>
      <c r="I353" s="100"/>
      <c r="J353" s="100"/>
      <c r="K353" s="100"/>
      <c r="L353" s="101"/>
      <c r="M353" s="101"/>
      <c r="N353" s="112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</row>
    <row r="354" spans="1:29" ht="13">
      <c r="A354" s="115"/>
      <c r="B354" s="97"/>
      <c r="C354" s="115"/>
      <c r="D354" s="115"/>
      <c r="E354" s="115"/>
      <c r="F354" s="115"/>
      <c r="G354" s="99"/>
      <c r="H354" s="98"/>
      <c r="I354" s="100"/>
      <c r="J354" s="100"/>
      <c r="K354" s="100"/>
      <c r="L354" s="101"/>
      <c r="M354" s="101"/>
      <c r="N354" s="112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</row>
    <row r="355" spans="1:29" ht="13">
      <c r="A355" s="115"/>
      <c r="B355" s="97"/>
      <c r="C355" s="115"/>
      <c r="D355" s="115"/>
      <c r="E355" s="115"/>
      <c r="F355" s="115"/>
      <c r="G355" s="99"/>
      <c r="H355" s="98"/>
      <c r="I355" s="100"/>
      <c r="J355" s="100"/>
      <c r="K355" s="100"/>
      <c r="L355" s="101"/>
      <c r="M355" s="101"/>
      <c r="N355" s="112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</row>
    <row r="356" spans="1:29" ht="13">
      <c r="A356" s="115"/>
      <c r="B356" s="97"/>
      <c r="C356" s="115"/>
      <c r="D356" s="115"/>
      <c r="E356" s="115"/>
      <c r="F356" s="115"/>
      <c r="G356" s="99"/>
      <c r="H356" s="98"/>
      <c r="I356" s="100"/>
      <c r="J356" s="100"/>
      <c r="K356" s="100"/>
      <c r="L356" s="101"/>
      <c r="M356" s="101"/>
      <c r="N356" s="112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</row>
    <row r="357" spans="1:29" ht="13">
      <c r="A357" s="115"/>
      <c r="B357" s="97"/>
      <c r="C357" s="115"/>
      <c r="D357" s="115"/>
      <c r="E357" s="115"/>
      <c r="F357" s="115"/>
      <c r="G357" s="99"/>
      <c r="H357" s="98"/>
      <c r="I357" s="100"/>
      <c r="J357" s="100"/>
      <c r="K357" s="100"/>
      <c r="L357" s="101"/>
      <c r="M357" s="101"/>
      <c r="N357" s="112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</row>
    <row r="358" spans="1:29" ht="13">
      <c r="A358" s="115"/>
      <c r="B358" s="97"/>
      <c r="C358" s="115"/>
      <c r="D358" s="115"/>
      <c r="E358" s="115"/>
      <c r="F358" s="115"/>
      <c r="G358" s="99"/>
      <c r="H358" s="98"/>
      <c r="I358" s="100"/>
      <c r="J358" s="100"/>
      <c r="K358" s="100"/>
      <c r="L358" s="101"/>
      <c r="M358" s="101"/>
      <c r="N358" s="112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</row>
    <row r="359" spans="1:29" ht="13">
      <c r="A359" s="115"/>
      <c r="B359" s="97"/>
      <c r="C359" s="115"/>
      <c r="D359" s="115"/>
      <c r="E359" s="115"/>
      <c r="F359" s="115"/>
      <c r="G359" s="99"/>
      <c r="H359" s="98"/>
      <c r="I359" s="100"/>
      <c r="J359" s="100"/>
      <c r="K359" s="100"/>
      <c r="L359" s="101"/>
      <c r="M359" s="101"/>
      <c r="N359" s="112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</row>
    <row r="360" spans="1:29" ht="13">
      <c r="A360" s="115"/>
      <c r="B360" s="97"/>
      <c r="C360" s="115"/>
      <c r="D360" s="115"/>
      <c r="E360" s="115"/>
      <c r="F360" s="115"/>
      <c r="G360" s="99"/>
      <c r="H360" s="98"/>
      <c r="I360" s="100"/>
      <c r="J360" s="100"/>
      <c r="K360" s="100"/>
      <c r="L360" s="101"/>
      <c r="M360" s="101"/>
      <c r="N360" s="112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</row>
    <row r="361" spans="1:29" ht="13">
      <c r="A361" s="115"/>
      <c r="B361" s="97"/>
      <c r="C361" s="115"/>
      <c r="D361" s="115"/>
      <c r="E361" s="115"/>
      <c r="F361" s="115"/>
      <c r="G361" s="99"/>
      <c r="H361" s="98"/>
      <c r="I361" s="100"/>
      <c r="J361" s="100"/>
      <c r="K361" s="100"/>
      <c r="L361" s="101"/>
      <c r="M361" s="101"/>
      <c r="N361" s="112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</row>
    <row r="362" spans="1:29" ht="13">
      <c r="A362" s="115"/>
      <c r="B362" s="97"/>
      <c r="C362" s="115"/>
      <c r="D362" s="115"/>
      <c r="E362" s="115"/>
      <c r="F362" s="115"/>
      <c r="G362" s="99"/>
      <c r="H362" s="98"/>
      <c r="I362" s="100"/>
      <c r="J362" s="100"/>
      <c r="K362" s="100"/>
      <c r="L362" s="101"/>
      <c r="M362" s="101"/>
      <c r="N362" s="112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</row>
    <row r="363" spans="1:29" ht="13">
      <c r="A363" s="115"/>
      <c r="B363" s="97"/>
      <c r="C363" s="115"/>
      <c r="D363" s="115"/>
      <c r="E363" s="115"/>
      <c r="F363" s="115"/>
      <c r="G363" s="99"/>
      <c r="H363" s="98"/>
      <c r="I363" s="100"/>
      <c r="J363" s="100"/>
      <c r="K363" s="100"/>
      <c r="L363" s="101"/>
      <c r="M363" s="101"/>
      <c r="N363" s="112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</row>
    <row r="364" spans="1:29" ht="13">
      <c r="A364" s="115"/>
      <c r="B364" s="97"/>
      <c r="C364" s="115"/>
      <c r="D364" s="115"/>
      <c r="E364" s="115"/>
      <c r="F364" s="115"/>
      <c r="G364" s="99"/>
      <c r="H364" s="98"/>
      <c r="I364" s="100"/>
      <c r="J364" s="100"/>
      <c r="K364" s="100"/>
      <c r="L364" s="101"/>
      <c r="M364" s="101"/>
      <c r="N364" s="112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</row>
    <row r="365" spans="1:29" ht="13">
      <c r="A365" s="115"/>
      <c r="B365" s="97"/>
      <c r="C365" s="115"/>
      <c r="D365" s="115"/>
      <c r="E365" s="115"/>
      <c r="F365" s="115"/>
      <c r="G365" s="99"/>
      <c r="H365" s="98"/>
      <c r="I365" s="100"/>
      <c r="J365" s="100"/>
      <c r="K365" s="100"/>
      <c r="L365" s="101"/>
      <c r="M365" s="101"/>
      <c r="N365" s="112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</row>
    <row r="366" spans="1:29" ht="13">
      <c r="A366" s="115"/>
      <c r="B366" s="97"/>
      <c r="C366" s="115"/>
      <c r="D366" s="115"/>
      <c r="E366" s="115"/>
      <c r="F366" s="115"/>
      <c r="G366" s="99"/>
      <c r="H366" s="98"/>
      <c r="I366" s="100"/>
      <c r="J366" s="100"/>
      <c r="K366" s="100"/>
      <c r="L366" s="101"/>
      <c r="M366" s="101"/>
      <c r="N366" s="112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</row>
    <row r="367" spans="1:29" ht="13">
      <c r="A367" s="115"/>
      <c r="B367" s="97"/>
      <c r="C367" s="115"/>
      <c r="D367" s="115"/>
      <c r="E367" s="115"/>
      <c r="F367" s="115"/>
      <c r="G367" s="99"/>
      <c r="H367" s="98"/>
      <c r="I367" s="100"/>
      <c r="J367" s="100"/>
      <c r="K367" s="100"/>
      <c r="L367" s="101"/>
      <c r="M367" s="101"/>
      <c r="N367" s="112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</row>
    <row r="368" spans="1:29" ht="13">
      <c r="A368" s="115"/>
      <c r="B368" s="97"/>
      <c r="C368" s="115"/>
      <c r="D368" s="115"/>
      <c r="E368" s="115"/>
      <c r="F368" s="115"/>
      <c r="G368" s="99"/>
      <c r="H368" s="98"/>
      <c r="I368" s="100"/>
      <c r="J368" s="100"/>
      <c r="K368" s="100"/>
      <c r="L368" s="101"/>
      <c r="M368" s="101"/>
      <c r="N368" s="112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</row>
    <row r="369" spans="1:29" ht="13">
      <c r="A369" s="115"/>
      <c r="B369" s="97"/>
      <c r="C369" s="115"/>
      <c r="D369" s="115"/>
      <c r="E369" s="115"/>
      <c r="F369" s="115"/>
      <c r="G369" s="99"/>
      <c r="H369" s="98"/>
      <c r="I369" s="100"/>
      <c r="J369" s="100"/>
      <c r="K369" s="100"/>
      <c r="L369" s="101"/>
      <c r="M369" s="101"/>
      <c r="N369" s="112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</row>
    <row r="370" spans="1:29" ht="13">
      <c r="A370" s="115"/>
      <c r="B370" s="97"/>
      <c r="C370" s="115"/>
      <c r="D370" s="115"/>
      <c r="E370" s="115"/>
      <c r="F370" s="115"/>
      <c r="G370" s="99"/>
      <c r="H370" s="98"/>
      <c r="I370" s="100"/>
      <c r="J370" s="100"/>
      <c r="K370" s="100"/>
      <c r="L370" s="101"/>
      <c r="M370" s="101"/>
      <c r="N370" s="112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</row>
    <row r="371" spans="1:29" ht="13">
      <c r="A371" s="115"/>
      <c r="B371" s="97"/>
      <c r="C371" s="115"/>
      <c r="D371" s="115"/>
      <c r="E371" s="115"/>
      <c r="F371" s="115"/>
      <c r="G371" s="99"/>
      <c r="H371" s="98"/>
      <c r="I371" s="100"/>
      <c r="J371" s="100"/>
      <c r="K371" s="100"/>
      <c r="L371" s="101"/>
      <c r="M371" s="101"/>
      <c r="N371" s="112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</row>
    <row r="372" spans="1:29" ht="13">
      <c r="A372" s="115"/>
      <c r="B372" s="97"/>
      <c r="C372" s="115"/>
      <c r="D372" s="115"/>
      <c r="E372" s="115"/>
      <c r="F372" s="115"/>
      <c r="G372" s="99"/>
      <c r="H372" s="98"/>
      <c r="I372" s="100"/>
      <c r="J372" s="100"/>
      <c r="K372" s="100"/>
      <c r="L372" s="101"/>
      <c r="M372" s="101"/>
      <c r="N372" s="112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</row>
    <row r="373" spans="1:29" ht="13">
      <c r="A373" s="115"/>
      <c r="B373" s="97"/>
      <c r="C373" s="115"/>
      <c r="D373" s="115"/>
      <c r="E373" s="115"/>
      <c r="F373" s="115"/>
      <c r="G373" s="99"/>
      <c r="H373" s="98"/>
      <c r="I373" s="100"/>
      <c r="J373" s="100"/>
      <c r="K373" s="100"/>
      <c r="L373" s="101"/>
      <c r="M373" s="101"/>
      <c r="N373" s="112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</row>
    <row r="374" spans="1:29" ht="13">
      <c r="A374" s="115"/>
      <c r="B374" s="97"/>
      <c r="C374" s="115"/>
      <c r="D374" s="115"/>
      <c r="E374" s="115"/>
      <c r="F374" s="115"/>
      <c r="G374" s="99"/>
      <c r="H374" s="98"/>
      <c r="I374" s="100"/>
      <c r="J374" s="100"/>
      <c r="K374" s="100"/>
      <c r="L374" s="101"/>
      <c r="M374" s="101"/>
      <c r="N374" s="112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</row>
    <row r="375" spans="1:29" ht="13">
      <c r="A375" s="115"/>
      <c r="B375" s="97"/>
      <c r="C375" s="115"/>
      <c r="D375" s="115"/>
      <c r="E375" s="115"/>
      <c r="F375" s="115"/>
      <c r="G375" s="99"/>
      <c r="H375" s="98"/>
      <c r="I375" s="100"/>
      <c r="J375" s="100"/>
      <c r="K375" s="100"/>
      <c r="L375" s="101"/>
      <c r="M375" s="101"/>
      <c r="N375" s="112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</row>
    <row r="376" spans="1:29" ht="13">
      <c r="A376" s="115"/>
      <c r="B376" s="97"/>
      <c r="C376" s="115"/>
      <c r="D376" s="115"/>
      <c r="E376" s="115"/>
      <c r="F376" s="115"/>
      <c r="G376" s="99"/>
      <c r="H376" s="98"/>
      <c r="I376" s="100"/>
      <c r="J376" s="100"/>
      <c r="K376" s="100"/>
      <c r="L376" s="101"/>
      <c r="M376" s="101"/>
      <c r="N376" s="112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</row>
    <row r="377" spans="1:29" ht="13">
      <c r="A377" s="115"/>
      <c r="B377" s="97"/>
      <c r="C377" s="115"/>
      <c r="D377" s="115"/>
      <c r="E377" s="115"/>
      <c r="F377" s="115"/>
      <c r="G377" s="99"/>
      <c r="H377" s="98"/>
      <c r="I377" s="100"/>
      <c r="J377" s="100"/>
      <c r="K377" s="100"/>
      <c r="L377" s="101"/>
      <c r="M377" s="101"/>
      <c r="N377" s="112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</row>
    <row r="378" spans="1:29" ht="13">
      <c r="A378" s="115"/>
      <c r="B378" s="97"/>
      <c r="C378" s="115"/>
      <c r="D378" s="115"/>
      <c r="E378" s="115"/>
      <c r="F378" s="115"/>
      <c r="G378" s="99"/>
      <c r="H378" s="98"/>
      <c r="I378" s="100"/>
      <c r="J378" s="100"/>
      <c r="K378" s="100"/>
      <c r="L378" s="101"/>
      <c r="M378" s="101"/>
      <c r="N378" s="112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</row>
    <row r="379" spans="1:29" ht="13">
      <c r="A379" s="115"/>
      <c r="B379" s="97"/>
      <c r="C379" s="115"/>
      <c r="D379" s="115"/>
      <c r="E379" s="115"/>
      <c r="F379" s="115"/>
      <c r="G379" s="99"/>
      <c r="H379" s="98"/>
      <c r="I379" s="100"/>
      <c r="J379" s="100"/>
      <c r="K379" s="100"/>
      <c r="L379" s="101"/>
      <c r="M379" s="101"/>
      <c r="N379" s="112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</row>
    <row r="380" spans="1:29" ht="13">
      <c r="A380" s="115"/>
      <c r="B380" s="97"/>
      <c r="C380" s="115"/>
      <c r="D380" s="115"/>
      <c r="E380" s="115"/>
      <c r="F380" s="115"/>
      <c r="G380" s="99"/>
      <c r="H380" s="98"/>
      <c r="I380" s="100"/>
      <c r="J380" s="100"/>
      <c r="K380" s="100"/>
      <c r="L380" s="101"/>
      <c r="M380" s="101"/>
      <c r="N380" s="112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</row>
    <row r="381" spans="1:29" ht="13">
      <c r="A381" s="115"/>
      <c r="B381" s="97"/>
      <c r="C381" s="115"/>
      <c r="D381" s="115"/>
      <c r="E381" s="115"/>
      <c r="F381" s="115"/>
      <c r="G381" s="99"/>
      <c r="H381" s="98"/>
      <c r="I381" s="100"/>
      <c r="J381" s="100"/>
      <c r="K381" s="100"/>
      <c r="L381" s="101"/>
      <c r="M381" s="101"/>
      <c r="N381" s="112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</row>
    <row r="382" spans="1:29" ht="13">
      <c r="A382" s="115"/>
      <c r="B382" s="97"/>
      <c r="C382" s="115"/>
      <c r="D382" s="115"/>
      <c r="E382" s="115"/>
      <c r="F382" s="115"/>
      <c r="G382" s="99"/>
      <c r="H382" s="98"/>
      <c r="I382" s="100"/>
      <c r="J382" s="100"/>
      <c r="K382" s="100"/>
      <c r="L382" s="101"/>
      <c r="M382" s="101"/>
      <c r="N382" s="112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</row>
    <row r="383" spans="1:29" ht="13">
      <c r="A383" s="115"/>
      <c r="B383" s="97"/>
      <c r="C383" s="115"/>
      <c r="D383" s="115"/>
      <c r="E383" s="115"/>
      <c r="F383" s="115"/>
      <c r="G383" s="99"/>
      <c r="H383" s="98"/>
      <c r="I383" s="100"/>
      <c r="J383" s="100"/>
      <c r="K383" s="100"/>
      <c r="L383" s="101"/>
      <c r="M383" s="101"/>
      <c r="N383" s="112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</row>
    <row r="384" spans="1:29" ht="13">
      <c r="A384" s="115"/>
      <c r="B384" s="97"/>
      <c r="C384" s="115"/>
      <c r="D384" s="115"/>
      <c r="E384" s="115"/>
      <c r="F384" s="115"/>
      <c r="G384" s="99"/>
      <c r="H384" s="98"/>
      <c r="I384" s="100"/>
      <c r="J384" s="100"/>
      <c r="K384" s="100"/>
      <c r="L384" s="101"/>
      <c r="M384" s="101"/>
      <c r="N384" s="112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</row>
    <row r="385" spans="1:29" ht="13">
      <c r="A385" s="115"/>
      <c r="B385" s="97"/>
      <c r="C385" s="115"/>
      <c r="D385" s="115"/>
      <c r="E385" s="115"/>
      <c r="F385" s="115"/>
      <c r="G385" s="99"/>
      <c r="H385" s="98"/>
      <c r="I385" s="100"/>
      <c r="J385" s="100"/>
      <c r="K385" s="100"/>
      <c r="L385" s="101"/>
      <c r="M385" s="101"/>
      <c r="N385" s="112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</row>
    <row r="386" spans="1:29" ht="13">
      <c r="A386" s="115"/>
      <c r="B386" s="97"/>
      <c r="C386" s="115"/>
      <c r="D386" s="115"/>
      <c r="E386" s="115"/>
      <c r="F386" s="115"/>
      <c r="G386" s="99"/>
      <c r="H386" s="98"/>
      <c r="I386" s="100"/>
      <c r="J386" s="100"/>
      <c r="K386" s="100"/>
      <c r="L386" s="101"/>
      <c r="M386" s="101"/>
      <c r="N386" s="112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</row>
    <row r="387" spans="1:29" ht="13">
      <c r="A387" s="115"/>
      <c r="B387" s="97"/>
      <c r="C387" s="115"/>
      <c r="D387" s="115"/>
      <c r="E387" s="115"/>
      <c r="F387" s="115"/>
      <c r="G387" s="99"/>
      <c r="H387" s="98"/>
      <c r="I387" s="100"/>
      <c r="J387" s="100"/>
      <c r="K387" s="100"/>
      <c r="L387" s="101"/>
      <c r="M387" s="101"/>
      <c r="N387" s="112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</row>
    <row r="388" spans="1:29" ht="13">
      <c r="A388" s="115"/>
      <c r="B388" s="97"/>
      <c r="C388" s="115"/>
      <c r="D388" s="115"/>
      <c r="E388" s="115"/>
      <c r="F388" s="115"/>
      <c r="G388" s="99"/>
      <c r="H388" s="98"/>
      <c r="I388" s="100"/>
      <c r="J388" s="100"/>
      <c r="K388" s="100"/>
      <c r="L388" s="101"/>
      <c r="M388" s="101"/>
      <c r="N388" s="112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</row>
    <row r="389" spans="1:29" ht="13">
      <c r="A389" s="115"/>
      <c r="B389" s="97"/>
      <c r="C389" s="115"/>
      <c r="D389" s="115"/>
      <c r="E389" s="115"/>
      <c r="F389" s="115"/>
      <c r="G389" s="99"/>
      <c r="H389" s="98"/>
      <c r="I389" s="100"/>
      <c r="J389" s="100"/>
      <c r="K389" s="100"/>
      <c r="L389" s="101"/>
      <c r="M389" s="101"/>
      <c r="N389" s="112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</row>
    <row r="390" spans="1:29" ht="13">
      <c r="A390" s="115"/>
      <c r="B390" s="97"/>
      <c r="C390" s="115"/>
      <c r="D390" s="115"/>
      <c r="E390" s="115"/>
      <c r="F390" s="115"/>
      <c r="G390" s="99"/>
      <c r="H390" s="98"/>
      <c r="I390" s="100"/>
      <c r="J390" s="100"/>
      <c r="K390" s="100"/>
      <c r="L390" s="101"/>
      <c r="M390" s="101"/>
      <c r="N390" s="112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</row>
    <row r="391" spans="1:29" ht="13">
      <c r="A391" s="115"/>
      <c r="B391" s="97"/>
      <c r="C391" s="115"/>
      <c r="D391" s="115"/>
      <c r="E391" s="115"/>
      <c r="F391" s="115"/>
      <c r="G391" s="99"/>
      <c r="H391" s="98"/>
      <c r="I391" s="100"/>
      <c r="J391" s="100"/>
      <c r="K391" s="100"/>
      <c r="L391" s="101"/>
      <c r="M391" s="101"/>
      <c r="N391" s="112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</row>
    <row r="392" spans="1:29" ht="13">
      <c r="A392" s="115"/>
      <c r="B392" s="97"/>
      <c r="C392" s="115"/>
      <c r="D392" s="115"/>
      <c r="E392" s="115"/>
      <c r="F392" s="115"/>
      <c r="G392" s="99"/>
      <c r="H392" s="98"/>
      <c r="I392" s="100"/>
      <c r="J392" s="100"/>
      <c r="K392" s="100"/>
      <c r="L392" s="101"/>
      <c r="M392" s="101"/>
      <c r="N392" s="112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</row>
    <row r="393" spans="1:29" ht="13">
      <c r="A393" s="115"/>
      <c r="B393" s="97"/>
      <c r="C393" s="115"/>
      <c r="D393" s="115"/>
      <c r="E393" s="115"/>
      <c r="F393" s="115"/>
      <c r="G393" s="99"/>
      <c r="H393" s="98"/>
      <c r="I393" s="100"/>
      <c r="J393" s="100"/>
      <c r="K393" s="100"/>
      <c r="L393" s="101"/>
      <c r="M393" s="101"/>
      <c r="N393" s="112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</row>
    <row r="394" spans="1:29" ht="13">
      <c r="A394" s="115"/>
      <c r="B394" s="97"/>
      <c r="C394" s="115"/>
      <c r="D394" s="115"/>
      <c r="E394" s="115"/>
      <c r="F394" s="115"/>
      <c r="G394" s="99"/>
      <c r="H394" s="98"/>
      <c r="I394" s="100"/>
      <c r="J394" s="100"/>
      <c r="K394" s="100"/>
      <c r="L394" s="101"/>
      <c r="M394" s="101"/>
      <c r="N394" s="112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</row>
    <row r="395" spans="1:29" ht="13">
      <c r="A395" s="115"/>
      <c r="B395" s="97"/>
      <c r="C395" s="115"/>
      <c r="D395" s="115"/>
      <c r="E395" s="115"/>
      <c r="F395" s="115"/>
      <c r="G395" s="99"/>
      <c r="H395" s="98"/>
      <c r="I395" s="100"/>
      <c r="J395" s="100"/>
      <c r="K395" s="100"/>
      <c r="L395" s="101"/>
      <c r="M395" s="101"/>
      <c r="N395" s="112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</row>
    <row r="396" spans="1:29" ht="13">
      <c r="A396" s="115"/>
      <c r="B396" s="97"/>
      <c r="C396" s="115"/>
      <c r="D396" s="115"/>
      <c r="E396" s="115"/>
      <c r="F396" s="115"/>
      <c r="G396" s="99"/>
      <c r="H396" s="98"/>
      <c r="I396" s="100"/>
      <c r="J396" s="100"/>
      <c r="K396" s="100"/>
      <c r="L396" s="101"/>
      <c r="M396" s="101"/>
      <c r="N396" s="112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</row>
    <row r="397" spans="1:29" ht="13">
      <c r="A397" s="115"/>
      <c r="B397" s="97"/>
      <c r="C397" s="115"/>
      <c r="D397" s="115"/>
      <c r="E397" s="115"/>
      <c r="F397" s="115"/>
      <c r="G397" s="99"/>
      <c r="H397" s="98"/>
      <c r="I397" s="100"/>
      <c r="J397" s="100"/>
      <c r="K397" s="100"/>
      <c r="L397" s="101"/>
      <c r="M397" s="101"/>
      <c r="N397" s="112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</row>
    <row r="398" spans="1:29" ht="13">
      <c r="A398" s="115"/>
      <c r="B398" s="97"/>
      <c r="C398" s="115"/>
      <c r="D398" s="115"/>
      <c r="E398" s="115"/>
      <c r="F398" s="115"/>
      <c r="G398" s="99"/>
      <c r="H398" s="98"/>
      <c r="I398" s="100"/>
      <c r="J398" s="100"/>
      <c r="K398" s="100"/>
      <c r="L398" s="101"/>
      <c r="M398" s="101"/>
      <c r="N398" s="112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</row>
    <row r="399" spans="1:29" ht="13">
      <c r="A399" s="115"/>
      <c r="B399" s="97"/>
      <c r="C399" s="115"/>
      <c r="D399" s="115"/>
      <c r="E399" s="115"/>
      <c r="F399" s="115"/>
      <c r="G399" s="99"/>
      <c r="H399" s="98"/>
      <c r="I399" s="100"/>
      <c r="J399" s="100"/>
      <c r="K399" s="100"/>
      <c r="L399" s="101"/>
      <c r="M399" s="101"/>
      <c r="N399" s="112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</row>
    <row r="400" spans="1:29" ht="13">
      <c r="A400" s="115"/>
      <c r="B400" s="97"/>
      <c r="C400" s="115"/>
      <c r="D400" s="115"/>
      <c r="E400" s="115"/>
      <c r="F400" s="115"/>
      <c r="G400" s="99"/>
      <c r="H400" s="98"/>
      <c r="I400" s="100"/>
      <c r="J400" s="100"/>
      <c r="K400" s="100"/>
      <c r="L400" s="101"/>
      <c r="M400" s="101"/>
      <c r="N400" s="112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</row>
    <row r="401" spans="1:29" ht="13">
      <c r="A401" s="115"/>
      <c r="B401" s="97"/>
      <c r="C401" s="115"/>
      <c r="D401" s="115"/>
      <c r="E401" s="115"/>
      <c r="F401" s="115"/>
      <c r="G401" s="99"/>
      <c r="H401" s="98"/>
      <c r="I401" s="100"/>
      <c r="J401" s="100"/>
      <c r="K401" s="100"/>
      <c r="L401" s="101"/>
      <c r="M401" s="101"/>
      <c r="N401" s="112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</row>
    <row r="402" spans="1:29" ht="13">
      <c r="A402" s="115"/>
      <c r="B402" s="97"/>
      <c r="C402" s="115"/>
      <c r="D402" s="115"/>
      <c r="E402" s="115"/>
      <c r="F402" s="115"/>
      <c r="G402" s="99"/>
      <c r="H402" s="98"/>
      <c r="I402" s="100"/>
      <c r="J402" s="100"/>
      <c r="K402" s="100"/>
      <c r="L402" s="101"/>
      <c r="M402" s="101"/>
      <c r="N402" s="112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</row>
    <row r="403" spans="1:29" ht="13">
      <c r="A403" s="115"/>
      <c r="B403" s="97"/>
      <c r="C403" s="115"/>
      <c r="D403" s="115"/>
      <c r="E403" s="115"/>
      <c r="F403" s="115"/>
      <c r="G403" s="99"/>
      <c r="H403" s="98"/>
      <c r="I403" s="100"/>
      <c r="J403" s="100"/>
      <c r="K403" s="100"/>
      <c r="L403" s="101"/>
      <c r="M403" s="101"/>
      <c r="N403" s="112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</row>
    <row r="404" spans="1:29" ht="13">
      <c r="A404" s="115"/>
      <c r="B404" s="97"/>
      <c r="C404" s="115"/>
      <c r="D404" s="115"/>
      <c r="E404" s="115"/>
      <c r="F404" s="115"/>
      <c r="G404" s="99"/>
      <c r="H404" s="98"/>
      <c r="I404" s="100"/>
      <c r="J404" s="100"/>
      <c r="K404" s="100"/>
      <c r="L404" s="101"/>
      <c r="M404" s="101"/>
      <c r="N404" s="112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</row>
    <row r="405" spans="1:29" ht="13">
      <c r="A405" s="115"/>
      <c r="B405" s="97"/>
      <c r="C405" s="115"/>
      <c r="D405" s="115"/>
      <c r="E405" s="115"/>
      <c r="F405" s="115"/>
      <c r="G405" s="99"/>
      <c r="H405" s="98"/>
      <c r="I405" s="100"/>
      <c r="J405" s="100"/>
      <c r="K405" s="100"/>
      <c r="L405" s="101"/>
      <c r="M405" s="101"/>
      <c r="N405" s="112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</row>
    <row r="406" spans="1:29" ht="13">
      <c r="A406" s="115"/>
      <c r="B406" s="97"/>
      <c r="C406" s="115"/>
      <c r="D406" s="115"/>
      <c r="E406" s="115"/>
      <c r="F406" s="115"/>
      <c r="G406" s="99"/>
      <c r="H406" s="98"/>
      <c r="I406" s="100"/>
      <c r="J406" s="100"/>
      <c r="K406" s="100"/>
      <c r="L406" s="101"/>
      <c r="M406" s="101"/>
      <c r="N406" s="112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</row>
    <row r="407" spans="1:29" ht="13">
      <c r="A407" s="115"/>
      <c r="B407" s="97"/>
      <c r="C407" s="115"/>
      <c r="D407" s="115"/>
      <c r="E407" s="115"/>
      <c r="F407" s="115"/>
      <c r="G407" s="99"/>
      <c r="H407" s="98"/>
      <c r="I407" s="100"/>
      <c r="J407" s="100"/>
      <c r="K407" s="100"/>
      <c r="L407" s="101"/>
      <c r="M407" s="101"/>
      <c r="N407" s="112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</row>
    <row r="408" spans="1:29" ht="13">
      <c r="A408" s="115"/>
      <c r="B408" s="97"/>
      <c r="C408" s="115"/>
      <c r="D408" s="115"/>
      <c r="E408" s="115"/>
      <c r="F408" s="115"/>
      <c r="G408" s="99"/>
      <c r="H408" s="98"/>
      <c r="I408" s="100"/>
      <c r="J408" s="100"/>
      <c r="K408" s="100"/>
      <c r="L408" s="101"/>
      <c r="M408" s="101"/>
      <c r="N408" s="112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</row>
    <row r="409" spans="1:29" ht="13">
      <c r="A409" s="115"/>
      <c r="B409" s="97"/>
      <c r="C409" s="115"/>
      <c r="D409" s="115"/>
      <c r="E409" s="115"/>
      <c r="F409" s="115"/>
      <c r="G409" s="99"/>
      <c r="H409" s="98"/>
      <c r="I409" s="100"/>
      <c r="J409" s="100"/>
      <c r="K409" s="100"/>
      <c r="L409" s="101"/>
      <c r="M409" s="101"/>
      <c r="N409" s="112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</row>
    <row r="410" spans="1:29" ht="13">
      <c r="A410" s="115"/>
      <c r="B410" s="97"/>
      <c r="C410" s="115"/>
      <c r="D410" s="115"/>
      <c r="E410" s="115"/>
      <c r="F410" s="115"/>
      <c r="G410" s="99"/>
      <c r="H410" s="98"/>
      <c r="I410" s="100"/>
      <c r="J410" s="100"/>
      <c r="K410" s="100"/>
      <c r="L410" s="101"/>
      <c r="M410" s="101"/>
      <c r="N410" s="112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</row>
    <row r="411" spans="1:29" ht="13">
      <c r="A411" s="115"/>
      <c r="B411" s="97"/>
      <c r="C411" s="115"/>
      <c r="D411" s="115"/>
      <c r="E411" s="115"/>
      <c r="F411" s="115"/>
      <c r="G411" s="99"/>
      <c r="H411" s="98"/>
      <c r="I411" s="100"/>
      <c r="J411" s="100"/>
      <c r="K411" s="100"/>
      <c r="L411" s="101"/>
      <c r="M411" s="101"/>
      <c r="N411" s="112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</row>
    <row r="412" spans="1:29" ht="13">
      <c r="A412" s="115"/>
      <c r="B412" s="97"/>
      <c r="C412" s="115"/>
      <c r="D412" s="115"/>
      <c r="E412" s="115"/>
      <c r="F412" s="115"/>
      <c r="G412" s="99"/>
      <c r="H412" s="98"/>
      <c r="I412" s="100"/>
      <c r="J412" s="100"/>
      <c r="K412" s="100"/>
      <c r="L412" s="101"/>
      <c r="M412" s="101"/>
      <c r="N412" s="112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</row>
    <row r="413" spans="1:29" ht="13">
      <c r="A413" s="115"/>
      <c r="B413" s="97"/>
      <c r="C413" s="115"/>
      <c r="D413" s="115"/>
      <c r="E413" s="115"/>
      <c r="F413" s="115"/>
      <c r="G413" s="99"/>
      <c r="H413" s="98"/>
      <c r="I413" s="100"/>
      <c r="J413" s="100"/>
      <c r="K413" s="100"/>
      <c r="L413" s="101"/>
      <c r="M413" s="101"/>
      <c r="N413" s="112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</row>
    <row r="414" spans="1:29" ht="13">
      <c r="A414" s="115"/>
      <c r="B414" s="97"/>
      <c r="C414" s="115"/>
      <c r="D414" s="115"/>
      <c r="E414" s="115"/>
      <c r="F414" s="115"/>
      <c r="G414" s="99"/>
      <c r="H414" s="98"/>
      <c r="I414" s="100"/>
      <c r="J414" s="100"/>
      <c r="K414" s="100"/>
      <c r="L414" s="101"/>
      <c r="M414" s="101"/>
      <c r="N414" s="112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</row>
    <row r="415" spans="1:29" ht="13">
      <c r="A415" s="115"/>
      <c r="B415" s="97"/>
      <c r="C415" s="115"/>
      <c r="D415" s="115"/>
      <c r="E415" s="115"/>
      <c r="F415" s="115"/>
      <c r="G415" s="99"/>
      <c r="H415" s="98"/>
      <c r="I415" s="100"/>
      <c r="J415" s="100"/>
      <c r="K415" s="100"/>
      <c r="L415" s="101"/>
      <c r="M415" s="101"/>
      <c r="N415" s="112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</row>
    <row r="416" spans="1:29" ht="13">
      <c r="A416" s="115"/>
      <c r="B416" s="97"/>
      <c r="C416" s="115"/>
      <c r="D416" s="115"/>
      <c r="E416" s="115"/>
      <c r="F416" s="115"/>
      <c r="G416" s="99"/>
      <c r="H416" s="98"/>
      <c r="I416" s="100"/>
      <c r="J416" s="100"/>
      <c r="K416" s="100"/>
      <c r="L416" s="101"/>
      <c r="M416" s="101"/>
      <c r="N416" s="112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</row>
    <row r="417" spans="1:29" ht="13">
      <c r="A417" s="115"/>
      <c r="B417" s="97"/>
      <c r="C417" s="115"/>
      <c r="D417" s="115"/>
      <c r="E417" s="115"/>
      <c r="F417" s="115"/>
      <c r="G417" s="99"/>
      <c r="H417" s="98"/>
      <c r="I417" s="100"/>
      <c r="J417" s="100"/>
      <c r="K417" s="100"/>
      <c r="L417" s="101"/>
      <c r="M417" s="101"/>
      <c r="N417" s="112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</row>
    <row r="418" spans="1:29" ht="13">
      <c r="A418" s="115"/>
      <c r="B418" s="97"/>
      <c r="C418" s="115"/>
      <c r="D418" s="115"/>
      <c r="E418" s="115"/>
      <c r="F418" s="115"/>
      <c r="G418" s="99"/>
      <c r="H418" s="98"/>
      <c r="I418" s="100"/>
      <c r="J418" s="100"/>
      <c r="K418" s="100"/>
      <c r="L418" s="101"/>
      <c r="M418" s="101"/>
      <c r="N418" s="112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</row>
    <row r="419" spans="1:29" ht="13">
      <c r="A419" s="115"/>
      <c r="B419" s="97"/>
      <c r="C419" s="115"/>
      <c r="D419" s="115"/>
      <c r="E419" s="115"/>
      <c r="F419" s="115"/>
      <c r="G419" s="99"/>
      <c r="H419" s="98"/>
      <c r="I419" s="100"/>
      <c r="J419" s="100"/>
      <c r="K419" s="100"/>
      <c r="L419" s="101"/>
      <c r="M419" s="101"/>
      <c r="N419" s="112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</row>
    <row r="420" spans="1:29" ht="13">
      <c r="A420" s="115"/>
      <c r="B420" s="97"/>
      <c r="C420" s="115"/>
      <c r="D420" s="115"/>
      <c r="E420" s="115"/>
      <c r="F420" s="115"/>
      <c r="G420" s="99"/>
      <c r="H420" s="98"/>
      <c r="I420" s="100"/>
      <c r="J420" s="100"/>
      <c r="K420" s="100"/>
      <c r="L420" s="101"/>
      <c r="M420" s="101"/>
      <c r="N420" s="112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</row>
    <row r="421" spans="1:29" ht="13">
      <c r="A421" s="115"/>
      <c r="B421" s="97"/>
      <c r="C421" s="115"/>
      <c r="D421" s="115"/>
      <c r="E421" s="115"/>
      <c r="F421" s="115"/>
      <c r="G421" s="99"/>
      <c r="H421" s="98"/>
      <c r="I421" s="100"/>
      <c r="J421" s="100"/>
      <c r="K421" s="100"/>
      <c r="L421" s="101"/>
      <c r="M421" s="101"/>
      <c r="N421" s="112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</row>
    <row r="422" spans="1:29" ht="13">
      <c r="A422" s="115"/>
      <c r="B422" s="97"/>
      <c r="C422" s="115"/>
      <c r="D422" s="115"/>
      <c r="E422" s="115"/>
      <c r="F422" s="115"/>
      <c r="G422" s="99"/>
      <c r="H422" s="98"/>
      <c r="I422" s="100"/>
      <c r="J422" s="100"/>
      <c r="K422" s="100"/>
      <c r="L422" s="101"/>
      <c r="M422" s="101"/>
      <c r="N422" s="112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</row>
    <row r="423" spans="1:29" ht="13">
      <c r="A423" s="115"/>
      <c r="B423" s="97"/>
      <c r="C423" s="115"/>
      <c r="D423" s="115"/>
      <c r="E423" s="115"/>
      <c r="F423" s="115"/>
      <c r="G423" s="99"/>
      <c r="H423" s="98"/>
      <c r="I423" s="100"/>
      <c r="J423" s="100"/>
      <c r="K423" s="100"/>
      <c r="L423" s="101"/>
      <c r="M423" s="101"/>
      <c r="N423" s="112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</row>
    <row r="424" spans="1:29" ht="13">
      <c r="A424" s="115"/>
      <c r="B424" s="97"/>
      <c r="C424" s="115"/>
      <c r="D424" s="115"/>
      <c r="E424" s="115"/>
      <c r="F424" s="115"/>
      <c r="G424" s="99"/>
      <c r="H424" s="98"/>
      <c r="I424" s="100"/>
      <c r="J424" s="100"/>
      <c r="K424" s="100"/>
      <c r="L424" s="101"/>
      <c r="M424" s="101"/>
      <c r="N424" s="112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</row>
    <row r="425" spans="1:29" ht="13">
      <c r="A425" s="115"/>
      <c r="B425" s="97"/>
      <c r="C425" s="115"/>
      <c r="D425" s="115"/>
      <c r="E425" s="115"/>
      <c r="F425" s="115"/>
      <c r="G425" s="99"/>
      <c r="H425" s="98"/>
      <c r="I425" s="100"/>
      <c r="J425" s="100"/>
      <c r="K425" s="100"/>
      <c r="L425" s="101"/>
      <c r="M425" s="101"/>
      <c r="N425" s="112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</row>
    <row r="426" spans="1:29" ht="13">
      <c r="A426" s="115"/>
      <c r="B426" s="97"/>
      <c r="C426" s="115"/>
      <c r="D426" s="115"/>
      <c r="E426" s="115"/>
      <c r="F426" s="115"/>
      <c r="G426" s="99"/>
      <c r="H426" s="98"/>
      <c r="I426" s="100"/>
      <c r="J426" s="100"/>
      <c r="K426" s="100"/>
      <c r="L426" s="101"/>
      <c r="M426" s="101"/>
      <c r="N426" s="112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</row>
    <row r="427" spans="1:29" ht="13">
      <c r="A427" s="115"/>
      <c r="B427" s="97"/>
      <c r="C427" s="115"/>
      <c r="D427" s="115"/>
      <c r="E427" s="115"/>
      <c r="F427" s="115"/>
      <c r="G427" s="99"/>
      <c r="H427" s="98"/>
      <c r="I427" s="100"/>
      <c r="J427" s="100"/>
      <c r="K427" s="100"/>
      <c r="L427" s="101"/>
      <c r="M427" s="101"/>
      <c r="N427" s="112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</row>
    <row r="428" spans="1:29" ht="13">
      <c r="A428" s="115"/>
      <c r="B428" s="97"/>
      <c r="C428" s="115"/>
      <c r="D428" s="115"/>
      <c r="E428" s="115"/>
      <c r="F428" s="115"/>
      <c r="G428" s="99"/>
      <c r="H428" s="98"/>
      <c r="I428" s="100"/>
      <c r="J428" s="100"/>
      <c r="K428" s="100"/>
      <c r="L428" s="101"/>
      <c r="M428" s="101"/>
      <c r="N428" s="112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</row>
    <row r="429" spans="1:29" ht="13">
      <c r="A429" s="115"/>
      <c r="B429" s="97"/>
      <c r="C429" s="115"/>
      <c r="D429" s="115"/>
      <c r="E429" s="115"/>
      <c r="F429" s="115"/>
      <c r="G429" s="99"/>
      <c r="H429" s="98"/>
      <c r="I429" s="100"/>
      <c r="J429" s="100"/>
      <c r="K429" s="100"/>
      <c r="L429" s="101"/>
      <c r="M429" s="101"/>
      <c r="N429" s="112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</row>
    <row r="430" spans="1:29" ht="13">
      <c r="A430" s="115"/>
      <c r="B430" s="97"/>
      <c r="C430" s="115"/>
      <c r="D430" s="115"/>
      <c r="E430" s="115"/>
      <c r="F430" s="115"/>
      <c r="G430" s="99"/>
      <c r="H430" s="98"/>
      <c r="I430" s="100"/>
      <c r="J430" s="100"/>
      <c r="K430" s="100"/>
      <c r="L430" s="101"/>
      <c r="M430" s="101"/>
      <c r="N430" s="112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</row>
    <row r="431" spans="1:29" ht="13">
      <c r="A431" s="115"/>
      <c r="B431" s="97"/>
      <c r="C431" s="115"/>
      <c r="D431" s="115"/>
      <c r="E431" s="115"/>
      <c r="F431" s="115"/>
      <c r="G431" s="99"/>
      <c r="H431" s="98"/>
      <c r="I431" s="100"/>
      <c r="J431" s="100"/>
      <c r="K431" s="100"/>
      <c r="L431" s="101"/>
      <c r="M431" s="101"/>
      <c r="N431" s="112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</row>
    <row r="432" spans="1:29" ht="13">
      <c r="A432" s="115"/>
      <c r="B432" s="97"/>
      <c r="C432" s="115"/>
      <c r="D432" s="115"/>
      <c r="E432" s="115"/>
      <c r="F432" s="115"/>
      <c r="G432" s="99"/>
      <c r="H432" s="98"/>
      <c r="I432" s="100"/>
      <c r="J432" s="100"/>
      <c r="K432" s="100"/>
      <c r="L432" s="101"/>
      <c r="M432" s="101"/>
      <c r="N432" s="112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</row>
    <row r="433" spans="1:29" ht="13">
      <c r="A433" s="115"/>
      <c r="B433" s="97"/>
      <c r="C433" s="115"/>
      <c r="D433" s="115"/>
      <c r="E433" s="115"/>
      <c r="F433" s="115"/>
      <c r="G433" s="99"/>
      <c r="H433" s="98"/>
      <c r="I433" s="100"/>
      <c r="J433" s="100"/>
      <c r="K433" s="100"/>
      <c r="L433" s="101"/>
      <c r="M433" s="101"/>
      <c r="N433" s="112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</row>
    <row r="434" spans="1:29" ht="13">
      <c r="A434" s="115"/>
      <c r="B434" s="97"/>
      <c r="C434" s="115"/>
      <c r="D434" s="115"/>
      <c r="E434" s="115"/>
      <c r="F434" s="115"/>
      <c r="G434" s="99"/>
      <c r="H434" s="98"/>
      <c r="I434" s="100"/>
      <c r="J434" s="100"/>
      <c r="K434" s="100"/>
      <c r="L434" s="101"/>
      <c r="M434" s="101"/>
      <c r="N434" s="112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</row>
    <row r="435" spans="1:29" ht="13">
      <c r="A435" s="115"/>
      <c r="B435" s="97"/>
      <c r="C435" s="115"/>
      <c r="D435" s="115"/>
      <c r="E435" s="115"/>
      <c r="F435" s="115"/>
      <c r="G435" s="99"/>
      <c r="H435" s="98"/>
      <c r="I435" s="100"/>
      <c r="J435" s="100"/>
      <c r="K435" s="100"/>
      <c r="L435" s="101"/>
      <c r="M435" s="101"/>
      <c r="N435" s="112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</row>
    <row r="436" spans="1:29" ht="13">
      <c r="A436" s="115"/>
      <c r="B436" s="97"/>
      <c r="C436" s="115"/>
      <c r="D436" s="115"/>
      <c r="E436" s="115"/>
      <c r="F436" s="115"/>
      <c r="G436" s="99"/>
      <c r="H436" s="98"/>
      <c r="I436" s="100"/>
      <c r="J436" s="100"/>
      <c r="K436" s="100"/>
      <c r="L436" s="101"/>
      <c r="M436" s="101"/>
      <c r="N436" s="112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</row>
    <row r="437" spans="1:29" ht="13">
      <c r="A437" s="115"/>
      <c r="B437" s="97"/>
      <c r="C437" s="115"/>
      <c r="D437" s="115"/>
      <c r="E437" s="115"/>
      <c r="F437" s="115"/>
      <c r="G437" s="99"/>
      <c r="H437" s="98"/>
      <c r="I437" s="100"/>
      <c r="J437" s="100"/>
      <c r="K437" s="100"/>
      <c r="L437" s="101"/>
      <c r="M437" s="101"/>
      <c r="N437" s="112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</row>
    <row r="438" spans="1:29" ht="13">
      <c r="A438" s="115"/>
      <c r="B438" s="97"/>
      <c r="C438" s="115"/>
      <c r="D438" s="115"/>
      <c r="E438" s="115"/>
      <c r="F438" s="115"/>
      <c r="G438" s="99"/>
      <c r="H438" s="98"/>
      <c r="I438" s="100"/>
      <c r="J438" s="100"/>
      <c r="K438" s="100"/>
      <c r="L438" s="101"/>
      <c r="M438" s="101"/>
      <c r="N438" s="112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</row>
    <row r="439" spans="1:29" ht="13">
      <c r="A439" s="115"/>
      <c r="B439" s="97"/>
      <c r="C439" s="115"/>
      <c r="D439" s="115"/>
      <c r="E439" s="115"/>
      <c r="F439" s="115"/>
      <c r="G439" s="99"/>
      <c r="H439" s="98"/>
      <c r="I439" s="100"/>
      <c r="J439" s="100"/>
      <c r="K439" s="100"/>
      <c r="L439" s="101"/>
      <c r="M439" s="101"/>
      <c r="N439" s="112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</row>
    <row r="440" spans="1:29" ht="13">
      <c r="A440" s="115"/>
      <c r="B440" s="97"/>
      <c r="C440" s="115"/>
      <c r="D440" s="115"/>
      <c r="E440" s="115"/>
      <c r="F440" s="115"/>
      <c r="G440" s="99"/>
      <c r="H440" s="98"/>
      <c r="I440" s="100"/>
      <c r="J440" s="100"/>
      <c r="K440" s="100"/>
      <c r="L440" s="101"/>
      <c r="M440" s="101"/>
      <c r="N440" s="112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</row>
    <row r="441" spans="1:29" ht="13">
      <c r="A441" s="115"/>
      <c r="B441" s="97"/>
      <c r="C441" s="115"/>
      <c r="D441" s="115"/>
      <c r="E441" s="115"/>
      <c r="F441" s="115"/>
      <c r="G441" s="99"/>
      <c r="H441" s="98"/>
      <c r="I441" s="100"/>
      <c r="J441" s="100"/>
      <c r="K441" s="100"/>
      <c r="L441" s="101"/>
      <c r="M441" s="101"/>
      <c r="N441" s="112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</row>
    <row r="442" spans="1:29" ht="13">
      <c r="A442" s="115"/>
      <c r="B442" s="97"/>
      <c r="C442" s="115"/>
      <c r="D442" s="115"/>
      <c r="E442" s="115"/>
      <c r="F442" s="115"/>
      <c r="G442" s="99"/>
      <c r="H442" s="98"/>
      <c r="I442" s="100"/>
      <c r="J442" s="100"/>
      <c r="K442" s="100"/>
      <c r="L442" s="101"/>
      <c r="M442" s="101"/>
      <c r="N442" s="112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</row>
    <row r="443" spans="1:29" ht="13">
      <c r="A443" s="115"/>
      <c r="B443" s="97"/>
      <c r="C443" s="115"/>
      <c r="D443" s="115"/>
      <c r="E443" s="115"/>
      <c r="F443" s="115"/>
      <c r="G443" s="99"/>
      <c r="H443" s="98"/>
      <c r="I443" s="100"/>
      <c r="J443" s="100"/>
      <c r="K443" s="100"/>
      <c r="L443" s="101"/>
      <c r="M443" s="101"/>
      <c r="N443" s="112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</row>
    <row r="444" spans="1:29" ht="13">
      <c r="A444" s="115"/>
      <c r="B444" s="97"/>
      <c r="C444" s="115"/>
      <c r="D444" s="115"/>
      <c r="E444" s="115"/>
      <c r="F444" s="115"/>
      <c r="G444" s="99"/>
      <c r="H444" s="98"/>
      <c r="I444" s="100"/>
      <c r="J444" s="100"/>
      <c r="K444" s="100"/>
      <c r="L444" s="101"/>
      <c r="M444" s="101"/>
      <c r="N444" s="112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</row>
    <row r="445" spans="1:29" ht="13">
      <c r="A445" s="115"/>
      <c r="B445" s="97"/>
      <c r="C445" s="115"/>
      <c r="D445" s="115"/>
      <c r="E445" s="115"/>
      <c r="F445" s="115"/>
      <c r="G445" s="99"/>
      <c r="H445" s="98"/>
      <c r="I445" s="100"/>
      <c r="J445" s="100"/>
      <c r="K445" s="100"/>
      <c r="L445" s="101"/>
      <c r="M445" s="101"/>
      <c r="N445" s="112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</row>
    <row r="446" spans="1:29" ht="13">
      <c r="A446" s="115"/>
      <c r="B446" s="97"/>
      <c r="C446" s="115"/>
      <c r="D446" s="115"/>
      <c r="E446" s="115"/>
      <c r="F446" s="115"/>
      <c r="G446" s="99"/>
      <c r="H446" s="98"/>
      <c r="I446" s="100"/>
      <c r="J446" s="100"/>
      <c r="K446" s="100"/>
      <c r="L446" s="101"/>
      <c r="M446" s="101"/>
      <c r="N446" s="112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</row>
    <row r="447" spans="1:29" ht="13">
      <c r="A447" s="115"/>
      <c r="B447" s="97"/>
      <c r="C447" s="115"/>
      <c r="D447" s="115"/>
      <c r="E447" s="115"/>
      <c r="F447" s="115"/>
      <c r="G447" s="99"/>
      <c r="H447" s="98"/>
      <c r="I447" s="100"/>
      <c r="J447" s="100"/>
      <c r="K447" s="100"/>
      <c r="L447" s="101"/>
      <c r="M447" s="101"/>
      <c r="N447" s="112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</row>
    <row r="448" spans="1:29" ht="13">
      <c r="A448" s="115"/>
      <c r="B448" s="97"/>
      <c r="C448" s="115"/>
      <c r="D448" s="115"/>
      <c r="E448" s="115"/>
      <c r="F448" s="115"/>
      <c r="G448" s="99"/>
      <c r="H448" s="98"/>
      <c r="I448" s="100"/>
      <c r="J448" s="100"/>
      <c r="K448" s="100"/>
      <c r="L448" s="101"/>
      <c r="M448" s="101"/>
      <c r="N448" s="112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</row>
    <row r="449" spans="1:29" ht="13">
      <c r="A449" s="115"/>
      <c r="B449" s="97"/>
      <c r="C449" s="115"/>
      <c r="D449" s="115"/>
      <c r="E449" s="115"/>
      <c r="F449" s="115"/>
      <c r="G449" s="99"/>
      <c r="H449" s="98"/>
      <c r="I449" s="100"/>
      <c r="J449" s="100"/>
      <c r="K449" s="100"/>
      <c r="L449" s="101"/>
      <c r="M449" s="101"/>
      <c r="N449" s="112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</row>
    <row r="450" spans="1:29" ht="13">
      <c r="A450" s="115"/>
      <c r="B450" s="97"/>
      <c r="C450" s="115"/>
      <c r="D450" s="115"/>
      <c r="E450" s="115"/>
      <c r="F450" s="115"/>
      <c r="G450" s="99"/>
      <c r="H450" s="98"/>
      <c r="I450" s="100"/>
      <c r="J450" s="100"/>
      <c r="K450" s="100"/>
      <c r="L450" s="101"/>
      <c r="M450" s="101"/>
      <c r="N450" s="112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</row>
    <row r="451" spans="1:29" ht="13">
      <c r="A451" s="115"/>
      <c r="B451" s="97"/>
      <c r="C451" s="115"/>
      <c r="D451" s="115"/>
      <c r="E451" s="115"/>
      <c r="F451" s="115"/>
      <c r="G451" s="99"/>
      <c r="H451" s="98"/>
      <c r="I451" s="100"/>
      <c r="J451" s="100"/>
      <c r="K451" s="100"/>
      <c r="L451" s="101"/>
      <c r="M451" s="101"/>
      <c r="N451" s="112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</row>
    <row r="452" spans="1:29" ht="13">
      <c r="A452" s="115"/>
      <c r="B452" s="97"/>
      <c r="C452" s="115"/>
      <c r="D452" s="115"/>
      <c r="E452" s="115"/>
      <c r="F452" s="115"/>
      <c r="G452" s="99"/>
      <c r="H452" s="98"/>
      <c r="I452" s="100"/>
      <c r="J452" s="100"/>
      <c r="K452" s="100"/>
      <c r="L452" s="101"/>
      <c r="M452" s="101"/>
      <c r="N452" s="112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</row>
    <row r="453" spans="1:29" ht="13">
      <c r="A453" s="115"/>
      <c r="B453" s="97"/>
      <c r="C453" s="115"/>
      <c r="D453" s="115"/>
      <c r="E453" s="115"/>
      <c r="F453" s="115"/>
      <c r="G453" s="99"/>
      <c r="H453" s="98"/>
      <c r="I453" s="100"/>
      <c r="J453" s="100"/>
      <c r="K453" s="100"/>
      <c r="L453" s="101"/>
      <c r="M453" s="101"/>
      <c r="N453" s="112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</row>
    <row r="454" spans="1:29" ht="13">
      <c r="A454" s="115"/>
      <c r="B454" s="97"/>
      <c r="C454" s="115"/>
      <c r="D454" s="115"/>
      <c r="E454" s="115"/>
      <c r="F454" s="115"/>
      <c r="G454" s="99"/>
      <c r="H454" s="98"/>
      <c r="I454" s="100"/>
      <c r="J454" s="100"/>
      <c r="K454" s="100"/>
      <c r="L454" s="101"/>
      <c r="M454" s="101"/>
      <c r="N454" s="112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</row>
    <row r="455" spans="1:29" ht="13">
      <c r="A455" s="115"/>
      <c r="B455" s="97"/>
      <c r="C455" s="115"/>
      <c r="D455" s="115"/>
      <c r="E455" s="115"/>
      <c r="F455" s="115"/>
      <c r="G455" s="99"/>
      <c r="H455" s="98"/>
      <c r="I455" s="100"/>
      <c r="J455" s="100"/>
      <c r="K455" s="100"/>
      <c r="L455" s="101"/>
      <c r="M455" s="101"/>
      <c r="N455" s="112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</row>
    <row r="456" spans="1:29" ht="13">
      <c r="A456" s="115"/>
      <c r="B456" s="97"/>
      <c r="C456" s="115"/>
      <c r="D456" s="115"/>
      <c r="E456" s="115"/>
      <c r="F456" s="115"/>
      <c r="G456" s="99"/>
      <c r="H456" s="98"/>
      <c r="I456" s="100"/>
      <c r="J456" s="100"/>
      <c r="K456" s="100"/>
      <c r="L456" s="101"/>
      <c r="M456" s="101"/>
      <c r="N456" s="112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</row>
    <row r="457" spans="1:29" ht="13">
      <c r="A457" s="115"/>
      <c r="B457" s="97"/>
      <c r="C457" s="115"/>
      <c r="D457" s="115"/>
      <c r="E457" s="115"/>
      <c r="F457" s="115"/>
      <c r="G457" s="99"/>
      <c r="H457" s="98"/>
      <c r="I457" s="100"/>
      <c r="J457" s="100"/>
      <c r="K457" s="100"/>
      <c r="L457" s="101"/>
      <c r="M457" s="101"/>
      <c r="N457" s="112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</row>
    <row r="458" spans="1:29" ht="13">
      <c r="A458" s="115"/>
      <c r="B458" s="97"/>
      <c r="C458" s="115"/>
      <c r="D458" s="115"/>
      <c r="E458" s="115"/>
      <c r="F458" s="115"/>
      <c r="G458" s="99"/>
      <c r="H458" s="98"/>
      <c r="I458" s="100"/>
      <c r="J458" s="100"/>
      <c r="K458" s="100"/>
      <c r="L458" s="101"/>
      <c r="M458" s="101"/>
      <c r="N458" s="112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</row>
    <row r="459" spans="1:29" ht="13">
      <c r="A459" s="115"/>
      <c r="B459" s="97"/>
      <c r="C459" s="115"/>
      <c r="D459" s="115"/>
      <c r="E459" s="115"/>
      <c r="F459" s="115"/>
      <c r="G459" s="99"/>
      <c r="H459" s="98"/>
      <c r="I459" s="100"/>
      <c r="J459" s="100"/>
      <c r="K459" s="100"/>
      <c r="L459" s="101"/>
      <c r="M459" s="101"/>
      <c r="N459" s="112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</row>
    <row r="460" spans="1:29" ht="13">
      <c r="A460" s="115"/>
      <c r="B460" s="97"/>
      <c r="C460" s="115"/>
      <c r="D460" s="115"/>
      <c r="E460" s="115"/>
      <c r="F460" s="115"/>
      <c r="G460" s="99"/>
      <c r="H460" s="98"/>
      <c r="I460" s="100"/>
      <c r="J460" s="100"/>
      <c r="K460" s="100"/>
      <c r="L460" s="101"/>
      <c r="M460" s="101"/>
      <c r="N460" s="112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</row>
    <row r="461" spans="1:29" ht="13">
      <c r="A461" s="115"/>
      <c r="B461" s="97"/>
      <c r="C461" s="115"/>
      <c r="D461" s="115"/>
      <c r="E461" s="115"/>
      <c r="F461" s="115"/>
      <c r="G461" s="99"/>
      <c r="H461" s="98"/>
      <c r="I461" s="100"/>
      <c r="J461" s="100"/>
      <c r="K461" s="100"/>
      <c r="L461" s="101"/>
      <c r="M461" s="101"/>
      <c r="N461" s="112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</row>
    <row r="462" spans="1:29" ht="13">
      <c r="A462" s="115"/>
      <c r="B462" s="97"/>
      <c r="C462" s="115"/>
      <c r="D462" s="115"/>
      <c r="E462" s="115"/>
      <c r="F462" s="115"/>
      <c r="G462" s="99"/>
      <c r="H462" s="98"/>
      <c r="I462" s="100"/>
      <c r="J462" s="100"/>
      <c r="K462" s="100"/>
      <c r="L462" s="101"/>
      <c r="M462" s="101"/>
      <c r="N462" s="112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</row>
    <row r="463" spans="1:29" ht="13">
      <c r="A463" s="115"/>
      <c r="B463" s="97"/>
      <c r="C463" s="115"/>
      <c r="D463" s="115"/>
      <c r="E463" s="115"/>
      <c r="F463" s="115"/>
      <c r="G463" s="99"/>
      <c r="H463" s="98"/>
      <c r="I463" s="100"/>
      <c r="J463" s="100"/>
      <c r="K463" s="100"/>
      <c r="L463" s="101"/>
      <c r="M463" s="101"/>
      <c r="N463" s="112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</row>
    <row r="464" spans="1:29" ht="13">
      <c r="A464" s="115"/>
      <c r="B464" s="97"/>
      <c r="C464" s="115"/>
      <c r="D464" s="115"/>
      <c r="E464" s="115"/>
      <c r="F464" s="115"/>
      <c r="G464" s="99"/>
      <c r="H464" s="98"/>
      <c r="I464" s="100"/>
      <c r="J464" s="100"/>
      <c r="K464" s="100"/>
      <c r="L464" s="101"/>
      <c r="M464" s="101"/>
      <c r="N464" s="112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</row>
    <row r="465" spans="1:29" ht="13">
      <c r="A465" s="115"/>
      <c r="B465" s="97"/>
      <c r="C465" s="115"/>
      <c r="D465" s="115"/>
      <c r="E465" s="115"/>
      <c r="F465" s="115"/>
      <c r="G465" s="99"/>
      <c r="H465" s="98"/>
      <c r="I465" s="100"/>
      <c r="J465" s="100"/>
      <c r="K465" s="100"/>
      <c r="L465" s="101"/>
      <c r="M465" s="101"/>
      <c r="N465" s="112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</row>
    <row r="466" spans="1:29" ht="13">
      <c r="A466" s="115"/>
      <c r="B466" s="97"/>
      <c r="C466" s="115"/>
      <c r="D466" s="115"/>
      <c r="E466" s="115"/>
      <c r="F466" s="115"/>
      <c r="G466" s="99"/>
      <c r="H466" s="98"/>
      <c r="I466" s="100"/>
      <c r="J466" s="100"/>
      <c r="K466" s="100"/>
      <c r="L466" s="101"/>
      <c r="M466" s="101"/>
      <c r="N466" s="112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</row>
    <row r="467" spans="1:29" ht="13">
      <c r="A467" s="115"/>
      <c r="B467" s="97"/>
      <c r="C467" s="115"/>
      <c r="D467" s="115"/>
      <c r="E467" s="115"/>
      <c r="F467" s="115"/>
      <c r="G467" s="99"/>
      <c r="H467" s="98"/>
      <c r="I467" s="100"/>
      <c r="J467" s="100"/>
      <c r="K467" s="100"/>
      <c r="L467" s="101"/>
      <c r="M467" s="101"/>
      <c r="N467" s="112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</row>
    <row r="468" spans="1:29" ht="13">
      <c r="A468" s="115"/>
      <c r="B468" s="97"/>
      <c r="C468" s="115"/>
      <c r="D468" s="115"/>
      <c r="E468" s="115"/>
      <c r="F468" s="115"/>
      <c r="G468" s="99"/>
      <c r="H468" s="98"/>
      <c r="I468" s="100"/>
      <c r="J468" s="100"/>
      <c r="K468" s="100"/>
      <c r="L468" s="101"/>
      <c r="M468" s="101"/>
      <c r="N468" s="112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</row>
    <row r="469" spans="1:29" ht="13">
      <c r="A469" s="115"/>
      <c r="B469" s="97"/>
      <c r="C469" s="115"/>
      <c r="D469" s="115"/>
      <c r="E469" s="115"/>
      <c r="F469" s="115"/>
      <c r="G469" s="99"/>
      <c r="H469" s="98"/>
      <c r="I469" s="100"/>
      <c r="J469" s="100"/>
      <c r="K469" s="100"/>
      <c r="L469" s="101"/>
      <c r="M469" s="101"/>
      <c r="N469" s="112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</row>
    <row r="470" spans="1:29" ht="13">
      <c r="A470" s="115"/>
      <c r="B470" s="97"/>
      <c r="C470" s="115"/>
      <c r="D470" s="115"/>
      <c r="E470" s="115"/>
      <c r="F470" s="115"/>
      <c r="G470" s="99"/>
      <c r="H470" s="98"/>
      <c r="I470" s="100"/>
      <c r="J470" s="100"/>
      <c r="K470" s="100"/>
      <c r="L470" s="101"/>
      <c r="M470" s="101"/>
      <c r="N470" s="112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</row>
    <row r="471" spans="1:29" ht="13">
      <c r="A471" s="115"/>
      <c r="B471" s="97"/>
      <c r="C471" s="115"/>
      <c r="D471" s="115"/>
      <c r="E471" s="115"/>
      <c r="F471" s="115"/>
      <c r="G471" s="99"/>
      <c r="H471" s="98"/>
      <c r="I471" s="100"/>
      <c r="J471" s="100"/>
      <c r="K471" s="100"/>
      <c r="L471" s="101"/>
      <c r="M471" s="101"/>
      <c r="N471" s="112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</row>
    <row r="472" spans="1:29" ht="13">
      <c r="A472" s="115"/>
      <c r="B472" s="97"/>
      <c r="C472" s="115"/>
      <c r="D472" s="115"/>
      <c r="E472" s="115"/>
      <c r="F472" s="115"/>
      <c r="G472" s="99"/>
      <c r="H472" s="98"/>
      <c r="I472" s="100"/>
      <c r="J472" s="100"/>
      <c r="K472" s="100"/>
      <c r="L472" s="101"/>
      <c r="M472" s="101"/>
      <c r="N472" s="112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</row>
    <row r="473" spans="1:29" ht="13">
      <c r="A473" s="115"/>
      <c r="B473" s="97"/>
      <c r="C473" s="115"/>
      <c r="D473" s="115"/>
      <c r="E473" s="115"/>
      <c r="F473" s="115"/>
      <c r="G473" s="99"/>
      <c r="H473" s="98"/>
      <c r="I473" s="100"/>
      <c r="J473" s="100"/>
      <c r="K473" s="100"/>
      <c r="L473" s="101"/>
      <c r="M473" s="101"/>
      <c r="N473" s="112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</row>
    <row r="474" spans="1:29" ht="13">
      <c r="A474" s="115"/>
      <c r="B474" s="97"/>
      <c r="C474" s="115"/>
      <c r="D474" s="115"/>
      <c r="E474" s="115"/>
      <c r="F474" s="115"/>
      <c r="G474" s="99"/>
      <c r="H474" s="98"/>
      <c r="I474" s="100"/>
      <c r="J474" s="100"/>
      <c r="K474" s="100"/>
      <c r="L474" s="101"/>
      <c r="M474" s="101"/>
      <c r="N474" s="112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</row>
    <row r="475" spans="1:29" ht="13">
      <c r="A475" s="115"/>
      <c r="B475" s="97"/>
      <c r="C475" s="115"/>
      <c r="D475" s="115"/>
      <c r="E475" s="115"/>
      <c r="F475" s="115"/>
      <c r="G475" s="99"/>
      <c r="H475" s="98"/>
      <c r="I475" s="100"/>
      <c r="J475" s="100"/>
      <c r="K475" s="100"/>
      <c r="L475" s="101"/>
      <c r="M475" s="101"/>
      <c r="N475" s="112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</row>
    <row r="476" spans="1:29" ht="13">
      <c r="A476" s="115"/>
      <c r="B476" s="97"/>
      <c r="C476" s="115"/>
      <c r="D476" s="115"/>
      <c r="E476" s="115"/>
      <c r="F476" s="115"/>
      <c r="G476" s="99"/>
      <c r="H476" s="98"/>
      <c r="I476" s="100"/>
      <c r="J476" s="100"/>
      <c r="K476" s="100"/>
      <c r="L476" s="101"/>
      <c r="M476" s="101"/>
      <c r="N476" s="112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</row>
    <row r="477" spans="1:29" ht="13">
      <c r="A477" s="115"/>
      <c r="B477" s="97"/>
      <c r="C477" s="115"/>
      <c r="D477" s="115"/>
      <c r="E477" s="115"/>
      <c r="F477" s="115"/>
      <c r="G477" s="99"/>
      <c r="H477" s="98"/>
      <c r="I477" s="100"/>
      <c r="J477" s="100"/>
      <c r="K477" s="100"/>
      <c r="L477" s="101"/>
      <c r="M477" s="101"/>
      <c r="N477" s="112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</row>
    <row r="478" spans="1:29" ht="13">
      <c r="A478" s="115"/>
      <c r="B478" s="97"/>
      <c r="C478" s="115"/>
      <c r="D478" s="115"/>
      <c r="E478" s="115"/>
      <c r="F478" s="115"/>
      <c r="G478" s="99"/>
      <c r="H478" s="98"/>
      <c r="I478" s="100"/>
      <c r="J478" s="100"/>
      <c r="K478" s="100"/>
      <c r="L478" s="101"/>
      <c r="M478" s="101"/>
      <c r="N478" s="112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</row>
    <row r="479" spans="1:29" ht="13">
      <c r="A479" s="115"/>
      <c r="B479" s="97"/>
      <c r="C479" s="115"/>
      <c r="D479" s="115"/>
      <c r="E479" s="115"/>
      <c r="F479" s="115"/>
      <c r="G479" s="99"/>
      <c r="H479" s="98"/>
      <c r="I479" s="100"/>
      <c r="J479" s="100"/>
      <c r="K479" s="100"/>
      <c r="L479" s="101"/>
      <c r="M479" s="101"/>
      <c r="N479" s="112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</row>
    <row r="480" spans="1:29" ht="13">
      <c r="A480" s="115"/>
      <c r="B480" s="97"/>
      <c r="C480" s="115"/>
      <c r="D480" s="115"/>
      <c r="E480" s="115"/>
      <c r="F480" s="115"/>
      <c r="G480" s="99"/>
      <c r="H480" s="98"/>
      <c r="I480" s="100"/>
      <c r="J480" s="100"/>
      <c r="K480" s="100"/>
      <c r="L480" s="101"/>
      <c r="M480" s="101"/>
      <c r="N480" s="112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</row>
    <row r="481" spans="1:29" ht="13">
      <c r="A481" s="115"/>
      <c r="B481" s="97"/>
      <c r="C481" s="115"/>
      <c r="D481" s="115"/>
      <c r="E481" s="115"/>
      <c r="F481" s="115"/>
      <c r="G481" s="99"/>
      <c r="H481" s="98"/>
      <c r="I481" s="100"/>
      <c r="J481" s="100"/>
      <c r="K481" s="100"/>
      <c r="L481" s="101"/>
      <c r="M481" s="101"/>
      <c r="N481" s="112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</row>
    <row r="482" spans="1:29" ht="13">
      <c r="A482" s="115"/>
      <c r="B482" s="97"/>
      <c r="C482" s="115"/>
      <c r="D482" s="115"/>
      <c r="E482" s="115"/>
      <c r="F482" s="115"/>
      <c r="G482" s="99"/>
      <c r="H482" s="98"/>
      <c r="I482" s="100"/>
      <c r="J482" s="100"/>
      <c r="K482" s="100"/>
      <c r="L482" s="101"/>
      <c r="M482" s="101"/>
      <c r="N482" s="112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</row>
    <row r="483" spans="1:29" ht="13">
      <c r="A483" s="115"/>
      <c r="B483" s="97"/>
      <c r="C483" s="115"/>
      <c r="D483" s="115"/>
      <c r="E483" s="115"/>
      <c r="F483" s="115"/>
      <c r="G483" s="99"/>
      <c r="H483" s="98"/>
      <c r="I483" s="100"/>
      <c r="J483" s="100"/>
      <c r="K483" s="100"/>
      <c r="L483" s="101"/>
      <c r="M483" s="101"/>
      <c r="N483" s="112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</row>
    <row r="484" spans="1:29" ht="13">
      <c r="A484" s="115"/>
      <c r="B484" s="97"/>
      <c r="C484" s="115"/>
      <c r="D484" s="115"/>
      <c r="E484" s="115"/>
      <c r="F484" s="115"/>
      <c r="G484" s="99"/>
      <c r="H484" s="98"/>
      <c r="I484" s="100"/>
      <c r="J484" s="100"/>
      <c r="K484" s="100"/>
      <c r="L484" s="101"/>
      <c r="M484" s="101"/>
      <c r="N484" s="112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</row>
    <row r="485" spans="1:29" ht="13">
      <c r="A485" s="115"/>
      <c r="B485" s="97"/>
      <c r="C485" s="115"/>
      <c r="D485" s="115"/>
      <c r="E485" s="115"/>
      <c r="F485" s="115"/>
      <c r="G485" s="99"/>
      <c r="H485" s="98"/>
      <c r="I485" s="100"/>
      <c r="J485" s="100"/>
      <c r="K485" s="100"/>
      <c r="L485" s="101"/>
      <c r="M485" s="101"/>
      <c r="N485" s="112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</row>
    <row r="486" spans="1:29" ht="13">
      <c r="A486" s="115"/>
      <c r="B486" s="97"/>
      <c r="C486" s="115"/>
      <c r="D486" s="115"/>
      <c r="E486" s="115"/>
      <c r="F486" s="115"/>
      <c r="G486" s="99"/>
      <c r="H486" s="98"/>
      <c r="I486" s="100"/>
      <c r="J486" s="100"/>
      <c r="K486" s="100"/>
      <c r="L486" s="101"/>
      <c r="M486" s="101"/>
      <c r="N486" s="112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</row>
    <row r="487" spans="1:29" ht="13">
      <c r="A487" s="115"/>
      <c r="B487" s="97"/>
      <c r="C487" s="115"/>
      <c r="D487" s="115"/>
      <c r="E487" s="115"/>
      <c r="F487" s="115"/>
      <c r="G487" s="99"/>
      <c r="H487" s="98"/>
      <c r="I487" s="100"/>
      <c r="J487" s="100"/>
      <c r="K487" s="100"/>
      <c r="L487" s="101"/>
      <c r="M487" s="101"/>
      <c r="N487" s="112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</row>
    <row r="488" spans="1:29" ht="13">
      <c r="A488" s="115"/>
      <c r="B488" s="97"/>
      <c r="C488" s="115"/>
      <c r="D488" s="115"/>
      <c r="E488" s="115"/>
      <c r="F488" s="115"/>
      <c r="G488" s="99"/>
      <c r="H488" s="98"/>
      <c r="I488" s="100"/>
      <c r="J488" s="100"/>
      <c r="K488" s="100"/>
      <c r="L488" s="101"/>
      <c r="M488" s="101"/>
      <c r="N488" s="112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</row>
    <row r="489" spans="1:29" ht="13">
      <c r="A489" s="115"/>
      <c r="B489" s="97"/>
      <c r="C489" s="115"/>
      <c r="D489" s="115"/>
      <c r="E489" s="115"/>
      <c r="F489" s="115"/>
      <c r="G489" s="99"/>
      <c r="H489" s="98"/>
      <c r="I489" s="100"/>
      <c r="J489" s="100"/>
      <c r="K489" s="100"/>
      <c r="L489" s="101"/>
      <c r="M489" s="101"/>
      <c r="N489" s="112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</row>
    <row r="490" spans="1:29" ht="13">
      <c r="A490" s="115"/>
      <c r="B490" s="97"/>
      <c r="C490" s="115"/>
      <c r="D490" s="115"/>
      <c r="E490" s="115"/>
      <c r="F490" s="115"/>
      <c r="G490" s="99"/>
      <c r="H490" s="98"/>
      <c r="I490" s="100"/>
      <c r="J490" s="100"/>
      <c r="K490" s="100"/>
      <c r="L490" s="101"/>
      <c r="M490" s="101"/>
      <c r="N490" s="112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</row>
    <row r="491" spans="1:29" ht="13">
      <c r="A491" s="115"/>
      <c r="B491" s="97"/>
      <c r="C491" s="115"/>
      <c r="D491" s="115"/>
      <c r="E491" s="115"/>
      <c r="F491" s="115"/>
      <c r="G491" s="99"/>
      <c r="H491" s="98"/>
      <c r="I491" s="100"/>
      <c r="J491" s="100"/>
      <c r="K491" s="100"/>
      <c r="L491" s="101"/>
      <c r="M491" s="101"/>
      <c r="N491" s="112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</row>
    <row r="492" spans="1:29" ht="13">
      <c r="A492" s="115"/>
      <c r="B492" s="97"/>
      <c r="C492" s="115"/>
      <c r="D492" s="115"/>
      <c r="E492" s="115"/>
      <c r="F492" s="115"/>
      <c r="G492" s="99"/>
      <c r="H492" s="98"/>
      <c r="I492" s="100"/>
      <c r="J492" s="100"/>
      <c r="K492" s="100"/>
      <c r="L492" s="101"/>
      <c r="M492" s="101"/>
      <c r="N492" s="112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</row>
    <row r="493" spans="1:29" ht="13">
      <c r="A493" s="115"/>
      <c r="B493" s="97"/>
      <c r="C493" s="115"/>
      <c r="D493" s="115"/>
      <c r="E493" s="115"/>
      <c r="F493" s="115"/>
      <c r="G493" s="99"/>
      <c r="H493" s="98"/>
      <c r="I493" s="100"/>
      <c r="J493" s="100"/>
      <c r="K493" s="100"/>
      <c r="L493" s="101"/>
      <c r="M493" s="101"/>
      <c r="N493" s="112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</row>
    <row r="494" spans="1:29" ht="13">
      <c r="A494" s="115"/>
      <c r="B494" s="97"/>
      <c r="C494" s="115"/>
      <c r="D494" s="115"/>
      <c r="E494" s="115"/>
      <c r="F494" s="115"/>
      <c r="G494" s="99"/>
      <c r="H494" s="98"/>
      <c r="I494" s="100"/>
      <c r="J494" s="100"/>
      <c r="K494" s="100"/>
      <c r="L494" s="101"/>
      <c r="M494" s="101"/>
      <c r="N494" s="112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</row>
    <row r="495" spans="1:29" ht="13">
      <c r="A495" s="115"/>
      <c r="B495" s="97"/>
      <c r="C495" s="115"/>
      <c r="D495" s="115"/>
      <c r="E495" s="115"/>
      <c r="F495" s="115"/>
      <c r="G495" s="99"/>
      <c r="H495" s="98"/>
      <c r="I495" s="100"/>
      <c r="J495" s="100"/>
      <c r="K495" s="100"/>
      <c r="L495" s="101"/>
      <c r="M495" s="101"/>
      <c r="N495" s="112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</row>
    <row r="496" spans="1:29" ht="13">
      <c r="A496" s="115"/>
      <c r="B496" s="97"/>
      <c r="C496" s="115"/>
      <c r="D496" s="115"/>
      <c r="E496" s="115"/>
      <c r="F496" s="115"/>
      <c r="G496" s="99"/>
      <c r="H496" s="98"/>
      <c r="I496" s="100"/>
      <c r="J496" s="100"/>
      <c r="K496" s="100"/>
      <c r="L496" s="101"/>
      <c r="M496" s="101"/>
      <c r="N496" s="112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</row>
    <row r="497" spans="1:29" ht="13">
      <c r="A497" s="115"/>
      <c r="B497" s="97"/>
      <c r="C497" s="115"/>
      <c r="D497" s="115"/>
      <c r="E497" s="115"/>
      <c r="F497" s="115"/>
      <c r="G497" s="99"/>
      <c r="H497" s="98"/>
      <c r="I497" s="100"/>
      <c r="J497" s="100"/>
      <c r="K497" s="100"/>
      <c r="L497" s="101"/>
      <c r="M497" s="101"/>
      <c r="N497" s="112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</row>
    <row r="498" spans="1:29" ht="13">
      <c r="A498" s="115"/>
      <c r="B498" s="97"/>
      <c r="C498" s="115"/>
      <c r="D498" s="115"/>
      <c r="E498" s="115"/>
      <c r="F498" s="115"/>
      <c r="G498" s="99"/>
      <c r="H498" s="98"/>
      <c r="I498" s="100"/>
      <c r="J498" s="100"/>
      <c r="K498" s="100"/>
      <c r="L498" s="101"/>
      <c r="M498" s="101"/>
      <c r="N498" s="112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</row>
    <row r="499" spans="1:29" ht="13">
      <c r="A499" s="115"/>
      <c r="B499" s="97"/>
      <c r="C499" s="115"/>
      <c r="D499" s="115"/>
      <c r="E499" s="115"/>
      <c r="F499" s="115"/>
      <c r="G499" s="99"/>
      <c r="H499" s="98"/>
      <c r="I499" s="100"/>
      <c r="J499" s="100"/>
      <c r="K499" s="100"/>
      <c r="L499" s="101"/>
      <c r="M499" s="101"/>
      <c r="N499" s="112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</row>
    <row r="500" spans="1:29" ht="13">
      <c r="A500" s="115"/>
      <c r="B500" s="97"/>
      <c r="C500" s="115"/>
      <c r="D500" s="115"/>
      <c r="E500" s="115"/>
      <c r="F500" s="115"/>
      <c r="G500" s="99"/>
      <c r="H500" s="98"/>
      <c r="I500" s="100"/>
      <c r="J500" s="100"/>
      <c r="K500" s="100"/>
      <c r="L500" s="101"/>
      <c r="M500" s="101"/>
      <c r="N500" s="112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</row>
    <row r="501" spans="1:29" ht="13">
      <c r="A501" s="115"/>
      <c r="B501" s="97"/>
      <c r="C501" s="115"/>
      <c r="D501" s="115"/>
      <c r="E501" s="115"/>
      <c r="F501" s="115"/>
      <c r="G501" s="99"/>
      <c r="H501" s="98"/>
      <c r="I501" s="100"/>
      <c r="J501" s="100"/>
      <c r="K501" s="100"/>
      <c r="L501" s="101"/>
      <c r="M501" s="101"/>
      <c r="N501" s="112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</row>
    <row r="502" spans="1:29" ht="13">
      <c r="A502" s="115"/>
      <c r="B502" s="97"/>
      <c r="C502" s="115"/>
      <c r="D502" s="115"/>
      <c r="E502" s="115"/>
      <c r="F502" s="115"/>
      <c r="G502" s="99"/>
      <c r="H502" s="98"/>
      <c r="I502" s="100"/>
      <c r="J502" s="100"/>
      <c r="K502" s="100"/>
      <c r="L502" s="101"/>
      <c r="M502" s="101"/>
      <c r="N502" s="112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</row>
    <row r="503" spans="1:29" ht="13">
      <c r="A503" s="115"/>
      <c r="B503" s="97"/>
      <c r="C503" s="115"/>
      <c r="D503" s="115"/>
      <c r="E503" s="115"/>
      <c r="F503" s="115"/>
      <c r="G503" s="99"/>
      <c r="H503" s="98"/>
      <c r="I503" s="100"/>
      <c r="J503" s="100"/>
      <c r="K503" s="100"/>
      <c r="L503" s="101"/>
      <c r="M503" s="101"/>
      <c r="N503" s="112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</row>
    <row r="504" spans="1:29" ht="13">
      <c r="A504" s="115"/>
      <c r="B504" s="97"/>
      <c r="C504" s="115"/>
      <c r="D504" s="115"/>
      <c r="E504" s="115"/>
      <c r="F504" s="115"/>
      <c r="G504" s="99"/>
      <c r="H504" s="98"/>
      <c r="I504" s="100"/>
      <c r="J504" s="100"/>
      <c r="K504" s="100"/>
      <c r="L504" s="101"/>
      <c r="M504" s="101"/>
      <c r="N504" s="112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</row>
    <row r="505" spans="1:29" ht="13">
      <c r="A505" s="115"/>
      <c r="B505" s="97"/>
      <c r="C505" s="115"/>
      <c r="D505" s="115"/>
      <c r="E505" s="115"/>
      <c r="F505" s="115"/>
      <c r="G505" s="99"/>
      <c r="H505" s="98"/>
      <c r="I505" s="100"/>
      <c r="J505" s="100"/>
      <c r="K505" s="100"/>
      <c r="L505" s="101"/>
      <c r="M505" s="101"/>
      <c r="N505" s="112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</row>
    <row r="506" spans="1:29" ht="13">
      <c r="A506" s="115"/>
      <c r="B506" s="97"/>
      <c r="C506" s="115"/>
      <c r="D506" s="115"/>
      <c r="E506" s="115"/>
      <c r="F506" s="115"/>
      <c r="G506" s="99"/>
      <c r="H506" s="98"/>
      <c r="I506" s="100"/>
      <c r="J506" s="100"/>
      <c r="K506" s="100"/>
      <c r="L506" s="101"/>
      <c r="M506" s="101"/>
      <c r="N506" s="112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</row>
    <row r="507" spans="1:29" ht="13">
      <c r="A507" s="115"/>
      <c r="B507" s="97"/>
      <c r="C507" s="115"/>
      <c r="D507" s="115"/>
      <c r="E507" s="115"/>
      <c r="F507" s="115"/>
      <c r="G507" s="99"/>
      <c r="H507" s="98"/>
      <c r="I507" s="100"/>
      <c r="J507" s="100"/>
      <c r="K507" s="100"/>
      <c r="L507" s="101"/>
      <c r="M507" s="101"/>
      <c r="N507" s="112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</row>
    <row r="508" spans="1:29" ht="13">
      <c r="A508" s="115"/>
      <c r="B508" s="97"/>
      <c r="C508" s="115"/>
      <c r="D508" s="115"/>
      <c r="E508" s="115"/>
      <c r="F508" s="115"/>
      <c r="G508" s="99"/>
      <c r="H508" s="98"/>
      <c r="I508" s="100"/>
      <c r="J508" s="100"/>
      <c r="K508" s="100"/>
      <c r="L508" s="101"/>
      <c r="M508" s="101"/>
      <c r="N508" s="112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</row>
    <row r="509" spans="1:29" ht="13">
      <c r="A509" s="115"/>
      <c r="B509" s="97"/>
      <c r="C509" s="115"/>
      <c r="D509" s="115"/>
      <c r="E509" s="115"/>
      <c r="F509" s="115"/>
      <c r="G509" s="99"/>
      <c r="H509" s="98"/>
      <c r="I509" s="100"/>
      <c r="J509" s="100"/>
      <c r="K509" s="100"/>
      <c r="L509" s="101"/>
      <c r="M509" s="101"/>
      <c r="N509" s="112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</row>
    <row r="510" spans="1:29" ht="13">
      <c r="A510" s="115"/>
      <c r="B510" s="97"/>
      <c r="C510" s="115"/>
      <c r="D510" s="115"/>
      <c r="E510" s="115"/>
      <c r="F510" s="115"/>
      <c r="G510" s="99"/>
      <c r="H510" s="98"/>
      <c r="I510" s="100"/>
      <c r="J510" s="100"/>
      <c r="K510" s="100"/>
      <c r="L510" s="101"/>
      <c r="M510" s="101"/>
      <c r="N510" s="112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</row>
    <row r="511" spans="1:29" ht="13">
      <c r="A511" s="115"/>
      <c r="B511" s="97"/>
      <c r="C511" s="115"/>
      <c r="D511" s="115"/>
      <c r="E511" s="115"/>
      <c r="F511" s="115"/>
      <c r="G511" s="99"/>
      <c r="H511" s="98"/>
      <c r="I511" s="100"/>
      <c r="J511" s="100"/>
      <c r="K511" s="100"/>
      <c r="L511" s="101"/>
      <c r="M511" s="101"/>
      <c r="N511" s="112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</row>
    <row r="512" spans="1:29" ht="13">
      <c r="A512" s="115"/>
      <c r="B512" s="97"/>
      <c r="C512" s="115"/>
      <c r="D512" s="115"/>
      <c r="E512" s="115"/>
      <c r="F512" s="115"/>
      <c r="G512" s="99"/>
      <c r="H512" s="98"/>
      <c r="I512" s="100"/>
      <c r="J512" s="100"/>
      <c r="K512" s="100"/>
      <c r="L512" s="101"/>
      <c r="M512" s="101"/>
      <c r="N512" s="112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</row>
    <row r="513" spans="1:29" ht="13">
      <c r="A513" s="115"/>
      <c r="B513" s="97"/>
      <c r="C513" s="115"/>
      <c r="D513" s="115"/>
      <c r="E513" s="115"/>
      <c r="F513" s="115"/>
      <c r="G513" s="99"/>
      <c r="H513" s="98"/>
      <c r="I513" s="100"/>
      <c r="J513" s="100"/>
      <c r="K513" s="100"/>
      <c r="L513" s="101"/>
      <c r="M513" s="101"/>
      <c r="N513" s="112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</row>
    <row r="514" spans="1:29" ht="13">
      <c r="A514" s="115"/>
      <c r="B514" s="97"/>
      <c r="C514" s="115"/>
      <c r="D514" s="115"/>
      <c r="E514" s="115"/>
      <c r="F514" s="115"/>
      <c r="G514" s="99"/>
      <c r="H514" s="98"/>
      <c r="I514" s="100"/>
      <c r="J514" s="100"/>
      <c r="K514" s="100"/>
      <c r="L514" s="101"/>
      <c r="M514" s="101"/>
      <c r="N514" s="112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</row>
    <row r="515" spans="1:29" ht="13">
      <c r="A515" s="115"/>
      <c r="B515" s="97"/>
      <c r="C515" s="115"/>
      <c r="D515" s="115"/>
      <c r="E515" s="115"/>
      <c r="F515" s="115"/>
      <c r="G515" s="99"/>
      <c r="H515" s="98"/>
      <c r="I515" s="100"/>
      <c r="J515" s="100"/>
      <c r="K515" s="100"/>
      <c r="L515" s="101"/>
      <c r="M515" s="101"/>
      <c r="N515" s="112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</row>
    <row r="516" spans="1:29" ht="13">
      <c r="A516" s="115"/>
      <c r="B516" s="97"/>
      <c r="C516" s="115"/>
      <c r="D516" s="115"/>
      <c r="E516" s="115"/>
      <c r="F516" s="115"/>
      <c r="G516" s="99"/>
      <c r="H516" s="98"/>
      <c r="I516" s="100"/>
      <c r="J516" s="100"/>
      <c r="K516" s="100"/>
      <c r="L516" s="101"/>
      <c r="M516" s="101"/>
      <c r="N516" s="112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</row>
    <row r="517" spans="1:29" ht="13">
      <c r="A517" s="115"/>
      <c r="B517" s="97"/>
      <c r="C517" s="115"/>
      <c r="D517" s="115"/>
      <c r="E517" s="115"/>
      <c r="F517" s="115"/>
      <c r="G517" s="99"/>
      <c r="H517" s="98"/>
      <c r="I517" s="100"/>
      <c r="J517" s="100"/>
      <c r="K517" s="100"/>
      <c r="L517" s="101"/>
      <c r="M517" s="101"/>
      <c r="N517" s="112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</row>
    <row r="518" spans="1:29" ht="13">
      <c r="A518" s="115"/>
      <c r="B518" s="97"/>
      <c r="C518" s="115"/>
      <c r="D518" s="115"/>
      <c r="E518" s="115"/>
      <c r="F518" s="115"/>
      <c r="G518" s="99"/>
      <c r="H518" s="98"/>
      <c r="I518" s="100"/>
      <c r="J518" s="100"/>
      <c r="K518" s="100"/>
      <c r="L518" s="101"/>
      <c r="M518" s="101"/>
      <c r="N518" s="112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</row>
    <row r="519" spans="1:29" ht="13">
      <c r="A519" s="115"/>
      <c r="B519" s="97"/>
      <c r="C519" s="115"/>
      <c r="D519" s="115"/>
      <c r="E519" s="115"/>
      <c r="F519" s="115"/>
      <c r="G519" s="99"/>
      <c r="H519" s="98"/>
      <c r="I519" s="100"/>
      <c r="J519" s="100"/>
      <c r="K519" s="100"/>
      <c r="L519" s="101"/>
      <c r="M519" s="101"/>
      <c r="N519" s="112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</row>
    <row r="520" spans="1:29" ht="13">
      <c r="A520" s="115"/>
      <c r="B520" s="97"/>
      <c r="C520" s="115"/>
      <c r="D520" s="115"/>
      <c r="E520" s="115"/>
      <c r="F520" s="115"/>
      <c r="G520" s="99"/>
      <c r="H520" s="98"/>
      <c r="I520" s="100"/>
      <c r="J520" s="100"/>
      <c r="K520" s="100"/>
      <c r="L520" s="101"/>
      <c r="M520" s="101"/>
      <c r="N520" s="112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</row>
    <row r="521" spans="1:29" ht="13">
      <c r="A521" s="115"/>
      <c r="B521" s="97"/>
      <c r="C521" s="115"/>
      <c r="D521" s="115"/>
      <c r="E521" s="115"/>
      <c r="F521" s="115"/>
      <c r="G521" s="99"/>
      <c r="H521" s="98"/>
      <c r="I521" s="100"/>
      <c r="J521" s="100"/>
      <c r="K521" s="100"/>
      <c r="L521" s="101"/>
      <c r="M521" s="101"/>
      <c r="N521" s="112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</row>
    <row r="522" spans="1:29" ht="13">
      <c r="A522" s="115"/>
      <c r="B522" s="97"/>
      <c r="C522" s="115"/>
      <c r="D522" s="115"/>
      <c r="E522" s="115"/>
      <c r="F522" s="115"/>
      <c r="G522" s="99"/>
      <c r="H522" s="98"/>
      <c r="I522" s="100"/>
      <c r="J522" s="100"/>
      <c r="K522" s="100"/>
      <c r="L522" s="101"/>
      <c r="M522" s="101"/>
      <c r="N522" s="112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</row>
    <row r="523" spans="1:29" ht="13">
      <c r="A523" s="115"/>
      <c r="B523" s="97"/>
      <c r="C523" s="115"/>
      <c r="D523" s="115"/>
      <c r="E523" s="115"/>
      <c r="F523" s="115"/>
      <c r="G523" s="99"/>
      <c r="H523" s="98"/>
      <c r="I523" s="100"/>
      <c r="J523" s="100"/>
      <c r="K523" s="100"/>
      <c r="L523" s="101"/>
      <c r="M523" s="101"/>
      <c r="N523" s="112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</row>
    <row r="524" spans="1:29" ht="13">
      <c r="A524" s="115"/>
      <c r="B524" s="97"/>
      <c r="C524" s="115"/>
      <c r="D524" s="115"/>
      <c r="E524" s="115"/>
      <c r="F524" s="115"/>
      <c r="G524" s="99"/>
      <c r="H524" s="98"/>
      <c r="I524" s="100"/>
      <c r="J524" s="100"/>
      <c r="K524" s="100"/>
      <c r="L524" s="101"/>
      <c r="M524" s="101"/>
      <c r="N524" s="112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</row>
    <row r="525" spans="1:29" ht="13">
      <c r="A525" s="115"/>
      <c r="B525" s="97"/>
      <c r="C525" s="115"/>
      <c r="D525" s="115"/>
      <c r="E525" s="115"/>
      <c r="F525" s="115"/>
      <c r="G525" s="99"/>
      <c r="H525" s="98"/>
      <c r="I525" s="100"/>
      <c r="J525" s="100"/>
      <c r="K525" s="100"/>
      <c r="L525" s="101"/>
      <c r="M525" s="101"/>
      <c r="N525" s="112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</row>
    <row r="526" spans="1:29" ht="13">
      <c r="A526" s="115"/>
      <c r="B526" s="97"/>
      <c r="C526" s="115"/>
      <c r="D526" s="115"/>
      <c r="E526" s="115"/>
      <c r="F526" s="115"/>
      <c r="G526" s="99"/>
      <c r="H526" s="98"/>
      <c r="I526" s="100"/>
      <c r="J526" s="100"/>
      <c r="K526" s="100"/>
      <c r="L526" s="101"/>
      <c r="M526" s="101"/>
      <c r="N526" s="112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</row>
    <row r="527" spans="1:29" ht="13">
      <c r="A527" s="115"/>
      <c r="B527" s="97"/>
      <c r="C527" s="115"/>
      <c r="D527" s="115"/>
      <c r="E527" s="115"/>
      <c r="F527" s="115"/>
      <c r="G527" s="99"/>
      <c r="H527" s="98"/>
      <c r="I527" s="100"/>
      <c r="J527" s="100"/>
      <c r="K527" s="100"/>
      <c r="L527" s="101"/>
      <c r="M527" s="101"/>
      <c r="N527" s="112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</row>
    <row r="528" spans="1:29" ht="13">
      <c r="A528" s="115"/>
      <c r="B528" s="97"/>
      <c r="C528" s="115"/>
      <c r="D528" s="115"/>
      <c r="E528" s="115"/>
      <c r="F528" s="115"/>
      <c r="G528" s="99"/>
      <c r="H528" s="98"/>
      <c r="I528" s="100"/>
      <c r="J528" s="100"/>
      <c r="K528" s="100"/>
      <c r="L528" s="101"/>
      <c r="M528" s="101"/>
      <c r="N528" s="112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</row>
    <row r="529" spans="1:29" ht="13">
      <c r="A529" s="115"/>
      <c r="B529" s="97"/>
      <c r="C529" s="115"/>
      <c r="D529" s="115"/>
      <c r="E529" s="115"/>
      <c r="F529" s="115"/>
      <c r="G529" s="99"/>
      <c r="H529" s="98"/>
      <c r="I529" s="100"/>
      <c r="J529" s="100"/>
      <c r="K529" s="100"/>
      <c r="L529" s="101"/>
      <c r="M529" s="101"/>
      <c r="N529" s="112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</row>
    <row r="530" spans="1:29" ht="13">
      <c r="A530" s="115"/>
      <c r="B530" s="97"/>
      <c r="C530" s="115"/>
      <c r="D530" s="115"/>
      <c r="E530" s="115"/>
      <c r="F530" s="115"/>
      <c r="G530" s="99"/>
      <c r="H530" s="98"/>
      <c r="I530" s="100"/>
      <c r="J530" s="100"/>
      <c r="K530" s="100"/>
      <c r="L530" s="101"/>
      <c r="M530" s="101"/>
      <c r="N530" s="112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</row>
    <row r="531" spans="1:29" ht="13">
      <c r="A531" s="115"/>
      <c r="B531" s="97"/>
      <c r="C531" s="115"/>
      <c r="D531" s="115"/>
      <c r="E531" s="115"/>
      <c r="F531" s="115"/>
      <c r="G531" s="99"/>
      <c r="H531" s="98"/>
      <c r="I531" s="100"/>
      <c r="J531" s="100"/>
      <c r="K531" s="100"/>
      <c r="L531" s="101"/>
      <c r="M531" s="101"/>
      <c r="N531" s="112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</row>
    <row r="532" spans="1:29" ht="13">
      <c r="A532" s="115"/>
      <c r="B532" s="97"/>
      <c r="C532" s="115"/>
      <c r="D532" s="115"/>
      <c r="E532" s="115"/>
      <c r="F532" s="115"/>
      <c r="G532" s="99"/>
      <c r="H532" s="98"/>
      <c r="I532" s="100"/>
      <c r="J532" s="100"/>
      <c r="K532" s="100"/>
      <c r="L532" s="101"/>
      <c r="M532" s="101"/>
      <c r="N532" s="112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</row>
    <row r="533" spans="1:29" ht="13">
      <c r="A533" s="115"/>
      <c r="B533" s="97"/>
      <c r="C533" s="115"/>
      <c r="D533" s="115"/>
      <c r="E533" s="115"/>
      <c r="F533" s="115"/>
      <c r="G533" s="99"/>
      <c r="H533" s="98"/>
      <c r="I533" s="100"/>
      <c r="J533" s="100"/>
      <c r="K533" s="100"/>
      <c r="L533" s="101"/>
      <c r="M533" s="101"/>
      <c r="N533" s="112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</row>
    <row r="534" spans="1:29" ht="13">
      <c r="A534" s="115"/>
      <c r="B534" s="97"/>
      <c r="C534" s="115"/>
      <c r="D534" s="115"/>
      <c r="E534" s="115"/>
      <c r="F534" s="115"/>
      <c r="G534" s="99"/>
      <c r="H534" s="98"/>
      <c r="I534" s="100"/>
      <c r="J534" s="100"/>
      <c r="K534" s="100"/>
      <c r="L534" s="101"/>
      <c r="M534" s="101"/>
      <c r="N534" s="112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</row>
    <row r="535" spans="1:29" ht="13">
      <c r="A535" s="115"/>
      <c r="B535" s="97"/>
      <c r="C535" s="115"/>
      <c r="D535" s="115"/>
      <c r="E535" s="115"/>
      <c r="F535" s="115"/>
      <c r="G535" s="99"/>
      <c r="H535" s="98"/>
      <c r="I535" s="100"/>
      <c r="J535" s="100"/>
      <c r="K535" s="100"/>
      <c r="L535" s="101"/>
      <c r="M535" s="101"/>
      <c r="N535" s="112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</row>
    <row r="536" spans="1:29" ht="13">
      <c r="A536" s="115"/>
      <c r="B536" s="97"/>
      <c r="C536" s="115"/>
      <c r="D536" s="115"/>
      <c r="E536" s="115"/>
      <c r="F536" s="115"/>
      <c r="G536" s="99"/>
      <c r="H536" s="98"/>
      <c r="I536" s="100"/>
      <c r="J536" s="100"/>
      <c r="K536" s="100"/>
      <c r="L536" s="101"/>
      <c r="M536" s="101"/>
      <c r="N536" s="112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</row>
    <row r="537" spans="1:29" ht="13">
      <c r="A537" s="115"/>
      <c r="B537" s="97"/>
      <c r="C537" s="115"/>
      <c r="D537" s="115"/>
      <c r="E537" s="115"/>
      <c r="F537" s="115"/>
      <c r="G537" s="99"/>
      <c r="H537" s="98"/>
      <c r="I537" s="100"/>
      <c r="J537" s="100"/>
      <c r="K537" s="100"/>
      <c r="L537" s="101"/>
      <c r="M537" s="101"/>
      <c r="N537" s="112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</row>
    <row r="538" spans="1:29" ht="13">
      <c r="A538" s="115"/>
      <c r="B538" s="97"/>
      <c r="C538" s="115"/>
      <c r="D538" s="115"/>
      <c r="E538" s="115"/>
      <c r="F538" s="115"/>
      <c r="G538" s="99"/>
      <c r="H538" s="98"/>
      <c r="I538" s="100"/>
      <c r="J538" s="100"/>
      <c r="K538" s="100"/>
      <c r="L538" s="101"/>
      <c r="M538" s="101"/>
      <c r="N538" s="112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</row>
    <row r="539" spans="1:29" ht="13">
      <c r="A539" s="115"/>
      <c r="B539" s="97"/>
      <c r="C539" s="115"/>
      <c r="D539" s="115"/>
      <c r="E539" s="115"/>
      <c r="F539" s="115"/>
      <c r="G539" s="99"/>
      <c r="H539" s="98"/>
      <c r="I539" s="100"/>
      <c r="J539" s="100"/>
      <c r="K539" s="100"/>
      <c r="L539" s="101"/>
      <c r="M539" s="101"/>
      <c r="N539" s="112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</row>
    <row r="540" spans="1:29" ht="13">
      <c r="A540" s="115"/>
      <c r="B540" s="97"/>
      <c r="C540" s="115"/>
      <c r="D540" s="115"/>
      <c r="E540" s="115"/>
      <c r="F540" s="115"/>
      <c r="G540" s="99"/>
      <c r="H540" s="98"/>
      <c r="I540" s="100"/>
      <c r="J540" s="100"/>
      <c r="K540" s="100"/>
      <c r="L540" s="101"/>
      <c r="M540" s="101"/>
      <c r="N540" s="112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</row>
    <row r="541" spans="1:29" ht="13">
      <c r="A541" s="115"/>
      <c r="B541" s="97"/>
      <c r="C541" s="115"/>
      <c r="D541" s="115"/>
      <c r="E541" s="115"/>
      <c r="F541" s="115"/>
      <c r="G541" s="99"/>
      <c r="H541" s="98"/>
      <c r="I541" s="100"/>
      <c r="J541" s="100"/>
      <c r="K541" s="100"/>
      <c r="L541" s="101"/>
      <c r="M541" s="101"/>
      <c r="N541" s="112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</row>
    <row r="542" spans="1:29" ht="13">
      <c r="A542" s="115"/>
      <c r="B542" s="97"/>
      <c r="C542" s="115"/>
      <c r="D542" s="115"/>
      <c r="E542" s="115"/>
      <c r="F542" s="115"/>
      <c r="G542" s="99"/>
      <c r="H542" s="98"/>
      <c r="I542" s="100"/>
      <c r="J542" s="100"/>
      <c r="K542" s="100"/>
      <c r="L542" s="101"/>
      <c r="M542" s="101"/>
      <c r="N542" s="112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</row>
    <row r="543" spans="1:29" ht="13">
      <c r="A543" s="115"/>
      <c r="B543" s="97"/>
      <c r="C543" s="115"/>
      <c r="D543" s="115"/>
      <c r="E543" s="115"/>
      <c r="F543" s="115"/>
      <c r="G543" s="99"/>
      <c r="H543" s="98"/>
      <c r="I543" s="100"/>
      <c r="J543" s="100"/>
      <c r="K543" s="100"/>
      <c r="L543" s="101"/>
      <c r="M543" s="101"/>
      <c r="N543" s="112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</row>
    <row r="544" spans="1:29" ht="13">
      <c r="A544" s="115"/>
      <c r="B544" s="97"/>
      <c r="C544" s="115"/>
      <c r="D544" s="115"/>
      <c r="E544" s="115"/>
      <c r="F544" s="115"/>
      <c r="G544" s="99"/>
      <c r="H544" s="98"/>
      <c r="I544" s="100"/>
      <c r="J544" s="100"/>
      <c r="K544" s="100"/>
      <c r="L544" s="101"/>
      <c r="M544" s="101"/>
      <c r="N544" s="112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</row>
    <row r="545" spans="1:29" ht="13">
      <c r="A545" s="115"/>
      <c r="B545" s="97"/>
      <c r="C545" s="115"/>
      <c r="D545" s="115"/>
      <c r="E545" s="115"/>
      <c r="F545" s="115"/>
      <c r="G545" s="99"/>
      <c r="H545" s="98"/>
      <c r="I545" s="100"/>
      <c r="J545" s="100"/>
      <c r="K545" s="100"/>
      <c r="L545" s="101"/>
      <c r="M545" s="101"/>
      <c r="N545" s="112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</row>
    <row r="546" spans="1:29" ht="13">
      <c r="A546" s="115"/>
      <c r="B546" s="97"/>
      <c r="C546" s="115"/>
      <c r="D546" s="115"/>
      <c r="E546" s="115"/>
      <c r="F546" s="115"/>
      <c r="G546" s="99"/>
      <c r="H546" s="98"/>
      <c r="I546" s="100"/>
      <c r="J546" s="100"/>
      <c r="K546" s="100"/>
      <c r="L546" s="101"/>
      <c r="M546" s="101"/>
      <c r="N546" s="112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</row>
    <row r="547" spans="1:29" ht="13">
      <c r="A547" s="115"/>
      <c r="B547" s="97"/>
      <c r="C547" s="115"/>
      <c r="D547" s="115"/>
      <c r="E547" s="115"/>
      <c r="F547" s="115"/>
      <c r="G547" s="99"/>
      <c r="H547" s="98"/>
      <c r="I547" s="100"/>
      <c r="J547" s="100"/>
      <c r="K547" s="100"/>
      <c r="L547" s="101"/>
      <c r="M547" s="101"/>
      <c r="N547" s="112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</row>
    <row r="548" spans="1:29" ht="13">
      <c r="A548" s="115"/>
      <c r="B548" s="97"/>
      <c r="C548" s="115"/>
      <c r="D548" s="115"/>
      <c r="E548" s="115"/>
      <c r="F548" s="115"/>
      <c r="G548" s="99"/>
      <c r="H548" s="98"/>
      <c r="I548" s="100"/>
      <c r="J548" s="100"/>
      <c r="K548" s="100"/>
      <c r="L548" s="101"/>
      <c r="M548" s="101"/>
      <c r="N548" s="112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</row>
    <row r="549" spans="1:29" ht="13">
      <c r="A549" s="115"/>
      <c r="B549" s="97"/>
      <c r="C549" s="115"/>
      <c r="D549" s="115"/>
      <c r="E549" s="115"/>
      <c r="F549" s="115"/>
      <c r="G549" s="99"/>
      <c r="H549" s="98"/>
      <c r="I549" s="100"/>
      <c r="J549" s="100"/>
      <c r="K549" s="100"/>
      <c r="L549" s="101"/>
      <c r="M549" s="101"/>
      <c r="N549" s="112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</row>
    <row r="550" spans="1:29" ht="13">
      <c r="A550" s="115"/>
      <c r="B550" s="97"/>
      <c r="C550" s="115"/>
      <c r="D550" s="115"/>
      <c r="E550" s="115"/>
      <c r="F550" s="115"/>
      <c r="G550" s="99"/>
      <c r="H550" s="98"/>
      <c r="I550" s="100"/>
      <c r="J550" s="100"/>
      <c r="K550" s="100"/>
      <c r="L550" s="101"/>
      <c r="M550" s="101"/>
      <c r="N550" s="112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</row>
    <row r="551" spans="1:29" ht="13">
      <c r="A551" s="115"/>
      <c r="B551" s="97"/>
      <c r="C551" s="115"/>
      <c r="D551" s="115"/>
      <c r="E551" s="115"/>
      <c r="F551" s="115"/>
      <c r="G551" s="99"/>
      <c r="H551" s="98"/>
      <c r="I551" s="100"/>
      <c r="J551" s="100"/>
      <c r="K551" s="100"/>
      <c r="L551" s="101"/>
      <c r="M551" s="101"/>
      <c r="N551" s="112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</row>
    <row r="552" spans="1:29" ht="13">
      <c r="A552" s="115"/>
      <c r="B552" s="97"/>
      <c r="C552" s="115"/>
      <c r="D552" s="115"/>
      <c r="E552" s="115"/>
      <c r="F552" s="115"/>
      <c r="G552" s="99"/>
      <c r="H552" s="98"/>
      <c r="I552" s="100"/>
      <c r="J552" s="100"/>
      <c r="K552" s="100"/>
      <c r="L552" s="101"/>
      <c r="M552" s="101"/>
      <c r="N552" s="112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</row>
    <row r="553" spans="1:29" ht="13">
      <c r="A553" s="115"/>
      <c r="B553" s="97"/>
      <c r="C553" s="115"/>
      <c r="D553" s="115"/>
      <c r="E553" s="115"/>
      <c r="F553" s="115"/>
      <c r="G553" s="99"/>
      <c r="H553" s="98"/>
      <c r="I553" s="100"/>
      <c r="J553" s="100"/>
      <c r="K553" s="100"/>
      <c r="L553" s="101"/>
      <c r="M553" s="101"/>
      <c r="N553" s="112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</row>
    <row r="554" spans="1:29" ht="13">
      <c r="A554" s="115"/>
      <c r="B554" s="97"/>
      <c r="C554" s="115"/>
      <c r="D554" s="115"/>
      <c r="E554" s="115"/>
      <c r="F554" s="115"/>
      <c r="G554" s="99"/>
      <c r="H554" s="98"/>
      <c r="I554" s="100"/>
      <c r="J554" s="100"/>
      <c r="K554" s="100"/>
      <c r="L554" s="101"/>
      <c r="M554" s="101"/>
      <c r="N554" s="112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</row>
    <row r="555" spans="1:29" ht="13">
      <c r="A555" s="115"/>
      <c r="B555" s="97"/>
      <c r="C555" s="115"/>
      <c r="D555" s="115"/>
      <c r="E555" s="115"/>
      <c r="F555" s="115"/>
      <c r="G555" s="99"/>
      <c r="H555" s="98"/>
      <c r="I555" s="100"/>
      <c r="J555" s="100"/>
      <c r="K555" s="100"/>
      <c r="L555" s="101"/>
      <c r="M555" s="101"/>
      <c r="N555" s="112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</row>
    <row r="556" spans="1:29" ht="13">
      <c r="A556" s="115"/>
      <c r="B556" s="97"/>
      <c r="C556" s="115"/>
      <c r="D556" s="115"/>
      <c r="E556" s="115"/>
      <c r="F556" s="115"/>
      <c r="G556" s="99"/>
      <c r="H556" s="98"/>
      <c r="I556" s="100"/>
      <c r="J556" s="100"/>
      <c r="K556" s="100"/>
      <c r="L556" s="101"/>
      <c r="M556" s="101"/>
      <c r="N556" s="112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</row>
    <row r="557" spans="1:29" ht="13">
      <c r="A557" s="115"/>
      <c r="B557" s="97"/>
      <c r="C557" s="115"/>
      <c r="D557" s="115"/>
      <c r="E557" s="115"/>
      <c r="F557" s="115"/>
      <c r="G557" s="99"/>
      <c r="H557" s="98"/>
      <c r="I557" s="100"/>
      <c r="J557" s="100"/>
      <c r="K557" s="100"/>
      <c r="L557" s="101"/>
      <c r="M557" s="101"/>
      <c r="N557" s="112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</row>
    <row r="558" spans="1:29" ht="13">
      <c r="A558" s="115"/>
      <c r="B558" s="97"/>
      <c r="C558" s="115"/>
      <c r="D558" s="115"/>
      <c r="E558" s="115"/>
      <c r="F558" s="115"/>
      <c r="G558" s="99"/>
      <c r="H558" s="98"/>
      <c r="I558" s="100"/>
      <c r="J558" s="100"/>
      <c r="K558" s="100"/>
      <c r="L558" s="101"/>
      <c r="M558" s="101"/>
      <c r="N558" s="112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</row>
    <row r="559" spans="1:29" ht="13">
      <c r="A559" s="115"/>
      <c r="B559" s="97"/>
      <c r="C559" s="115"/>
      <c r="D559" s="115"/>
      <c r="E559" s="115"/>
      <c r="F559" s="115"/>
      <c r="G559" s="99"/>
      <c r="H559" s="98"/>
      <c r="I559" s="100"/>
      <c r="J559" s="100"/>
      <c r="K559" s="100"/>
      <c r="L559" s="101"/>
      <c r="M559" s="101"/>
      <c r="N559" s="112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</row>
    <row r="560" spans="1:29" ht="13">
      <c r="A560" s="115"/>
      <c r="B560" s="97"/>
      <c r="C560" s="115"/>
      <c r="D560" s="115"/>
      <c r="E560" s="115"/>
      <c r="F560" s="115"/>
      <c r="G560" s="99"/>
      <c r="H560" s="98"/>
      <c r="I560" s="100"/>
      <c r="J560" s="100"/>
      <c r="K560" s="100"/>
      <c r="L560" s="101"/>
      <c r="M560" s="101"/>
      <c r="N560" s="112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</row>
    <row r="561" spans="1:29" ht="13">
      <c r="A561" s="115"/>
      <c r="B561" s="97"/>
      <c r="C561" s="115"/>
      <c r="D561" s="115"/>
      <c r="E561" s="115"/>
      <c r="F561" s="115"/>
      <c r="G561" s="99"/>
      <c r="H561" s="98"/>
      <c r="I561" s="100"/>
      <c r="J561" s="100"/>
      <c r="K561" s="100"/>
      <c r="L561" s="101"/>
      <c r="M561" s="101"/>
      <c r="N561" s="112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</row>
    <row r="562" spans="1:29" ht="13">
      <c r="A562" s="115"/>
      <c r="B562" s="97"/>
      <c r="C562" s="115"/>
      <c r="D562" s="115"/>
      <c r="E562" s="115"/>
      <c r="F562" s="115"/>
      <c r="G562" s="99"/>
      <c r="H562" s="98"/>
      <c r="I562" s="100"/>
      <c r="J562" s="100"/>
      <c r="K562" s="100"/>
      <c r="L562" s="101"/>
      <c r="M562" s="101"/>
      <c r="N562" s="112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</row>
    <row r="563" spans="1:29" ht="13">
      <c r="A563" s="115"/>
      <c r="B563" s="97"/>
      <c r="C563" s="115"/>
      <c r="D563" s="115"/>
      <c r="E563" s="115"/>
      <c r="F563" s="115"/>
      <c r="G563" s="99"/>
      <c r="H563" s="98"/>
      <c r="I563" s="100"/>
      <c r="J563" s="100"/>
      <c r="K563" s="100"/>
      <c r="L563" s="101"/>
      <c r="M563" s="101"/>
      <c r="N563" s="112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</row>
    <row r="564" spans="1:29" ht="13">
      <c r="A564" s="115"/>
      <c r="B564" s="97"/>
      <c r="C564" s="115"/>
      <c r="D564" s="115"/>
      <c r="E564" s="115"/>
      <c r="F564" s="115"/>
      <c r="G564" s="99"/>
      <c r="H564" s="98"/>
      <c r="I564" s="100"/>
      <c r="J564" s="100"/>
      <c r="K564" s="100"/>
      <c r="L564" s="101"/>
      <c r="M564" s="101"/>
      <c r="N564" s="112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</row>
    <row r="565" spans="1:29" ht="13">
      <c r="A565" s="115"/>
      <c r="B565" s="97"/>
      <c r="C565" s="115"/>
      <c r="D565" s="115"/>
      <c r="E565" s="115"/>
      <c r="F565" s="115"/>
      <c r="G565" s="99"/>
      <c r="H565" s="98"/>
      <c r="I565" s="100"/>
      <c r="J565" s="100"/>
      <c r="K565" s="100"/>
      <c r="L565" s="101"/>
      <c r="M565" s="101"/>
      <c r="N565" s="112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</row>
    <row r="566" spans="1:29" ht="13">
      <c r="A566" s="115"/>
      <c r="B566" s="97"/>
      <c r="C566" s="115"/>
      <c r="D566" s="115"/>
      <c r="E566" s="115"/>
      <c r="F566" s="115"/>
      <c r="G566" s="99"/>
      <c r="H566" s="98"/>
      <c r="I566" s="100"/>
      <c r="J566" s="100"/>
      <c r="K566" s="100"/>
      <c r="L566" s="101"/>
      <c r="M566" s="101"/>
      <c r="N566" s="112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</row>
    <row r="567" spans="1:29" ht="13">
      <c r="A567" s="115"/>
      <c r="B567" s="97"/>
      <c r="C567" s="115"/>
      <c r="D567" s="115"/>
      <c r="E567" s="115"/>
      <c r="F567" s="115"/>
      <c r="G567" s="99"/>
      <c r="H567" s="98"/>
      <c r="I567" s="100"/>
      <c r="J567" s="100"/>
      <c r="K567" s="100"/>
      <c r="L567" s="101"/>
      <c r="M567" s="101"/>
      <c r="N567" s="112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</row>
    <row r="568" spans="1:29" ht="13">
      <c r="A568" s="115"/>
      <c r="B568" s="97"/>
      <c r="C568" s="115"/>
      <c r="D568" s="115"/>
      <c r="E568" s="115"/>
      <c r="F568" s="115"/>
      <c r="G568" s="99"/>
      <c r="H568" s="98"/>
      <c r="I568" s="100"/>
      <c r="J568" s="100"/>
      <c r="K568" s="100"/>
      <c r="L568" s="101"/>
      <c r="M568" s="101"/>
      <c r="N568" s="112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</row>
    <row r="569" spans="1:29" ht="13">
      <c r="A569" s="115"/>
      <c r="B569" s="97"/>
      <c r="C569" s="115"/>
      <c r="D569" s="115"/>
      <c r="E569" s="115"/>
      <c r="F569" s="115"/>
      <c r="G569" s="99"/>
      <c r="H569" s="98"/>
      <c r="I569" s="100"/>
      <c r="J569" s="100"/>
      <c r="K569" s="100"/>
      <c r="L569" s="101"/>
      <c r="M569" s="101"/>
      <c r="N569" s="112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</row>
    <row r="570" spans="1:29" ht="13">
      <c r="A570" s="115"/>
      <c r="B570" s="97"/>
      <c r="C570" s="115"/>
      <c r="D570" s="115"/>
      <c r="E570" s="115"/>
      <c r="F570" s="115"/>
      <c r="G570" s="99"/>
      <c r="H570" s="98"/>
      <c r="I570" s="100"/>
      <c r="J570" s="100"/>
      <c r="K570" s="100"/>
      <c r="L570" s="101"/>
      <c r="M570" s="101"/>
      <c r="N570" s="112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</row>
    <row r="571" spans="1:29" ht="13">
      <c r="A571" s="115"/>
      <c r="B571" s="97"/>
      <c r="C571" s="115"/>
      <c r="D571" s="115"/>
      <c r="E571" s="115"/>
      <c r="F571" s="115"/>
      <c r="G571" s="99"/>
      <c r="H571" s="98"/>
      <c r="I571" s="100"/>
      <c r="J571" s="100"/>
      <c r="K571" s="100"/>
      <c r="L571" s="101"/>
      <c r="M571" s="101"/>
      <c r="N571" s="112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</row>
    <row r="572" spans="1:29" ht="13">
      <c r="A572" s="115"/>
      <c r="B572" s="97"/>
      <c r="C572" s="115"/>
      <c r="D572" s="115"/>
      <c r="E572" s="115"/>
      <c r="F572" s="115"/>
      <c r="G572" s="99"/>
      <c r="H572" s="98"/>
      <c r="I572" s="100"/>
      <c r="J572" s="100"/>
      <c r="K572" s="100"/>
      <c r="L572" s="101"/>
      <c r="M572" s="101"/>
      <c r="N572" s="112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</row>
    <row r="573" spans="1:29" ht="13">
      <c r="A573" s="115"/>
      <c r="B573" s="97"/>
      <c r="C573" s="115"/>
      <c r="D573" s="115"/>
      <c r="E573" s="115"/>
      <c r="F573" s="115"/>
      <c r="G573" s="99"/>
      <c r="H573" s="98"/>
      <c r="I573" s="100"/>
      <c r="J573" s="100"/>
      <c r="K573" s="100"/>
      <c r="L573" s="101"/>
      <c r="M573" s="101"/>
      <c r="N573" s="112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</row>
    <row r="574" spans="1:29" ht="13">
      <c r="A574" s="115"/>
      <c r="B574" s="97"/>
      <c r="C574" s="115"/>
      <c r="D574" s="115"/>
      <c r="E574" s="115"/>
      <c r="F574" s="115"/>
      <c r="G574" s="99"/>
      <c r="H574" s="98"/>
      <c r="I574" s="100"/>
      <c r="J574" s="100"/>
      <c r="K574" s="100"/>
      <c r="L574" s="101"/>
      <c r="M574" s="101"/>
      <c r="N574" s="112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</row>
    <row r="575" spans="1:29" ht="13">
      <c r="A575" s="115"/>
      <c r="B575" s="97"/>
      <c r="C575" s="115"/>
      <c r="D575" s="115"/>
      <c r="E575" s="115"/>
      <c r="F575" s="115"/>
      <c r="G575" s="99"/>
      <c r="H575" s="98"/>
      <c r="I575" s="100"/>
      <c r="J575" s="100"/>
      <c r="K575" s="100"/>
      <c r="L575" s="101"/>
      <c r="M575" s="101"/>
      <c r="N575" s="112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</row>
    <row r="576" spans="1:29" ht="13">
      <c r="A576" s="115"/>
      <c r="B576" s="97"/>
      <c r="C576" s="115"/>
      <c r="D576" s="115"/>
      <c r="E576" s="115"/>
      <c r="F576" s="115"/>
      <c r="G576" s="99"/>
      <c r="H576" s="98"/>
      <c r="I576" s="100"/>
      <c r="J576" s="100"/>
      <c r="K576" s="100"/>
      <c r="L576" s="101"/>
      <c r="M576" s="101"/>
      <c r="N576" s="112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</row>
    <row r="577" spans="1:29" ht="13">
      <c r="A577" s="115"/>
      <c r="B577" s="97"/>
      <c r="C577" s="115"/>
      <c r="D577" s="115"/>
      <c r="E577" s="115"/>
      <c r="F577" s="115"/>
      <c r="G577" s="99"/>
      <c r="H577" s="98"/>
      <c r="I577" s="100"/>
      <c r="J577" s="100"/>
      <c r="K577" s="100"/>
      <c r="L577" s="101"/>
      <c r="M577" s="101"/>
      <c r="N577" s="112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</row>
    <row r="578" spans="1:29" ht="13">
      <c r="A578" s="115"/>
      <c r="B578" s="97"/>
      <c r="C578" s="115"/>
      <c r="D578" s="115"/>
      <c r="E578" s="115"/>
      <c r="F578" s="115"/>
      <c r="G578" s="99"/>
      <c r="H578" s="98"/>
      <c r="I578" s="100"/>
      <c r="J578" s="100"/>
      <c r="K578" s="100"/>
      <c r="L578" s="101"/>
      <c r="M578" s="101"/>
      <c r="N578" s="112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</row>
    <row r="579" spans="1:29" ht="13">
      <c r="A579" s="115"/>
      <c r="B579" s="97"/>
      <c r="C579" s="115"/>
      <c r="D579" s="115"/>
      <c r="E579" s="115"/>
      <c r="F579" s="115"/>
      <c r="G579" s="99"/>
      <c r="H579" s="98"/>
      <c r="I579" s="100"/>
      <c r="J579" s="100"/>
      <c r="K579" s="100"/>
      <c r="L579" s="101"/>
      <c r="M579" s="101"/>
      <c r="N579" s="112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</row>
    <row r="580" spans="1:29" ht="13">
      <c r="A580" s="115"/>
      <c r="B580" s="97"/>
      <c r="C580" s="115"/>
      <c r="D580" s="115"/>
      <c r="E580" s="115"/>
      <c r="F580" s="115"/>
      <c r="G580" s="99"/>
      <c r="H580" s="98"/>
      <c r="I580" s="100"/>
      <c r="J580" s="100"/>
      <c r="K580" s="100"/>
      <c r="L580" s="101"/>
      <c r="M580" s="101"/>
      <c r="N580" s="112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</row>
    <row r="581" spans="1:29" ht="13">
      <c r="A581" s="115"/>
      <c r="B581" s="97"/>
      <c r="C581" s="115"/>
      <c r="D581" s="115"/>
      <c r="E581" s="115"/>
      <c r="F581" s="115"/>
      <c r="G581" s="99"/>
      <c r="H581" s="98"/>
      <c r="I581" s="100"/>
      <c r="J581" s="100"/>
      <c r="K581" s="100"/>
      <c r="L581" s="101"/>
      <c r="M581" s="101"/>
      <c r="N581" s="112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</row>
    <row r="582" spans="1:29" ht="13">
      <c r="A582" s="115"/>
      <c r="B582" s="97"/>
      <c r="C582" s="115"/>
      <c r="D582" s="115"/>
      <c r="E582" s="115"/>
      <c r="F582" s="115"/>
      <c r="G582" s="99"/>
      <c r="H582" s="98"/>
      <c r="I582" s="100"/>
      <c r="J582" s="100"/>
      <c r="K582" s="100"/>
      <c r="L582" s="101"/>
      <c r="M582" s="101"/>
      <c r="N582" s="112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</row>
    <row r="583" spans="1:29" ht="13">
      <c r="A583" s="115"/>
      <c r="B583" s="97"/>
      <c r="C583" s="115"/>
      <c r="D583" s="115"/>
      <c r="E583" s="115"/>
      <c r="F583" s="115"/>
      <c r="G583" s="99"/>
      <c r="H583" s="98"/>
      <c r="I583" s="100"/>
      <c r="J583" s="100"/>
      <c r="K583" s="100"/>
      <c r="L583" s="101"/>
      <c r="M583" s="101"/>
      <c r="N583" s="112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</row>
    <row r="584" spans="1:29" ht="13">
      <c r="A584" s="115"/>
      <c r="B584" s="97"/>
      <c r="C584" s="115"/>
      <c r="D584" s="115"/>
      <c r="E584" s="115"/>
      <c r="F584" s="115"/>
      <c r="G584" s="99"/>
      <c r="H584" s="98"/>
      <c r="I584" s="100"/>
      <c r="J584" s="100"/>
      <c r="K584" s="100"/>
      <c r="L584" s="101"/>
      <c r="M584" s="101"/>
      <c r="N584" s="112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</row>
    <row r="585" spans="1:29" ht="13">
      <c r="A585" s="115"/>
      <c r="B585" s="97"/>
      <c r="C585" s="115"/>
      <c r="D585" s="115"/>
      <c r="E585" s="115"/>
      <c r="F585" s="115"/>
      <c r="G585" s="99"/>
      <c r="H585" s="98"/>
      <c r="I585" s="100"/>
      <c r="J585" s="100"/>
      <c r="K585" s="100"/>
      <c r="L585" s="101"/>
      <c r="M585" s="101"/>
      <c r="N585" s="112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</row>
    <row r="586" spans="1:29" ht="13">
      <c r="A586" s="115"/>
      <c r="B586" s="97"/>
      <c r="C586" s="115"/>
      <c r="D586" s="115"/>
      <c r="E586" s="115"/>
      <c r="F586" s="115"/>
      <c r="G586" s="99"/>
      <c r="H586" s="98"/>
      <c r="I586" s="100"/>
      <c r="J586" s="100"/>
      <c r="K586" s="100"/>
      <c r="L586" s="101"/>
      <c r="M586" s="101"/>
      <c r="N586" s="112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</row>
    <row r="587" spans="1:29" ht="13">
      <c r="A587" s="115"/>
      <c r="B587" s="97"/>
      <c r="C587" s="115"/>
      <c r="D587" s="115"/>
      <c r="E587" s="115"/>
      <c r="F587" s="115"/>
      <c r="G587" s="99"/>
      <c r="H587" s="98"/>
      <c r="I587" s="100"/>
      <c r="J587" s="100"/>
      <c r="K587" s="100"/>
      <c r="L587" s="101"/>
      <c r="M587" s="101"/>
      <c r="N587" s="112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</row>
    <row r="588" spans="1:29" ht="13">
      <c r="A588" s="115"/>
      <c r="B588" s="97"/>
      <c r="C588" s="115"/>
      <c r="D588" s="115"/>
      <c r="E588" s="115"/>
      <c r="F588" s="115"/>
      <c r="G588" s="99"/>
      <c r="H588" s="98"/>
      <c r="I588" s="100"/>
      <c r="J588" s="100"/>
      <c r="K588" s="100"/>
      <c r="L588" s="101"/>
      <c r="M588" s="101"/>
      <c r="N588" s="112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</row>
    <row r="589" spans="1:29" ht="13">
      <c r="A589" s="115"/>
      <c r="B589" s="97"/>
      <c r="C589" s="115"/>
      <c r="D589" s="115"/>
      <c r="E589" s="115"/>
      <c r="F589" s="115"/>
      <c r="G589" s="99"/>
      <c r="H589" s="98"/>
      <c r="I589" s="100"/>
      <c r="J589" s="100"/>
      <c r="K589" s="100"/>
      <c r="L589" s="101"/>
      <c r="M589" s="101"/>
      <c r="N589" s="112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</row>
    <row r="590" spans="1:29" ht="13">
      <c r="A590" s="115"/>
      <c r="B590" s="97"/>
      <c r="C590" s="115"/>
      <c r="D590" s="115"/>
      <c r="E590" s="115"/>
      <c r="F590" s="115"/>
      <c r="G590" s="99"/>
      <c r="H590" s="98"/>
      <c r="I590" s="100"/>
      <c r="J590" s="100"/>
      <c r="K590" s="100"/>
      <c r="L590" s="101"/>
      <c r="M590" s="101"/>
      <c r="N590" s="112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</row>
    <row r="591" spans="1:29" ht="13">
      <c r="A591" s="115"/>
      <c r="B591" s="97"/>
      <c r="C591" s="115"/>
      <c r="D591" s="115"/>
      <c r="E591" s="115"/>
      <c r="F591" s="115"/>
      <c r="G591" s="99"/>
      <c r="H591" s="98"/>
      <c r="I591" s="100"/>
      <c r="J591" s="100"/>
      <c r="K591" s="100"/>
      <c r="L591" s="101"/>
      <c r="M591" s="101"/>
      <c r="N591" s="112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</row>
    <row r="592" spans="1:29" ht="13">
      <c r="A592" s="115"/>
      <c r="B592" s="97"/>
      <c r="C592" s="115"/>
      <c r="D592" s="115"/>
      <c r="E592" s="115"/>
      <c r="F592" s="115"/>
      <c r="G592" s="99"/>
      <c r="H592" s="98"/>
      <c r="I592" s="100"/>
      <c r="J592" s="100"/>
      <c r="K592" s="100"/>
      <c r="L592" s="101"/>
      <c r="M592" s="101"/>
      <c r="N592" s="112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</row>
    <row r="593" spans="1:29" ht="13">
      <c r="A593" s="115"/>
      <c r="B593" s="97"/>
      <c r="C593" s="115"/>
      <c r="D593" s="115"/>
      <c r="E593" s="115"/>
      <c r="F593" s="115"/>
      <c r="G593" s="99"/>
      <c r="H593" s="98"/>
      <c r="I593" s="100"/>
      <c r="J593" s="100"/>
      <c r="K593" s="100"/>
      <c r="L593" s="101"/>
      <c r="M593" s="101"/>
      <c r="N593" s="112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</row>
    <row r="594" spans="1:29" ht="13">
      <c r="A594" s="115"/>
      <c r="B594" s="97"/>
      <c r="C594" s="115"/>
      <c r="D594" s="115"/>
      <c r="E594" s="115"/>
      <c r="F594" s="115"/>
      <c r="G594" s="99"/>
      <c r="H594" s="98"/>
      <c r="I594" s="100"/>
      <c r="J594" s="100"/>
      <c r="K594" s="100"/>
      <c r="L594" s="101"/>
      <c r="M594" s="101"/>
      <c r="N594" s="112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</row>
    <row r="595" spans="1:29" ht="13">
      <c r="A595" s="115"/>
      <c r="B595" s="97"/>
      <c r="C595" s="115"/>
      <c r="D595" s="115"/>
      <c r="E595" s="115"/>
      <c r="F595" s="115"/>
      <c r="G595" s="99"/>
      <c r="H595" s="98"/>
      <c r="I595" s="100"/>
      <c r="J595" s="100"/>
      <c r="K595" s="100"/>
      <c r="L595" s="101"/>
      <c r="M595" s="101"/>
      <c r="N595" s="112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</row>
    <row r="596" spans="1:29" ht="13">
      <c r="A596" s="115"/>
      <c r="B596" s="97"/>
      <c r="C596" s="115"/>
      <c r="D596" s="115"/>
      <c r="E596" s="115"/>
      <c r="F596" s="115"/>
      <c r="G596" s="99"/>
      <c r="H596" s="98"/>
      <c r="I596" s="100"/>
      <c r="J596" s="100"/>
      <c r="K596" s="100"/>
      <c r="L596" s="101"/>
      <c r="M596" s="101"/>
      <c r="N596" s="112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</row>
    <row r="597" spans="1:29" ht="13">
      <c r="A597" s="115"/>
      <c r="B597" s="97"/>
      <c r="C597" s="115"/>
      <c r="D597" s="115"/>
      <c r="E597" s="115"/>
      <c r="F597" s="115"/>
      <c r="G597" s="99"/>
      <c r="H597" s="98"/>
      <c r="I597" s="100"/>
      <c r="J597" s="100"/>
      <c r="K597" s="100"/>
      <c r="L597" s="101"/>
      <c r="M597" s="101"/>
      <c r="N597" s="112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</row>
    <row r="598" spans="1:29" ht="13">
      <c r="A598" s="115"/>
      <c r="B598" s="97"/>
      <c r="C598" s="115"/>
      <c r="D598" s="115"/>
      <c r="E598" s="115"/>
      <c r="F598" s="115"/>
      <c r="G598" s="99"/>
      <c r="H598" s="98"/>
      <c r="I598" s="100"/>
      <c r="J598" s="100"/>
      <c r="K598" s="100"/>
      <c r="L598" s="101"/>
      <c r="M598" s="101"/>
      <c r="N598" s="112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</row>
    <row r="599" spans="1:29" ht="13">
      <c r="A599" s="115"/>
      <c r="B599" s="97"/>
      <c r="C599" s="115"/>
      <c r="D599" s="115"/>
      <c r="E599" s="115"/>
      <c r="F599" s="115"/>
      <c r="G599" s="99"/>
      <c r="H599" s="98"/>
      <c r="I599" s="100"/>
      <c r="J599" s="100"/>
      <c r="K599" s="100"/>
      <c r="L599" s="101"/>
      <c r="M599" s="101"/>
      <c r="N599" s="112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</row>
    <row r="600" spans="1:29" ht="13">
      <c r="A600" s="115"/>
      <c r="B600" s="97"/>
      <c r="C600" s="115"/>
      <c r="D600" s="115"/>
      <c r="E600" s="115"/>
      <c r="F600" s="115"/>
      <c r="G600" s="99"/>
      <c r="H600" s="98"/>
      <c r="I600" s="100"/>
      <c r="J600" s="100"/>
      <c r="K600" s="100"/>
      <c r="L600" s="101"/>
      <c r="M600" s="101"/>
      <c r="N600" s="112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</row>
    <row r="601" spans="1:29" ht="13">
      <c r="A601" s="115"/>
      <c r="B601" s="97"/>
      <c r="C601" s="115"/>
      <c r="D601" s="115"/>
      <c r="E601" s="115"/>
      <c r="F601" s="115"/>
      <c r="G601" s="99"/>
      <c r="H601" s="98"/>
      <c r="I601" s="100"/>
      <c r="J601" s="100"/>
      <c r="K601" s="100"/>
      <c r="L601" s="101"/>
      <c r="M601" s="101"/>
      <c r="N601" s="112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</row>
    <row r="602" spans="1:29" ht="13">
      <c r="A602" s="115"/>
      <c r="B602" s="97"/>
      <c r="C602" s="115"/>
      <c r="D602" s="115"/>
      <c r="E602" s="115"/>
      <c r="F602" s="115"/>
      <c r="G602" s="99"/>
      <c r="H602" s="98"/>
      <c r="I602" s="100"/>
      <c r="J602" s="100"/>
      <c r="K602" s="100"/>
      <c r="L602" s="101"/>
      <c r="M602" s="101"/>
      <c r="N602" s="112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</row>
    <row r="603" spans="1:29" ht="13">
      <c r="A603" s="115"/>
      <c r="B603" s="97"/>
      <c r="C603" s="115"/>
      <c r="D603" s="115"/>
      <c r="E603" s="115"/>
      <c r="F603" s="115"/>
      <c r="G603" s="99"/>
      <c r="H603" s="98"/>
      <c r="I603" s="100"/>
      <c r="J603" s="100"/>
      <c r="K603" s="100"/>
      <c r="L603" s="101"/>
      <c r="M603" s="101"/>
      <c r="N603" s="112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</row>
    <row r="604" spans="1:29" ht="13">
      <c r="A604" s="115"/>
      <c r="B604" s="97"/>
      <c r="C604" s="115"/>
      <c r="D604" s="115"/>
      <c r="E604" s="115"/>
      <c r="F604" s="115"/>
      <c r="G604" s="99"/>
      <c r="H604" s="98"/>
      <c r="I604" s="100"/>
      <c r="J604" s="100"/>
      <c r="K604" s="100"/>
      <c r="L604" s="101"/>
      <c r="M604" s="101"/>
      <c r="N604" s="112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</row>
    <row r="605" spans="1:29" ht="13">
      <c r="A605" s="115"/>
      <c r="B605" s="97"/>
      <c r="C605" s="115"/>
      <c r="D605" s="115"/>
      <c r="E605" s="115"/>
      <c r="F605" s="115"/>
      <c r="G605" s="99"/>
      <c r="H605" s="98"/>
      <c r="I605" s="100"/>
      <c r="J605" s="100"/>
      <c r="K605" s="100"/>
      <c r="L605" s="101"/>
      <c r="M605" s="101"/>
      <c r="N605" s="112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</row>
    <row r="606" spans="1:29" ht="13">
      <c r="A606" s="115"/>
      <c r="B606" s="97"/>
      <c r="C606" s="115"/>
      <c r="D606" s="115"/>
      <c r="E606" s="115"/>
      <c r="F606" s="115"/>
      <c r="G606" s="99"/>
      <c r="H606" s="98"/>
      <c r="I606" s="100"/>
      <c r="J606" s="100"/>
      <c r="K606" s="100"/>
      <c r="L606" s="101"/>
      <c r="M606" s="101"/>
      <c r="N606" s="112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</row>
    <row r="607" spans="1:29" ht="13">
      <c r="A607" s="115"/>
      <c r="B607" s="97"/>
      <c r="C607" s="115"/>
      <c r="D607" s="115"/>
      <c r="E607" s="115"/>
      <c r="F607" s="115"/>
      <c r="G607" s="99"/>
      <c r="H607" s="98"/>
      <c r="I607" s="100"/>
      <c r="J607" s="100"/>
      <c r="K607" s="100"/>
      <c r="L607" s="101"/>
      <c r="M607" s="101"/>
      <c r="N607" s="112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</row>
    <row r="608" spans="1:29" ht="13">
      <c r="A608" s="115"/>
      <c r="B608" s="97"/>
      <c r="C608" s="115"/>
      <c r="D608" s="115"/>
      <c r="E608" s="115"/>
      <c r="F608" s="115"/>
      <c r="G608" s="99"/>
      <c r="H608" s="98"/>
      <c r="I608" s="100"/>
      <c r="J608" s="100"/>
      <c r="K608" s="100"/>
      <c r="L608" s="101"/>
      <c r="M608" s="101"/>
      <c r="N608" s="112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</row>
    <row r="609" spans="1:29" ht="13">
      <c r="A609" s="115"/>
      <c r="B609" s="97"/>
      <c r="C609" s="115"/>
      <c r="D609" s="115"/>
      <c r="E609" s="115"/>
      <c r="F609" s="115"/>
      <c r="G609" s="99"/>
      <c r="H609" s="98"/>
      <c r="I609" s="100"/>
      <c r="J609" s="100"/>
      <c r="K609" s="100"/>
      <c r="L609" s="101"/>
      <c r="M609" s="101"/>
      <c r="N609" s="112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</row>
    <row r="610" spans="1:29" ht="13">
      <c r="A610" s="115"/>
      <c r="B610" s="97"/>
      <c r="C610" s="115"/>
      <c r="D610" s="115"/>
      <c r="E610" s="115"/>
      <c r="F610" s="115"/>
      <c r="G610" s="99"/>
      <c r="H610" s="98"/>
      <c r="I610" s="100"/>
      <c r="J610" s="100"/>
      <c r="K610" s="100"/>
      <c r="L610" s="101"/>
      <c r="M610" s="101"/>
      <c r="N610" s="112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</row>
    <row r="611" spans="1:29" ht="13">
      <c r="A611" s="115"/>
      <c r="B611" s="97"/>
      <c r="C611" s="115"/>
      <c r="D611" s="115"/>
      <c r="E611" s="115"/>
      <c r="F611" s="115"/>
      <c r="G611" s="99"/>
      <c r="H611" s="98"/>
      <c r="I611" s="100"/>
      <c r="J611" s="100"/>
      <c r="K611" s="100"/>
      <c r="L611" s="101"/>
      <c r="M611" s="101"/>
      <c r="N611" s="112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</row>
    <row r="612" spans="1:29" ht="13">
      <c r="A612" s="115"/>
      <c r="B612" s="97"/>
      <c r="C612" s="115"/>
      <c r="D612" s="115"/>
      <c r="E612" s="115"/>
      <c r="F612" s="115"/>
      <c r="G612" s="99"/>
      <c r="H612" s="98"/>
      <c r="I612" s="100"/>
      <c r="J612" s="100"/>
      <c r="K612" s="100"/>
      <c r="L612" s="101"/>
      <c r="M612" s="101"/>
      <c r="N612" s="112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</row>
    <row r="613" spans="1:29" ht="13">
      <c r="A613" s="115"/>
      <c r="B613" s="97"/>
      <c r="C613" s="115"/>
      <c r="D613" s="115"/>
      <c r="E613" s="115"/>
      <c r="F613" s="115"/>
      <c r="G613" s="99"/>
      <c r="H613" s="98"/>
      <c r="I613" s="100"/>
      <c r="J613" s="100"/>
      <c r="K613" s="100"/>
      <c r="L613" s="101"/>
      <c r="M613" s="101"/>
      <c r="N613" s="112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</row>
    <row r="614" spans="1:29" ht="13">
      <c r="A614" s="115"/>
      <c r="B614" s="97"/>
      <c r="C614" s="115"/>
      <c r="D614" s="115"/>
      <c r="E614" s="115"/>
      <c r="F614" s="115"/>
      <c r="G614" s="99"/>
      <c r="H614" s="98"/>
      <c r="I614" s="100"/>
      <c r="J614" s="100"/>
      <c r="K614" s="100"/>
      <c r="L614" s="101"/>
      <c r="M614" s="101"/>
      <c r="N614" s="112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</row>
    <row r="615" spans="1:29" ht="13">
      <c r="A615" s="115"/>
      <c r="B615" s="97"/>
      <c r="C615" s="115"/>
      <c r="D615" s="115"/>
      <c r="E615" s="115"/>
      <c r="F615" s="115"/>
      <c r="G615" s="99"/>
      <c r="H615" s="98"/>
      <c r="I615" s="100"/>
      <c r="J615" s="100"/>
      <c r="K615" s="100"/>
      <c r="L615" s="101"/>
      <c r="M615" s="101"/>
      <c r="N615" s="112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</row>
    <row r="616" spans="1:29" ht="13">
      <c r="A616" s="115"/>
      <c r="B616" s="97"/>
      <c r="C616" s="115"/>
      <c r="D616" s="115"/>
      <c r="E616" s="115"/>
      <c r="F616" s="115"/>
      <c r="G616" s="99"/>
      <c r="H616" s="98"/>
      <c r="I616" s="100"/>
      <c r="J616" s="100"/>
      <c r="K616" s="100"/>
      <c r="L616" s="101"/>
      <c r="M616" s="101"/>
      <c r="N616" s="112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</row>
    <row r="617" spans="1:29" ht="13">
      <c r="A617" s="115"/>
      <c r="B617" s="97"/>
      <c r="C617" s="115"/>
      <c r="D617" s="115"/>
      <c r="E617" s="115"/>
      <c r="F617" s="115"/>
      <c r="G617" s="99"/>
      <c r="H617" s="98"/>
      <c r="I617" s="100"/>
      <c r="J617" s="100"/>
      <c r="K617" s="100"/>
      <c r="L617" s="101"/>
      <c r="M617" s="101"/>
      <c r="N617" s="112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</row>
    <row r="618" spans="1:29" ht="13">
      <c r="A618" s="115"/>
      <c r="B618" s="97"/>
      <c r="C618" s="115"/>
      <c r="D618" s="115"/>
      <c r="E618" s="115"/>
      <c r="F618" s="115"/>
      <c r="G618" s="99"/>
      <c r="H618" s="98"/>
      <c r="I618" s="100"/>
      <c r="J618" s="100"/>
      <c r="K618" s="100"/>
      <c r="L618" s="101"/>
      <c r="M618" s="101"/>
      <c r="N618" s="112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</row>
    <row r="619" spans="1:29" ht="13">
      <c r="A619" s="115"/>
      <c r="B619" s="97"/>
      <c r="C619" s="115"/>
      <c r="D619" s="115"/>
      <c r="E619" s="115"/>
      <c r="F619" s="115"/>
      <c r="G619" s="99"/>
      <c r="H619" s="98"/>
      <c r="I619" s="100"/>
      <c r="J619" s="100"/>
      <c r="K619" s="100"/>
      <c r="L619" s="101"/>
      <c r="M619" s="101"/>
      <c r="N619" s="112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</row>
    <row r="620" spans="1:29" ht="13">
      <c r="A620" s="115"/>
      <c r="B620" s="97"/>
      <c r="C620" s="115"/>
      <c r="D620" s="115"/>
      <c r="E620" s="115"/>
      <c r="F620" s="115"/>
      <c r="G620" s="99"/>
      <c r="H620" s="98"/>
      <c r="I620" s="100"/>
      <c r="J620" s="100"/>
      <c r="K620" s="100"/>
      <c r="L620" s="101"/>
      <c r="M620" s="101"/>
      <c r="N620" s="112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</row>
    <row r="621" spans="1:29" ht="13">
      <c r="A621" s="115"/>
      <c r="B621" s="97"/>
      <c r="C621" s="115"/>
      <c r="D621" s="115"/>
      <c r="E621" s="115"/>
      <c r="F621" s="115"/>
      <c r="G621" s="99"/>
      <c r="H621" s="98"/>
      <c r="I621" s="100"/>
      <c r="J621" s="100"/>
      <c r="K621" s="100"/>
      <c r="L621" s="101"/>
      <c r="M621" s="101"/>
      <c r="N621" s="112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</row>
    <row r="622" spans="1:29" ht="13">
      <c r="A622" s="115"/>
      <c r="B622" s="97"/>
      <c r="C622" s="115"/>
      <c r="D622" s="115"/>
      <c r="E622" s="115"/>
      <c r="F622" s="115"/>
      <c r="G622" s="99"/>
      <c r="H622" s="98"/>
      <c r="I622" s="100"/>
      <c r="J622" s="100"/>
      <c r="K622" s="100"/>
      <c r="L622" s="101"/>
      <c r="M622" s="101"/>
      <c r="N622" s="112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</row>
    <row r="623" spans="1:29" ht="13">
      <c r="A623" s="115"/>
      <c r="B623" s="97"/>
      <c r="C623" s="115"/>
      <c r="D623" s="115"/>
      <c r="E623" s="115"/>
      <c r="F623" s="115"/>
      <c r="G623" s="99"/>
      <c r="H623" s="98"/>
      <c r="I623" s="100"/>
      <c r="J623" s="100"/>
      <c r="K623" s="100"/>
      <c r="L623" s="101"/>
      <c r="M623" s="101"/>
      <c r="N623" s="112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</row>
    <row r="624" spans="1:29" ht="13">
      <c r="A624" s="115"/>
      <c r="B624" s="97"/>
      <c r="C624" s="115"/>
      <c r="D624" s="115"/>
      <c r="E624" s="115"/>
      <c r="F624" s="115"/>
      <c r="G624" s="99"/>
      <c r="H624" s="98"/>
      <c r="I624" s="100"/>
      <c r="J624" s="100"/>
      <c r="K624" s="100"/>
      <c r="L624" s="101"/>
      <c r="M624" s="101"/>
      <c r="N624" s="112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</row>
    <row r="625" spans="1:29" ht="13">
      <c r="A625" s="115"/>
      <c r="B625" s="97"/>
      <c r="C625" s="115"/>
      <c r="D625" s="115"/>
      <c r="E625" s="115"/>
      <c r="F625" s="115"/>
      <c r="G625" s="99"/>
      <c r="H625" s="98"/>
      <c r="I625" s="100"/>
      <c r="J625" s="100"/>
      <c r="K625" s="100"/>
      <c r="L625" s="101"/>
      <c r="M625" s="101"/>
      <c r="N625" s="112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</row>
    <row r="626" spans="1:29" ht="13">
      <c r="A626" s="115"/>
      <c r="B626" s="97"/>
      <c r="C626" s="115"/>
      <c r="D626" s="115"/>
      <c r="E626" s="115"/>
      <c r="F626" s="115"/>
      <c r="G626" s="99"/>
      <c r="H626" s="98"/>
      <c r="I626" s="100"/>
      <c r="J626" s="100"/>
      <c r="K626" s="100"/>
      <c r="L626" s="101"/>
      <c r="M626" s="101"/>
      <c r="N626" s="112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</row>
    <row r="627" spans="1:29" ht="13">
      <c r="A627" s="115"/>
      <c r="B627" s="97"/>
      <c r="C627" s="115"/>
      <c r="D627" s="115"/>
      <c r="E627" s="115"/>
      <c r="F627" s="115"/>
      <c r="G627" s="99"/>
      <c r="H627" s="98"/>
      <c r="I627" s="100"/>
      <c r="J627" s="100"/>
      <c r="K627" s="100"/>
      <c r="L627" s="101"/>
      <c r="M627" s="101"/>
      <c r="N627" s="112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</row>
    <row r="628" spans="1:29" ht="13">
      <c r="A628" s="115"/>
      <c r="B628" s="97"/>
      <c r="C628" s="115"/>
      <c r="D628" s="115"/>
      <c r="E628" s="115"/>
      <c r="F628" s="115"/>
      <c r="G628" s="99"/>
      <c r="H628" s="98"/>
      <c r="I628" s="100"/>
      <c r="J628" s="100"/>
      <c r="K628" s="100"/>
      <c r="L628" s="101"/>
      <c r="M628" s="101"/>
      <c r="N628" s="112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</row>
    <row r="629" spans="1:29" ht="13">
      <c r="A629" s="115"/>
      <c r="B629" s="97"/>
      <c r="C629" s="115"/>
      <c r="D629" s="115"/>
      <c r="E629" s="115"/>
      <c r="F629" s="115"/>
      <c r="G629" s="99"/>
      <c r="H629" s="98"/>
      <c r="I629" s="100"/>
      <c r="J629" s="100"/>
      <c r="K629" s="100"/>
      <c r="L629" s="101"/>
      <c r="M629" s="101"/>
      <c r="N629" s="112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</row>
    <row r="630" spans="1:29" ht="13">
      <c r="A630" s="115"/>
      <c r="B630" s="97"/>
      <c r="C630" s="115"/>
      <c r="D630" s="115"/>
      <c r="E630" s="115"/>
      <c r="F630" s="115"/>
      <c r="G630" s="99"/>
      <c r="H630" s="98"/>
      <c r="I630" s="100"/>
      <c r="J630" s="100"/>
      <c r="K630" s="100"/>
      <c r="L630" s="101"/>
      <c r="M630" s="101"/>
      <c r="N630" s="112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</row>
    <row r="631" spans="1:29" ht="13">
      <c r="A631" s="115"/>
      <c r="B631" s="97"/>
      <c r="C631" s="115"/>
      <c r="D631" s="115"/>
      <c r="E631" s="115"/>
      <c r="F631" s="115"/>
      <c r="G631" s="99"/>
      <c r="H631" s="98"/>
      <c r="I631" s="100"/>
      <c r="J631" s="100"/>
      <c r="K631" s="100"/>
      <c r="L631" s="101"/>
      <c r="M631" s="101"/>
      <c r="N631" s="112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</row>
    <row r="632" spans="1:29" ht="13">
      <c r="A632" s="115"/>
      <c r="B632" s="97"/>
      <c r="C632" s="115"/>
      <c r="D632" s="115"/>
      <c r="E632" s="115"/>
      <c r="F632" s="115"/>
      <c r="G632" s="99"/>
      <c r="H632" s="98"/>
      <c r="I632" s="100"/>
      <c r="J632" s="100"/>
      <c r="K632" s="100"/>
      <c r="L632" s="101"/>
      <c r="M632" s="101"/>
      <c r="N632" s="112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</row>
    <row r="633" spans="1:29" ht="13">
      <c r="A633" s="115"/>
      <c r="B633" s="97"/>
      <c r="C633" s="115"/>
      <c r="D633" s="115"/>
      <c r="E633" s="115"/>
      <c r="F633" s="115"/>
      <c r="G633" s="99"/>
      <c r="H633" s="98"/>
      <c r="I633" s="100"/>
      <c r="J633" s="100"/>
      <c r="K633" s="100"/>
      <c r="L633" s="101"/>
      <c r="M633" s="101"/>
      <c r="N633" s="112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</row>
    <row r="634" spans="1:29" ht="13">
      <c r="A634" s="115"/>
      <c r="B634" s="97"/>
      <c r="C634" s="115"/>
      <c r="D634" s="115"/>
      <c r="E634" s="115"/>
      <c r="F634" s="115"/>
      <c r="G634" s="99"/>
      <c r="H634" s="98"/>
      <c r="I634" s="100"/>
      <c r="J634" s="100"/>
      <c r="K634" s="100"/>
      <c r="L634" s="101"/>
      <c r="M634" s="101"/>
      <c r="N634" s="112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</row>
    <row r="635" spans="1:29" ht="13">
      <c r="A635" s="115"/>
      <c r="B635" s="97"/>
      <c r="C635" s="115"/>
      <c r="D635" s="115"/>
      <c r="E635" s="115"/>
      <c r="F635" s="115"/>
      <c r="G635" s="99"/>
      <c r="H635" s="98"/>
      <c r="I635" s="100"/>
      <c r="J635" s="100"/>
      <c r="K635" s="100"/>
      <c r="L635" s="101"/>
      <c r="M635" s="101"/>
      <c r="N635" s="112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</row>
    <row r="636" spans="1:29" ht="13">
      <c r="A636" s="115"/>
      <c r="B636" s="97"/>
      <c r="C636" s="115"/>
      <c r="D636" s="115"/>
      <c r="E636" s="115"/>
      <c r="F636" s="115"/>
      <c r="G636" s="99"/>
      <c r="H636" s="98"/>
      <c r="I636" s="100"/>
      <c r="J636" s="100"/>
      <c r="K636" s="100"/>
      <c r="L636" s="101"/>
      <c r="M636" s="101"/>
      <c r="N636" s="112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</row>
    <row r="637" spans="1:29" ht="13">
      <c r="A637" s="115"/>
      <c r="B637" s="97"/>
      <c r="C637" s="115"/>
      <c r="D637" s="115"/>
      <c r="E637" s="115"/>
      <c r="F637" s="115"/>
      <c r="G637" s="99"/>
      <c r="H637" s="98"/>
      <c r="I637" s="100"/>
      <c r="J637" s="100"/>
      <c r="K637" s="100"/>
      <c r="L637" s="101"/>
      <c r="M637" s="101"/>
      <c r="N637" s="112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</row>
    <row r="638" spans="1:29" ht="13">
      <c r="A638" s="115"/>
      <c r="B638" s="97"/>
      <c r="C638" s="115"/>
      <c r="D638" s="115"/>
      <c r="E638" s="115"/>
      <c r="F638" s="115"/>
      <c r="G638" s="99"/>
      <c r="H638" s="98"/>
      <c r="I638" s="100"/>
      <c r="J638" s="100"/>
      <c r="K638" s="100"/>
      <c r="L638" s="101"/>
      <c r="M638" s="101"/>
      <c r="N638" s="112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</row>
    <row r="639" spans="1:29" ht="13">
      <c r="A639" s="115"/>
      <c r="B639" s="97"/>
      <c r="C639" s="115"/>
      <c r="D639" s="115"/>
      <c r="E639" s="115"/>
      <c r="F639" s="115"/>
      <c r="G639" s="99"/>
      <c r="H639" s="98"/>
      <c r="I639" s="100"/>
      <c r="J639" s="100"/>
      <c r="K639" s="100"/>
      <c r="L639" s="101"/>
      <c r="M639" s="101"/>
      <c r="N639" s="112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</row>
    <row r="640" spans="1:29" ht="13">
      <c r="A640" s="115"/>
      <c r="B640" s="97"/>
      <c r="C640" s="115"/>
      <c r="D640" s="115"/>
      <c r="E640" s="115"/>
      <c r="F640" s="115"/>
      <c r="G640" s="99"/>
      <c r="H640" s="98"/>
      <c r="I640" s="100"/>
      <c r="J640" s="100"/>
      <c r="K640" s="100"/>
      <c r="L640" s="101"/>
      <c r="M640" s="101"/>
      <c r="N640" s="112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</row>
    <row r="641" spans="1:29" ht="13">
      <c r="A641" s="115"/>
      <c r="B641" s="97"/>
      <c r="C641" s="115"/>
      <c r="D641" s="115"/>
      <c r="E641" s="115"/>
      <c r="F641" s="115"/>
      <c r="G641" s="99"/>
      <c r="H641" s="98"/>
      <c r="I641" s="100"/>
      <c r="J641" s="100"/>
      <c r="K641" s="100"/>
      <c r="L641" s="101"/>
      <c r="M641" s="101"/>
      <c r="N641" s="112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</row>
    <row r="642" spans="1:29" ht="13">
      <c r="A642" s="115"/>
      <c r="B642" s="97"/>
      <c r="C642" s="115"/>
      <c r="D642" s="115"/>
      <c r="E642" s="115"/>
      <c r="F642" s="115"/>
      <c r="G642" s="99"/>
      <c r="H642" s="98"/>
      <c r="I642" s="100"/>
      <c r="J642" s="100"/>
      <c r="K642" s="100"/>
      <c r="L642" s="101"/>
      <c r="M642" s="101"/>
      <c r="N642" s="112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</row>
    <row r="643" spans="1:29" ht="13">
      <c r="A643" s="115"/>
      <c r="B643" s="97"/>
      <c r="C643" s="115"/>
      <c r="D643" s="115"/>
      <c r="E643" s="115"/>
      <c r="F643" s="115"/>
      <c r="G643" s="99"/>
      <c r="H643" s="98"/>
      <c r="I643" s="100"/>
      <c r="J643" s="100"/>
      <c r="K643" s="100"/>
      <c r="L643" s="101"/>
      <c r="M643" s="101"/>
      <c r="N643" s="112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</row>
    <row r="644" spans="1:29" ht="13">
      <c r="A644" s="115"/>
      <c r="B644" s="97"/>
      <c r="C644" s="115"/>
      <c r="D644" s="115"/>
      <c r="E644" s="115"/>
      <c r="F644" s="115"/>
      <c r="G644" s="99"/>
      <c r="H644" s="98"/>
      <c r="I644" s="100"/>
      <c r="J644" s="100"/>
      <c r="K644" s="100"/>
      <c r="L644" s="101"/>
      <c r="M644" s="101"/>
      <c r="N644" s="112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</row>
    <row r="645" spans="1:29" ht="13">
      <c r="A645" s="115"/>
      <c r="B645" s="97"/>
      <c r="C645" s="115"/>
      <c r="D645" s="115"/>
      <c r="E645" s="115"/>
      <c r="F645" s="115"/>
      <c r="G645" s="99"/>
      <c r="H645" s="98"/>
      <c r="I645" s="100"/>
      <c r="J645" s="100"/>
      <c r="K645" s="100"/>
      <c r="L645" s="101"/>
      <c r="M645" s="101"/>
      <c r="N645" s="112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</row>
    <row r="646" spans="1:29" ht="13">
      <c r="A646" s="115"/>
      <c r="B646" s="97"/>
      <c r="C646" s="115"/>
      <c r="D646" s="115"/>
      <c r="E646" s="115"/>
      <c r="F646" s="115"/>
      <c r="G646" s="99"/>
      <c r="H646" s="98"/>
      <c r="I646" s="100"/>
      <c r="J646" s="100"/>
      <c r="K646" s="100"/>
      <c r="L646" s="101"/>
      <c r="M646" s="101"/>
      <c r="N646" s="112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</row>
    <row r="647" spans="1:29" ht="13">
      <c r="A647" s="115"/>
      <c r="B647" s="97"/>
      <c r="C647" s="115"/>
      <c r="D647" s="115"/>
      <c r="E647" s="115"/>
      <c r="F647" s="115"/>
      <c r="G647" s="99"/>
      <c r="H647" s="98"/>
      <c r="I647" s="100"/>
      <c r="J647" s="100"/>
      <c r="K647" s="100"/>
      <c r="L647" s="101"/>
      <c r="M647" s="101"/>
      <c r="N647" s="112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</row>
    <row r="648" spans="1:29" ht="13">
      <c r="A648" s="115"/>
      <c r="B648" s="97"/>
      <c r="C648" s="115"/>
      <c r="D648" s="115"/>
      <c r="E648" s="115"/>
      <c r="F648" s="115"/>
      <c r="G648" s="99"/>
      <c r="H648" s="98"/>
      <c r="I648" s="100"/>
      <c r="J648" s="100"/>
      <c r="K648" s="100"/>
      <c r="L648" s="101"/>
      <c r="M648" s="101"/>
      <c r="N648" s="112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</row>
    <row r="649" spans="1:29" ht="13">
      <c r="A649" s="115"/>
      <c r="B649" s="97"/>
      <c r="C649" s="115"/>
      <c r="D649" s="115"/>
      <c r="E649" s="115"/>
      <c r="F649" s="115"/>
      <c r="G649" s="99"/>
      <c r="H649" s="98"/>
      <c r="I649" s="100"/>
      <c r="J649" s="100"/>
      <c r="K649" s="100"/>
      <c r="L649" s="101"/>
      <c r="M649" s="101"/>
      <c r="N649" s="112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</row>
    <row r="650" spans="1:29" ht="13">
      <c r="A650" s="115"/>
      <c r="B650" s="97"/>
      <c r="C650" s="115"/>
      <c r="D650" s="115"/>
      <c r="E650" s="115"/>
      <c r="F650" s="115"/>
      <c r="G650" s="99"/>
      <c r="H650" s="98"/>
      <c r="I650" s="100"/>
      <c r="J650" s="100"/>
      <c r="K650" s="100"/>
      <c r="L650" s="101"/>
      <c r="M650" s="101"/>
      <c r="N650" s="112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</row>
    <row r="651" spans="1:29" ht="13">
      <c r="A651" s="115"/>
      <c r="B651" s="97"/>
      <c r="C651" s="115"/>
      <c r="D651" s="115"/>
      <c r="E651" s="115"/>
      <c r="F651" s="115"/>
      <c r="G651" s="99"/>
      <c r="H651" s="98"/>
      <c r="I651" s="100"/>
      <c r="J651" s="100"/>
      <c r="K651" s="100"/>
      <c r="L651" s="101"/>
      <c r="M651" s="101"/>
      <c r="N651" s="112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</row>
    <row r="652" spans="1:29" ht="13">
      <c r="A652" s="115"/>
      <c r="B652" s="97"/>
      <c r="C652" s="115"/>
      <c r="D652" s="115"/>
      <c r="E652" s="115"/>
      <c r="F652" s="115"/>
      <c r="G652" s="99"/>
      <c r="H652" s="98"/>
      <c r="I652" s="100"/>
      <c r="J652" s="100"/>
      <c r="K652" s="100"/>
      <c r="L652" s="101"/>
      <c r="M652" s="101"/>
      <c r="N652" s="112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</row>
    <row r="653" spans="1:29" ht="13">
      <c r="A653" s="115"/>
      <c r="B653" s="97"/>
      <c r="C653" s="115"/>
      <c r="D653" s="115"/>
      <c r="E653" s="115"/>
      <c r="F653" s="115"/>
      <c r="G653" s="99"/>
      <c r="H653" s="98"/>
      <c r="I653" s="100"/>
      <c r="J653" s="100"/>
      <c r="K653" s="100"/>
      <c r="L653" s="101"/>
      <c r="M653" s="101"/>
      <c r="N653" s="112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</row>
    <row r="654" spans="1:29" ht="13">
      <c r="A654" s="115"/>
      <c r="B654" s="97"/>
      <c r="C654" s="115"/>
      <c r="D654" s="115"/>
      <c r="E654" s="115"/>
      <c r="F654" s="115"/>
      <c r="G654" s="99"/>
      <c r="H654" s="98"/>
      <c r="I654" s="100"/>
      <c r="J654" s="100"/>
      <c r="K654" s="100"/>
      <c r="L654" s="101"/>
      <c r="M654" s="101"/>
      <c r="N654" s="112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</row>
    <row r="655" spans="1:29" ht="13">
      <c r="A655" s="115"/>
      <c r="B655" s="97"/>
      <c r="C655" s="115"/>
      <c r="D655" s="115"/>
      <c r="E655" s="115"/>
      <c r="F655" s="115"/>
      <c r="G655" s="99"/>
      <c r="H655" s="98"/>
      <c r="I655" s="100"/>
      <c r="J655" s="100"/>
      <c r="K655" s="100"/>
      <c r="L655" s="101"/>
      <c r="M655" s="101"/>
      <c r="N655" s="112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</row>
    <row r="656" spans="1:29" ht="13">
      <c r="A656" s="115"/>
      <c r="B656" s="97"/>
      <c r="C656" s="115"/>
      <c r="D656" s="115"/>
      <c r="E656" s="115"/>
      <c r="F656" s="115"/>
      <c r="G656" s="99"/>
      <c r="H656" s="98"/>
      <c r="I656" s="100"/>
      <c r="J656" s="100"/>
      <c r="K656" s="100"/>
      <c r="L656" s="101"/>
      <c r="M656" s="101"/>
      <c r="N656" s="112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</row>
    <row r="657" spans="1:29" ht="13">
      <c r="A657" s="115"/>
      <c r="B657" s="97"/>
      <c r="C657" s="115"/>
      <c r="D657" s="115"/>
      <c r="E657" s="115"/>
      <c r="F657" s="115"/>
      <c r="G657" s="99"/>
      <c r="H657" s="98"/>
      <c r="I657" s="100"/>
      <c r="J657" s="100"/>
      <c r="K657" s="100"/>
      <c r="L657" s="101"/>
      <c r="M657" s="101"/>
      <c r="N657" s="112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</row>
    <row r="658" spans="1:29" ht="13">
      <c r="A658" s="115"/>
      <c r="B658" s="97"/>
      <c r="C658" s="115"/>
      <c r="D658" s="115"/>
      <c r="E658" s="115"/>
      <c r="F658" s="115"/>
      <c r="G658" s="99"/>
      <c r="H658" s="98"/>
      <c r="I658" s="100"/>
      <c r="J658" s="100"/>
      <c r="K658" s="100"/>
      <c r="L658" s="101"/>
      <c r="M658" s="101"/>
      <c r="N658" s="112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</row>
    <row r="659" spans="1:29" ht="13">
      <c r="A659" s="115"/>
      <c r="B659" s="97"/>
      <c r="C659" s="115"/>
      <c r="D659" s="115"/>
      <c r="E659" s="115"/>
      <c r="F659" s="115"/>
      <c r="G659" s="99"/>
      <c r="H659" s="98"/>
      <c r="I659" s="100"/>
      <c r="J659" s="100"/>
      <c r="K659" s="100"/>
      <c r="L659" s="101"/>
      <c r="M659" s="101"/>
      <c r="N659" s="112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</row>
    <row r="660" spans="1:29" ht="13">
      <c r="A660" s="115"/>
      <c r="B660" s="97"/>
      <c r="C660" s="115"/>
      <c r="D660" s="115"/>
      <c r="E660" s="115"/>
      <c r="F660" s="115"/>
      <c r="G660" s="99"/>
      <c r="H660" s="98"/>
      <c r="I660" s="100"/>
      <c r="J660" s="100"/>
      <c r="K660" s="100"/>
      <c r="L660" s="101"/>
      <c r="M660" s="101"/>
      <c r="N660" s="112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</row>
    <row r="661" spans="1:29" ht="13">
      <c r="A661" s="115"/>
      <c r="B661" s="97"/>
      <c r="C661" s="115"/>
      <c r="D661" s="115"/>
      <c r="E661" s="115"/>
      <c r="F661" s="115"/>
      <c r="G661" s="99"/>
      <c r="H661" s="98"/>
      <c r="I661" s="100"/>
      <c r="J661" s="100"/>
      <c r="K661" s="100"/>
      <c r="L661" s="101"/>
      <c r="M661" s="101"/>
      <c r="N661" s="112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</row>
    <row r="662" spans="1:29" ht="13">
      <c r="A662" s="115"/>
      <c r="B662" s="97"/>
      <c r="C662" s="115"/>
      <c r="D662" s="115"/>
      <c r="E662" s="115"/>
      <c r="F662" s="115"/>
      <c r="G662" s="99"/>
      <c r="H662" s="98"/>
      <c r="I662" s="100"/>
      <c r="J662" s="100"/>
      <c r="K662" s="100"/>
      <c r="L662" s="101"/>
      <c r="M662" s="101"/>
      <c r="N662" s="112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</row>
    <row r="663" spans="1:29" ht="13">
      <c r="A663" s="115"/>
      <c r="B663" s="97"/>
      <c r="C663" s="115"/>
      <c r="D663" s="115"/>
      <c r="E663" s="115"/>
      <c r="F663" s="115"/>
      <c r="G663" s="99"/>
      <c r="H663" s="98"/>
      <c r="I663" s="100"/>
      <c r="J663" s="100"/>
      <c r="K663" s="100"/>
      <c r="L663" s="101"/>
      <c r="M663" s="101"/>
      <c r="N663" s="112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</row>
    <row r="664" spans="1:29" ht="13">
      <c r="A664" s="115"/>
      <c r="B664" s="97"/>
      <c r="C664" s="115"/>
      <c r="D664" s="115"/>
      <c r="E664" s="115"/>
      <c r="F664" s="115"/>
      <c r="G664" s="99"/>
      <c r="H664" s="98"/>
      <c r="I664" s="100"/>
      <c r="J664" s="100"/>
      <c r="K664" s="100"/>
      <c r="L664" s="101"/>
      <c r="M664" s="101"/>
      <c r="N664" s="112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</row>
    <row r="665" spans="1:29" ht="13">
      <c r="A665" s="115"/>
      <c r="B665" s="97"/>
      <c r="C665" s="115"/>
      <c r="D665" s="115"/>
      <c r="E665" s="115"/>
      <c r="F665" s="115"/>
      <c r="G665" s="99"/>
      <c r="H665" s="98"/>
      <c r="I665" s="100"/>
      <c r="J665" s="100"/>
      <c r="K665" s="100"/>
      <c r="L665" s="101"/>
      <c r="M665" s="101"/>
      <c r="N665" s="112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</row>
    <row r="666" spans="1:29" ht="13">
      <c r="A666" s="115"/>
      <c r="B666" s="97"/>
      <c r="C666" s="115"/>
      <c r="D666" s="115"/>
      <c r="E666" s="115"/>
      <c r="F666" s="115"/>
      <c r="G666" s="99"/>
      <c r="H666" s="98"/>
      <c r="I666" s="100"/>
      <c r="J666" s="100"/>
      <c r="K666" s="100"/>
      <c r="L666" s="101"/>
      <c r="M666" s="101"/>
      <c r="N666" s="112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</row>
    <row r="667" spans="1:29" ht="13">
      <c r="A667" s="115"/>
      <c r="B667" s="97"/>
      <c r="C667" s="115"/>
      <c r="D667" s="115"/>
      <c r="E667" s="115"/>
      <c r="F667" s="115"/>
      <c r="G667" s="99"/>
      <c r="H667" s="98"/>
      <c r="I667" s="100"/>
      <c r="J667" s="100"/>
      <c r="K667" s="100"/>
      <c r="L667" s="101"/>
      <c r="M667" s="101"/>
      <c r="N667" s="112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</row>
    <row r="668" spans="1:29" ht="13">
      <c r="A668" s="115"/>
      <c r="B668" s="97"/>
      <c r="C668" s="115"/>
      <c r="D668" s="115"/>
      <c r="E668" s="115"/>
      <c r="F668" s="115"/>
      <c r="G668" s="99"/>
      <c r="H668" s="98"/>
      <c r="I668" s="100"/>
      <c r="J668" s="100"/>
      <c r="K668" s="100"/>
      <c r="L668" s="101"/>
      <c r="M668" s="101"/>
      <c r="N668" s="112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</row>
    <row r="669" spans="1:29" ht="13">
      <c r="A669" s="115"/>
      <c r="B669" s="97"/>
      <c r="C669" s="115"/>
      <c r="D669" s="115"/>
      <c r="E669" s="115"/>
      <c r="F669" s="115"/>
      <c r="G669" s="99"/>
      <c r="H669" s="98"/>
      <c r="I669" s="100"/>
      <c r="J669" s="100"/>
      <c r="K669" s="100"/>
      <c r="L669" s="101"/>
      <c r="M669" s="101"/>
      <c r="N669" s="112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</row>
    <row r="670" spans="1:29" ht="13">
      <c r="A670" s="115"/>
      <c r="B670" s="97"/>
      <c r="C670" s="115"/>
      <c r="D670" s="115"/>
      <c r="E670" s="115"/>
      <c r="F670" s="115"/>
      <c r="G670" s="99"/>
      <c r="H670" s="98"/>
      <c r="I670" s="100"/>
      <c r="J670" s="100"/>
      <c r="K670" s="100"/>
      <c r="L670" s="101"/>
      <c r="M670" s="101"/>
      <c r="N670" s="112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</row>
    <row r="671" spans="1:29" ht="13">
      <c r="A671" s="115"/>
      <c r="B671" s="97"/>
      <c r="C671" s="115"/>
      <c r="D671" s="115"/>
      <c r="E671" s="115"/>
      <c r="F671" s="115"/>
      <c r="G671" s="99"/>
      <c r="H671" s="98"/>
      <c r="I671" s="100"/>
      <c r="J671" s="100"/>
      <c r="K671" s="100"/>
      <c r="L671" s="101"/>
      <c r="M671" s="101"/>
      <c r="N671" s="112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</row>
    <row r="672" spans="1:29" ht="13">
      <c r="A672" s="115"/>
      <c r="B672" s="97"/>
      <c r="C672" s="115"/>
      <c r="D672" s="115"/>
      <c r="E672" s="115"/>
      <c r="F672" s="115"/>
      <c r="G672" s="99"/>
      <c r="H672" s="98"/>
      <c r="I672" s="100"/>
      <c r="J672" s="100"/>
      <c r="K672" s="100"/>
      <c r="L672" s="101"/>
      <c r="M672" s="101"/>
      <c r="N672" s="112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</row>
    <row r="673" spans="1:29" ht="13">
      <c r="A673" s="115"/>
      <c r="B673" s="97"/>
      <c r="C673" s="115"/>
      <c r="D673" s="115"/>
      <c r="E673" s="115"/>
      <c r="F673" s="115"/>
      <c r="G673" s="99"/>
      <c r="H673" s="98"/>
      <c r="I673" s="100"/>
      <c r="J673" s="100"/>
      <c r="K673" s="100"/>
      <c r="L673" s="101"/>
      <c r="M673" s="101"/>
      <c r="N673" s="112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</row>
    <row r="674" spans="1:29" ht="13">
      <c r="A674" s="115"/>
      <c r="B674" s="97"/>
      <c r="C674" s="115"/>
      <c r="D674" s="115"/>
      <c r="E674" s="115"/>
      <c r="F674" s="115"/>
      <c r="G674" s="99"/>
      <c r="H674" s="98"/>
      <c r="I674" s="100"/>
      <c r="J674" s="100"/>
      <c r="K674" s="100"/>
      <c r="L674" s="101"/>
      <c r="M674" s="101"/>
      <c r="N674" s="112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</row>
    <row r="675" spans="1:29" ht="13">
      <c r="A675" s="115"/>
      <c r="B675" s="97"/>
      <c r="C675" s="115"/>
      <c r="D675" s="115"/>
      <c r="E675" s="115"/>
      <c r="F675" s="115"/>
      <c r="G675" s="99"/>
      <c r="H675" s="98"/>
      <c r="I675" s="100"/>
      <c r="J675" s="100"/>
      <c r="K675" s="100"/>
      <c r="L675" s="101"/>
      <c r="M675" s="101"/>
      <c r="N675" s="112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</row>
    <row r="676" spans="1:29" ht="13">
      <c r="A676" s="115"/>
      <c r="B676" s="97"/>
      <c r="C676" s="115"/>
      <c r="D676" s="115"/>
      <c r="E676" s="115"/>
      <c r="F676" s="115"/>
      <c r="G676" s="99"/>
      <c r="H676" s="98"/>
      <c r="I676" s="100"/>
      <c r="J676" s="100"/>
      <c r="K676" s="100"/>
      <c r="L676" s="101"/>
      <c r="M676" s="101"/>
      <c r="N676" s="112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</row>
    <row r="677" spans="1:29" ht="13">
      <c r="A677" s="115"/>
      <c r="B677" s="97"/>
      <c r="C677" s="115"/>
      <c r="D677" s="115"/>
      <c r="E677" s="115"/>
      <c r="F677" s="115"/>
      <c r="G677" s="99"/>
      <c r="H677" s="98"/>
      <c r="I677" s="100"/>
      <c r="J677" s="100"/>
      <c r="K677" s="100"/>
      <c r="L677" s="101"/>
      <c r="M677" s="101"/>
      <c r="N677" s="112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</row>
    <row r="678" spans="1:29" ht="13">
      <c r="A678" s="115"/>
      <c r="B678" s="97"/>
      <c r="C678" s="115"/>
      <c r="D678" s="115"/>
      <c r="E678" s="115"/>
      <c r="F678" s="115"/>
      <c r="G678" s="99"/>
      <c r="H678" s="98"/>
      <c r="I678" s="100"/>
      <c r="J678" s="100"/>
      <c r="K678" s="100"/>
      <c r="L678" s="101"/>
      <c r="M678" s="101"/>
      <c r="N678" s="112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</row>
    <row r="679" spans="1:29" ht="13">
      <c r="A679" s="115"/>
      <c r="B679" s="97"/>
      <c r="C679" s="115"/>
      <c r="D679" s="115"/>
      <c r="E679" s="115"/>
      <c r="F679" s="115"/>
      <c r="G679" s="99"/>
      <c r="H679" s="98"/>
      <c r="I679" s="100"/>
      <c r="J679" s="100"/>
      <c r="K679" s="100"/>
      <c r="L679" s="101"/>
      <c r="M679" s="101"/>
      <c r="N679" s="112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</row>
    <row r="680" spans="1:29" ht="13">
      <c r="A680" s="115"/>
      <c r="B680" s="97"/>
      <c r="C680" s="115"/>
      <c r="D680" s="115"/>
      <c r="E680" s="115"/>
      <c r="F680" s="115"/>
      <c r="G680" s="99"/>
      <c r="H680" s="98"/>
      <c r="I680" s="100"/>
      <c r="J680" s="100"/>
      <c r="K680" s="100"/>
      <c r="L680" s="101"/>
      <c r="M680" s="101"/>
      <c r="N680" s="112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</row>
    <row r="681" spans="1:29" ht="13">
      <c r="A681" s="115"/>
      <c r="B681" s="97"/>
      <c r="C681" s="115"/>
      <c r="D681" s="115"/>
      <c r="E681" s="115"/>
      <c r="F681" s="115"/>
      <c r="G681" s="99"/>
      <c r="H681" s="98"/>
      <c r="I681" s="100"/>
      <c r="J681" s="100"/>
      <c r="K681" s="100"/>
      <c r="L681" s="101"/>
      <c r="M681" s="101"/>
      <c r="N681" s="112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</row>
    <row r="682" spans="1:29" ht="13">
      <c r="A682" s="115"/>
      <c r="B682" s="97"/>
      <c r="C682" s="115"/>
      <c r="D682" s="115"/>
      <c r="E682" s="115"/>
      <c r="F682" s="115"/>
      <c r="G682" s="99"/>
      <c r="H682" s="98"/>
      <c r="I682" s="100"/>
      <c r="J682" s="100"/>
      <c r="K682" s="100"/>
      <c r="L682" s="101"/>
      <c r="M682" s="101"/>
      <c r="N682" s="112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</row>
    <row r="683" spans="1:29" ht="13">
      <c r="A683" s="115"/>
      <c r="B683" s="97"/>
      <c r="C683" s="115"/>
      <c r="D683" s="115"/>
      <c r="E683" s="115"/>
      <c r="F683" s="115"/>
      <c r="G683" s="99"/>
      <c r="H683" s="98"/>
      <c r="I683" s="100"/>
      <c r="J683" s="100"/>
      <c r="K683" s="100"/>
      <c r="L683" s="101"/>
      <c r="M683" s="101"/>
      <c r="N683" s="112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</row>
    <row r="684" spans="1:29" ht="13">
      <c r="A684" s="115"/>
      <c r="B684" s="97"/>
      <c r="C684" s="115"/>
      <c r="D684" s="115"/>
      <c r="E684" s="115"/>
      <c r="F684" s="115"/>
      <c r="G684" s="99"/>
      <c r="H684" s="98"/>
      <c r="I684" s="100"/>
      <c r="J684" s="100"/>
      <c r="K684" s="100"/>
      <c r="L684" s="101"/>
      <c r="M684" s="101"/>
      <c r="N684" s="112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</row>
    <row r="685" spans="1:29" ht="13">
      <c r="A685" s="115"/>
      <c r="B685" s="97"/>
      <c r="C685" s="115"/>
      <c r="D685" s="115"/>
      <c r="E685" s="115"/>
      <c r="F685" s="115"/>
      <c r="G685" s="99"/>
      <c r="H685" s="98"/>
      <c r="I685" s="100"/>
      <c r="J685" s="100"/>
      <c r="K685" s="100"/>
      <c r="L685" s="101"/>
      <c r="M685" s="101"/>
      <c r="N685" s="112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</row>
    <row r="686" spans="1:29" ht="13">
      <c r="A686" s="115"/>
      <c r="B686" s="97"/>
      <c r="C686" s="115"/>
      <c r="D686" s="115"/>
      <c r="E686" s="115"/>
      <c r="F686" s="115"/>
      <c r="G686" s="99"/>
      <c r="H686" s="98"/>
      <c r="I686" s="100"/>
      <c r="J686" s="100"/>
      <c r="K686" s="100"/>
      <c r="L686" s="101"/>
      <c r="M686" s="101"/>
      <c r="N686" s="112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</row>
    <row r="687" spans="1:29" ht="13">
      <c r="A687" s="115"/>
      <c r="B687" s="97"/>
      <c r="C687" s="115"/>
      <c r="D687" s="115"/>
      <c r="E687" s="115"/>
      <c r="F687" s="115"/>
      <c r="G687" s="99"/>
      <c r="H687" s="98"/>
      <c r="I687" s="100"/>
      <c r="J687" s="100"/>
      <c r="K687" s="100"/>
      <c r="L687" s="101"/>
      <c r="M687" s="101"/>
      <c r="N687" s="112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</row>
    <row r="688" spans="1:29" ht="13">
      <c r="A688" s="115"/>
      <c r="B688" s="97"/>
      <c r="C688" s="115"/>
      <c r="D688" s="115"/>
      <c r="E688" s="115"/>
      <c r="F688" s="115"/>
      <c r="G688" s="99"/>
      <c r="H688" s="98"/>
      <c r="I688" s="100"/>
      <c r="J688" s="100"/>
      <c r="K688" s="100"/>
      <c r="L688" s="101"/>
      <c r="M688" s="101"/>
      <c r="N688" s="112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</row>
    <row r="689" spans="1:29" ht="13">
      <c r="A689" s="115"/>
      <c r="B689" s="97"/>
      <c r="C689" s="115"/>
      <c r="D689" s="115"/>
      <c r="E689" s="115"/>
      <c r="F689" s="115"/>
      <c r="G689" s="99"/>
      <c r="H689" s="98"/>
      <c r="I689" s="100"/>
      <c r="J689" s="100"/>
      <c r="K689" s="100"/>
      <c r="L689" s="101"/>
      <c r="M689" s="101"/>
      <c r="N689" s="112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</row>
    <row r="690" spans="1:29" ht="13">
      <c r="A690" s="115"/>
      <c r="B690" s="97"/>
      <c r="C690" s="115"/>
      <c r="D690" s="115"/>
      <c r="E690" s="115"/>
      <c r="F690" s="115"/>
      <c r="G690" s="99"/>
      <c r="H690" s="98"/>
      <c r="I690" s="100"/>
      <c r="J690" s="100"/>
      <c r="K690" s="100"/>
      <c r="L690" s="101"/>
      <c r="M690" s="101"/>
      <c r="N690" s="112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</row>
    <row r="691" spans="1:29" ht="13">
      <c r="A691" s="115"/>
      <c r="B691" s="97"/>
      <c r="C691" s="115"/>
      <c r="D691" s="115"/>
      <c r="E691" s="115"/>
      <c r="F691" s="115"/>
      <c r="G691" s="99"/>
      <c r="H691" s="98"/>
      <c r="I691" s="100"/>
      <c r="J691" s="100"/>
      <c r="K691" s="100"/>
      <c r="L691" s="101"/>
      <c r="M691" s="101"/>
      <c r="N691" s="112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</row>
    <row r="692" spans="1:29" ht="13">
      <c r="A692" s="115"/>
      <c r="B692" s="97"/>
      <c r="C692" s="115"/>
      <c r="D692" s="115"/>
      <c r="E692" s="115"/>
      <c r="F692" s="115"/>
      <c r="G692" s="99"/>
      <c r="H692" s="98"/>
      <c r="I692" s="100"/>
      <c r="J692" s="100"/>
      <c r="K692" s="100"/>
      <c r="L692" s="101"/>
      <c r="M692" s="101"/>
      <c r="N692" s="112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</row>
    <row r="693" spans="1:29" ht="13">
      <c r="A693" s="115"/>
      <c r="B693" s="97"/>
      <c r="C693" s="115"/>
      <c r="D693" s="115"/>
      <c r="E693" s="115"/>
      <c r="F693" s="115"/>
      <c r="G693" s="99"/>
      <c r="H693" s="98"/>
      <c r="I693" s="100"/>
      <c r="J693" s="100"/>
      <c r="K693" s="100"/>
      <c r="L693" s="101"/>
      <c r="M693" s="101"/>
      <c r="N693" s="112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</row>
    <row r="694" spans="1:29" ht="13">
      <c r="A694" s="115"/>
      <c r="B694" s="97"/>
      <c r="C694" s="115"/>
      <c r="D694" s="115"/>
      <c r="E694" s="115"/>
      <c r="F694" s="115"/>
      <c r="G694" s="99"/>
      <c r="H694" s="98"/>
      <c r="I694" s="100"/>
      <c r="J694" s="100"/>
      <c r="K694" s="100"/>
      <c r="L694" s="101"/>
      <c r="M694" s="101"/>
      <c r="N694" s="112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</row>
    <row r="695" spans="1:29" ht="13">
      <c r="A695" s="115"/>
      <c r="B695" s="97"/>
      <c r="C695" s="115"/>
      <c r="D695" s="115"/>
      <c r="E695" s="115"/>
      <c r="F695" s="115"/>
      <c r="G695" s="99"/>
      <c r="H695" s="98"/>
      <c r="I695" s="100"/>
      <c r="J695" s="100"/>
      <c r="K695" s="100"/>
      <c r="L695" s="101"/>
      <c r="M695" s="101"/>
      <c r="N695" s="112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</row>
    <row r="696" spans="1:29" ht="13">
      <c r="A696" s="115"/>
      <c r="B696" s="97"/>
      <c r="C696" s="115"/>
      <c r="D696" s="115"/>
      <c r="E696" s="115"/>
      <c r="F696" s="115"/>
      <c r="G696" s="99"/>
      <c r="H696" s="98"/>
      <c r="I696" s="100"/>
      <c r="J696" s="100"/>
      <c r="K696" s="100"/>
      <c r="L696" s="101"/>
      <c r="M696" s="101"/>
      <c r="N696" s="112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</row>
    <row r="697" spans="1:29" ht="13">
      <c r="A697" s="115"/>
      <c r="B697" s="97"/>
      <c r="C697" s="115"/>
      <c r="D697" s="115"/>
      <c r="E697" s="115"/>
      <c r="F697" s="115"/>
      <c r="G697" s="99"/>
      <c r="H697" s="98"/>
      <c r="I697" s="100"/>
      <c r="J697" s="100"/>
      <c r="K697" s="100"/>
      <c r="L697" s="101"/>
      <c r="M697" s="101"/>
      <c r="N697" s="112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</row>
    <row r="698" spans="1:29" ht="13">
      <c r="A698" s="115"/>
      <c r="B698" s="97"/>
      <c r="C698" s="115"/>
      <c r="D698" s="115"/>
      <c r="E698" s="115"/>
      <c r="F698" s="115"/>
      <c r="G698" s="99"/>
      <c r="H698" s="98"/>
      <c r="I698" s="100"/>
      <c r="J698" s="100"/>
      <c r="K698" s="100"/>
      <c r="L698" s="101"/>
      <c r="M698" s="101"/>
      <c r="N698" s="112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</row>
    <row r="699" spans="1:29" ht="13">
      <c r="A699" s="115"/>
      <c r="B699" s="97"/>
      <c r="C699" s="115"/>
      <c r="D699" s="115"/>
      <c r="E699" s="115"/>
      <c r="F699" s="115"/>
      <c r="G699" s="99"/>
      <c r="H699" s="98"/>
      <c r="I699" s="100"/>
      <c r="J699" s="100"/>
      <c r="K699" s="100"/>
      <c r="L699" s="101"/>
      <c r="M699" s="101"/>
      <c r="N699" s="112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</row>
    <row r="700" spans="1:29" ht="13">
      <c r="A700" s="115"/>
      <c r="B700" s="97"/>
      <c r="C700" s="115"/>
      <c r="D700" s="115"/>
      <c r="E700" s="115"/>
      <c r="F700" s="115"/>
      <c r="G700" s="99"/>
      <c r="H700" s="98"/>
      <c r="I700" s="100"/>
      <c r="J700" s="100"/>
      <c r="K700" s="100"/>
      <c r="L700" s="101"/>
      <c r="M700" s="101"/>
      <c r="N700" s="112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</row>
    <row r="701" spans="1:29" ht="13">
      <c r="A701" s="115"/>
      <c r="B701" s="97"/>
      <c r="C701" s="115"/>
      <c r="D701" s="115"/>
      <c r="E701" s="115"/>
      <c r="F701" s="115"/>
      <c r="G701" s="99"/>
      <c r="H701" s="98"/>
      <c r="I701" s="100"/>
      <c r="J701" s="100"/>
      <c r="K701" s="100"/>
      <c r="L701" s="101"/>
      <c r="M701" s="101"/>
      <c r="N701" s="112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</row>
    <row r="702" spans="1:29" ht="13">
      <c r="A702" s="115"/>
      <c r="B702" s="97"/>
      <c r="C702" s="115"/>
      <c r="D702" s="115"/>
      <c r="E702" s="115"/>
      <c r="F702" s="115"/>
      <c r="G702" s="99"/>
      <c r="H702" s="98"/>
      <c r="I702" s="100"/>
      <c r="J702" s="100"/>
      <c r="K702" s="100"/>
      <c r="L702" s="101"/>
      <c r="M702" s="101"/>
      <c r="N702" s="112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</row>
    <row r="703" spans="1:29" ht="13">
      <c r="A703" s="115"/>
      <c r="B703" s="97"/>
      <c r="C703" s="115"/>
      <c r="D703" s="115"/>
      <c r="E703" s="115"/>
      <c r="F703" s="115"/>
      <c r="G703" s="99"/>
      <c r="H703" s="98"/>
      <c r="I703" s="100"/>
      <c r="J703" s="100"/>
      <c r="K703" s="100"/>
      <c r="L703" s="101"/>
      <c r="M703" s="101"/>
      <c r="N703" s="112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</row>
    <row r="704" spans="1:29" ht="13">
      <c r="A704" s="115"/>
      <c r="B704" s="97"/>
      <c r="C704" s="115"/>
      <c r="D704" s="115"/>
      <c r="E704" s="115"/>
      <c r="F704" s="115"/>
      <c r="G704" s="99"/>
      <c r="H704" s="98"/>
      <c r="I704" s="100"/>
      <c r="J704" s="100"/>
      <c r="K704" s="100"/>
      <c r="L704" s="101"/>
      <c r="M704" s="101"/>
      <c r="N704" s="112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</row>
    <row r="705" spans="1:29" ht="13">
      <c r="A705" s="115"/>
      <c r="B705" s="97"/>
      <c r="C705" s="115"/>
      <c r="D705" s="115"/>
      <c r="E705" s="115"/>
      <c r="F705" s="115"/>
      <c r="G705" s="99"/>
      <c r="H705" s="98"/>
      <c r="I705" s="100"/>
      <c r="J705" s="100"/>
      <c r="K705" s="100"/>
      <c r="L705" s="101"/>
      <c r="M705" s="101"/>
      <c r="N705" s="112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</row>
    <row r="706" spans="1:29" ht="13">
      <c r="A706" s="115"/>
      <c r="B706" s="97"/>
      <c r="C706" s="115"/>
      <c r="D706" s="115"/>
      <c r="E706" s="115"/>
      <c r="F706" s="115"/>
      <c r="G706" s="99"/>
      <c r="H706" s="98"/>
      <c r="I706" s="100"/>
      <c r="J706" s="100"/>
      <c r="K706" s="100"/>
      <c r="L706" s="101"/>
      <c r="M706" s="101"/>
      <c r="N706" s="112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</row>
    <row r="707" spans="1:29" ht="13">
      <c r="A707" s="115"/>
      <c r="B707" s="97"/>
      <c r="C707" s="115"/>
      <c r="D707" s="115"/>
      <c r="E707" s="115"/>
      <c r="F707" s="115"/>
      <c r="G707" s="99"/>
      <c r="H707" s="98"/>
      <c r="I707" s="100"/>
      <c r="J707" s="100"/>
      <c r="K707" s="100"/>
      <c r="L707" s="101"/>
      <c r="M707" s="101"/>
      <c r="N707" s="112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</row>
    <row r="708" spans="1:29" ht="13">
      <c r="A708" s="115"/>
      <c r="B708" s="97"/>
      <c r="C708" s="115"/>
      <c r="D708" s="115"/>
      <c r="E708" s="115"/>
      <c r="F708" s="115"/>
      <c r="G708" s="99"/>
      <c r="H708" s="98"/>
      <c r="I708" s="100"/>
      <c r="J708" s="100"/>
      <c r="K708" s="100"/>
      <c r="L708" s="101"/>
      <c r="M708" s="101"/>
      <c r="N708" s="112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</row>
    <row r="709" spans="1:29" ht="13">
      <c r="A709" s="115"/>
      <c r="B709" s="97"/>
      <c r="C709" s="115"/>
      <c r="D709" s="115"/>
      <c r="E709" s="115"/>
      <c r="F709" s="115"/>
      <c r="G709" s="99"/>
      <c r="H709" s="98"/>
      <c r="I709" s="100"/>
      <c r="J709" s="100"/>
      <c r="K709" s="100"/>
      <c r="L709" s="101"/>
      <c r="M709" s="101"/>
      <c r="N709" s="112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</row>
    <row r="710" spans="1:29" ht="13">
      <c r="A710" s="115"/>
      <c r="B710" s="97"/>
      <c r="C710" s="115"/>
      <c r="D710" s="115"/>
      <c r="E710" s="115"/>
      <c r="F710" s="115"/>
      <c r="G710" s="99"/>
      <c r="H710" s="98"/>
      <c r="I710" s="100"/>
      <c r="J710" s="100"/>
      <c r="K710" s="100"/>
      <c r="L710" s="101"/>
      <c r="M710" s="101"/>
      <c r="N710" s="112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</row>
    <row r="711" spans="1:29" ht="13">
      <c r="A711" s="115"/>
      <c r="B711" s="97"/>
      <c r="C711" s="115"/>
      <c r="D711" s="115"/>
      <c r="E711" s="115"/>
      <c r="F711" s="115"/>
      <c r="G711" s="99"/>
      <c r="H711" s="98"/>
      <c r="I711" s="100"/>
      <c r="J711" s="100"/>
      <c r="K711" s="100"/>
      <c r="L711" s="101"/>
      <c r="M711" s="101"/>
      <c r="N711" s="112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</row>
    <row r="712" spans="1:29" ht="13">
      <c r="A712" s="115"/>
      <c r="B712" s="97"/>
      <c r="C712" s="115"/>
      <c r="D712" s="115"/>
      <c r="E712" s="115"/>
      <c r="F712" s="115"/>
      <c r="G712" s="99"/>
      <c r="H712" s="98"/>
      <c r="I712" s="100"/>
      <c r="J712" s="100"/>
      <c r="K712" s="100"/>
      <c r="L712" s="101"/>
      <c r="M712" s="101"/>
      <c r="N712" s="112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</row>
    <row r="713" spans="1:29" ht="13">
      <c r="A713" s="115"/>
      <c r="B713" s="97"/>
      <c r="C713" s="115"/>
      <c r="D713" s="115"/>
      <c r="E713" s="115"/>
      <c r="F713" s="115"/>
      <c r="G713" s="99"/>
      <c r="H713" s="98"/>
      <c r="I713" s="100"/>
      <c r="J713" s="100"/>
      <c r="K713" s="100"/>
      <c r="L713" s="101"/>
      <c r="M713" s="101"/>
      <c r="N713" s="112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</row>
    <row r="714" spans="1:29" ht="13">
      <c r="A714" s="115"/>
      <c r="B714" s="97"/>
      <c r="C714" s="115"/>
      <c r="D714" s="115"/>
      <c r="E714" s="115"/>
      <c r="F714" s="115"/>
      <c r="G714" s="99"/>
      <c r="H714" s="98"/>
      <c r="I714" s="100"/>
      <c r="J714" s="100"/>
      <c r="K714" s="100"/>
      <c r="L714" s="101"/>
      <c r="M714" s="101"/>
      <c r="N714" s="112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</row>
    <row r="715" spans="1:29" ht="13">
      <c r="A715" s="115"/>
      <c r="B715" s="97"/>
      <c r="C715" s="115"/>
      <c r="D715" s="115"/>
      <c r="E715" s="115"/>
      <c r="F715" s="115"/>
      <c r="G715" s="99"/>
      <c r="H715" s="98"/>
      <c r="I715" s="100"/>
      <c r="J715" s="100"/>
      <c r="K715" s="100"/>
      <c r="L715" s="101"/>
      <c r="M715" s="101"/>
      <c r="N715" s="112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</row>
    <row r="716" spans="1:29" ht="13">
      <c r="A716" s="115"/>
      <c r="B716" s="97"/>
      <c r="C716" s="115"/>
      <c r="D716" s="115"/>
      <c r="E716" s="115"/>
      <c r="F716" s="115"/>
      <c r="G716" s="99"/>
      <c r="H716" s="98"/>
      <c r="I716" s="100"/>
      <c r="J716" s="100"/>
      <c r="K716" s="100"/>
      <c r="L716" s="101"/>
      <c r="M716" s="101"/>
      <c r="N716" s="112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</row>
    <row r="717" spans="1:29" ht="13">
      <c r="A717" s="115"/>
      <c r="B717" s="97"/>
      <c r="C717" s="115"/>
      <c r="D717" s="115"/>
      <c r="E717" s="115"/>
      <c r="F717" s="115"/>
      <c r="G717" s="99"/>
      <c r="H717" s="98"/>
      <c r="I717" s="100"/>
      <c r="J717" s="100"/>
      <c r="K717" s="100"/>
      <c r="L717" s="101"/>
      <c r="M717" s="101"/>
      <c r="N717" s="112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</row>
    <row r="718" spans="1:29" ht="13">
      <c r="A718" s="115"/>
      <c r="B718" s="97"/>
      <c r="C718" s="115"/>
      <c r="D718" s="115"/>
      <c r="E718" s="115"/>
      <c r="F718" s="115"/>
      <c r="G718" s="99"/>
      <c r="H718" s="98"/>
      <c r="I718" s="100"/>
      <c r="J718" s="100"/>
      <c r="K718" s="100"/>
      <c r="L718" s="101"/>
      <c r="M718" s="101"/>
      <c r="N718" s="112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</row>
    <row r="719" spans="1:29" ht="13">
      <c r="A719" s="115"/>
      <c r="B719" s="97"/>
      <c r="C719" s="115"/>
      <c r="D719" s="115"/>
      <c r="E719" s="115"/>
      <c r="F719" s="115"/>
      <c r="G719" s="99"/>
      <c r="H719" s="98"/>
      <c r="I719" s="100"/>
      <c r="J719" s="100"/>
      <c r="K719" s="100"/>
      <c r="L719" s="101"/>
      <c r="M719" s="101"/>
      <c r="N719" s="112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</row>
    <row r="720" spans="1:29" ht="13">
      <c r="A720" s="115"/>
      <c r="B720" s="97"/>
      <c r="C720" s="115"/>
      <c r="D720" s="115"/>
      <c r="E720" s="115"/>
      <c r="F720" s="115"/>
      <c r="G720" s="99"/>
      <c r="H720" s="98"/>
      <c r="I720" s="100"/>
      <c r="J720" s="100"/>
      <c r="K720" s="100"/>
      <c r="L720" s="101"/>
      <c r="M720" s="101"/>
      <c r="N720" s="112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</row>
    <row r="721" spans="1:29" ht="13">
      <c r="A721" s="115"/>
      <c r="B721" s="97"/>
      <c r="C721" s="115"/>
      <c r="D721" s="115"/>
      <c r="E721" s="115"/>
      <c r="F721" s="115"/>
      <c r="G721" s="99"/>
      <c r="H721" s="98"/>
      <c r="I721" s="100"/>
      <c r="J721" s="100"/>
      <c r="K721" s="100"/>
      <c r="L721" s="101"/>
      <c r="M721" s="101"/>
      <c r="N721" s="112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</row>
    <row r="722" spans="1:29" ht="13">
      <c r="A722" s="115"/>
      <c r="B722" s="97"/>
      <c r="C722" s="115"/>
      <c r="D722" s="115"/>
      <c r="E722" s="115"/>
      <c r="F722" s="115"/>
      <c r="G722" s="99"/>
      <c r="H722" s="98"/>
      <c r="I722" s="100"/>
      <c r="J722" s="100"/>
      <c r="K722" s="100"/>
      <c r="L722" s="101"/>
      <c r="M722" s="101"/>
      <c r="N722" s="112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</row>
    <row r="723" spans="1:29" ht="13">
      <c r="A723" s="115"/>
      <c r="B723" s="97"/>
      <c r="C723" s="115"/>
      <c r="D723" s="115"/>
      <c r="E723" s="115"/>
      <c r="F723" s="115"/>
      <c r="G723" s="99"/>
      <c r="H723" s="98"/>
      <c r="I723" s="100"/>
      <c r="J723" s="100"/>
      <c r="K723" s="100"/>
      <c r="L723" s="101"/>
      <c r="M723" s="101"/>
      <c r="N723" s="112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</row>
    <row r="724" spans="1:29" ht="13">
      <c r="A724" s="115"/>
      <c r="B724" s="97"/>
      <c r="C724" s="115"/>
      <c r="D724" s="115"/>
      <c r="E724" s="115"/>
      <c r="F724" s="115"/>
      <c r="G724" s="99"/>
      <c r="H724" s="98"/>
      <c r="I724" s="100"/>
      <c r="J724" s="100"/>
      <c r="K724" s="100"/>
      <c r="L724" s="101"/>
      <c r="M724" s="101"/>
      <c r="N724" s="112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</row>
    <row r="725" spans="1:29" ht="13">
      <c r="A725" s="115"/>
      <c r="B725" s="97"/>
      <c r="C725" s="115"/>
      <c r="D725" s="115"/>
      <c r="E725" s="115"/>
      <c r="F725" s="115"/>
      <c r="G725" s="99"/>
      <c r="H725" s="98"/>
      <c r="I725" s="100"/>
      <c r="J725" s="100"/>
      <c r="K725" s="100"/>
      <c r="L725" s="101"/>
      <c r="M725" s="101"/>
      <c r="N725" s="112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</row>
    <row r="726" spans="1:29" ht="13">
      <c r="A726" s="115"/>
      <c r="B726" s="97"/>
      <c r="C726" s="115"/>
      <c r="D726" s="115"/>
      <c r="E726" s="115"/>
      <c r="F726" s="115"/>
      <c r="G726" s="99"/>
      <c r="H726" s="98"/>
      <c r="I726" s="100"/>
      <c r="J726" s="100"/>
      <c r="K726" s="100"/>
      <c r="L726" s="101"/>
      <c r="M726" s="101"/>
      <c r="N726" s="112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</row>
    <row r="727" spans="1:29" ht="13">
      <c r="A727" s="115"/>
      <c r="B727" s="97"/>
      <c r="C727" s="115"/>
      <c r="D727" s="115"/>
      <c r="E727" s="115"/>
      <c r="F727" s="115"/>
      <c r="G727" s="99"/>
      <c r="H727" s="98"/>
      <c r="I727" s="100"/>
      <c r="J727" s="100"/>
      <c r="K727" s="100"/>
      <c r="L727" s="101"/>
      <c r="M727" s="101"/>
      <c r="N727" s="112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</row>
    <row r="728" spans="1:29" ht="13">
      <c r="A728" s="115"/>
      <c r="B728" s="97"/>
      <c r="C728" s="115"/>
      <c r="D728" s="115"/>
      <c r="E728" s="115"/>
      <c r="F728" s="115"/>
      <c r="G728" s="99"/>
      <c r="H728" s="98"/>
      <c r="I728" s="100"/>
      <c r="J728" s="100"/>
      <c r="K728" s="100"/>
      <c r="L728" s="101"/>
      <c r="M728" s="101"/>
      <c r="N728" s="112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</row>
    <row r="729" spans="1:29" ht="13">
      <c r="A729" s="115"/>
      <c r="B729" s="97"/>
      <c r="C729" s="115"/>
      <c r="D729" s="115"/>
      <c r="E729" s="115"/>
      <c r="F729" s="115"/>
      <c r="G729" s="99"/>
      <c r="H729" s="98"/>
      <c r="I729" s="100"/>
      <c r="J729" s="100"/>
      <c r="K729" s="100"/>
      <c r="L729" s="101"/>
      <c r="M729" s="101"/>
      <c r="N729" s="112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</row>
    <row r="730" spans="1:29" ht="13">
      <c r="A730" s="115"/>
      <c r="B730" s="97"/>
      <c r="C730" s="115"/>
      <c r="D730" s="115"/>
      <c r="E730" s="115"/>
      <c r="F730" s="115"/>
      <c r="G730" s="99"/>
      <c r="H730" s="98"/>
      <c r="I730" s="100"/>
      <c r="J730" s="100"/>
      <c r="K730" s="100"/>
      <c r="L730" s="101"/>
      <c r="M730" s="101"/>
      <c r="N730" s="112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</row>
    <row r="731" spans="1:29" ht="13">
      <c r="A731" s="115"/>
      <c r="B731" s="97"/>
      <c r="C731" s="115"/>
      <c r="D731" s="115"/>
      <c r="E731" s="115"/>
      <c r="F731" s="115"/>
      <c r="G731" s="99"/>
      <c r="H731" s="98"/>
      <c r="I731" s="100"/>
      <c r="J731" s="100"/>
      <c r="K731" s="100"/>
      <c r="L731" s="101"/>
      <c r="M731" s="101"/>
      <c r="N731" s="112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</row>
    <row r="732" spans="1:29" ht="13">
      <c r="A732" s="115"/>
      <c r="B732" s="97"/>
      <c r="C732" s="115"/>
      <c r="D732" s="115"/>
      <c r="E732" s="115"/>
      <c r="F732" s="115"/>
      <c r="G732" s="99"/>
      <c r="H732" s="98"/>
      <c r="I732" s="100"/>
      <c r="J732" s="100"/>
      <c r="K732" s="100"/>
      <c r="L732" s="101"/>
      <c r="M732" s="101"/>
      <c r="N732" s="112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</row>
    <row r="733" spans="1:29" ht="13">
      <c r="A733" s="115"/>
      <c r="B733" s="97"/>
      <c r="C733" s="115"/>
      <c r="D733" s="115"/>
      <c r="E733" s="115"/>
      <c r="F733" s="115"/>
      <c r="G733" s="99"/>
      <c r="H733" s="98"/>
      <c r="I733" s="100"/>
      <c r="J733" s="100"/>
      <c r="K733" s="100"/>
      <c r="L733" s="101"/>
      <c r="M733" s="101"/>
      <c r="N733" s="112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</row>
    <row r="734" spans="1:29" ht="13">
      <c r="A734" s="115"/>
      <c r="B734" s="97"/>
      <c r="C734" s="115"/>
      <c r="D734" s="115"/>
      <c r="E734" s="115"/>
      <c r="F734" s="115"/>
      <c r="G734" s="99"/>
      <c r="H734" s="98"/>
      <c r="I734" s="100"/>
      <c r="J734" s="100"/>
      <c r="K734" s="100"/>
      <c r="L734" s="101"/>
      <c r="M734" s="101"/>
      <c r="N734" s="112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</row>
    <row r="735" spans="1:29" ht="13">
      <c r="A735" s="115"/>
      <c r="B735" s="97"/>
      <c r="C735" s="115"/>
      <c r="D735" s="115"/>
      <c r="E735" s="115"/>
      <c r="F735" s="115"/>
      <c r="G735" s="99"/>
      <c r="H735" s="98"/>
      <c r="I735" s="100"/>
      <c r="J735" s="100"/>
      <c r="K735" s="100"/>
      <c r="L735" s="101"/>
      <c r="M735" s="101"/>
      <c r="N735" s="112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</row>
    <row r="736" spans="1:29" ht="13">
      <c r="A736" s="115"/>
      <c r="B736" s="97"/>
      <c r="C736" s="115"/>
      <c r="D736" s="115"/>
      <c r="E736" s="115"/>
      <c r="F736" s="115"/>
      <c r="G736" s="99"/>
      <c r="H736" s="98"/>
      <c r="I736" s="100"/>
      <c r="J736" s="100"/>
      <c r="K736" s="100"/>
      <c r="L736" s="101"/>
      <c r="M736" s="101"/>
      <c r="N736" s="112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</row>
    <row r="737" spans="1:29" ht="13">
      <c r="A737" s="115"/>
      <c r="B737" s="97"/>
      <c r="C737" s="115"/>
      <c r="D737" s="115"/>
      <c r="E737" s="115"/>
      <c r="F737" s="115"/>
      <c r="G737" s="99"/>
      <c r="H737" s="98"/>
      <c r="I737" s="100"/>
      <c r="J737" s="100"/>
      <c r="K737" s="100"/>
      <c r="L737" s="101"/>
      <c r="M737" s="101"/>
      <c r="N737" s="112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</row>
    <row r="738" spans="1:29" ht="13">
      <c r="A738" s="115"/>
      <c r="B738" s="97"/>
      <c r="C738" s="115"/>
      <c r="D738" s="115"/>
      <c r="E738" s="115"/>
      <c r="F738" s="115"/>
      <c r="G738" s="99"/>
      <c r="H738" s="98"/>
      <c r="I738" s="100"/>
      <c r="J738" s="100"/>
      <c r="K738" s="100"/>
      <c r="L738" s="101"/>
      <c r="M738" s="101"/>
      <c r="N738" s="112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</row>
    <row r="739" spans="1:29" ht="13">
      <c r="A739" s="115"/>
      <c r="B739" s="97"/>
      <c r="C739" s="115"/>
      <c r="D739" s="115"/>
      <c r="E739" s="115"/>
      <c r="F739" s="115"/>
      <c r="G739" s="99"/>
      <c r="H739" s="98"/>
      <c r="I739" s="100"/>
      <c r="J739" s="100"/>
      <c r="K739" s="100"/>
      <c r="L739" s="101"/>
      <c r="M739" s="101"/>
      <c r="N739" s="112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</row>
    <row r="740" spans="1:29" ht="13">
      <c r="A740" s="115"/>
      <c r="B740" s="97"/>
      <c r="C740" s="115"/>
      <c r="D740" s="115"/>
      <c r="E740" s="115"/>
      <c r="F740" s="115"/>
      <c r="G740" s="99"/>
      <c r="H740" s="98"/>
      <c r="I740" s="100"/>
      <c r="J740" s="100"/>
      <c r="K740" s="100"/>
      <c r="L740" s="101"/>
      <c r="M740" s="101"/>
      <c r="N740" s="112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</row>
    <row r="741" spans="1:29" ht="13">
      <c r="A741" s="115"/>
      <c r="B741" s="97"/>
      <c r="C741" s="115"/>
      <c r="D741" s="115"/>
      <c r="E741" s="115"/>
      <c r="F741" s="115"/>
      <c r="G741" s="99"/>
      <c r="H741" s="98"/>
      <c r="I741" s="100"/>
      <c r="J741" s="100"/>
      <c r="K741" s="100"/>
      <c r="L741" s="101"/>
      <c r="M741" s="101"/>
      <c r="N741" s="112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</row>
    <row r="742" spans="1:29" ht="13">
      <c r="A742" s="115"/>
      <c r="B742" s="97"/>
      <c r="C742" s="115"/>
      <c r="D742" s="115"/>
      <c r="E742" s="115"/>
      <c r="F742" s="115"/>
      <c r="G742" s="99"/>
      <c r="H742" s="98"/>
      <c r="I742" s="100"/>
      <c r="J742" s="100"/>
      <c r="K742" s="100"/>
      <c r="L742" s="101"/>
      <c r="M742" s="101"/>
      <c r="N742" s="112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</row>
    <row r="743" spans="1:29" ht="13">
      <c r="A743" s="115"/>
      <c r="B743" s="97"/>
      <c r="C743" s="115"/>
      <c r="D743" s="115"/>
      <c r="E743" s="115"/>
      <c r="F743" s="115"/>
      <c r="G743" s="99"/>
      <c r="H743" s="98"/>
      <c r="I743" s="100"/>
      <c r="J743" s="100"/>
      <c r="K743" s="100"/>
      <c r="L743" s="101"/>
      <c r="M743" s="101"/>
      <c r="N743" s="112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</row>
    <row r="744" spans="1:29" ht="13">
      <c r="A744" s="115"/>
      <c r="B744" s="97"/>
      <c r="C744" s="115"/>
      <c r="D744" s="115"/>
      <c r="E744" s="115"/>
      <c r="F744" s="115"/>
      <c r="G744" s="99"/>
      <c r="H744" s="98"/>
      <c r="I744" s="100"/>
      <c r="J744" s="100"/>
      <c r="K744" s="100"/>
      <c r="L744" s="101"/>
      <c r="M744" s="101"/>
      <c r="N744" s="112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</row>
    <row r="745" spans="1:29" ht="13">
      <c r="A745" s="115"/>
      <c r="B745" s="97"/>
      <c r="C745" s="115"/>
      <c r="D745" s="115"/>
      <c r="E745" s="115"/>
      <c r="F745" s="115"/>
      <c r="G745" s="99"/>
      <c r="H745" s="98"/>
      <c r="I745" s="100"/>
      <c r="J745" s="100"/>
      <c r="K745" s="100"/>
      <c r="L745" s="101"/>
      <c r="M745" s="101"/>
      <c r="N745" s="112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</row>
    <row r="746" spans="1:29" ht="13">
      <c r="A746" s="115"/>
      <c r="B746" s="97"/>
      <c r="C746" s="115"/>
      <c r="D746" s="115"/>
      <c r="E746" s="115"/>
      <c r="F746" s="115"/>
      <c r="G746" s="99"/>
      <c r="H746" s="98"/>
      <c r="I746" s="100"/>
      <c r="J746" s="100"/>
      <c r="K746" s="100"/>
      <c r="L746" s="101"/>
      <c r="M746" s="101"/>
      <c r="N746" s="112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</row>
    <row r="747" spans="1:29" ht="13">
      <c r="A747" s="115"/>
      <c r="B747" s="97"/>
      <c r="C747" s="115"/>
      <c r="D747" s="115"/>
      <c r="E747" s="115"/>
      <c r="F747" s="115"/>
      <c r="G747" s="99"/>
      <c r="H747" s="98"/>
      <c r="I747" s="100"/>
      <c r="J747" s="100"/>
      <c r="K747" s="100"/>
      <c r="L747" s="101"/>
      <c r="M747" s="101"/>
      <c r="N747" s="112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</row>
    <row r="748" spans="1:29" ht="13">
      <c r="A748" s="115"/>
      <c r="B748" s="97"/>
      <c r="C748" s="115"/>
      <c r="D748" s="115"/>
      <c r="E748" s="115"/>
      <c r="F748" s="115"/>
      <c r="G748" s="99"/>
      <c r="H748" s="98"/>
      <c r="I748" s="100"/>
      <c r="J748" s="100"/>
      <c r="K748" s="100"/>
      <c r="L748" s="101"/>
      <c r="M748" s="101"/>
      <c r="N748" s="112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</row>
    <row r="749" spans="1:29" ht="13">
      <c r="A749" s="115"/>
      <c r="B749" s="97"/>
      <c r="C749" s="115"/>
      <c r="D749" s="115"/>
      <c r="E749" s="115"/>
      <c r="F749" s="115"/>
      <c r="G749" s="99"/>
      <c r="H749" s="98"/>
      <c r="I749" s="100"/>
      <c r="J749" s="100"/>
      <c r="K749" s="100"/>
      <c r="L749" s="101"/>
      <c r="M749" s="101"/>
      <c r="N749" s="112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</row>
    <row r="750" spans="1:29" ht="13">
      <c r="A750" s="115"/>
      <c r="B750" s="97"/>
      <c r="C750" s="115"/>
      <c r="D750" s="115"/>
      <c r="E750" s="115"/>
      <c r="F750" s="115"/>
      <c r="G750" s="99"/>
      <c r="H750" s="98"/>
      <c r="I750" s="100"/>
      <c r="J750" s="100"/>
      <c r="K750" s="100"/>
      <c r="L750" s="101"/>
      <c r="M750" s="101"/>
      <c r="N750" s="112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</row>
    <row r="751" spans="1:29" ht="13">
      <c r="A751" s="115"/>
      <c r="B751" s="97"/>
      <c r="C751" s="115"/>
      <c r="D751" s="115"/>
      <c r="E751" s="115"/>
      <c r="F751" s="115"/>
      <c r="G751" s="99"/>
      <c r="H751" s="98"/>
      <c r="I751" s="100"/>
      <c r="J751" s="100"/>
      <c r="K751" s="100"/>
      <c r="L751" s="101"/>
      <c r="M751" s="101"/>
      <c r="N751" s="112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</row>
    <row r="752" spans="1:29" ht="13">
      <c r="A752" s="115"/>
      <c r="B752" s="97"/>
      <c r="C752" s="115"/>
      <c r="D752" s="115"/>
      <c r="E752" s="115"/>
      <c r="F752" s="115"/>
      <c r="G752" s="99"/>
      <c r="H752" s="98"/>
      <c r="I752" s="100"/>
      <c r="J752" s="100"/>
      <c r="K752" s="100"/>
      <c r="L752" s="101"/>
      <c r="M752" s="101"/>
      <c r="N752" s="112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</row>
    <row r="753" spans="1:29" ht="13">
      <c r="A753" s="115"/>
      <c r="B753" s="97"/>
      <c r="C753" s="115"/>
      <c r="D753" s="115"/>
      <c r="E753" s="115"/>
      <c r="F753" s="115"/>
      <c r="G753" s="99"/>
      <c r="H753" s="98"/>
      <c r="I753" s="100"/>
      <c r="J753" s="100"/>
      <c r="K753" s="100"/>
      <c r="L753" s="101"/>
      <c r="M753" s="101"/>
      <c r="N753" s="112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</row>
    <row r="754" spans="1:29" ht="13">
      <c r="A754" s="115"/>
      <c r="B754" s="97"/>
      <c r="C754" s="115"/>
      <c r="D754" s="115"/>
      <c r="E754" s="115"/>
      <c r="F754" s="115"/>
      <c r="G754" s="99"/>
      <c r="H754" s="98"/>
      <c r="I754" s="100"/>
      <c r="J754" s="100"/>
      <c r="K754" s="100"/>
      <c r="L754" s="101"/>
      <c r="M754" s="101"/>
      <c r="N754" s="112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</row>
    <row r="755" spans="1:29" ht="13">
      <c r="A755" s="115"/>
      <c r="B755" s="97"/>
      <c r="C755" s="115"/>
      <c r="D755" s="115"/>
      <c r="E755" s="115"/>
      <c r="F755" s="115"/>
      <c r="G755" s="99"/>
      <c r="H755" s="98"/>
      <c r="I755" s="100"/>
      <c r="J755" s="100"/>
      <c r="K755" s="100"/>
      <c r="L755" s="101"/>
      <c r="M755" s="101"/>
      <c r="N755" s="112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</row>
    <row r="756" spans="1:29" ht="13">
      <c r="A756" s="115"/>
      <c r="B756" s="97"/>
      <c r="C756" s="115"/>
      <c r="D756" s="115"/>
      <c r="E756" s="115"/>
      <c r="F756" s="115"/>
      <c r="G756" s="99"/>
      <c r="H756" s="98"/>
      <c r="I756" s="100"/>
      <c r="J756" s="100"/>
      <c r="K756" s="100"/>
      <c r="L756" s="101"/>
      <c r="M756" s="101"/>
      <c r="N756" s="112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</row>
    <row r="757" spans="1:29" ht="13">
      <c r="A757" s="115"/>
      <c r="B757" s="97"/>
      <c r="C757" s="115"/>
      <c r="D757" s="115"/>
      <c r="E757" s="115"/>
      <c r="F757" s="115"/>
      <c r="G757" s="99"/>
      <c r="H757" s="98"/>
      <c r="I757" s="100"/>
      <c r="J757" s="100"/>
      <c r="K757" s="100"/>
      <c r="L757" s="101"/>
      <c r="M757" s="101"/>
      <c r="N757" s="112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</row>
    <row r="758" spans="1:29" ht="13">
      <c r="A758" s="115"/>
      <c r="B758" s="97"/>
      <c r="C758" s="115"/>
      <c r="D758" s="115"/>
      <c r="E758" s="115"/>
      <c r="F758" s="115"/>
      <c r="G758" s="99"/>
      <c r="H758" s="98"/>
      <c r="I758" s="100"/>
      <c r="J758" s="100"/>
      <c r="K758" s="100"/>
      <c r="L758" s="101"/>
      <c r="M758" s="101"/>
      <c r="N758" s="112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</row>
    <row r="759" spans="1:29" ht="13">
      <c r="A759" s="115"/>
      <c r="B759" s="97"/>
      <c r="C759" s="115"/>
      <c r="D759" s="115"/>
      <c r="E759" s="115"/>
      <c r="F759" s="115"/>
      <c r="G759" s="99"/>
      <c r="H759" s="98"/>
      <c r="I759" s="100"/>
      <c r="J759" s="100"/>
      <c r="K759" s="100"/>
      <c r="L759" s="101"/>
      <c r="M759" s="101"/>
      <c r="N759" s="112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</row>
    <row r="760" spans="1:29" ht="13">
      <c r="A760" s="115"/>
      <c r="B760" s="97"/>
      <c r="C760" s="115"/>
      <c r="D760" s="115"/>
      <c r="E760" s="115"/>
      <c r="F760" s="115"/>
      <c r="G760" s="99"/>
      <c r="H760" s="98"/>
      <c r="I760" s="100"/>
      <c r="J760" s="100"/>
      <c r="K760" s="100"/>
      <c r="L760" s="101"/>
      <c r="M760" s="101"/>
      <c r="N760" s="112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</row>
    <row r="761" spans="1:29" ht="13">
      <c r="A761" s="115"/>
      <c r="B761" s="97"/>
      <c r="C761" s="115"/>
      <c r="D761" s="115"/>
      <c r="E761" s="115"/>
      <c r="F761" s="115"/>
      <c r="G761" s="99"/>
      <c r="H761" s="98"/>
      <c r="I761" s="100"/>
      <c r="J761" s="100"/>
      <c r="K761" s="100"/>
      <c r="L761" s="101"/>
      <c r="M761" s="101"/>
      <c r="N761" s="112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</row>
    <row r="762" spans="1:29" ht="13">
      <c r="A762" s="115"/>
      <c r="B762" s="97"/>
      <c r="C762" s="115"/>
      <c r="D762" s="115"/>
      <c r="E762" s="115"/>
      <c r="F762" s="115"/>
      <c r="G762" s="99"/>
      <c r="H762" s="98"/>
      <c r="I762" s="100"/>
      <c r="J762" s="100"/>
      <c r="K762" s="100"/>
      <c r="L762" s="101"/>
      <c r="M762" s="101"/>
      <c r="N762" s="112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</row>
    <row r="763" spans="1:29" ht="13">
      <c r="A763" s="115"/>
      <c r="B763" s="97"/>
      <c r="C763" s="115"/>
      <c r="D763" s="115"/>
      <c r="E763" s="115"/>
      <c r="F763" s="115"/>
      <c r="G763" s="99"/>
      <c r="H763" s="98"/>
      <c r="I763" s="100"/>
      <c r="J763" s="100"/>
      <c r="K763" s="100"/>
      <c r="L763" s="101"/>
      <c r="M763" s="101"/>
      <c r="N763" s="112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</row>
    <row r="764" spans="1:29" ht="13">
      <c r="A764" s="115"/>
      <c r="B764" s="97"/>
      <c r="C764" s="115"/>
      <c r="D764" s="115"/>
      <c r="E764" s="115"/>
      <c r="F764" s="115"/>
      <c r="G764" s="99"/>
      <c r="H764" s="98"/>
      <c r="I764" s="100"/>
      <c r="J764" s="100"/>
      <c r="K764" s="100"/>
      <c r="L764" s="101"/>
      <c r="M764" s="101"/>
      <c r="N764" s="112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</row>
    <row r="765" spans="1:29" ht="13">
      <c r="A765" s="115"/>
      <c r="B765" s="97"/>
      <c r="C765" s="115"/>
      <c r="D765" s="115"/>
      <c r="E765" s="115"/>
      <c r="F765" s="115"/>
      <c r="G765" s="99"/>
      <c r="H765" s="98"/>
      <c r="I765" s="100"/>
      <c r="J765" s="100"/>
      <c r="K765" s="100"/>
      <c r="L765" s="101"/>
      <c r="M765" s="101"/>
      <c r="N765" s="112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</row>
    <row r="766" spans="1:29" ht="13">
      <c r="A766" s="115"/>
      <c r="B766" s="97"/>
      <c r="C766" s="115"/>
      <c r="D766" s="115"/>
      <c r="E766" s="115"/>
      <c r="F766" s="115"/>
      <c r="G766" s="99"/>
      <c r="H766" s="98"/>
      <c r="I766" s="100"/>
      <c r="J766" s="100"/>
      <c r="K766" s="100"/>
      <c r="L766" s="101"/>
      <c r="M766" s="101"/>
      <c r="N766" s="112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</row>
    <row r="767" spans="1:29" ht="13">
      <c r="A767" s="115"/>
      <c r="B767" s="97"/>
      <c r="C767" s="115"/>
      <c r="D767" s="115"/>
      <c r="E767" s="115"/>
      <c r="F767" s="115"/>
      <c r="G767" s="99"/>
      <c r="H767" s="98"/>
      <c r="I767" s="100"/>
      <c r="J767" s="100"/>
      <c r="K767" s="100"/>
      <c r="L767" s="101"/>
      <c r="M767" s="101"/>
      <c r="N767" s="112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</row>
    <row r="768" spans="1:29" ht="13">
      <c r="A768" s="115"/>
      <c r="B768" s="97"/>
      <c r="C768" s="115"/>
      <c r="D768" s="115"/>
      <c r="E768" s="115"/>
      <c r="F768" s="115"/>
      <c r="G768" s="99"/>
      <c r="H768" s="98"/>
      <c r="I768" s="100"/>
      <c r="J768" s="100"/>
      <c r="K768" s="100"/>
      <c r="L768" s="101"/>
      <c r="M768" s="101"/>
      <c r="N768" s="112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</row>
    <row r="769" spans="1:29" ht="13">
      <c r="A769" s="115"/>
      <c r="B769" s="97"/>
      <c r="C769" s="115"/>
      <c r="D769" s="115"/>
      <c r="E769" s="115"/>
      <c r="F769" s="115"/>
      <c r="G769" s="99"/>
      <c r="H769" s="98"/>
      <c r="I769" s="100"/>
      <c r="J769" s="100"/>
      <c r="K769" s="100"/>
      <c r="L769" s="101"/>
      <c r="M769" s="101"/>
      <c r="N769" s="112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</row>
    <row r="770" spans="1:29" ht="13">
      <c r="A770" s="115"/>
      <c r="B770" s="97"/>
      <c r="C770" s="115"/>
      <c r="D770" s="115"/>
      <c r="E770" s="115"/>
      <c r="F770" s="115"/>
      <c r="G770" s="99"/>
      <c r="H770" s="98"/>
      <c r="I770" s="100"/>
      <c r="J770" s="100"/>
      <c r="K770" s="100"/>
      <c r="L770" s="101"/>
      <c r="M770" s="101"/>
      <c r="N770" s="112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</row>
    <row r="771" spans="1:29" ht="13">
      <c r="A771" s="115"/>
      <c r="B771" s="97"/>
      <c r="C771" s="115"/>
      <c r="D771" s="115"/>
      <c r="E771" s="115"/>
      <c r="F771" s="115"/>
      <c r="G771" s="99"/>
      <c r="H771" s="98"/>
      <c r="I771" s="100"/>
      <c r="J771" s="100"/>
      <c r="K771" s="100"/>
      <c r="L771" s="101"/>
      <c r="M771" s="101"/>
      <c r="N771" s="112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</row>
    <row r="772" spans="1:29" ht="13">
      <c r="A772" s="115"/>
      <c r="B772" s="97"/>
      <c r="C772" s="115"/>
      <c r="D772" s="115"/>
      <c r="E772" s="115"/>
      <c r="F772" s="115"/>
      <c r="G772" s="99"/>
      <c r="H772" s="98"/>
      <c r="I772" s="100"/>
      <c r="J772" s="100"/>
      <c r="K772" s="100"/>
      <c r="L772" s="101"/>
      <c r="M772" s="101"/>
      <c r="N772" s="112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</row>
    <row r="773" spans="1:29" ht="13">
      <c r="A773" s="115"/>
      <c r="B773" s="97"/>
      <c r="C773" s="115"/>
      <c r="D773" s="115"/>
      <c r="E773" s="115"/>
      <c r="F773" s="115"/>
      <c r="G773" s="99"/>
      <c r="H773" s="98"/>
      <c r="I773" s="100"/>
      <c r="J773" s="100"/>
      <c r="K773" s="100"/>
      <c r="L773" s="101"/>
      <c r="M773" s="101"/>
      <c r="N773" s="112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</row>
    <row r="774" spans="1:29" ht="13">
      <c r="A774" s="115"/>
      <c r="B774" s="97"/>
      <c r="C774" s="115"/>
      <c r="D774" s="115"/>
      <c r="E774" s="115"/>
      <c r="F774" s="115"/>
      <c r="G774" s="99"/>
      <c r="H774" s="98"/>
      <c r="I774" s="100"/>
      <c r="J774" s="100"/>
      <c r="K774" s="100"/>
      <c r="L774" s="101"/>
      <c r="M774" s="101"/>
      <c r="N774" s="112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</row>
    <row r="775" spans="1:29" ht="13">
      <c r="A775" s="115"/>
      <c r="B775" s="97"/>
      <c r="C775" s="115"/>
      <c r="D775" s="115"/>
      <c r="E775" s="115"/>
      <c r="F775" s="115"/>
      <c r="G775" s="99"/>
      <c r="H775" s="98"/>
      <c r="I775" s="100"/>
      <c r="J775" s="100"/>
      <c r="K775" s="100"/>
      <c r="L775" s="101"/>
      <c r="M775" s="101"/>
      <c r="N775" s="112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</row>
    <row r="776" spans="1:29" ht="13">
      <c r="A776" s="115"/>
      <c r="B776" s="97"/>
      <c r="C776" s="115"/>
      <c r="D776" s="115"/>
      <c r="E776" s="115"/>
      <c r="F776" s="115"/>
      <c r="G776" s="99"/>
      <c r="H776" s="98"/>
      <c r="I776" s="100"/>
      <c r="J776" s="100"/>
      <c r="K776" s="100"/>
      <c r="L776" s="101"/>
      <c r="M776" s="101"/>
      <c r="N776" s="112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</row>
    <row r="777" spans="1:29" ht="13">
      <c r="A777" s="115"/>
      <c r="B777" s="97"/>
      <c r="C777" s="115"/>
      <c r="D777" s="115"/>
      <c r="E777" s="115"/>
      <c r="F777" s="115"/>
      <c r="G777" s="99"/>
      <c r="H777" s="98"/>
      <c r="I777" s="100"/>
      <c r="J777" s="100"/>
      <c r="K777" s="100"/>
      <c r="L777" s="101"/>
      <c r="M777" s="101"/>
      <c r="N777" s="112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</row>
    <row r="778" spans="1:29" ht="13">
      <c r="A778" s="115"/>
      <c r="B778" s="97"/>
      <c r="C778" s="115"/>
      <c r="D778" s="115"/>
      <c r="E778" s="115"/>
      <c r="F778" s="115"/>
      <c r="G778" s="99"/>
      <c r="H778" s="98"/>
      <c r="I778" s="100"/>
      <c r="J778" s="100"/>
      <c r="K778" s="100"/>
      <c r="L778" s="101"/>
      <c r="M778" s="101"/>
      <c r="N778" s="112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</row>
    <row r="779" spans="1:29" ht="13">
      <c r="A779" s="115"/>
      <c r="B779" s="97"/>
      <c r="C779" s="115"/>
      <c r="D779" s="115"/>
      <c r="E779" s="115"/>
      <c r="F779" s="115"/>
      <c r="G779" s="99"/>
      <c r="H779" s="98"/>
      <c r="I779" s="100"/>
      <c r="J779" s="100"/>
      <c r="K779" s="100"/>
      <c r="L779" s="101"/>
      <c r="M779" s="101"/>
      <c r="N779" s="112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</row>
    <row r="780" spans="1:29" ht="13">
      <c r="A780" s="115"/>
      <c r="B780" s="97"/>
      <c r="C780" s="115"/>
      <c r="D780" s="115"/>
      <c r="E780" s="115"/>
      <c r="F780" s="115"/>
      <c r="G780" s="99"/>
      <c r="H780" s="98"/>
      <c r="I780" s="100"/>
      <c r="J780" s="100"/>
      <c r="K780" s="100"/>
      <c r="L780" s="101"/>
      <c r="M780" s="101"/>
      <c r="N780" s="112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</row>
    <row r="781" spans="1:29" ht="13">
      <c r="A781" s="115"/>
      <c r="B781" s="97"/>
      <c r="C781" s="115"/>
      <c r="D781" s="115"/>
      <c r="E781" s="115"/>
      <c r="F781" s="115"/>
      <c r="G781" s="99"/>
      <c r="H781" s="98"/>
      <c r="I781" s="100"/>
      <c r="J781" s="100"/>
      <c r="K781" s="100"/>
      <c r="L781" s="101"/>
      <c r="M781" s="101"/>
      <c r="N781" s="112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</row>
    <row r="782" spans="1:29" ht="13">
      <c r="A782" s="115"/>
      <c r="B782" s="97"/>
      <c r="C782" s="115"/>
      <c r="D782" s="115"/>
      <c r="E782" s="115"/>
      <c r="F782" s="115"/>
      <c r="G782" s="99"/>
      <c r="H782" s="98"/>
      <c r="I782" s="100"/>
      <c r="J782" s="100"/>
      <c r="K782" s="100"/>
      <c r="L782" s="101"/>
      <c r="M782" s="101"/>
      <c r="N782" s="112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</row>
    <row r="783" spans="1:29" ht="13">
      <c r="A783" s="115"/>
      <c r="B783" s="97"/>
      <c r="C783" s="115"/>
      <c r="D783" s="115"/>
      <c r="E783" s="115"/>
      <c r="F783" s="115"/>
      <c r="G783" s="99"/>
      <c r="H783" s="98"/>
      <c r="I783" s="100"/>
      <c r="J783" s="100"/>
      <c r="K783" s="100"/>
      <c r="L783" s="101"/>
      <c r="M783" s="101"/>
      <c r="N783" s="112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</row>
    <row r="784" spans="1:29" ht="13">
      <c r="A784" s="115"/>
      <c r="B784" s="97"/>
      <c r="C784" s="115"/>
      <c r="D784" s="115"/>
      <c r="E784" s="115"/>
      <c r="F784" s="115"/>
      <c r="G784" s="99"/>
      <c r="H784" s="98"/>
      <c r="I784" s="100"/>
      <c r="J784" s="100"/>
      <c r="K784" s="100"/>
      <c r="L784" s="101"/>
      <c r="M784" s="101"/>
      <c r="N784" s="112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</row>
    <row r="785" spans="1:29" ht="13">
      <c r="A785" s="115"/>
      <c r="B785" s="97"/>
      <c r="C785" s="115"/>
      <c r="D785" s="115"/>
      <c r="E785" s="115"/>
      <c r="F785" s="115"/>
      <c r="G785" s="99"/>
      <c r="H785" s="98"/>
      <c r="I785" s="100"/>
      <c r="J785" s="100"/>
      <c r="K785" s="100"/>
      <c r="L785" s="101"/>
      <c r="M785" s="101"/>
      <c r="N785" s="112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</row>
    <row r="786" spans="1:29" ht="13">
      <c r="A786" s="115"/>
      <c r="B786" s="97"/>
      <c r="C786" s="115"/>
      <c r="D786" s="115"/>
      <c r="E786" s="115"/>
      <c r="F786" s="115"/>
      <c r="G786" s="99"/>
      <c r="H786" s="98"/>
      <c r="I786" s="100"/>
      <c r="J786" s="100"/>
      <c r="K786" s="100"/>
      <c r="L786" s="101"/>
      <c r="M786" s="101"/>
      <c r="N786" s="112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</row>
    <row r="787" spans="1:29" ht="13">
      <c r="A787" s="115"/>
      <c r="B787" s="97"/>
      <c r="C787" s="115"/>
      <c r="D787" s="115"/>
      <c r="E787" s="115"/>
      <c r="F787" s="115"/>
      <c r="G787" s="99"/>
      <c r="H787" s="98"/>
      <c r="I787" s="100"/>
      <c r="J787" s="100"/>
      <c r="K787" s="100"/>
      <c r="L787" s="101"/>
      <c r="M787" s="101"/>
      <c r="N787" s="112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</row>
    <row r="788" spans="1:29" ht="13">
      <c r="A788" s="115"/>
      <c r="B788" s="97"/>
      <c r="C788" s="115"/>
      <c r="D788" s="115"/>
      <c r="E788" s="115"/>
      <c r="F788" s="115"/>
      <c r="G788" s="99"/>
      <c r="H788" s="98"/>
      <c r="I788" s="100"/>
      <c r="J788" s="100"/>
      <c r="K788" s="100"/>
      <c r="L788" s="101"/>
      <c r="M788" s="101"/>
      <c r="N788" s="112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</row>
    <row r="789" spans="1:29" ht="13">
      <c r="A789" s="115"/>
      <c r="B789" s="97"/>
      <c r="C789" s="115"/>
      <c r="D789" s="115"/>
      <c r="E789" s="115"/>
      <c r="F789" s="115"/>
      <c r="G789" s="99"/>
      <c r="H789" s="98"/>
      <c r="I789" s="100"/>
      <c r="J789" s="100"/>
      <c r="K789" s="100"/>
      <c r="L789" s="101"/>
      <c r="M789" s="101"/>
      <c r="N789" s="112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</row>
    <row r="790" spans="1:29" ht="13">
      <c r="A790" s="115"/>
      <c r="B790" s="97"/>
      <c r="C790" s="115"/>
      <c r="D790" s="115"/>
      <c r="E790" s="115"/>
      <c r="F790" s="115"/>
      <c r="G790" s="99"/>
      <c r="H790" s="98"/>
      <c r="I790" s="100"/>
      <c r="J790" s="100"/>
      <c r="K790" s="100"/>
      <c r="L790" s="101"/>
      <c r="M790" s="101"/>
      <c r="N790" s="112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</row>
    <row r="791" spans="1:29" ht="13">
      <c r="A791" s="115"/>
      <c r="B791" s="97"/>
      <c r="C791" s="115"/>
      <c r="D791" s="115"/>
      <c r="E791" s="115"/>
      <c r="F791" s="115"/>
      <c r="G791" s="99"/>
      <c r="H791" s="98"/>
      <c r="I791" s="100"/>
      <c r="J791" s="100"/>
      <c r="K791" s="100"/>
      <c r="L791" s="101"/>
      <c r="M791" s="101"/>
      <c r="N791" s="112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</row>
    <row r="792" spans="1:29" ht="13">
      <c r="A792" s="115"/>
      <c r="B792" s="97"/>
      <c r="C792" s="115"/>
      <c r="D792" s="115"/>
      <c r="E792" s="115"/>
      <c r="F792" s="115"/>
      <c r="G792" s="99"/>
      <c r="H792" s="98"/>
      <c r="I792" s="100"/>
      <c r="J792" s="100"/>
      <c r="K792" s="100"/>
      <c r="L792" s="101"/>
      <c r="M792" s="101"/>
      <c r="N792" s="112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</row>
    <row r="793" spans="1:29" ht="13">
      <c r="A793" s="115"/>
      <c r="B793" s="97"/>
      <c r="C793" s="115"/>
      <c r="D793" s="115"/>
      <c r="E793" s="115"/>
      <c r="F793" s="115"/>
      <c r="G793" s="99"/>
      <c r="H793" s="98"/>
      <c r="I793" s="100"/>
      <c r="J793" s="100"/>
      <c r="K793" s="100"/>
      <c r="L793" s="101"/>
      <c r="M793" s="101"/>
      <c r="N793" s="112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</row>
    <row r="794" spans="1:29" ht="13">
      <c r="A794" s="115"/>
      <c r="B794" s="97"/>
      <c r="C794" s="115"/>
      <c r="D794" s="115"/>
      <c r="E794" s="115"/>
      <c r="F794" s="115"/>
      <c r="G794" s="99"/>
      <c r="H794" s="98"/>
      <c r="I794" s="100"/>
      <c r="J794" s="100"/>
      <c r="K794" s="100"/>
      <c r="L794" s="101"/>
      <c r="M794" s="101"/>
      <c r="N794" s="112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</row>
    <row r="795" spans="1:29" ht="13">
      <c r="A795" s="115"/>
      <c r="B795" s="97"/>
      <c r="C795" s="115"/>
      <c r="D795" s="115"/>
      <c r="E795" s="115"/>
      <c r="F795" s="115"/>
      <c r="G795" s="99"/>
      <c r="H795" s="98"/>
      <c r="I795" s="100"/>
      <c r="J795" s="100"/>
      <c r="K795" s="100"/>
      <c r="L795" s="101"/>
      <c r="M795" s="101"/>
      <c r="N795" s="112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</row>
    <row r="796" spans="1:29" ht="13">
      <c r="A796" s="115"/>
      <c r="B796" s="97"/>
      <c r="C796" s="115"/>
      <c r="D796" s="115"/>
      <c r="E796" s="115"/>
      <c r="F796" s="115"/>
      <c r="G796" s="99"/>
      <c r="H796" s="98"/>
      <c r="I796" s="100"/>
      <c r="J796" s="100"/>
      <c r="K796" s="100"/>
      <c r="L796" s="101"/>
      <c r="M796" s="101"/>
      <c r="N796" s="112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</row>
    <row r="797" spans="1:29" ht="13">
      <c r="A797" s="115"/>
      <c r="B797" s="97"/>
      <c r="C797" s="115"/>
      <c r="D797" s="115"/>
      <c r="E797" s="115"/>
      <c r="F797" s="115"/>
      <c r="G797" s="99"/>
      <c r="H797" s="98"/>
      <c r="I797" s="100"/>
      <c r="J797" s="100"/>
      <c r="K797" s="100"/>
      <c r="L797" s="101"/>
      <c r="M797" s="101"/>
      <c r="N797" s="112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</row>
    <row r="798" spans="1:29" ht="13">
      <c r="A798" s="115"/>
      <c r="B798" s="97"/>
      <c r="C798" s="115"/>
      <c r="D798" s="115"/>
      <c r="E798" s="115"/>
      <c r="F798" s="115"/>
      <c r="G798" s="99"/>
      <c r="H798" s="98"/>
      <c r="I798" s="100"/>
      <c r="J798" s="100"/>
      <c r="K798" s="100"/>
      <c r="L798" s="101"/>
      <c r="M798" s="101"/>
      <c r="N798" s="112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</row>
    <row r="799" spans="1:29" ht="13">
      <c r="A799" s="115"/>
      <c r="B799" s="97"/>
      <c r="C799" s="115"/>
      <c r="D799" s="115"/>
      <c r="E799" s="115"/>
      <c r="F799" s="115"/>
      <c r="G799" s="99"/>
      <c r="H799" s="98"/>
      <c r="I799" s="100"/>
      <c r="J799" s="100"/>
      <c r="K799" s="100"/>
      <c r="L799" s="101"/>
      <c r="M799" s="101"/>
      <c r="N799" s="112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</row>
    <row r="800" spans="1:29" ht="13">
      <c r="A800" s="115"/>
      <c r="B800" s="97"/>
      <c r="C800" s="115"/>
      <c r="D800" s="115"/>
      <c r="E800" s="115"/>
      <c r="F800" s="115"/>
      <c r="G800" s="99"/>
      <c r="H800" s="98"/>
      <c r="I800" s="100"/>
      <c r="J800" s="100"/>
      <c r="K800" s="100"/>
      <c r="L800" s="101"/>
      <c r="M800" s="101"/>
      <c r="N800" s="112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</row>
    <row r="801" spans="1:29" ht="13">
      <c r="A801" s="115"/>
      <c r="B801" s="97"/>
      <c r="C801" s="115"/>
      <c r="D801" s="115"/>
      <c r="E801" s="115"/>
      <c r="F801" s="115"/>
      <c r="G801" s="99"/>
      <c r="H801" s="98"/>
      <c r="I801" s="100"/>
      <c r="J801" s="100"/>
      <c r="K801" s="100"/>
      <c r="L801" s="101"/>
      <c r="M801" s="101"/>
      <c r="N801" s="112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</row>
    <row r="802" spans="1:29" ht="13">
      <c r="A802" s="115"/>
      <c r="B802" s="97"/>
      <c r="C802" s="115"/>
      <c r="D802" s="115"/>
      <c r="E802" s="115"/>
      <c r="F802" s="115"/>
      <c r="G802" s="99"/>
      <c r="H802" s="98"/>
      <c r="I802" s="100"/>
      <c r="J802" s="100"/>
      <c r="K802" s="100"/>
      <c r="L802" s="101"/>
      <c r="M802" s="101"/>
      <c r="N802" s="112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</row>
    <row r="803" spans="1:29" ht="13">
      <c r="A803" s="115"/>
      <c r="B803" s="97"/>
      <c r="C803" s="115"/>
      <c r="D803" s="115"/>
      <c r="E803" s="115"/>
      <c r="F803" s="115"/>
      <c r="G803" s="99"/>
      <c r="H803" s="98"/>
      <c r="I803" s="100"/>
      <c r="J803" s="100"/>
      <c r="K803" s="100"/>
      <c r="L803" s="101"/>
      <c r="M803" s="101"/>
      <c r="N803" s="112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</row>
    <row r="804" spans="1:29" ht="13">
      <c r="A804" s="115"/>
      <c r="B804" s="97"/>
      <c r="C804" s="115"/>
      <c r="D804" s="115"/>
      <c r="E804" s="115"/>
      <c r="F804" s="115"/>
      <c r="G804" s="99"/>
      <c r="H804" s="98"/>
      <c r="I804" s="100"/>
      <c r="J804" s="100"/>
      <c r="K804" s="100"/>
      <c r="L804" s="101"/>
      <c r="M804" s="101"/>
      <c r="N804" s="112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</row>
    <row r="805" spans="1:29" ht="13">
      <c r="A805" s="115"/>
      <c r="B805" s="97"/>
      <c r="C805" s="115"/>
      <c r="D805" s="115"/>
      <c r="E805" s="115"/>
      <c r="F805" s="115"/>
      <c r="G805" s="99"/>
      <c r="H805" s="98"/>
      <c r="I805" s="100"/>
      <c r="J805" s="100"/>
      <c r="K805" s="100"/>
      <c r="L805" s="101"/>
      <c r="M805" s="101"/>
      <c r="N805" s="112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</row>
    <row r="806" spans="1:29" ht="13">
      <c r="A806" s="115"/>
      <c r="B806" s="97"/>
      <c r="C806" s="115"/>
      <c r="D806" s="115"/>
      <c r="E806" s="115"/>
      <c r="F806" s="115"/>
      <c r="G806" s="99"/>
      <c r="H806" s="98"/>
      <c r="I806" s="100"/>
      <c r="J806" s="100"/>
      <c r="K806" s="100"/>
      <c r="L806" s="101"/>
      <c r="M806" s="101"/>
      <c r="N806" s="112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</row>
    <row r="807" spans="1:29" ht="13">
      <c r="A807" s="115"/>
      <c r="B807" s="97"/>
      <c r="C807" s="115"/>
      <c r="D807" s="115"/>
      <c r="E807" s="115"/>
      <c r="F807" s="115"/>
      <c r="G807" s="99"/>
      <c r="H807" s="98"/>
      <c r="I807" s="100"/>
      <c r="J807" s="100"/>
      <c r="K807" s="100"/>
      <c r="L807" s="101"/>
      <c r="M807" s="101"/>
      <c r="N807" s="112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</row>
    <row r="808" spans="1:29" ht="13">
      <c r="A808" s="115"/>
      <c r="B808" s="97"/>
      <c r="C808" s="115"/>
      <c r="D808" s="115"/>
      <c r="E808" s="115"/>
      <c r="F808" s="115"/>
      <c r="G808" s="99"/>
      <c r="H808" s="98"/>
      <c r="I808" s="100"/>
      <c r="J808" s="100"/>
      <c r="K808" s="100"/>
      <c r="L808" s="101"/>
      <c r="M808" s="101"/>
      <c r="N808" s="112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</row>
    <row r="809" spans="1:29" ht="13">
      <c r="A809" s="115"/>
      <c r="B809" s="97"/>
      <c r="C809" s="115"/>
      <c r="D809" s="115"/>
      <c r="E809" s="115"/>
      <c r="F809" s="115"/>
      <c r="G809" s="99"/>
      <c r="H809" s="98"/>
      <c r="I809" s="100"/>
      <c r="J809" s="100"/>
      <c r="K809" s="100"/>
      <c r="L809" s="101"/>
      <c r="M809" s="101"/>
      <c r="N809" s="112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</row>
    <row r="810" spans="1:29" ht="13">
      <c r="A810" s="115"/>
      <c r="B810" s="97"/>
      <c r="C810" s="115"/>
      <c r="D810" s="115"/>
      <c r="E810" s="115"/>
      <c r="F810" s="115"/>
      <c r="G810" s="99"/>
      <c r="H810" s="98"/>
      <c r="I810" s="100"/>
      <c r="J810" s="100"/>
      <c r="K810" s="100"/>
      <c r="L810" s="101"/>
      <c r="M810" s="101"/>
      <c r="N810" s="112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</row>
    <row r="811" spans="1:29" ht="13">
      <c r="A811" s="115"/>
      <c r="B811" s="97"/>
      <c r="C811" s="115"/>
      <c r="D811" s="115"/>
      <c r="E811" s="115"/>
      <c r="F811" s="115"/>
      <c r="G811" s="99"/>
      <c r="H811" s="98"/>
      <c r="I811" s="100"/>
      <c r="J811" s="100"/>
      <c r="K811" s="100"/>
      <c r="L811" s="101"/>
      <c r="M811" s="101"/>
      <c r="N811" s="112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</row>
    <row r="812" spans="1:29" ht="13">
      <c r="A812" s="115"/>
      <c r="B812" s="97"/>
      <c r="C812" s="115"/>
      <c r="D812" s="115"/>
      <c r="E812" s="115"/>
      <c r="F812" s="115"/>
      <c r="G812" s="99"/>
      <c r="H812" s="98"/>
      <c r="I812" s="100"/>
      <c r="J812" s="100"/>
      <c r="K812" s="100"/>
      <c r="L812" s="101"/>
      <c r="M812" s="101"/>
      <c r="N812" s="112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</row>
    <row r="813" spans="1:29" ht="13">
      <c r="A813" s="115"/>
      <c r="B813" s="97"/>
      <c r="C813" s="115"/>
      <c r="D813" s="115"/>
      <c r="E813" s="115"/>
      <c r="F813" s="115"/>
      <c r="G813" s="99"/>
      <c r="H813" s="98"/>
      <c r="I813" s="100"/>
      <c r="J813" s="100"/>
      <c r="K813" s="100"/>
      <c r="L813" s="101"/>
      <c r="M813" s="101"/>
      <c r="N813" s="112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</row>
    <row r="814" spans="1:29" ht="13">
      <c r="A814" s="115"/>
      <c r="B814" s="97"/>
      <c r="C814" s="115"/>
      <c r="D814" s="115"/>
      <c r="E814" s="115"/>
      <c r="F814" s="115"/>
      <c r="G814" s="99"/>
      <c r="H814" s="98"/>
      <c r="I814" s="100"/>
      <c r="J814" s="100"/>
      <c r="K814" s="100"/>
      <c r="L814" s="101"/>
      <c r="M814" s="101"/>
      <c r="N814" s="112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</row>
    <row r="815" spans="1:29" ht="13">
      <c r="A815" s="115"/>
      <c r="B815" s="97"/>
      <c r="C815" s="115"/>
      <c r="D815" s="115"/>
      <c r="E815" s="115"/>
      <c r="F815" s="115"/>
      <c r="G815" s="99"/>
      <c r="H815" s="98"/>
      <c r="I815" s="100"/>
      <c r="J815" s="100"/>
      <c r="K815" s="100"/>
      <c r="L815" s="101"/>
      <c r="M815" s="101"/>
      <c r="N815" s="112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</row>
    <row r="816" spans="1:29" ht="13">
      <c r="A816" s="115"/>
      <c r="B816" s="97"/>
      <c r="C816" s="115"/>
      <c r="D816" s="115"/>
      <c r="E816" s="115"/>
      <c r="F816" s="115"/>
      <c r="G816" s="99"/>
      <c r="H816" s="98"/>
      <c r="I816" s="100"/>
      <c r="J816" s="100"/>
      <c r="K816" s="100"/>
      <c r="L816" s="101"/>
      <c r="M816" s="101"/>
      <c r="N816" s="112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</row>
    <row r="817" spans="1:29" ht="13">
      <c r="A817" s="115"/>
      <c r="B817" s="97"/>
      <c r="C817" s="115"/>
      <c r="D817" s="115"/>
      <c r="E817" s="115"/>
      <c r="F817" s="115"/>
      <c r="G817" s="99"/>
      <c r="H817" s="98"/>
      <c r="I817" s="100"/>
      <c r="J817" s="100"/>
      <c r="K817" s="100"/>
      <c r="L817" s="101"/>
      <c r="M817" s="101"/>
      <c r="N817" s="112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</row>
    <row r="818" spans="1:29" ht="13">
      <c r="A818" s="115"/>
      <c r="B818" s="97"/>
      <c r="C818" s="115"/>
      <c r="D818" s="115"/>
      <c r="E818" s="115"/>
      <c r="F818" s="115"/>
      <c r="G818" s="99"/>
      <c r="H818" s="98"/>
      <c r="I818" s="100"/>
      <c r="J818" s="100"/>
      <c r="K818" s="100"/>
      <c r="L818" s="101"/>
      <c r="M818" s="101"/>
      <c r="N818" s="112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</row>
    <row r="819" spans="1:29" ht="13">
      <c r="A819" s="115"/>
      <c r="B819" s="97"/>
      <c r="C819" s="115"/>
      <c r="D819" s="115"/>
      <c r="E819" s="115"/>
      <c r="F819" s="115"/>
      <c r="G819" s="99"/>
      <c r="H819" s="98"/>
      <c r="I819" s="100"/>
      <c r="J819" s="100"/>
      <c r="K819" s="100"/>
      <c r="L819" s="101"/>
      <c r="M819" s="101"/>
      <c r="N819" s="112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</row>
    <row r="820" spans="1:29" ht="13">
      <c r="A820" s="115"/>
      <c r="B820" s="97"/>
      <c r="C820" s="115"/>
      <c r="D820" s="115"/>
      <c r="E820" s="115"/>
      <c r="F820" s="115"/>
      <c r="G820" s="99"/>
      <c r="H820" s="98"/>
      <c r="I820" s="100"/>
      <c r="J820" s="100"/>
      <c r="K820" s="100"/>
      <c r="L820" s="101"/>
      <c r="M820" s="101"/>
      <c r="N820" s="112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</row>
    <row r="821" spans="1:29" ht="13">
      <c r="A821" s="115"/>
      <c r="B821" s="97"/>
      <c r="C821" s="115"/>
      <c r="D821" s="115"/>
      <c r="E821" s="115"/>
      <c r="F821" s="115"/>
      <c r="G821" s="99"/>
      <c r="H821" s="98"/>
      <c r="I821" s="100"/>
      <c r="J821" s="100"/>
      <c r="K821" s="100"/>
      <c r="L821" s="101"/>
      <c r="M821" s="101"/>
      <c r="N821" s="112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</row>
    <row r="822" spans="1:29" ht="13">
      <c r="A822" s="115"/>
      <c r="B822" s="97"/>
      <c r="C822" s="115"/>
      <c r="D822" s="115"/>
      <c r="E822" s="115"/>
      <c r="F822" s="115"/>
      <c r="G822" s="99"/>
      <c r="H822" s="98"/>
      <c r="I822" s="100"/>
      <c r="J822" s="100"/>
      <c r="K822" s="100"/>
      <c r="L822" s="101"/>
      <c r="M822" s="101"/>
      <c r="N822" s="112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</row>
    <row r="823" spans="1:29" ht="13">
      <c r="A823" s="115"/>
      <c r="B823" s="97"/>
      <c r="C823" s="115"/>
      <c r="D823" s="115"/>
      <c r="E823" s="115"/>
      <c r="F823" s="115"/>
      <c r="G823" s="99"/>
      <c r="H823" s="98"/>
      <c r="I823" s="100"/>
      <c r="J823" s="100"/>
      <c r="K823" s="100"/>
      <c r="L823" s="101"/>
      <c r="M823" s="101"/>
      <c r="N823" s="112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</row>
    <row r="824" spans="1:29" ht="13">
      <c r="A824" s="115"/>
      <c r="B824" s="97"/>
      <c r="C824" s="115"/>
      <c r="D824" s="115"/>
      <c r="E824" s="115"/>
      <c r="F824" s="115"/>
      <c r="G824" s="99"/>
      <c r="H824" s="98"/>
      <c r="I824" s="100"/>
      <c r="J824" s="100"/>
      <c r="K824" s="100"/>
      <c r="L824" s="101"/>
      <c r="M824" s="101"/>
      <c r="N824" s="112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</row>
    <row r="825" spans="1:29" ht="13">
      <c r="A825" s="115"/>
      <c r="B825" s="97"/>
      <c r="C825" s="115"/>
      <c r="D825" s="115"/>
      <c r="E825" s="115"/>
      <c r="F825" s="115"/>
      <c r="G825" s="99"/>
      <c r="H825" s="98"/>
      <c r="I825" s="100"/>
      <c r="J825" s="100"/>
      <c r="K825" s="100"/>
      <c r="L825" s="101"/>
      <c r="M825" s="101"/>
      <c r="N825" s="112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</row>
    <row r="826" spans="1:29" ht="13">
      <c r="A826" s="115"/>
      <c r="B826" s="97"/>
      <c r="C826" s="115"/>
      <c r="D826" s="115"/>
      <c r="E826" s="115"/>
      <c r="F826" s="115"/>
      <c r="G826" s="99"/>
      <c r="H826" s="98"/>
      <c r="I826" s="100"/>
      <c r="J826" s="100"/>
      <c r="K826" s="100"/>
      <c r="L826" s="101"/>
      <c r="M826" s="101"/>
      <c r="N826" s="112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</row>
    <row r="827" spans="1:29" ht="13">
      <c r="A827" s="115"/>
      <c r="B827" s="97"/>
      <c r="C827" s="115"/>
      <c r="D827" s="115"/>
      <c r="E827" s="115"/>
      <c r="F827" s="115"/>
      <c r="G827" s="99"/>
      <c r="H827" s="98"/>
      <c r="I827" s="100"/>
      <c r="J827" s="100"/>
      <c r="K827" s="100"/>
      <c r="L827" s="101"/>
      <c r="M827" s="101"/>
      <c r="N827" s="112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</row>
    <row r="828" spans="1:29" ht="13">
      <c r="A828" s="115"/>
      <c r="B828" s="97"/>
      <c r="C828" s="115"/>
      <c r="D828" s="115"/>
      <c r="E828" s="115"/>
      <c r="F828" s="115"/>
      <c r="G828" s="99"/>
      <c r="H828" s="98"/>
      <c r="I828" s="100"/>
      <c r="J828" s="100"/>
      <c r="K828" s="100"/>
      <c r="L828" s="101"/>
      <c r="M828" s="101"/>
      <c r="N828" s="112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</row>
    <row r="829" spans="1:29" ht="13">
      <c r="A829" s="115"/>
      <c r="B829" s="97"/>
      <c r="C829" s="115"/>
      <c r="D829" s="115"/>
      <c r="E829" s="115"/>
      <c r="F829" s="115"/>
      <c r="G829" s="99"/>
      <c r="H829" s="98"/>
      <c r="I829" s="100"/>
      <c r="J829" s="100"/>
      <c r="K829" s="100"/>
      <c r="L829" s="101"/>
      <c r="M829" s="101"/>
      <c r="N829" s="112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</row>
    <row r="830" spans="1:29" ht="13">
      <c r="A830" s="115"/>
      <c r="B830" s="97"/>
      <c r="C830" s="115"/>
      <c r="D830" s="115"/>
      <c r="E830" s="115"/>
      <c r="F830" s="115"/>
      <c r="G830" s="99"/>
      <c r="H830" s="98"/>
      <c r="I830" s="100"/>
      <c r="J830" s="100"/>
      <c r="K830" s="100"/>
      <c r="L830" s="101"/>
      <c r="M830" s="101"/>
      <c r="N830" s="112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</row>
    <row r="831" spans="1:29" ht="13">
      <c r="A831" s="115"/>
      <c r="B831" s="97"/>
      <c r="C831" s="115"/>
      <c r="D831" s="115"/>
      <c r="E831" s="115"/>
      <c r="F831" s="115"/>
      <c r="G831" s="99"/>
      <c r="H831" s="98"/>
      <c r="I831" s="100"/>
      <c r="J831" s="100"/>
      <c r="K831" s="100"/>
      <c r="L831" s="101"/>
      <c r="M831" s="101"/>
      <c r="N831" s="112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</row>
    <row r="832" spans="1:29" ht="13">
      <c r="A832" s="115"/>
      <c r="B832" s="97"/>
      <c r="C832" s="115"/>
      <c r="D832" s="115"/>
      <c r="E832" s="115"/>
      <c r="F832" s="115"/>
      <c r="G832" s="99"/>
      <c r="H832" s="98"/>
      <c r="I832" s="100"/>
      <c r="J832" s="100"/>
      <c r="K832" s="100"/>
      <c r="L832" s="101"/>
      <c r="M832" s="101"/>
      <c r="N832" s="112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</row>
    <row r="833" spans="1:29" ht="13">
      <c r="A833" s="115"/>
      <c r="B833" s="97"/>
      <c r="C833" s="115"/>
      <c r="D833" s="115"/>
      <c r="E833" s="115"/>
      <c r="F833" s="115"/>
      <c r="G833" s="99"/>
      <c r="H833" s="98"/>
      <c r="I833" s="100"/>
      <c r="J833" s="100"/>
      <c r="K833" s="100"/>
      <c r="L833" s="101"/>
      <c r="M833" s="101"/>
      <c r="N833" s="112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</row>
    <row r="834" spans="1:29" ht="13">
      <c r="A834" s="115"/>
      <c r="B834" s="97"/>
      <c r="C834" s="115"/>
      <c r="D834" s="115"/>
      <c r="E834" s="115"/>
      <c r="F834" s="115"/>
      <c r="G834" s="99"/>
      <c r="H834" s="98"/>
      <c r="I834" s="100"/>
      <c r="J834" s="100"/>
      <c r="K834" s="100"/>
      <c r="L834" s="101"/>
      <c r="M834" s="101"/>
      <c r="N834" s="112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</row>
    <row r="835" spans="1:29" ht="13">
      <c r="A835" s="115"/>
      <c r="B835" s="97"/>
      <c r="C835" s="115"/>
      <c r="D835" s="115"/>
      <c r="E835" s="115"/>
      <c r="F835" s="115"/>
      <c r="G835" s="99"/>
      <c r="H835" s="98"/>
      <c r="I835" s="100"/>
      <c r="J835" s="100"/>
      <c r="K835" s="100"/>
      <c r="L835" s="101"/>
      <c r="M835" s="101"/>
      <c r="N835" s="112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</row>
    <row r="836" spans="1:29" ht="13">
      <c r="A836" s="115"/>
      <c r="B836" s="97"/>
      <c r="C836" s="115"/>
      <c r="D836" s="115"/>
      <c r="E836" s="115"/>
      <c r="F836" s="115"/>
      <c r="G836" s="99"/>
      <c r="H836" s="98"/>
      <c r="I836" s="100"/>
      <c r="J836" s="100"/>
      <c r="K836" s="100"/>
      <c r="L836" s="101"/>
      <c r="M836" s="101"/>
      <c r="N836" s="112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</row>
    <row r="837" spans="1:29" ht="13">
      <c r="A837" s="115"/>
      <c r="B837" s="97"/>
      <c r="C837" s="115"/>
      <c r="D837" s="115"/>
      <c r="E837" s="115"/>
      <c r="F837" s="115"/>
      <c r="G837" s="99"/>
      <c r="H837" s="98"/>
      <c r="I837" s="100"/>
      <c r="J837" s="100"/>
      <c r="K837" s="100"/>
      <c r="L837" s="101"/>
      <c r="M837" s="101"/>
      <c r="N837" s="112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</row>
    <row r="838" spans="1:29" ht="13">
      <c r="A838" s="115"/>
      <c r="B838" s="97"/>
      <c r="C838" s="115"/>
      <c r="D838" s="115"/>
      <c r="E838" s="115"/>
      <c r="F838" s="115"/>
      <c r="G838" s="99"/>
      <c r="H838" s="98"/>
      <c r="I838" s="100"/>
      <c r="J838" s="100"/>
      <c r="K838" s="100"/>
      <c r="L838" s="101"/>
      <c r="M838" s="101"/>
      <c r="N838" s="112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</row>
    <row r="839" spans="1:29" ht="13">
      <c r="A839" s="115"/>
      <c r="B839" s="97"/>
      <c r="C839" s="115"/>
      <c r="D839" s="115"/>
      <c r="E839" s="115"/>
      <c r="F839" s="115"/>
      <c r="G839" s="99"/>
      <c r="H839" s="98"/>
      <c r="I839" s="100"/>
      <c r="J839" s="100"/>
      <c r="K839" s="100"/>
      <c r="L839" s="101"/>
      <c r="M839" s="101"/>
      <c r="N839" s="112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</row>
    <row r="840" spans="1:29" ht="13">
      <c r="A840" s="115"/>
      <c r="B840" s="97"/>
      <c r="C840" s="115"/>
      <c r="D840" s="115"/>
      <c r="E840" s="115"/>
      <c r="F840" s="115"/>
      <c r="G840" s="99"/>
      <c r="H840" s="98"/>
      <c r="I840" s="100"/>
      <c r="J840" s="100"/>
      <c r="K840" s="100"/>
      <c r="L840" s="101"/>
      <c r="M840" s="101"/>
      <c r="N840" s="112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</row>
    <row r="841" spans="1:29" ht="13">
      <c r="A841" s="115"/>
      <c r="B841" s="97"/>
      <c r="C841" s="115"/>
      <c r="D841" s="115"/>
      <c r="E841" s="115"/>
      <c r="F841" s="115"/>
      <c r="G841" s="99"/>
      <c r="H841" s="98"/>
      <c r="I841" s="100"/>
      <c r="J841" s="100"/>
      <c r="K841" s="100"/>
      <c r="L841" s="101"/>
      <c r="M841" s="101"/>
      <c r="N841" s="112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</row>
    <row r="842" spans="1:29" ht="13">
      <c r="A842" s="115"/>
      <c r="B842" s="97"/>
      <c r="C842" s="115"/>
      <c r="D842" s="115"/>
      <c r="E842" s="115"/>
      <c r="F842" s="115"/>
      <c r="G842" s="99"/>
      <c r="H842" s="98"/>
      <c r="I842" s="100"/>
      <c r="J842" s="100"/>
      <c r="K842" s="100"/>
      <c r="L842" s="101"/>
      <c r="M842" s="101"/>
      <c r="N842" s="112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</row>
    <row r="843" spans="1:29" ht="13">
      <c r="A843" s="115"/>
      <c r="B843" s="97"/>
      <c r="C843" s="115"/>
      <c r="D843" s="115"/>
      <c r="E843" s="115"/>
      <c r="F843" s="115"/>
      <c r="G843" s="99"/>
      <c r="H843" s="98"/>
      <c r="I843" s="100"/>
      <c r="J843" s="100"/>
      <c r="K843" s="100"/>
      <c r="L843" s="101"/>
      <c r="M843" s="101"/>
      <c r="N843" s="112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</row>
    <row r="844" spans="1:29" ht="13">
      <c r="A844" s="115"/>
      <c r="B844" s="97"/>
      <c r="C844" s="115"/>
      <c r="D844" s="115"/>
      <c r="E844" s="115"/>
      <c r="F844" s="115"/>
      <c r="G844" s="99"/>
      <c r="H844" s="98"/>
      <c r="I844" s="100"/>
      <c r="J844" s="100"/>
      <c r="K844" s="100"/>
      <c r="L844" s="101"/>
      <c r="M844" s="101"/>
      <c r="N844" s="112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</row>
    <row r="845" spans="1:29" ht="13">
      <c r="A845" s="115"/>
      <c r="B845" s="97"/>
      <c r="C845" s="115"/>
      <c r="D845" s="115"/>
      <c r="E845" s="115"/>
      <c r="F845" s="115"/>
      <c r="G845" s="99"/>
      <c r="H845" s="98"/>
      <c r="I845" s="100"/>
      <c r="J845" s="100"/>
      <c r="K845" s="100"/>
      <c r="L845" s="101"/>
      <c r="M845" s="101"/>
      <c r="N845" s="112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</row>
    <row r="846" spans="1:29" ht="13">
      <c r="A846" s="115"/>
      <c r="B846" s="97"/>
      <c r="C846" s="115"/>
      <c r="D846" s="115"/>
      <c r="E846" s="115"/>
      <c r="F846" s="115"/>
      <c r="G846" s="99"/>
      <c r="H846" s="98"/>
      <c r="I846" s="100"/>
      <c r="J846" s="100"/>
      <c r="K846" s="100"/>
      <c r="L846" s="101"/>
      <c r="M846" s="101"/>
      <c r="N846" s="112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</row>
    <row r="847" spans="1:29" ht="13">
      <c r="A847" s="115"/>
      <c r="B847" s="97"/>
      <c r="C847" s="115"/>
      <c r="D847" s="115"/>
      <c r="E847" s="115"/>
      <c r="F847" s="115"/>
      <c r="G847" s="99"/>
      <c r="H847" s="98"/>
      <c r="I847" s="100"/>
      <c r="J847" s="100"/>
      <c r="K847" s="100"/>
      <c r="L847" s="101"/>
      <c r="M847" s="101"/>
      <c r="N847" s="112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</row>
    <row r="848" spans="1:29" ht="13">
      <c r="A848" s="115"/>
      <c r="B848" s="97"/>
      <c r="C848" s="115"/>
      <c r="D848" s="115"/>
      <c r="E848" s="115"/>
      <c r="F848" s="115"/>
      <c r="G848" s="99"/>
      <c r="H848" s="98"/>
      <c r="I848" s="100"/>
      <c r="J848" s="100"/>
      <c r="K848" s="100"/>
      <c r="L848" s="101"/>
      <c r="M848" s="101"/>
      <c r="N848" s="112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</row>
    <row r="849" spans="1:29" ht="13">
      <c r="A849" s="115"/>
      <c r="B849" s="97"/>
      <c r="C849" s="115"/>
      <c r="D849" s="115"/>
      <c r="E849" s="115"/>
      <c r="F849" s="115"/>
      <c r="G849" s="99"/>
      <c r="H849" s="98"/>
      <c r="I849" s="100"/>
      <c r="J849" s="100"/>
      <c r="K849" s="100"/>
      <c r="L849" s="101"/>
      <c r="M849" s="101"/>
      <c r="N849" s="112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</row>
    <row r="850" spans="1:29" ht="13">
      <c r="A850" s="115"/>
      <c r="B850" s="97"/>
      <c r="C850" s="115"/>
      <c r="D850" s="115"/>
      <c r="E850" s="115"/>
      <c r="F850" s="115"/>
      <c r="G850" s="99"/>
      <c r="H850" s="98"/>
      <c r="I850" s="100"/>
      <c r="J850" s="100"/>
      <c r="K850" s="100"/>
      <c r="L850" s="101"/>
      <c r="M850" s="101"/>
      <c r="N850" s="112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</row>
    <row r="851" spans="1:29" ht="13">
      <c r="A851" s="115"/>
      <c r="B851" s="97"/>
      <c r="C851" s="115"/>
      <c r="D851" s="115"/>
      <c r="E851" s="115"/>
      <c r="F851" s="115"/>
      <c r="G851" s="99"/>
      <c r="H851" s="98"/>
      <c r="I851" s="100"/>
      <c r="J851" s="100"/>
      <c r="K851" s="100"/>
      <c r="L851" s="101"/>
      <c r="M851" s="101"/>
      <c r="N851" s="112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</row>
    <row r="852" spans="1:29" ht="13">
      <c r="A852" s="115"/>
      <c r="B852" s="97"/>
      <c r="C852" s="115"/>
      <c r="D852" s="115"/>
      <c r="E852" s="115"/>
      <c r="F852" s="115"/>
      <c r="G852" s="99"/>
      <c r="H852" s="98"/>
      <c r="I852" s="100"/>
      <c r="J852" s="100"/>
      <c r="K852" s="100"/>
      <c r="L852" s="101"/>
      <c r="M852" s="101"/>
      <c r="N852" s="112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</row>
    <row r="853" spans="1:29" ht="13">
      <c r="A853" s="115"/>
      <c r="B853" s="97"/>
      <c r="C853" s="115"/>
      <c r="D853" s="115"/>
      <c r="E853" s="115"/>
      <c r="F853" s="115"/>
      <c r="G853" s="99"/>
      <c r="H853" s="98"/>
      <c r="I853" s="100"/>
      <c r="J853" s="100"/>
      <c r="K853" s="100"/>
      <c r="L853" s="101"/>
      <c r="M853" s="101"/>
      <c r="N853" s="112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</row>
    <row r="854" spans="1:29" ht="13">
      <c r="A854" s="115"/>
      <c r="B854" s="97"/>
      <c r="C854" s="115"/>
      <c r="D854" s="115"/>
      <c r="E854" s="115"/>
      <c r="F854" s="115"/>
      <c r="G854" s="99"/>
      <c r="H854" s="98"/>
      <c r="I854" s="100"/>
      <c r="J854" s="100"/>
      <c r="K854" s="100"/>
      <c r="L854" s="101"/>
      <c r="M854" s="101"/>
      <c r="N854" s="112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</row>
    <row r="855" spans="1:29" ht="13">
      <c r="A855" s="115"/>
      <c r="B855" s="97"/>
      <c r="C855" s="115"/>
      <c r="D855" s="115"/>
      <c r="E855" s="115"/>
      <c r="F855" s="115"/>
      <c r="G855" s="99"/>
      <c r="H855" s="98"/>
      <c r="I855" s="100"/>
      <c r="J855" s="100"/>
      <c r="K855" s="100"/>
      <c r="L855" s="101"/>
      <c r="M855" s="101"/>
      <c r="N855" s="112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</row>
    <row r="856" spans="1:29" ht="13">
      <c r="A856" s="115"/>
      <c r="B856" s="97"/>
      <c r="C856" s="115"/>
      <c r="D856" s="115"/>
      <c r="E856" s="115"/>
      <c r="F856" s="115"/>
      <c r="G856" s="99"/>
      <c r="H856" s="98"/>
      <c r="I856" s="100"/>
      <c r="J856" s="100"/>
      <c r="K856" s="100"/>
      <c r="L856" s="101"/>
      <c r="M856" s="101"/>
      <c r="N856" s="112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</row>
    <row r="857" spans="1:29" ht="13">
      <c r="A857" s="115"/>
      <c r="B857" s="97"/>
      <c r="C857" s="115"/>
      <c r="D857" s="115"/>
      <c r="E857" s="115"/>
      <c r="F857" s="115"/>
      <c r="G857" s="99"/>
      <c r="H857" s="98"/>
      <c r="I857" s="100"/>
      <c r="J857" s="100"/>
      <c r="K857" s="100"/>
      <c r="L857" s="101"/>
      <c r="M857" s="101"/>
      <c r="N857" s="112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</row>
    <row r="858" spans="1:29" ht="13">
      <c r="A858" s="115"/>
      <c r="B858" s="97"/>
      <c r="C858" s="115"/>
      <c r="D858" s="115"/>
      <c r="E858" s="115"/>
      <c r="F858" s="115"/>
      <c r="G858" s="99"/>
      <c r="H858" s="98"/>
      <c r="I858" s="100"/>
      <c r="J858" s="100"/>
      <c r="K858" s="100"/>
      <c r="L858" s="101"/>
      <c r="M858" s="101"/>
      <c r="N858" s="112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</row>
    <row r="859" spans="1:29" ht="13">
      <c r="A859" s="115"/>
      <c r="B859" s="97"/>
      <c r="C859" s="115"/>
      <c r="D859" s="115"/>
      <c r="E859" s="115"/>
      <c r="F859" s="115"/>
      <c r="G859" s="99"/>
      <c r="H859" s="98"/>
      <c r="I859" s="100"/>
      <c r="J859" s="100"/>
      <c r="K859" s="100"/>
      <c r="L859" s="101"/>
      <c r="M859" s="101"/>
      <c r="N859" s="112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</row>
    <row r="860" spans="1:29" ht="13">
      <c r="A860" s="115"/>
      <c r="B860" s="97"/>
      <c r="C860" s="115"/>
      <c r="D860" s="115"/>
      <c r="E860" s="115"/>
      <c r="F860" s="115"/>
      <c r="G860" s="99"/>
      <c r="H860" s="98"/>
      <c r="I860" s="100"/>
      <c r="J860" s="100"/>
      <c r="K860" s="100"/>
      <c r="L860" s="101"/>
      <c r="M860" s="101"/>
      <c r="N860" s="112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</row>
    <row r="861" spans="1:29" ht="13">
      <c r="A861" s="115"/>
      <c r="B861" s="97"/>
      <c r="C861" s="115"/>
      <c r="D861" s="115"/>
      <c r="E861" s="115"/>
      <c r="F861" s="115"/>
      <c r="G861" s="99"/>
      <c r="H861" s="98"/>
      <c r="I861" s="100"/>
      <c r="J861" s="100"/>
      <c r="K861" s="100"/>
      <c r="L861" s="101"/>
      <c r="M861" s="101"/>
      <c r="N861" s="112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</row>
    <row r="862" spans="1:29" ht="13">
      <c r="A862" s="115"/>
      <c r="B862" s="97"/>
      <c r="C862" s="115"/>
      <c r="D862" s="115"/>
      <c r="E862" s="115"/>
      <c r="F862" s="115"/>
      <c r="G862" s="99"/>
      <c r="H862" s="98"/>
      <c r="I862" s="100"/>
      <c r="J862" s="100"/>
      <c r="K862" s="100"/>
      <c r="L862" s="101"/>
      <c r="M862" s="101"/>
      <c r="N862" s="112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</row>
    <row r="863" spans="1:29" ht="13">
      <c r="A863" s="115"/>
      <c r="B863" s="97"/>
      <c r="C863" s="115"/>
      <c r="D863" s="115"/>
      <c r="E863" s="115"/>
      <c r="F863" s="115"/>
      <c r="G863" s="99"/>
      <c r="H863" s="98"/>
      <c r="I863" s="100"/>
      <c r="J863" s="100"/>
      <c r="K863" s="100"/>
      <c r="L863" s="101"/>
      <c r="M863" s="101"/>
      <c r="N863" s="112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</row>
    <row r="864" spans="1:29" ht="13">
      <c r="A864" s="115"/>
      <c r="B864" s="97"/>
      <c r="C864" s="115"/>
      <c r="D864" s="115"/>
      <c r="E864" s="115"/>
      <c r="F864" s="115"/>
      <c r="G864" s="99"/>
      <c r="H864" s="98"/>
      <c r="I864" s="100"/>
      <c r="J864" s="100"/>
      <c r="K864" s="100"/>
      <c r="L864" s="101"/>
      <c r="M864" s="101"/>
      <c r="N864" s="112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</row>
    <row r="865" spans="1:29" ht="13">
      <c r="A865" s="115"/>
      <c r="B865" s="97"/>
      <c r="C865" s="115"/>
      <c r="D865" s="115"/>
      <c r="E865" s="115"/>
      <c r="F865" s="115"/>
      <c r="G865" s="99"/>
      <c r="H865" s="98"/>
      <c r="I865" s="100"/>
      <c r="J865" s="100"/>
      <c r="K865" s="100"/>
      <c r="L865" s="101"/>
      <c r="M865" s="101"/>
      <c r="N865" s="112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</row>
    <row r="866" spans="1:29" ht="13">
      <c r="A866" s="115"/>
      <c r="B866" s="97"/>
      <c r="C866" s="115"/>
      <c r="D866" s="115"/>
      <c r="E866" s="115"/>
      <c r="F866" s="115"/>
      <c r="G866" s="99"/>
      <c r="H866" s="98"/>
      <c r="I866" s="100"/>
      <c r="J866" s="100"/>
      <c r="K866" s="100"/>
      <c r="L866" s="101"/>
      <c r="M866" s="101"/>
      <c r="N866" s="112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</row>
    <row r="867" spans="1:29" ht="13">
      <c r="A867" s="115"/>
      <c r="B867" s="97"/>
      <c r="C867" s="115"/>
      <c r="D867" s="115"/>
      <c r="E867" s="115"/>
      <c r="F867" s="115"/>
      <c r="G867" s="99"/>
      <c r="H867" s="98"/>
      <c r="I867" s="100"/>
      <c r="J867" s="100"/>
      <c r="K867" s="100"/>
      <c r="L867" s="101"/>
      <c r="M867" s="101"/>
      <c r="N867" s="112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</row>
    <row r="868" spans="1:29" ht="13">
      <c r="A868" s="115"/>
      <c r="B868" s="97"/>
      <c r="C868" s="115"/>
      <c r="D868" s="115"/>
      <c r="E868" s="115"/>
      <c r="F868" s="115"/>
      <c r="G868" s="99"/>
      <c r="H868" s="98"/>
      <c r="I868" s="100"/>
      <c r="J868" s="100"/>
      <c r="K868" s="100"/>
      <c r="L868" s="101"/>
      <c r="M868" s="101"/>
      <c r="N868" s="112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</row>
    <row r="869" spans="1:29" ht="13">
      <c r="A869" s="115"/>
      <c r="B869" s="97"/>
      <c r="C869" s="115"/>
      <c r="D869" s="115"/>
      <c r="E869" s="115"/>
      <c r="F869" s="115"/>
      <c r="G869" s="99"/>
      <c r="H869" s="98"/>
      <c r="I869" s="100"/>
      <c r="J869" s="100"/>
      <c r="K869" s="100"/>
      <c r="L869" s="101"/>
      <c r="M869" s="101"/>
      <c r="N869" s="112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</row>
    <row r="870" spans="1:29" ht="13">
      <c r="A870" s="115"/>
      <c r="B870" s="97"/>
      <c r="C870" s="115"/>
      <c r="D870" s="115"/>
      <c r="E870" s="115"/>
      <c r="F870" s="115"/>
      <c r="G870" s="99"/>
      <c r="H870" s="98"/>
      <c r="I870" s="100"/>
      <c r="J870" s="100"/>
      <c r="K870" s="100"/>
      <c r="L870" s="101"/>
      <c r="M870" s="101"/>
      <c r="N870" s="112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</row>
    <row r="871" spans="1:29" ht="13">
      <c r="A871" s="115"/>
      <c r="B871" s="97"/>
      <c r="C871" s="115"/>
      <c r="D871" s="115"/>
      <c r="E871" s="115"/>
      <c r="F871" s="115"/>
      <c r="G871" s="99"/>
      <c r="H871" s="98"/>
      <c r="I871" s="100"/>
      <c r="J871" s="100"/>
      <c r="K871" s="100"/>
      <c r="L871" s="101"/>
      <c r="M871" s="101"/>
      <c r="N871" s="112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</row>
    <row r="872" spans="1:29" ht="13">
      <c r="A872" s="115"/>
      <c r="B872" s="97"/>
      <c r="C872" s="115"/>
      <c r="D872" s="115"/>
      <c r="E872" s="115"/>
      <c r="F872" s="115"/>
      <c r="G872" s="99"/>
      <c r="H872" s="98"/>
      <c r="I872" s="100"/>
      <c r="J872" s="100"/>
      <c r="K872" s="100"/>
      <c r="L872" s="101"/>
      <c r="M872" s="101"/>
      <c r="N872" s="112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</row>
    <row r="873" spans="1:29" ht="13">
      <c r="A873" s="115"/>
      <c r="B873" s="97"/>
      <c r="C873" s="115"/>
      <c r="D873" s="115"/>
      <c r="E873" s="115"/>
      <c r="F873" s="115"/>
      <c r="G873" s="99"/>
      <c r="H873" s="98"/>
      <c r="I873" s="100"/>
      <c r="J873" s="100"/>
      <c r="K873" s="100"/>
      <c r="L873" s="101"/>
      <c r="M873" s="101"/>
      <c r="N873" s="112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</row>
    <row r="874" spans="1:29" ht="13">
      <c r="A874" s="115"/>
      <c r="B874" s="97"/>
      <c r="C874" s="115"/>
      <c r="D874" s="115"/>
      <c r="E874" s="115"/>
      <c r="F874" s="115"/>
      <c r="G874" s="99"/>
      <c r="H874" s="98"/>
      <c r="I874" s="100"/>
      <c r="J874" s="100"/>
      <c r="K874" s="100"/>
      <c r="L874" s="101"/>
      <c r="M874" s="101"/>
      <c r="N874" s="112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</row>
    <row r="875" spans="1:29" ht="13">
      <c r="A875" s="115"/>
      <c r="B875" s="97"/>
      <c r="C875" s="115"/>
      <c r="D875" s="115"/>
      <c r="E875" s="115"/>
      <c r="F875" s="115"/>
      <c r="G875" s="99"/>
      <c r="H875" s="98"/>
      <c r="I875" s="100"/>
      <c r="J875" s="100"/>
      <c r="K875" s="100"/>
      <c r="L875" s="101"/>
      <c r="M875" s="101"/>
      <c r="N875" s="112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</row>
    <row r="876" spans="1:29" ht="13">
      <c r="A876" s="115"/>
      <c r="B876" s="97"/>
      <c r="C876" s="115"/>
      <c r="D876" s="115"/>
      <c r="E876" s="115"/>
      <c r="F876" s="115"/>
      <c r="G876" s="99"/>
      <c r="H876" s="98"/>
      <c r="I876" s="100"/>
      <c r="J876" s="100"/>
      <c r="K876" s="100"/>
      <c r="L876" s="101"/>
      <c r="M876" s="101"/>
      <c r="N876" s="112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</row>
    <row r="877" spans="1:29" ht="13">
      <c r="A877" s="115"/>
      <c r="B877" s="97"/>
      <c r="C877" s="115"/>
      <c r="D877" s="115"/>
      <c r="E877" s="115"/>
      <c r="F877" s="115"/>
      <c r="G877" s="99"/>
      <c r="H877" s="98"/>
      <c r="I877" s="100"/>
      <c r="J877" s="100"/>
      <c r="K877" s="100"/>
      <c r="L877" s="101"/>
      <c r="M877" s="101"/>
      <c r="N877" s="112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</row>
    <row r="878" spans="1:29" ht="13">
      <c r="A878" s="115"/>
      <c r="B878" s="97"/>
      <c r="C878" s="115"/>
      <c r="D878" s="115"/>
      <c r="E878" s="115"/>
      <c r="F878" s="115"/>
      <c r="G878" s="99"/>
      <c r="H878" s="98"/>
      <c r="I878" s="100"/>
      <c r="J878" s="100"/>
      <c r="K878" s="100"/>
      <c r="L878" s="101"/>
      <c r="M878" s="101"/>
      <c r="N878" s="112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</row>
    <row r="879" spans="1:29" ht="13">
      <c r="A879" s="115"/>
      <c r="B879" s="97"/>
      <c r="C879" s="115"/>
      <c r="D879" s="115"/>
      <c r="E879" s="115"/>
      <c r="F879" s="115"/>
      <c r="G879" s="99"/>
      <c r="H879" s="98"/>
      <c r="I879" s="100"/>
      <c r="J879" s="100"/>
      <c r="K879" s="100"/>
      <c r="L879" s="101"/>
      <c r="M879" s="101"/>
      <c r="N879" s="112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</row>
    <row r="880" spans="1:29" ht="13">
      <c r="A880" s="115"/>
      <c r="B880" s="97"/>
      <c r="C880" s="115"/>
      <c r="D880" s="115"/>
      <c r="E880" s="115"/>
      <c r="F880" s="115"/>
      <c r="G880" s="99"/>
      <c r="H880" s="98"/>
      <c r="I880" s="100"/>
      <c r="J880" s="100"/>
      <c r="K880" s="100"/>
      <c r="L880" s="101"/>
      <c r="M880" s="101"/>
      <c r="N880" s="112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</row>
    <row r="881" spans="1:29" ht="13">
      <c r="A881" s="115"/>
      <c r="B881" s="97"/>
      <c r="C881" s="115"/>
      <c r="D881" s="115"/>
      <c r="E881" s="115"/>
      <c r="F881" s="115"/>
      <c r="G881" s="99"/>
      <c r="H881" s="98"/>
      <c r="I881" s="100"/>
      <c r="J881" s="100"/>
      <c r="K881" s="100"/>
      <c r="L881" s="101"/>
      <c r="M881" s="101"/>
      <c r="N881" s="112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</row>
    <row r="882" spans="1:29" ht="13">
      <c r="A882" s="115"/>
      <c r="B882" s="97"/>
      <c r="C882" s="115"/>
      <c r="D882" s="115"/>
      <c r="E882" s="115"/>
      <c r="F882" s="115"/>
      <c r="G882" s="99"/>
      <c r="H882" s="98"/>
      <c r="I882" s="100"/>
      <c r="J882" s="100"/>
      <c r="K882" s="100"/>
      <c r="L882" s="101"/>
      <c r="M882" s="101"/>
      <c r="N882" s="112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</row>
    <row r="883" spans="1:29" ht="13">
      <c r="A883" s="115"/>
      <c r="B883" s="97"/>
      <c r="C883" s="115"/>
      <c r="D883" s="115"/>
      <c r="E883" s="115"/>
      <c r="F883" s="115"/>
      <c r="G883" s="99"/>
      <c r="H883" s="98"/>
      <c r="I883" s="100"/>
      <c r="J883" s="100"/>
      <c r="K883" s="100"/>
      <c r="L883" s="101"/>
      <c r="M883" s="101"/>
      <c r="N883" s="112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</row>
    <row r="884" spans="1:29" ht="13">
      <c r="A884" s="115"/>
      <c r="B884" s="97"/>
      <c r="C884" s="115"/>
      <c r="D884" s="115"/>
      <c r="E884" s="115"/>
      <c r="F884" s="115"/>
      <c r="G884" s="99"/>
      <c r="H884" s="98"/>
      <c r="I884" s="100"/>
      <c r="J884" s="100"/>
      <c r="K884" s="100"/>
      <c r="L884" s="101"/>
      <c r="M884" s="101"/>
      <c r="N884" s="112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</row>
    <row r="885" spans="1:29" ht="13">
      <c r="A885" s="115"/>
      <c r="B885" s="97"/>
      <c r="C885" s="115"/>
      <c r="D885" s="115"/>
      <c r="E885" s="115"/>
      <c r="F885" s="115"/>
      <c r="G885" s="99"/>
      <c r="H885" s="98"/>
      <c r="I885" s="100"/>
      <c r="J885" s="100"/>
      <c r="K885" s="100"/>
      <c r="L885" s="101"/>
      <c r="M885" s="101"/>
      <c r="N885" s="112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</row>
    <row r="886" spans="1:29" ht="13">
      <c r="A886" s="115"/>
      <c r="B886" s="97"/>
      <c r="C886" s="115"/>
      <c r="D886" s="115"/>
      <c r="E886" s="115"/>
      <c r="F886" s="115"/>
      <c r="G886" s="99"/>
      <c r="H886" s="98"/>
      <c r="I886" s="100"/>
      <c r="J886" s="100"/>
      <c r="K886" s="100"/>
      <c r="L886" s="101"/>
      <c r="M886" s="101"/>
      <c r="N886" s="112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</row>
    <row r="887" spans="1:29" ht="13">
      <c r="A887" s="115"/>
      <c r="B887" s="97"/>
      <c r="C887" s="115"/>
      <c r="D887" s="115"/>
      <c r="E887" s="115"/>
      <c r="F887" s="115"/>
      <c r="G887" s="99"/>
      <c r="H887" s="98"/>
      <c r="I887" s="100"/>
      <c r="J887" s="100"/>
      <c r="K887" s="100"/>
      <c r="L887" s="101"/>
      <c r="M887" s="101"/>
      <c r="N887" s="112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</row>
    <row r="888" spans="1:29" ht="13">
      <c r="A888" s="115"/>
      <c r="B888" s="97"/>
      <c r="C888" s="115"/>
      <c r="D888" s="115"/>
      <c r="E888" s="115"/>
      <c r="F888" s="115"/>
      <c r="G888" s="99"/>
      <c r="H888" s="98"/>
      <c r="I888" s="100"/>
      <c r="J888" s="100"/>
      <c r="K888" s="100"/>
      <c r="L888" s="101"/>
      <c r="M888" s="101"/>
      <c r="N888" s="112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</row>
    <row r="889" spans="1:29" ht="13">
      <c r="A889" s="115"/>
      <c r="B889" s="97"/>
      <c r="C889" s="115"/>
      <c r="D889" s="115"/>
      <c r="E889" s="115"/>
      <c r="F889" s="115"/>
      <c r="G889" s="99"/>
      <c r="H889" s="98"/>
      <c r="I889" s="100"/>
      <c r="J889" s="100"/>
      <c r="K889" s="100"/>
      <c r="L889" s="101"/>
      <c r="M889" s="101"/>
      <c r="N889" s="112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</row>
    <row r="890" spans="1:29" ht="13">
      <c r="A890" s="115"/>
      <c r="B890" s="97"/>
      <c r="C890" s="115"/>
      <c r="D890" s="115"/>
      <c r="E890" s="115"/>
      <c r="F890" s="115"/>
      <c r="G890" s="99"/>
      <c r="H890" s="98"/>
      <c r="I890" s="100"/>
      <c r="J890" s="100"/>
      <c r="K890" s="100"/>
      <c r="L890" s="101"/>
      <c r="M890" s="101"/>
      <c r="N890" s="112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</row>
    <row r="891" spans="1:29" ht="13">
      <c r="A891" s="115"/>
      <c r="B891" s="97"/>
      <c r="C891" s="115"/>
      <c r="D891" s="115"/>
      <c r="E891" s="115"/>
      <c r="F891" s="115"/>
      <c r="G891" s="99"/>
      <c r="H891" s="98"/>
      <c r="I891" s="100"/>
      <c r="J891" s="100"/>
      <c r="K891" s="100"/>
      <c r="L891" s="101"/>
      <c r="M891" s="101"/>
      <c r="N891" s="112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</row>
    <row r="892" spans="1:29" ht="13">
      <c r="A892" s="115"/>
      <c r="B892" s="97"/>
      <c r="C892" s="115"/>
      <c r="D892" s="115"/>
      <c r="E892" s="115"/>
      <c r="F892" s="115"/>
      <c r="G892" s="99"/>
      <c r="H892" s="98"/>
      <c r="I892" s="100"/>
      <c r="J892" s="100"/>
      <c r="K892" s="100"/>
      <c r="L892" s="101"/>
      <c r="M892" s="101"/>
      <c r="N892" s="112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</row>
    <row r="893" spans="1:29" ht="13">
      <c r="A893" s="115"/>
      <c r="B893" s="97"/>
      <c r="C893" s="115"/>
      <c r="D893" s="115"/>
      <c r="E893" s="115"/>
      <c r="F893" s="115"/>
      <c r="G893" s="99"/>
      <c r="H893" s="98"/>
      <c r="I893" s="100"/>
      <c r="J893" s="100"/>
      <c r="K893" s="100"/>
      <c r="L893" s="101"/>
      <c r="M893" s="101"/>
      <c r="N893" s="112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</row>
    <row r="894" spans="1:29" ht="13">
      <c r="A894" s="115"/>
      <c r="B894" s="97"/>
      <c r="C894" s="115"/>
      <c r="D894" s="115"/>
      <c r="E894" s="115"/>
      <c r="F894" s="115"/>
      <c r="G894" s="99"/>
      <c r="H894" s="98"/>
      <c r="I894" s="100"/>
      <c r="J894" s="100"/>
      <c r="K894" s="100"/>
      <c r="L894" s="101"/>
      <c r="M894" s="101"/>
      <c r="N894" s="112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</row>
    <row r="895" spans="1:29" ht="13">
      <c r="A895" s="115"/>
      <c r="B895" s="97"/>
      <c r="C895" s="115"/>
      <c r="D895" s="115"/>
      <c r="E895" s="115"/>
      <c r="F895" s="115"/>
      <c r="G895" s="99"/>
      <c r="H895" s="98"/>
      <c r="I895" s="100"/>
      <c r="J895" s="100"/>
      <c r="K895" s="100"/>
      <c r="L895" s="101"/>
      <c r="M895" s="101"/>
      <c r="N895" s="112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</row>
    <row r="896" spans="1:29" ht="13">
      <c r="A896" s="115"/>
      <c r="B896" s="97"/>
      <c r="C896" s="115"/>
      <c r="D896" s="115"/>
      <c r="E896" s="115"/>
      <c r="F896" s="115"/>
      <c r="G896" s="99"/>
      <c r="H896" s="98"/>
      <c r="I896" s="100"/>
      <c r="J896" s="100"/>
      <c r="K896" s="100"/>
      <c r="L896" s="101"/>
      <c r="M896" s="101"/>
      <c r="N896" s="112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</row>
    <row r="897" spans="1:29" ht="13">
      <c r="A897" s="115"/>
      <c r="B897" s="97"/>
      <c r="C897" s="115"/>
      <c r="D897" s="115"/>
      <c r="E897" s="115"/>
      <c r="F897" s="115"/>
      <c r="G897" s="99"/>
      <c r="H897" s="98"/>
      <c r="I897" s="100"/>
      <c r="J897" s="100"/>
      <c r="K897" s="100"/>
      <c r="L897" s="101"/>
      <c r="M897" s="101"/>
      <c r="N897" s="112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</row>
    <row r="898" spans="1:29" ht="13">
      <c r="A898" s="115"/>
      <c r="B898" s="97"/>
      <c r="C898" s="115"/>
      <c r="D898" s="115"/>
      <c r="E898" s="115"/>
      <c r="F898" s="115"/>
      <c r="G898" s="99"/>
      <c r="H898" s="98"/>
      <c r="I898" s="100"/>
      <c r="J898" s="100"/>
      <c r="K898" s="100"/>
      <c r="L898" s="101"/>
      <c r="M898" s="101"/>
      <c r="N898" s="112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</row>
    <row r="899" spans="1:29" ht="13">
      <c r="A899" s="115"/>
      <c r="B899" s="97"/>
      <c r="C899" s="115"/>
      <c r="D899" s="115"/>
      <c r="E899" s="115"/>
      <c r="F899" s="115"/>
      <c r="G899" s="99"/>
      <c r="H899" s="98"/>
      <c r="I899" s="100"/>
      <c r="J899" s="100"/>
      <c r="K899" s="100"/>
      <c r="L899" s="101"/>
      <c r="M899" s="101"/>
      <c r="N899" s="112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</row>
    <row r="900" spans="1:29" ht="13">
      <c r="A900" s="115"/>
      <c r="B900" s="97"/>
      <c r="C900" s="115"/>
      <c r="D900" s="115"/>
      <c r="E900" s="115"/>
      <c r="F900" s="115"/>
      <c r="G900" s="99"/>
      <c r="H900" s="98"/>
      <c r="I900" s="100"/>
      <c r="J900" s="100"/>
      <c r="K900" s="100"/>
      <c r="L900" s="101"/>
      <c r="M900" s="101"/>
      <c r="N900" s="112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</row>
    <row r="901" spans="1:29" ht="13">
      <c r="A901" s="115"/>
      <c r="B901" s="97"/>
      <c r="C901" s="115"/>
      <c r="D901" s="115"/>
      <c r="E901" s="115"/>
      <c r="F901" s="115"/>
      <c r="G901" s="99"/>
      <c r="H901" s="98"/>
      <c r="I901" s="100"/>
      <c r="J901" s="100"/>
      <c r="K901" s="100"/>
      <c r="L901" s="101"/>
      <c r="M901" s="101"/>
      <c r="N901" s="112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</row>
    <row r="902" spans="1:29" ht="13">
      <c r="A902" s="115"/>
      <c r="B902" s="97"/>
      <c r="C902" s="115"/>
      <c r="D902" s="115"/>
      <c r="E902" s="115"/>
      <c r="F902" s="115"/>
      <c r="G902" s="99"/>
      <c r="H902" s="98"/>
      <c r="I902" s="100"/>
      <c r="J902" s="100"/>
      <c r="K902" s="100"/>
      <c r="L902" s="101"/>
      <c r="M902" s="101"/>
      <c r="N902" s="112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</row>
    <row r="903" spans="1:29" ht="13">
      <c r="A903" s="115"/>
      <c r="B903" s="97"/>
      <c r="C903" s="115"/>
      <c r="D903" s="115"/>
      <c r="E903" s="115"/>
      <c r="F903" s="115"/>
      <c r="G903" s="99"/>
      <c r="H903" s="98"/>
      <c r="I903" s="100"/>
      <c r="J903" s="100"/>
      <c r="K903" s="100"/>
      <c r="L903" s="101"/>
      <c r="M903" s="101"/>
      <c r="N903" s="112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</row>
    <row r="904" spans="1:29" ht="13">
      <c r="A904" s="115"/>
      <c r="B904" s="97"/>
      <c r="C904" s="115"/>
      <c r="D904" s="115"/>
      <c r="E904" s="115"/>
      <c r="F904" s="115"/>
      <c r="G904" s="99"/>
      <c r="H904" s="98"/>
      <c r="I904" s="100"/>
      <c r="J904" s="100"/>
      <c r="K904" s="100"/>
      <c r="L904" s="101"/>
      <c r="M904" s="101"/>
      <c r="N904" s="112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</row>
    <row r="905" spans="1:29" ht="13">
      <c r="A905" s="115"/>
      <c r="B905" s="97"/>
      <c r="C905" s="115"/>
      <c r="D905" s="115"/>
      <c r="E905" s="115"/>
      <c r="F905" s="115"/>
      <c r="G905" s="99"/>
      <c r="H905" s="98"/>
      <c r="I905" s="100"/>
      <c r="J905" s="100"/>
      <c r="K905" s="100"/>
      <c r="L905" s="101"/>
      <c r="M905" s="101"/>
      <c r="N905" s="112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</row>
    <row r="906" spans="1:29" ht="13">
      <c r="A906" s="115"/>
      <c r="B906" s="97"/>
      <c r="C906" s="115"/>
      <c r="D906" s="115"/>
      <c r="E906" s="115"/>
      <c r="F906" s="115"/>
      <c r="G906" s="99"/>
      <c r="H906" s="98"/>
      <c r="I906" s="100"/>
      <c r="J906" s="100"/>
      <c r="K906" s="100"/>
      <c r="L906" s="101"/>
      <c r="M906" s="101"/>
      <c r="N906" s="112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</row>
    <row r="907" spans="1:29" ht="13">
      <c r="A907" s="115"/>
      <c r="B907" s="97"/>
      <c r="C907" s="115"/>
      <c r="D907" s="115"/>
      <c r="E907" s="115"/>
      <c r="F907" s="115"/>
      <c r="G907" s="99"/>
      <c r="H907" s="98"/>
      <c r="I907" s="100"/>
      <c r="J907" s="100"/>
      <c r="K907" s="100"/>
      <c r="L907" s="101"/>
      <c r="M907" s="101"/>
      <c r="N907" s="112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</row>
    <row r="908" spans="1:29" ht="13">
      <c r="A908" s="115"/>
      <c r="B908" s="97"/>
      <c r="C908" s="115"/>
      <c r="D908" s="115"/>
      <c r="E908" s="115"/>
      <c r="F908" s="115"/>
      <c r="G908" s="99"/>
      <c r="H908" s="98"/>
      <c r="I908" s="100"/>
      <c r="J908" s="100"/>
      <c r="K908" s="100"/>
      <c r="L908" s="101"/>
      <c r="M908" s="101"/>
      <c r="N908" s="112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</row>
    <row r="909" spans="1:29" ht="13">
      <c r="A909" s="115"/>
      <c r="B909" s="97"/>
      <c r="C909" s="115"/>
      <c r="D909" s="115"/>
      <c r="E909" s="115"/>
      <c r="F909" s="115"/>
      <c r="G909" s="99"/>
      <c r="H909" s="98"/>
      <c r="I909" s="100"/>
      <c r="J909" s="100"/>
      <c r="K909" s="100"/>
      <c r="L909" s="101"/>
      <c r="M909" s="101"/>
      <c r="N909" s="112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</row>
    <row r="910" spans="1:29" ht="13">
      <c r="A910" s="115"/>
      <c r="B910" s="97"/>
      <c r="C910" s="115"/>
      <c r="D910" s="115"/>
      <c r="E910" s="115"/>
      <c r="F910" s="115"/>
      <c r="G910" s="99"/>
      <c r="H910" s="98"/>
      <c r="I910" s="100"/>
      <c r="J910" s="100"/>
      <c r="K910" s="100"/>
      <c r="L910" s="101"/>
      <c r="M910" s="101"/>
      <c r="N910" s="112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</row>
    <row r="911" spans="1:29" ht="13">
      <c r="A911" s="115"/>
      <c r="B911" s="97"/>
      <c r="C911" s="115"/>
      <c r="D911" s="115"/>
      <c r="E911" s="115"/>
      <c r="F911" s="115"/>
      <c r="G911" s="99"/>
      <c r="H911" s="98"/>
      <c r="I911" s="100"/>
      <c r="J911" s="100"/>
      <c r="K911" s="100"/>
      <c r="L911" s="101"/>
      <c r="M911" s="101"/>
      <c r="N911" s="112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</row>
    <row r="912" spans="1:29" ht="13">
      <c r="A912" s="115"/>
      <c r="B912" s="97"/>
      <c r="C912" s="115"/>
      <c r="D912" s="115"/>
      <c r="E912" s="115"/>
      <c r="F912" s="115"/>
      <c r="G912" s="99"/>
      <c r="H912" s="98"/>
      <c r="I912" s="100"/>
      <c r="J912" s="100"/>
      <c r="K912" s="100"/>
      <c r="L912" s="101"/>
      <c r="M912" s="101"/>
      <c r="N912" s="112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</row>
    <row r="913" spans="1:29" ht="13">
      <c r="A913" s="115"/>
      <c r="B913" s="97"/>
      <c r="C913" s="115"/>
      <c r="D913" s="115"/>
      <c r="E913" s="115"/>
      <c r="F913" s="115"/>
      <c r="G913" s="99"/>
      <c r="H913" s="98"/>
      <c r="I913" s="100"/>
      <c r="J913" s="100"/>
      <c r="K913" s="100"/>
      <c r="L913" s="101"/>
      <c r="M913" s="101"/>
      <c r="N913" s="112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</row>
    <row r="914" spans="1:29" ht="13">
      <c r="A914" s="115"/>
      <c r="B914" s="97"/>
      <c r="C914" s="115"/>
      <c r="D914" s="115"/>
      <c r="E914" s="115"/>
      <c r="F914" s="115"/>
      <c r="G914" s="99"/>
      <c r="H914" s="98"/>
      <c r="I914" s="100"/>
      <c r="J914" s="100"/>
      <c r="K914" s="100"/>
      <c r="L914" s="101"/>
      <c r="M914" s="101"/>
      <c r="N914" s="112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</row>
    <row r="915" spans="1:29" ht="13">
      <c r="A915" s="115"/>
      <c r="B915" s="97"/>
      <c r="C915" s="115"/>
      <c r="D915" s="115"/>
      <c r="E915" s="115"/>
      <c r="F915" s="115"/>
      <c r="G915" s="99"/>
      <c r="H915" s="98"/>
      <c r="I915" s="100"/>
      <c r="J915" s="100"/>
      <c r="K915" s="100"/>
      <c r="L915" s="101"/>
      <c r="M915" s="101"/>
      <c r="N915" s="112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</row>
    <row r="916" spans="1:29" ht="13">
      <c r="A916" s="115"/>
      <c r="B916" s="97"/>
      <c r="C916" s="115"/>
      <c r="D916" s="115"/>
      <c r="E916" s="115"/>
      <c r="F916" s="115"/>
      <c r="G916" s="99"/>
      <c r="H916" s="98"/>
      <c r="I916" s="100"/>
      <c r="J916" s="100"/>
      <c r="K916" s="100"/>
      <c r="L916" s="101"/>
      <c r="M916" s="101"/>
      <c r="N916" s="112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</row>
    <row r="917" spans="1:29" ht="13">
      <c r="A917" s="115"/>
      <c r="B917" s="97"/>
      <c r="C917" s="115"/>
      <c r="D917" s="115"/>
      <c r="E917" s="115"/>
      <c r="F917" s="115"/>
      <c r="G917" s="99"/>
      <c r="H917" s="98"/>
      <c r="I917" s="100"/>
      <c r="J917" s="100"/>
      <c r="K917" s="100"/>
      <c r="L917" s="101"/>
      <c r="M917" s="101"/>
      <c r="N917" s="112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</row>
    <row r="918" spans="1:29" ht="13">
      <c r="A918" s="115"/>
      <c r="B918" s="97"/>
      <c r="C918" s="115"/>
      <c r="D918" s="115"/>
      <c r="E918" s="115"/>
      <c r="F918" s="115"/>
      <c r="G918" s="99"/>
      <c r="H918" s="98"/>
      <c r="I918" s="100"/>
      <c r="J918" s="100"/>
      <c r="K918" s="100"/>
      <c r="L918" s="101"/>
      <c r="M918" s="101"/>
      <c r="N918" s="112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</row>
    <row r="919" spans="1:29" ht="13">
      <c r="A919" s="115"/>
      <c r="B919" s="97"/>
      <c r="C919" s="115"/>
      <c r="D919" s="115"/>
      <c r="E919" s="115"/>
      <c r="F919" s="115"/>
      <c r="G919" s="99"/>
      <c r="H919" s="98"/>
      <c r="I919" s="100"/>
      <c r="J919" s="100"/>
      <c r="K919" s="100"/>
      <c r="L919" s="101"/>
      <c r="M919" s="101"/>
      <c r="N919" s="112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</row>
    <row r="920" spans="1:29" ht="13">
      <c r="A920" s="115"/>
      <c r="B920" s="97"/>
      <c r="C920" s="115"/>
      <c r="D920" s="115"/>
      <c r="E920" s="115"/>
      <c r="F920" s="115"/>
      <c r="G920" s="99"/>
      <c r="H920" s="98"/>
      <c r="I920" s="100"/>
      <c r="J920" s="100"/>
      <c r="K920" s="100"/>
      <c r="L920" s="101"/>
      <c r="M920" s="101"/>
      <c r="N920" s="112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</row>
    <row r="921" spans="1:29" ht="13">
      <c r="A921" s="115"/>
      <c r="B921" s="97"/>
      <c r="C921" s="115"/>
      <c r="D921" s="115"/>
      <c r="E921" s="115"/>
      <c r="F921" s="115"/>
      <c r="G921" s="99"/>
      <c r="H921" s="98"/>
      <c r="I921" s="100"/>
      <c r="J921" s="100"/>
      <c r="K921" s="100"/>
      <c r="L921" s="101"/>
      <c r="M921" s="101"/>
      <c r="N921" s="112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</row>
    <row r="922" spans="1:29" ht="13">
      <c r="A922" s="115"/>
      <c r="B922" s="97"/>
      <c r="C922" s="115"/>
      <c r="D922" s="115"/>
      <c r="E922" s="115"/>
      <c r="F922" s="115"/>
      <c r="G922" s="99"/>
      <c r="H922" s="98"/>
      <c r="I922" s="100"/>
      <c r="J922" s="100"/>
      <c r="K922" s="100"/>
      <c r="L922" s="101"/>
      <c r="M922" s="101"/>
      <c r="N922" s="112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</row>
    <row r="923" spans="1:29" ht="13">
      <c r="A923" s="115"/>
      <c r="B923" s="97"/>
      <c r="C923" s="115"/>
      <c r="D923" s="115"/>
      <c r="E923" s="115"/>
      <c r="F923" s="115"/>
      <c r="G923" s="99"/>
      <c r="H923" s="98"/>
      <c r="I923" s="100"/>
      <c r="J923" s="100"/>
      <c r="K923" s="100"/>
      <c r="L923" s="101"/>
      <c r="M923" s="101"/>
      <c r="N923" s="112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</row>
    <row r="924" spans="1:29" ht="13">
      <c r="A924" s="115"/>
      <c r="B924" s="97"/>
      <c r="C924" s="115"/>
      <c r="D924" s="115"/>
      <c r="E924" s="115"/>
      <c r="F924" s="115"/>
      <c r="G924" s="99"/>
      <c r="H924" s="98"/>
      <c r="I924" s="100"/>
      <c r="J924" s="100"/>
      <c r="K924" s="100"/>
      <c r="L924" s="101"/>
      <c r="M924" s="101"/>
      <c r="N924" s="112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</row>
    <row r="925" spans="1:29" ht="13">
      <c r="A925" s="115"/>
      <c r="B925" s="97"/>
      <c r="C925" s="115"/>
      <c r="D925" s="115"/>
      <c r="E925" s="115"/>
      <c r="F925" s="115"/>
      <c r="G925" s="99"/>
      <c r="H925" s="98"/>
      <c r="I925" s="100"/>
      <c r="J925" s="100"/>
      <c r="K925" s="100"/>
      <c r="L925" s="101"/>
      <c r="M925" s="101"/>
      <c r="N925" s="112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</row>
    <row r="926" spans="1:29" ht="13">
      <c r="A926" s="115"/>
      <c r="B926" s="97"/>
      <c r="C926" s="115"/>
      <c r="D926" s="115"/>
      <c r="E926" s="115"/>
      <c r="F926" s="115"/>
      <c r="G926" s="99"/>
      <c r="H926" s="98"/>
      <c r="I926" s="100"/>
      <c r="J926" s="100"/>
      <c r="K926" s="100"/>
      <c r="L926" s="101"/>
      <c r="M926" s="101"/>
      <c r="N926" s="112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</row>
    <row r="927" spans="1:29" ht="13">
      <c r="A927" s="115"/>
      <c r="B927" s="97"/>
      <c r="C927" s="115"/>
      <c r="D927" s="115"/>
      <c r="E927" s="115"/>
      <c r="F927" s="115"/>
      <c r="G927" s="99"/>
      <c r="H927" s="98"/>
      <c r="I927" s="100"/>
      <c r="J927" s="100"/>
      <c r="K927" s="100"/>
      <c r="L927" s="101"/>
      <c r="M927" s="101"/>
      <c r="N927" s="112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</row>
    <row r="928" spans="1:29" ht="13">
      <c r="A928" s="115"/>
      <c r="B928" s="97"/>
      <c r="C928" s="115"/>
      <c r="D928" s="115"/>
      <c r="E928" s="115"/>
      <c r="F928" s="115"/>
      <c r="G928" s="99"/>
      <c r="H928" s="98"/>
      <c r="I928" s="100"/>
      <c r="J928" s="100"/>
      <c r="K928" s="100"/>
      <c r="L928" s="101"/>
      <c r="M928" s="101"/>
      <c r="N928" s="112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</row>
    <row r="929" spans="1:29" ht="13">
      <c r="A929" s="115"/>
      <c r="B929" s="97"/>
      <c r="C929" s="115"/>
      <c r="D929" s="115"/>
      <c r="E929" s="115"/>
      <c r="F929" s="115"/>
      <c r="G929" s="99"/>
      <c r="H929" s="98"/>
      <c r="I929" s="100"/>
      <c r="J929" s="100"/>
      <c r="K929" s="100"/>
      <c r="L929" s="101"/>
      <c r="M929" s="101"/>
      <c r="N929" s="112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</row>
    <row r="930" spans="1:29" ht="13">
      <c r="A930" s="115"/>
      <c r="B930" s="97"/>
      <c r="C930" s="115"/>
      <c r="D930" s="115"/>
      <c r="E930" s="115"/>
      <c r="F930" s="115"/>
      <c r="G930" s="99"/>
      <c r="H930" s="98"/>
      <c r="I930" s="100"/>
      <c r="J930" s="100"/>
      <c r="K930" s="100"/>
      <c r="L930" s="101"/>
      <c r="M930" s="101"/>
      <c r="N930" s="112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</row>
    <row r="931" spans="1:29" ht="13">
      <c r="A931" s="115"/>
      <c r="B931" s="97"/>
      <c r="C931" s="115"/>
      <c r="D931" s="115"/>
      <c r="E931" s="115"/>
      <c r="F931" s="115"/>
      <c r="G931" s="99"/>
      <c r="H931" s="98"/>
      <c r="I931" s="100"/>
      <c r="J931" s="100"/>
      <c r="K931" s="100"/>
      <c r="L931" s="101"/>
      <c r="M931" s="101"/>
      <c r="N931" s="112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</row>
    <row r="932" spans="1:29" ht="13">
      <c r="A932" s="115"/>
      <c r="B932" s="97"/>
      <c r="C932" s="115"/>
      <c r="D932" s="115"/>
      <c r="E932" s="115"/>
      <c r="F932" s="115"/>
      <c r="G932" s="99"/>
      <c r="H932" s="98"/>
      <c r="I932" s="100"/>
      <c r="J932" s="100"/>
      <c r="K932" s="100"/>
      <c r="L932" s="101"/>
      <c r="M932" s="101"/>
      <c r="N932" s="112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</row>
    <row r="933" spans="1:29" ht="13">
      <c r="A933" s="115"/>
      <c r="B933" s="97"/>
      <c r="C933" s="115"/>
      <c r="D933" s="115"/>
      <c r="E933" s="115"/>
      <c r="F933" s="115"/>
      <c r="G933" s="99"/>
      <c r="H933" s="98"/>
      <c r="I933" s="100"/>
      <c r="J933" s="100"/>
      <c r="K933" s="100"/>
      <c r="L933" s="101"/>
      <c r="M933" s="101"/>
      <c r="N933" s="112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</row>
    <row r="934" spans="1:29" ht="13">
      <c r="A934" s="115"/>
      <c r="B934" s="97"/>
      <c r="C934" s="115"/>
      <c r="D934" s="115"/>
      <c r="E934" s="115"/>
      <c r="F934" s="115"/>
      <c r="G934" s="99"/>
      <c r="H934" s="98"/>
      <c r="I934" s="100"/>
      <c r="J934" s="100"/>
      <c r="K934" s="100"/>
      <c r="L934" s="101"/>
      <c r="M934" s="101"/>
      <c r="N934" s="112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</row>
    <row r="935" spans="1:29" ht="13">
      <c r="A935" s="115"/>
      <c r="B935" s="97"/>
      <c r="C935" s="115"/>
      <c r="D935" s="115"/>
      <c r="E935" s="115"/>
      <c r="F935" s="115"/>
      <c r="G935" s="99"/>
      <c r="H935" s="98"/>
      <c r="I935" s="100"/>
      <c r="J935" s="100"/>
      <c r="K935" s="100"/>
      <c r="L935" s="101"/>
      <c r="M935" s="101"/>
      <c r="N935" s="112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</row>
    <row r="936" spans="1:29" ht="13">
      <c r="A936" s="115"/>
      <c r="B936" s="97"/>
      <c r="C936" s="115"/>
      <c r="D936" s="115"/>
      <c r="E936" s="115"/>
      <c r="F936" s="115"/>
      <c r="G936" s="99"/>
      <c r="H936" s="98"/>
      <c r="I936" s="100"/>
      <c r="J936" s="100"/>
      <c r="K936" s="100"/>
      <c r="L936" s="101"/>
      <c r="M936" s="101"/>
      <c r="N936" s="112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</row>
    <row r="937" spans="1:29" ht="13">
      <c r="A937" s="115"/>
      <c r="B937" s="97"/>
      <c r="C937" s="115"/>
      <c r="D937" s="115"/>
      <c r="E937" s="115"/>
      <c r="F937" s="115"/>
      <c r="G937" s="99"/>
      <c r="H937" s="98"/>
      <c r="I937" s="100"/>
      <c r="J937" s="100"/>
      <c r="K937" s="100"/>
      <c r="L937" s="101"/>
      <c r="M937" s="101"/>
      <c r="N937" s="112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</row>
    <row r="938" spans="1:29" ht="13">
      <c r="A938" s="115"/>
      <c r="B938" s="97"/>
      <c r="C938" s="115"/>
      <c r="D938" s="115"/>
      <c r="E938" s="115"/>
      <c r="F938" s="115"/>
      <c r="G938" s="99"/>
      <c r="H938" s="98"/>
      <c r="I938" s="100"/>
      <c r="J938" s="100"/>
      <c r="K938" s="100"/>
      <c r="L938" s="101"/>
      <c r="M938" s="101"/>
      <c r="N938" s="112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</row>
    <row r="939" spans="1:29" ht="13">
      <c r="A939" s="115"/>
      <c r="B939" s="97"/>
      <c r="C939" s="115"/>
      <c r="D939" s="115"/>
      <c r="E939" s="115"/>
      <c r="F939" s="115"/>
      <c r="G939" s="99"/>
      <c r="H939" s="98"/>
      <c r="I939" s="100"/>
      <c r="J939" s="100"/>
      <c r="K939" s="100"/>
      <c r="L939" s="101"/>
      <c r="M939" s="101"/>
      <c r="N939" s="112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</row>
    <row r="940" spans="1:29" ht="13">
      <c r="A940" s="115"/>
      <c r="B940" s="97"/>
      <c r="C940" s="115"/>
      <c r="D940" s="115"/>
      <c r="E940" s="115"/>
      <c r="F940" s="115"/>
      <c r="G940" s="99"/>
      <c r="H940" s="98"/>
      <c r="I940" s="100"/>
      <c r="J940" s="100"/>
      <c r="K940" s="100"/>
      <c r="L940" s="101"/>
      <c r="M940" s="101"/>
      <c r="N940" s="112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</row>
    <row r="941" spans="1:29" ht="13">
      <c r="A941" s="115"/>
      <c r="B941" s="97"/>
      <c r="C941" s="115"/>
      <c r="D941" s="115"/>
      <c r="E941" s="115"/>
      <c r="F941" s="115"/>
      <c r="G941" s="99"/>
      <c r="H941" s="98"/>
      <c r="I941" s="100"/>
      <c r="J941" s="100"/>
      <c r="K941" s="100"/>
      <c r="L941" s="101"/>
      <c r="M941" s="101"/>
      <c r="N941" s="112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</row>
    <row r="942" spans="1:29" ht="13">
      <c r="A942" s="115"/>
      <c r="B942" s="97"/>
      <c r="C942" s="115"/>
      <c r="D942" s="115"/>
      <c r="E942" s="115"/>
      <c r="F942" s="115"/>
      <c r="G942" s="99"/>
      <c r="H942" s="98"/>
      <c r="I942" s="100"/>
      <c r="J942" s="100"/>
      <c r="K942" s="100"/>
      <c r="L942" s="101"/>
      <c r="M942" s="101"/>
      <c r="N942" s="112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</row>
    <row r="943" spans="1:29" ht="13">
      <c r="A943" s="115"/>
      <c r="B943" s="97"/>
      <c r="C943" s="115"/>
      <c r="D943" s="115"/>
      <c r="E943" s="115"/>
      <c r="F943" s="115"/>
      <c r="G943" s="99"/>
      <c r="H943" s="98"/>
      <c r="I943" s="100"/>
      <c r="J943" s="100"/>
      <c r="K943" s="100"/>
      <c r="L943" s="101"/>
      <c r="M943" s="101"/>
      <c r="N943" s="112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</row>
    <row r="944" spans="1:29" ht="13">
      <c r="A944" s="115"/>
      <c r="B944" s="97"/>
      <c r="C944" s="115"/>
      <c r="D944" s="115"/>
      <c r="E944" s="115"/>
      <c r="F944" s="115"/>
      <c r="G944" s="99"/>
      <c r="H944" s="98"/>
      <c r="I944" s="100"/>
      <c r="J944" s="100"/>
      <c r="K944" s="100"/>
      <c r="L944" s="101"/>
      <c r="M944" s="101"/>
      <c r="N944" s="112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</row>
    <row r="945" spans="1:29" ht="13">
      <c r="A945" s="115"/>
      <c r="B945" s="97"/>
      <c r="C945" s="115"/>
      <c r="D945" s="115"/>
      <c r="E945" s="115"/>
      <c r="F945" s="115"/>
      <c r="G945" s="99"/>
      <c r="H945" s="98"/>
      <c r="I945" s="100"/>
      <c r="J945" s="100"/>
      <c r="K945" s="100"/>
      <c r="L945" s="101"/>
      <c r="M945" s="101"/>
      <c r="N945" s="112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</row>
    <row r="946" spans="1:29" ht="13">
      <c r="A946" s="115"/>
      <c r="B946" s="97"/>
      <c r="C946" s="115"/>
      <c r="D946" s="115"/>
      <c r="E946" s="115"/>
      <c r="F946" s="115"/>
      <c r="G946" s="99"/>
      <c r="H946" s="98"/>
      <c r="I946" s="100"/>
      <c r="J946" s="100"/>
      <c r="K946" s="100"/>
      <c r="L946" s="101"/>
      <c r="M946" s="101"/>
      <c r="N946" s="112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</row>
    <row r="947" spans="1:29" ht="13">
      <c r="A947" s="115"/>
      <c r="B947" s="97"/>
      <c r="C947" s="115"/>
      <c r="D947" s="115"/>
      <c r="E947" s="115"/>
      <c r="F947" s="115"/>
      <c r="G947" s="99"/>
      <c r="H947" s="98"/>
      <c r="I947" s="100"/>
      <c r="J947" s="100"/>
      <c r="K947" s="100"/>
      <c r="L947" s="101"/>
      <c r="M947" s="101"/>
      <c r="N947" s="112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</row>
    <row r="948" spans="1:29" ht="13">
      <c r="A948" s="115"/>
      <c r="B948" s="97"/>
      <c r="C948" s="115"/>
      <c r="D948" s="115"/>
      <c r="E948" s="115"/>
      <c r="F948" s="115"/>
      <c r="G948" s="99"/>
      <c r="H948" s="98"/>
      <c r="I948" s="100"/>
      <c r="J948" s="100"/>
      <c r="K948" s="100"/>
      <c r="L948" s="101"/>
      <c r="M948" s="101"/>
      <c r="N948" s="112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</row>
    <row r="949" spans="1:29" ht="13">
      <c r="A949" s="115"/>
      <c r="B949" s="97"/>
      <c r="C949" s="115"/>
      <c r="D949" s="115"/>
      <c r="E949" s="115"/>
      <c r="F949" s="115"/>
      <c r="G949" s="99"/>
      <c r="H949" s="98"/>
      <c r="I949" s="100"/>
      <c r="J949" s="100"/>
      <c r="K949" s="100"/>
      <c r="L949" s="101"/>
      <c r="M949" s="101"/>
      <c r="N949" s="112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</row>
    <row r="950" spans="1:29" ht="13">
      <c r="A950" s="115"/>
      <c r="B950" s="97"/>
      <c r="C950" s="115"/>
      <c r="D950" s="115"/>
      <c r="E950" s="115"/>
      <c r="F950" s="115"/>
      <c r="G950" s="99"/>
      <c r="H950" s="98"/>
      <c r="I950" s="100"/>
      <c r="J950" s="100"/>
      <c r="K950" s="100"/>
      <c r="L950" s="101"/>
      <c r="M950" s="101"/>
      <c r="N950" s="112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</row>
    <row r="951" spans="1:29" ht="13">
      <c r="A951" s="115"/>
      <c r="B951" s="97"/>
      <c r="C951" s="115"/>
      <c r="D951" s="115"/>
      <c r="E951" s="115"/>
      <c r="F951" s="115"/>
      <c r="G951" s="99"/>
      <c r="H951" s="98"/>
      <c r="I951" s="100"/>
      <c r="J951" s="100"/>
      <c r="K951" s="100"/>
      <c r="L951" s="101"/>
      <c r="M951" s="101"/>
      <c r="N951" s="112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1"/>
      <c r="AC951" s="101"/>
    </row>
    <row r="952" spans="1:29" ht="13">
      <c r="A952" s="115"/>
      <c r="B952" s="97"/>
      <c r="C952" s="115"/>
      <c r="D952" s="115"/>
      <c r="E952" s="115"/>
      <c r="F952" s="115"/>
      <c r="G952" s="99"/>
      <c r="H952" s="98"/>
      <c r="I952" s="100"/>
      <c r="J952" s="100"/>
      <c r="K952" s="100"/>
      <c r="L952" s="101"/>
      <c r="M952" s="101"/>
      <c r="N952" s="112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1"/>
      <c r="AC952" s="101"/>
    </row>
    <row r="953" spans="1:29" ht="13">
      <c r="A953" s="115"/>
      <c r="B953" s="97"/>
      <c r="C953" s="115"/>
      <c r="D953" s="115"/>
      <c r="E953" s="115"/>
      <c r="F953" s="115"/>
      <c r="G953" s="99"/>
      <c r="H953" s="98"/>
      <c r="I953" s="100"/>
      <c r="J953" s="100"/>
      <c r="K953" s="100"/>
      <c r="L953" s="101"/>
      <c r="M953" s="101"/>
      <c r="N953" s="112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</row>
    <row r="954" spans="1:29" ht="13">
      <c r="A954" s="115"/>
      <c r="B954" s="97"/>
      <c r="C954" s="115"/>
      <c r="D954" s="115"/>
      <c r="E954" s="115"/>
      <c r="F954" s="115"/>
      <c r="G954" s="99"/>
      <c r="H954" s="98"/>
      <c r="I954" s="100"/>
      <c r="J954" s="100"/>
      <c r="K954" s="100"/>
      <c r="L954" s="101"/>
      <c r="M954" s="101"/>
      <c r="N954" s="112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  <c r="AA954" s="101"/>
      <c r="AB954" s="101"/>
      <c r="AC954" s="101"/>
    </row>
    <row r="955" spans="1:29" ht="13">
      <c r="A955" s="115"/>
      <c r="B955" s="97"/>
      <c r="C955" s="115"/>
      <c r="D955" s="115"/>
      <c r="E955" s="115"/>
      <c r="F955" s="115"/>
      <c r="G955" s="99"/>
      <c r="H955" s="98"/>
      <c r="I955" s="100"/>
      <c r="J955" s="100"/>
      <c r="K955" s="100"/>
      <c r="L955" s="101"/>
      <c r="M955" s="101"/>
      <c r="N955" s="112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  <c r="AA955" s="101"/>
      <c r="AB955" s="101"/>
      <c r="AC955" s="101"/>
    </row>
    <row r="956" spans="1:29" ht="13">
      <c r="A956" s="115"/>
      <c r="B956" s="97"/>
      <c r="C956" s="115"/>
      <c r="D956" s="115"/>
      <c r="E956" s="115"/>
      <c r="F956" s="115"/>
      <c r="G956" s="99"/>
      <c r="H956" s="98"/>
      <c r="I956" s="100"/>
      <c r="J956" s="100"/>
      <c r="K956" s="100"/>
      <c r="L956" s="101"/>
      <c r="M956" s="101"/>
      <c r="N956" s="112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1"/>
      <c r="AC956" s="101"/>
    </row>
    <row r="957" spans="1:29" ht="13">
      <c r="A957" s="115"/>
      <c r="B957" s="97"/>
      <c r="C957" s="115"/>
      <c r="D957" s="115"/>
      <c r="E957" s="115"/>
      <c r="F957" s="115"/>
      <c r="G957" s="99"/>
      <c r="H957" s="98"/>
      <c r="I957" s="100"/>
      <c r="J957" s="100"/>
      <c r="K957" s="100"/>
      <c r="L957" s="101"/>
      <c r="M957" s="101"/>
      <c r="N957" s="112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  <c r="AA957" s="101"/>
      <c r="AB957" s="101"/>
      <c r="AC957" s="101"/>
    </row>
    <row r="958" spans="1:29" ht="13">
      <c r="A958" s="115"/>
      <c r="B958" s="97"/>
      <c r="C958" s="115"/>
      <c r="D958" s="115"/>
      <c r="E958" s="115"/>
      <c r="F958" s="115"/>
      <c r="G958" s="99"/>
      <c r="H958" s="98"/>
      <c r="I958" s="100"/>
      <c r="J958" s="100"/>
      <c r="K958" s="100"/>
      <c r="L958" s="101"/>
      <c r="M958" s="101"/>
      <c r="N958" s="112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  <c r="AA958" s="101"/>
      <c r="AB958" s="101"/>
      <c r="AC958" s="101"/>
    </row>
    <row r="959" spans="1:29" ht="13">
      <c r="A959" s="115"/>
      <c r="B959" s="97"/>
      <c r="C959" s="115"/>
      <c r="D959" s="115"/>
      <c r="E959" s="115"/>
      <c r="F959" s="115"/>
      <c r="G959" s="99"/>
      <c r="H959" s="98"/>
      <c r="I959" s="100"/>
      <c r="J959" s="100"/>
      <c r="K959" s="100"/>
      <c r="L959" s="101"/>
      <c r="M959" s="101"/>
      <c r="N959" s="112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  <c r="AA959" s="101"/>
      <c r="AB959" s="101"/>
      <c r="AC959" s="101"/>
    </row>
    <row r="960" spans="1:29" ht="13">
      <c r="A960" s="115"/>
      <c r="B960" s="97"/>
      <c r="C960" s="115"/>
      <c r="D960" s="115"/>
      <c r="E960" s="115"/>
      <c r="F960" s="115"/>
      <c r="G960" s="99"/>
      <c r="H960" s="98"/>
      <c r="I960" s="100"/>
      <c r="J960" s="100"/>
      <c r="K960" s="100"/>
      <c r="L960" s="101"/>
      <c r="M960" s="101"/>
      <c r="N960" s="112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  <c r="AA960" s="101"/>
      <c r="AB960" s="101"/>
      <c r="AC960" s="101"/>
    </row>
    <row r="961" spans="1:29" ht="13">
      <c r="A961" s="115"/>
      <c r="B961" s="97"/>
      <c r="C961" s="115"/>
      <c r="D961" s="115"/>
      <c r="E961" s="115"/>
      <c r="F961" s="115"/>
      <c r="G961" s="99"/>
      <c r="H961" s="98"/>
      <c r="I961" s="100"/>
      <c r="J961" s="100"/>
      <c r="K961" s="100"/>
      <c r="L961" s="101"/>
      <c r="M961" s="101"/>
      <c r="N961" s="112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  <c r="AA961" s="101"/>
      <c r="AB961" s="101"/>
      <c r="AC961" s="101"/>
    </row>
    <row r="962" spans="1:29" ht="13">
      <c r="A962" s="115"/>
      <c r="B962" s="97"/>
      <c r="C962" s="115"/>
      <c r="D962" s="115"/>
      <c r="E962" s="115"/>
      <c r="F962" s="115"/>
      <c r="G962" s="99"/>
      <c r="H962" s="98"/>
      <c r="I962" s="100"/>
      <c r="J962" s="100"/>
      <c r="K962" s="100"/>
      <c r="L962" s="101"/>
      <c r="M962" s="101"/>
      <c r="N962" s="112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  <c r="AA962" s="101"/>
      <c r="AB962" s="101"/>
      <c r="AC962" s="101"/>
    </row>
    <row r="963" spans="1:29" ht="13">
      <c r="A963" s="115"/>
      <c r="B963" s="97"/>
      <c r="C963" s="115"/>
      <c r="D963" s="115"/>
      <c r="E963" s="115"/>
      <c r="F963" s="115"/>
      <c r="G963" s="99"/>
      <c r="H963" s="98"/>
      <c r="I963" s="100"/>
      <c r="J963" s="100"/>
      <c r="K963" s="100"/>
      <c r="L963" s="101"/>
      <c r="M963" s="101"/>
      <c r="N963" s="112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  <c r="AA963" s="101"/>
      <c r="AB963" s="101"/>
      <c r="AC963" s="101"/>
    </row>
    <row r="964" spans="1:29" ht="13">
      <c r="A964" s="115"/>
      <c r="B964" s="97"/>
      <c r="C964" s="115"/>
      <c r="D964" s="115"/>
      <c r="E964" s="115"/>
      <c r="F964" s="115"/>
      <c r="G964" s="99"/>
      <c r="H964" s="98"/>
      <c r="I964" s="100"/>
      <c r="J964" s="100"/>
      <c r="K964" s="100"/>
      <c r="L964" s="101"/>
      <c r="M964" s="101"/>
      <c r="N964" s="112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  <c r="AA964" s="101"/>
      <c r="AB964" s="101"/>
      <c r="AC964" s="101"/>
    </row>
    <row r="965" spans="1:29" ht="13">
      <c r="A965" s="115"/>
      <c r="B965" s="97"/>
      <c r="C965" s="115"/>
      <c r="D965" s="115"/>
      <c r="E965" s="115"/>
      <c r="F965" s="115"/>
      <c r="G965" s="99"/>
      <c r="H965" s="98"/>
      <c r="I965" s="100"/>
      <c r="J965" s="100"/>
      <c r="K965" s="100"/>
      <c r="L965" s="101"/>
      <c r="M965" s="101"/>
      <c r="N965" s="112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  <c r="AA965" s="101"/>
      <c r="AB965" s="101"/>
      <c r="AC965" s="101"/>
    </row>
    <row r="966" spans="1:29" ht="13">
      <c r="A966" s="115"/>
      <c r="B966" s="97"/>
      <c r="C966" s="115"/>
      <c r="D966" s="115"/>
      <c r="E966" s="115"/>
      <c r="F966" s="115"/>
      <c r="G966" s="99"/>
      <c r="H966" s="98"/>
      <c r="I966" s="100"/>
      <c r="J966" s="100"/>
      <c r="K966" s="100"/>
      <c r="L966" s="101"/>
      <c r="M966" s="101"/>
      <c r="N966" s="112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  <c r="AA966" s="101"/>
      <c r="AB966" s="101"/>
      <c r="AC966" s="101"/>
    </row>
    <row r="967" spans="1:29" ht="13">
      <c r="A967" s="115"/>
      <c r="B967" s="97"/>
      <c r="C967" s="115"/>
      <c r="D967" s="115"/>
      <c r="E967" s="115"/>
      <c r="F967" s="115"/>
      <c r="G967" s="99"/>
      <c r="H967" s="98"/>
      <c r="I967" s="100"/>
      <c r="J967" s="100"/>
      <c r="K967" s="100"/>
      <c r="L967" s="101"/>
      <c r="M967" s="101"/>
      <c r="N967" s="112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  <c r="AA967" s="101"/>
      <c r="AB967" s="101"/>
      <c r="AC967" s="101"/>
    </row>
    <row r="968" spans="1:29" ht="13">
      <c r="A968" s="115"/>
      <c r="B968" s="97"/>
      <c r="C968" s="115"/>
      <c r="D968" s="115"/>
      <c r="E968" s="115"/>
      <c r="F968" s="115"/>
      <c r="G968" s="99"/>
      <c r="H968" s="98"/>
      <c r="I968" s="100"/>
      <c r="J968" s="100"/>
      <c r="K968" s="100"/>
      <c r="L968" s="101"/>
      <c r="M968" s="101"/>
      <c r="N968" s="112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  <c r="AA968" s="101"/>
      <c r="AB968" s="101"/>
      <c r="AC968" s="101"/>
    </row>
    <row r="969" spans="1:29" ht="13">
      <c r="A969" s="115"/>
      <c r="B969" s="97"/>
      <c r="C969" s="115"/>
      <c r="D969" s="115"/>
      <c r="E969" s="115"/>
      <c r="F969" s="115"/>
      <c r="G969" s="99"/>
      <c r="H969" s="98"/>
      <c r="I969" s="100"/>
      <c r="J969" s="100"/>
      <c r="K969" s="100"/>
      <c r="L969" s="101"/>
      <c r="M969" s="101"/>
      <c r="N969" s="112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  <c r="AA969" s="101"/>
      <c r="AB969" s="101"/>
      <c r="AC969" s="101"/>
    </row>
    <row r="970" spans="1:29" ht="13">
      <c r="A970" s="115"/>
      <c r="B970" s="97"/>
      <c r="C970" s="115"/>
      <c r="D970" s="115"/>
      <c r="E970" s="115"/>
      <c r="F970" s="115"/>
      <c r="G970" s="99"/>
      <c r="H970" s="98"/>
      <c r="I970" s="100"/>
      <c r="J970" s="100"/>
      <c r="K970" s="100"/>
      <c r="L970" s="101"/>
      <c r="M970" s="101"/>
      <c r="N970" s="112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  <c r="AA970" s="101"/>
      <c r="AB970" s="101"/>
      <c r="AC970" s="101"/>
    </row>
    <row r="971" spans="1:29" ht="13">
      <c r="A971" s="115"/>
      <c r="B971" s="97"/>
      <c r="C971" s="115"/>
      <c r="D971" s="115"/>
      <c r="E971" s="115"/>
      <c r="F971" s="115"/>
      <c r="G971" s="99"/>
      <c r="H971" s="98"/>
      <c r="I971" s="100"/>
      <c r="J971" s="100"/>
      <c r="K971" s="100"/>
      <c r="L971" s="101"/>
      <c r="M971" s="101"/>
      <c r="N971" s="112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  <c r="AA971" s="101"/>
      <c r="AB971" s="101"/>
      <c r="AC971" s="101"/>
    </row>
    <row r="972" spans="1:29" ht="13">
      <c r="A972" s="115"/>
      <c r="B972" s="97"/>
      <c r="C972" s="115"/>
      <c r="D972" s="115"/>
      <c r="E972" s="115"/>
      <c r="F972" s="115"/>
      <c r="G972" s="99"/>
      <c r="H972" s="98"/>
      <c r="I972" s="100"/>
      <c r="J972" s="100"/>
      <c r="K972" s="100"/>
      <c r="L972" s="101"/>
      <c r="M972" s="101"/>
      <c r="N972" s="112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  <c r="AA972" s="101"/>
      <c r="AB972" s="101"/>
      <c r="AC972" s="101"/>
    </row>
    <row r="973" spans="1:29" ht="13">
      <c r="A973" s="115"/>
      <c r="B973" s="97"/>
      <c r="C973" s="115"/>
      <c r="D973" s="115"/>
      <c r="E973" s="115"/>
      <c r="F973" s="115"/>
      <c r="G973" s="99"/>
      <c r="H973" s="98"/>
      <c r="I973" s="100"/>
      <c r="J973" s="100"/>
      <c r="K973" s="100"/>
      <c r="L973" s="101"/>
      <c r="M973" s="101"/>
      <c r="N973" s="112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  <c r="AA973" s="101"/>
      <c r="AB973" s="101"/>
      <c r="AC973" s="101"/>
    </row>
    <row r="974" spans="1:29" ht="13">
      <c r="A974" s="115"/>
      <c r="B974" s="97"/>
      <c r="C974" s="115"/>
      <c r="D974" s="115"/>
      <c r="E974" s="115"/>
      <c r="F974" s="115"/>
      <c r="G974" s="99"/>
      <c r="H974" s="98"/>
      <c r="I974" s="100"/>
      <c r="J974" s="100"/>
      <c r="K974" s="100"/>
      <c r="L974" s="101"/>
      <c r="M974" s="101"/>
      <c r="N974" s="112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  <c r="AA974" s="101"/>
      <c r="AB974" s="101"/>
      <c r="AC974" s="101"/>
    </row>
    <row r="975" spans="1:29" ht="13">
      <c r="A975" s="115"/>
      <c r="B975" s="97"/>
      <c r="C975" s="115"/>
      <c r="D975" s="115"/>
      <c r="E975" s="115"/>
      <c r="F975" s="115"/>
      <c r="G975" s="99"/>
      <c r="H975" s="98"/>
      <c r="I975" s="100"/>
      <c r="J975" s="100"/>
      <c r="K975" s="100"/>
      <c r="L975" s="101"/>
      <c r="M975" s="101"/>
      <c r="N975" s="112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  <c r="AA975" s="101"/>
      <c r="AB975" s="101"/>
      <c r="AC975" s="101"/>
    </row>
    <row r="976" spans="1:29" ht="13">
      <c r="A976" s="115"/>
      <c r="B976" s="97"/>
      <c r="C976" s="115"/>
      <c r="D976" s="115"/>
      <c r="E976" s="115"/>
      <c r="F976" s="115"/>
      <c r="G976" s="99"/>
      <c r="H976" s="98"/>
      <c r="I976" s="100"/>
      <c r="J976" s="100"/>
      <c r="K976" s="100"/>
      <c r="L976" s="101"/>
      <c r="M976" s="101"/>
      <c r="N976" s="112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  <c r="AA976" s="101"/>
      <c r="AB976" s="101"/>
      <c r="AC976" s="101"/>
    </row>
    <row r="977" spans="1:29" ht="13">
      <c r="A977" s="115"/>
      <c r="B977" s="97"/>
      <c r="C977" s="115"/>
      <c r="D977" s="115"/>
      <c r="E977" s="115"/>
      <c r="F977" s="115"/>
      <c r="G977" s="99"/>
      <c r="H977" s="98"/>
      <c r="I977" s="100"/>
      <c r="J977" s="100"/>
      <c r="K977" s="100"/>
      <c r="L977" s="101"/>
      <c r="M977" s="101"/>
      <c r="N977" s="112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  <c r="AA977" s="101"/>
      <c r="AB977" s="101"/>
      <c r="AC977" s="101"/>
    </row>
    <row r="978" spans="1:29" ht="13">
      <c r="A978" s="115"/>
      <c r="B978" s="97"/>
      <c r="C978" s="115"/>
      <c r="D978" s="115"/>
      <c r="E978" s="115"/>
      <c r="F978" s="115"/>
      <c r="G978" s="99"/>
      <c r="H978" s="98"/>
      <c r="I978" s="100"/>
      <c r="J978" s="100"/>
      <c r="K978" s="100"/>
      <c r="L978" s="101"/>
      <c r="M978" s="101"/>
      <c r="N978" s="112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  <c r="AA978" s="101"/>
      <c r="AB978" s="101"/>
      <c r="AC978" s="101"/>
    </row>
    <row r="979" spans="1:29" ht="13">
      <c r="A979" s="115"/>
      <c r="B979" s="97"/>
      <c r="C979" s="115"/>
      <c r="D979" s="115"/>
      <c r="E979" s="115"/>
      <c r="F979" s="115"/>
      <c r="G979" s="99"/>
      <c r="H979" s="98"/>
      <c r="I979" s="100"/>
      <c r="J979" s="100"/>
      <c r="K979" s="100"/>
      <c r="L979" s="101"/>
      <c r="M979" s="101"/>
      <c r="N979" s="112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  <c r="AA979" s="101"/>
      <c r="AB979" s="101"/>
      <c r="AC979" s="101"/>
    </row>
    <row r="980" spans="1:29" ht="13">
      <c r="A980" s="115"/>
      <c r="B980" s="97"/>
      <c r="C980" s="115"/>
      <c r="D980" s="115"/>
      <c r="E980" s="115"/>
      <c r="F980" s="115"/>
      <c r="G980" s="99"/>
      <c r="H980" s="98"/>
      <c r="I980" s="100"/>
      <c r="J980" s="100"/>
      <c r="K980" s="100"/>
      <c r="L980" s="101"/>
      <c r="M980" s="101"/>
      <c r="N980" s="112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  <c r="AA980" s="101"/>
      <c r="AB980" s="101"/>
      <c r="AC980" s="101"/>
    </row>
    <row r="981" spans="1:29" ht="13">
      <c r="A981" s="115"/>
      <c r="B981" s="97"/>
      <c r="C981" s="115"/>
      <c r="D981" s="115"/>
      <c r="E981" s="115"/>
      <c r="F981" s="115"/>
      <c r="G981" s="99"/>
      <c r="H981" s="98"/>
      <c r="I981" s="100"/>
      <c r="J981" s="100"/>
      <c r="K981" s="100"/>
      <c r="L981" s="101"/>
      <c r="M981" s="101"/>
      <c r="N981" s="112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  <c r="AA981" s="101"/>
      <c r="AB981" s="101"/>
      <c r="AC981" s="101"/>
    </row>
    <row r="982" spans="1:29" ht="13">
      <c r="A982" s="115"/>
      <c r="B982" s="97"/>
      <c r="C982" s="115"/>
      <c r="D982" s="115"/>
      <c r="E982" s="115"/>
      <c r="F982" s="115"/>
      <c r="G982" s="99"/>
      <c r="H982" s="98"/>
      <c r="I982" s="100"/>
      <c r="J982" s="100"/>
      <c r="K982" s="100"/>
      <c r="L982" s="101"/>
      <c r="M982" s="101"/>
      <c r="N982" s="112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  <c r="AA982" s="101"/>
      <c r="AB982" s="101"/>
      <c r="AC982" s="101"/>
    </row>
    <row r="983" spans="1:29" ht="13">
      <c r="A983" s="115"/>
      <c r="B983" s="97"/>
      <c r="C983" s="115"/>
      <c r="D983" s="115"/>
      <c r="E983" s="115"/>
      <c r="F983" s="115"/>
      <c r="G983" s="99"/>
      <c r="H983" s="98"/>
      <c r="I983" s="100"/>
      <c r="J983" s="100"/>
      <c r="K983" s="100"/>
      <c r="L983" s="101"/>
      <c r="M983" s="101"/>
      <c r="N983" s="112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  <c r="AA983" s="101"/>
      <c r="AB983" s="101"/>
      <c r="AC983" s="101"/>
    </row>
    <row r="984" spans="1:29" ht="13">
      <c r="A984" s="115"/>
      <c r="B984" s="97"/>
      <c r="C984" s="115"/>
      <c r="D984" s="115"/>
      <c r="E984" s="115"/>
      <c r="F984" s="115"/>
      <c r="G984" s="99"/>
      <c r="H984" s="98"/>
      <c r="I984" s="100"/>
      <c r="J984" s="100"/>
      <c r="K984" s="100"/>
      <c r="L984" s="101"/>
      <c r="M984" s="101"/>
      <c r="N984" s="112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  <c r="AA984" s="101"/>
      <c r="AB984" s="101"/>
      <c r="AC984" s="101"/>
    </row>
    <row r="985" spans="1:29" ht="13">
      <c r="A985" s="115"/>
      <c r="B985" s="97"/>
      <c r="C985" s="115"/>
      <c r="D985" s="115"/>
      <c r="E985" s="115"/>
      <c r="F985" s="115"/>
      <c r="G985" s="99"/>
      <c r="H985" s="98"/>
      <c r="I985" s="100"/>
      <c r="J985" s="100"/>
      <c r="K985" s="100"/>
      <c r="L985" s="101"/>
      <c r="M985" s="101"/>
      <c r="N985" s="112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  <c r="AA985" s="101"/>
      <c r="AB985" s="101"/>
      <c r="AC985" s="101"/>
    </row>
    <row r="986" spans="1:29" ht="13">
      <c r="A986" s="115"/>
      <c r="B986" s="97"/>
      <c r="C986" s="115"/>
      <c r="D986" s="115"/>
      <c r="E986" s="115"/>
      <c r="F986" s="115"/>
      <c r="G986" s="99"/>
      <c r="H986" s="98"/>
      <c r="I986" s="100"/>
      <c r="J986" s="100"/>
      <c r="K986" s="100"/>
      <c r="L986" s="101"/>
      <c r="M986" s="101"/>
      <c r="N986" s="112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  <c r="AA986" s="101"/>
      <c r="AB986" s="101"/>
      <c r="AC986" s="101"/>
    </row>
    <row r="987" spans="1:29" ht="13">
      <c r="A987" s="115"/>
      <c r="B987" s="97"/>
      <c r="C987" s="115"/>
      <c r="D987" s="115"/>
      <c r="E987" s="115"/>
      <c r="F987" s="115"/>
      <c r="G987" s="99"/>
      <c r="H987" s="98"/>
      <c r="I987" s="100"/>
      <c r="J987" s="100"/>
      <c r="K987" s="100"/>
      <c r="L987" s="101"/>
      <c r="M987" s="101"/>
      <c r="N987" s="112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  <c r="AA987" s="101"/>
      <c r="AB987" s="101"/>
      <c r="AC987" s="101"/>
    </row>
    <row r="988" spans="1:29" ht="13">
      <c r="A988" s="115"/>
      <c r="B988" s="97"/>
      <c r="C988" s="115"/>
      <c r="D988" s="115"/>
      <c r="E988" s="115"/>
      <c r="F988" s="115"/>
      <c r="G988" s="99"/>
      <c r="H988" s="98"/>
      <c r="I988" s="100"/>
      <c r="J988" s="100"/>
      <c r="K988" s="100"/>
      <c r="L988" s="101"/>
      <c r="M988" s="101"/>
      <c r="N988" s="112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  <c r="AA988" s="101"/>
      <c r="AB988" s="101"/>
      <c r="AC988" s="101"/>
    </row>
    <row r="989" spans="1:29" ht="13">
      <c r="A989" s="115"/>
      <c r="B989" s="97"/>
      <c r="C989" s="115"/>
      <c r="D989" s="115"/>
      <c r="E989" s="115"/>
      <c r="F989" s="115"/>
      <c r="G989" s="99"/>
      <c r="H989" s="98"/>
      <c r="I989" s="100"/>
      <c r="J989" s="100"/>
      <c r="K989" s="100"/>
      <c r="L989" s="101"/>
      <c r="M989" s="101"/>
      <c r="N989" s="112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  <c r="AA989" s="101"/>
      <c r="AB989" s="101"/>
      <c r="AC989" s="101"/>
    </row>
    <row r="990" spans="1:29" ht="13">
      <c r="A990" s="115"/>
      <c r="B990" s="97"/>
      <c r="C990" s="115"/>
      <c r="D990" s="115"/>
      <c r="E990" s="115"/>
      <c r="F990" s="115"/>
      <c r="G990" s="99"/>
      <c r="H990" s="98"/>
      <c r="I990" s="100"/>
      <c r="J990" s="100"/>
      <c r="K990" s="100"/>
      <c r="L990" s="101"/>
      <c r="M990" s="101"/>
      <c r="N990" s="112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  <c r="AA990" s="101"/>
      <c r="AB990" s="101"/>
      <c r="AC990" s="101"/>
    </row>
    <row r="991" spans="1:29" ht="13">
      <c r="A991" s="115"/>
      <c r="B991" s="97"/>
      <c r="C991" s="115"/>
      <c r="D991" s="115"/>
      <c r="E991" s="115"/>
      <c r="F991" s="115"/>
      <c r="G991" s="99"/>
      <c r="H991" s="98"/>
      <c r="I991" s="100"/>
      <c r="J991" s="100"/>
      <c r="K991" s="100"/>
      <c r="L991" s="101"/>
      <c r="M991" s="101"/>
      <c r="N991" s="112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  <c r="AA991" s="101"/>
      <c r="AB991" s="101"/>
      <c r="AC991" s="101"/>
    </row>
    <row r="992" spans="1:29" ht="13">
      <c r="A992" s="115"/>
      <c r="B992" s="97"/>
      <c r="C992" s="115"/>
      <c r="D992" s="115"/>
      <c r="E992" s="115"/>
      <c r="F992" s="115"/>
      <c r="G992" s="99"/>
      <c r="H992" s="98"/>
      <c r="I992" s="100"/>
      <c r="J992" s="100"/>
      <c r="K992" s="100"/>
      <c r="L992" s="101"/>
      <c r="M992" s="101"/>
      <c r="N992" s="112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  <c r="AA992" s="101"/>
      <c r="AB992" s="101"/>
      <c r="AC992" s="101"/>
    </row>
    <row r="993" spans="1:29" ht="13">
      <c r="A993" s="115"/>
      <c r="B993" s="97"/>
      <c r="C993" s="115"/>
      <c r="D993" s="115"/>
      <c r="E993" s="115"/>
      <c r="F993" s="115"/>
      <c r="G993" s="99"/>
      <c r="H993" s="98"/>
      <c r="I993" s="100"/>
      <c r="J993" s="100"/>
      <c r="K993" s="100"/>
      <c r="L993" s="101"/>
      <c r="M993" s="101"/>
      <c r="N993" s="112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  <c r="AA993" s="101"/>
      <c r="AB993" s="101"/>
      <c r="AC993" s="101"/>
    </row>
    <row r="994" spans="1:29" ht="13">
      <c r="A994" s="115"/>
      <c r="B994" s="97"/>
      <c r="C994" s="115"/>
      <c r="D994" s="115"/>
      <c r="E994" s="115"/>
      <c r="F994" s="115"/>
      <c r="G994" s="99"/>
      <c r="H994" s="98"/>
      <c r="I994" s="100"/>
      <c r="J994" s="100"/>
      <c r="K994" s="100"/>
      <c r="L994" s="101"/>
      <c r="M994" s="101"/>
      <c r="N994" s="112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  <c r="AA994" s="101"/>
      <c r="AB994" s="101"/>
      <c r="AC994" s="101"/>
    </row>
    <row r="995" spans="1:29" ht="13">
      <c r="A995" s="115"/>
      <c r="B995" s="97"/>
      <c r="C995" s="115"/>
      <c r="D995" s="115"/>
      <c r="E995" s="115"/>
      <c r="F995" s="115"/>
      <c r="G995" s="99"/>
      <c r="H995" s="98"/>
      <c r="I995" s="100"/>
      <c r="J995" s="100"/>
      <c r="K995" s="100"/>
      <c r="L995" s="101"/>
      <c r="M995" s="101"/>
      <c r="N995" s="112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  <c r="AA995" s="101"/>
      <c r="AB995" s="101"/>
      <c r="AC995" s="101"/>
    </row>
    <row r="996" spans="1:29" ht="13">
      <c r="A996" s="115"/>
      <c r="B996" s="97"/>
      <c r="C996" s="115"/>
      <c r="D996" s="115"/>
      <c r="E996" s="115"/>
      <c r="F996" s="115"/>
      <c r="G996" s="99"/>
      <c r="H996" s="98"/>
      <c r="I996" s="100"/>
      <c r="J996" s="100"/>
      <c r="K996" s="100"/>
      <c r="L996" s="101"/>
      <c r="M996" s="101"/>
      <c r="N996" s="112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  <c r="AA996" s="101"/>
      <c r="AB996" s="101"/>
      <c r="AC996" s="101"/>
    </row>
    <row r="997" spans="1:29" ht="13">
      <c r="A997" s="115"/>
      <c r="B997" s="97"/>
      <c r="C997" s="115"/>
      <c r="D997" s="115"/>
      <c r="E997" s="115"/>
      <c r="F997" s="115"/>
      <c r="G997" s="99"/>
      <c r="H997" s="98"/>
      <c r="I997" s="100"/>
      <c r="J997" s="100"/>
      <c r="K997" s="100"/>
      <c r="L997" s="101"/>
      <c r="M997" s="101"/>
      <c r="N997" s="112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  <c r="AA997" s="101"/>
      <c r="AB997" s="101"/>
      <c r="AC997" s="101"/>
    </row>
    <row r="998" spans="1:29" ht="13">
      <c r="A998" s="115"/>
      <c r="B998" s="97"/>
      <c r="C998" s="115"/>
      <c r="D998" s="115"/>
      <c r="E998" s="115"/>
      <c r="F998" s="115"/>
      <c r="G998" s="99"/>
      <c r="H998" s="98"/>
      <c r="I998" s="100"/>
      <c r="J998" s="100"/>
      <c r="K998" s="100"/>
      <c r="L998" s="101"/>
      <c r="M998" s="101"/>
      <c r="N998" s="112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  <c r="AA998" s="101"/>
      <c r="AB998" s="101"/>
      <c r="AC998" s="101"/>
    </row>
    <row r="999" spans="1:29" ht="13">
      <c r="A999" s="115"/>
      <c r="B999" s="97"/>
      <c r="C999" s="115"/>
      <c r="D999" s="115"/>
      <c r="E999" s="115"/>
      <c r="F999" s="115"/>
      <c r="G999" s="99"/>
      <c r="H999" s="98"/>
      <c r="I999" s="100"/>
      <c r="J999" s="100"/>
      <c r="K999" s="100"/>
      <c r="L999" s="101"/>
      <c r="M999" s="101"/>
      <c r="N999" s="112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  <c r="AA999" s="101"/>
      <c r="AB999" s="101"/>
      <c r="AC999" s="101"/>
    </row>
    <row r="1000" spans="1:29" ht="13">
      <c r="A1000" s="115"/>
      <c r="B1000" s="97"/>
      <c r="C1000" s="115"/>
      <c r="D1000" s="115"/>
      <c r="E1000" s="115"/>
      <c r="F1000" s="115"/>
      <c r="G1000" s="99"/>
      <c r="H1000" s="98"/>
      <c r="I1000" s="100"/>
      <c r="J1000" s="100"/>
      <c r="K1000" s="100"/>
      <c r="L1000" s="101"/>
      <c r="M1000" s="101"/>
      <c r="N1000" s="112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  <c r="AA1000" s="101"/>
      <c r="AB1000" s="101"/>
      <c r="AC1000" s="101"/>
    </row>
    <row r="1001" spans="1:29" ht="13">
      <c r="A1001" s="115"/>
      <c r="B1001" s="97"/>
      <c r="C1001" s="115"/>
      <c r="D1001" s="115"/>
      <c r="E1001" s="115"/>
      <c r="F1001" s="115"/>
      <c r="G1001" s="99"/>
      <c r="H1001" s="98"/>
      <c r="I1001" s="100"/>
      <c r="J1001" s="100"/>
      <c r="K1001" s="100"/>
      <c r="L1001" s="101"/>
      <c r="M1001" s="101"/>
      <c r="N1001" s="112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1"/>
      <c r="Y1001" s="101"/>
      <c r="Z1001" s="101"/>
      <c r="AA1001" s="101"/>
      <c r="AB1001" s="101"/>
      <c r="AC1001" s="101"/>
    </row>
  </sheetData>
  <mergeCells count="1">
    <mergeCell ref="M1:N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Y1000"/>
  <sheetViews>
    <sheetView workbookViewId="0"/>
  </sheetViews>
  <sheetFormatPr defaultColWidth="14.453125" defaultRowHeight="15" customHeight="1"/>
  <cols>
    <col min="1" max="1" width="6" customWidth="1"/>
    <col min="2" max="2" width="21.81640625" customWidth="1"/>
    <col min="3" max="3" width="35.26953125" customWidth="1"/>
    <col min="4" max="4" width="33.453125" customWidth="1"/>
    <col min="5" max="5" width="27.54296875" customWidth="1"/>
  </cols>
  <sheetData>
    <row r="1" spans="1:25" ht="15" customHeight="1">
      <c r="A1" s="342" t="s">
        <v>1755</v>
      </c>
      <c r="B1" s="342" t="s">
        <v>1756</v>
      </c>
      <c r="C1" s="342" t="s">
        <v>1757</v>
      </c>
      <c r="D1" s="342" t="s">
        <v>1758</v>
      </c>
      <c r="E1" s="342" t="s">
        <v>1759</v>
      </c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" customHeight="1">
      <c r="A2" s="3" t="s">
        <v>1760</v>
      </c>
      <c r="B2" s="3" t="s">
        <v>538</v>
      </c>
      <c r="C2" s="3" t="s">
        <v>539</v>
      </c>
      <c r="D2" s="3" t="s">
        <v>1761</v>
      </c>
      <c r="E2" s="1" t="str">
        <f ca="1">CONCATENATE(VLOOKUP(A2,'C'!A:U,10,FALSE),",",VLOOKUP(A2,'C'!A:U,9,FALSE))</f>
        <v>22.28344217,114.1583588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5" customHeight="1">
      <c r="A3" s="3" t="s">
        <v>1762</v>
      </c>
      <c r="B3" s="3" t="s">
        <v>541</v>
      </c>
      <c r="C3" s="3" t="s">
        <v>542</v>
      </c>
      <c r="D3" s="3" t="s">
        <v>1763</v>
      </c>
      <c r="E3" s="1" t="str">
        <f ca="1">CONCATENATE(VLOOKUP(A3,'C'!A:U,10,FALSE),",",VLOOKUP(A3,'C'!A:U,9,FALSE))</f>
        <v>22.28462355,114.1581677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5" customHeight="1">
      <c r="A4" s="3" t="s">
        <v>1764</v>
      </c>
      <c r="B4" s="3" t="s">
        <v>545</v>
      </c>
      <c r="C4" s="3" t="s">
        <v>546</v>
      </c>
      <c r="D4" s="3" t="s">
        <v>1765</v>
      </c>
      <c r="E4" s="1" t="str">
        <f ca="1">CONCATENATE(VLOOKUP(A4,'C'!A:U,10,FALSE),",",VLOOKUP(A4,'C'!A:U,9,FALSE))</f>
        <v>22.28356294,114.1595438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5" customHeight="1">
      <c r="A5" s="3" t="s">
        <v>1766</v>
      </c>
      <c r="B5" s="3" t="s">
        <v>549</v>
      </c>
      <c r="C5" s="3" t="s">
        <v>550</v>
      </c>
      <c r="D5" s="3" t="s">
        <v>1767</v>
      </c>
      <c r="E5" s="1" t="str">
        <f ca="1">CONCATENATE(VLOOKUP(A5,'C'!A:U,10,FALSE),",",VLOOKUP(A5,'C'!A:U,9,FALSE))</f>
        <v>22.28300407,114.1591553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5" customHeight="1">
      <c r="A6" s="3" t="s">
        <v>1281</v>
      </c>
      <c r="B6" s="3" t="s">
        <v>538</v>
      </c>
      <c r="C6" s="3" t="s">
        <v>539</v>
      </c>
      <c r="D6" s="3" t="s">
        <v>1761</v>
      </c>
      <c r="E6" s="1" t="str">
        <f ca="1">CONCATENATE(VLOOKUP(A6,'C'!A:U,10,FALSE),",",VLOOKUP(A6,'C'!A:U,9,FALSE))</f>
        <v>22.28344217,114.1583588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5" customHeight="1">
      <c r="A7" s="3" t="s">
        <v>1280</v>
      </c>
      <c r="B7" s="3" t="s">
        <v>541</v>
      </c>
      <c r="C7" s="3" t="s">
        <v>542</v>
      </c>
      <c r="D7" s="3" t="s">
        <v>1763</v>
      </c>
      <c r="E7" s="1" t="str">
        <f ca="1">CONCATENATE(VLOOKUP(A7,'C'!A:U,10,FALSE),",",VLOOKUP(A7,'C'!A:U,9,FALSE))</f>
        <v>22.28462355,114.1581677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5" customHeight="1">
      <c r="A8" s="3" t="s">
        <v>1283</v>
      </c>
      <c r="B8" s="3" t="s">
        <v>545</v>
      </c>
      <c r="C8" s="3" t="s">
        <v>546</v>
      </c>
      <c r="D8" s="3" t="s">
        <v>1765</v>
      </c>
      <c r="E8" s="1" t="str">
        <f ca="1">CONCATENATE(VLOOKUP(A8,'C'!A:U,10,FALSE),",",VLOOKUP(A8,'C'!A:U,9,FALSE))</f>
        <v>22.28356294,114.1595438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5" customHeight="1">
      <c r="A9" s="3" t="s">
        <v>1282</v>
      </c>
      <c r="B9" s="3" t="s">
        <v>549</v>
      </c>
      <c r="C9" s="3" t="s">
        <v>550</v>
      </c>
      <c r="D9" s="3" t="s">
        <v>1767</v>
      </c>
      <c r="E9" s="1" t="str">
        <f ca="1">CONCATENATE(VLOOKUP(A9,'C'!A:U,10,FALSE),",",VLOOKUP(A9,'C'!A:U,9,FALSE))</f>
        <v>22.28300407,114.1591553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5" customHeight="1">
      <c r="A10" s="3" t="s">
        <v>1552</v>
      </c>
      <c r="B10" s="3" t="s">
        <v>545</v>
      </c>
      <c r="C10" s="3" t="s">
        <v>546</v>
      </c>
      <c r="D10" s="3" t="s">
        <v>1765</v>
      </c>
      <c r="E10" s="1" t="str">
        <f ca="1">CONCATENATE(VLOOKUP(A10,'C'!A:U,10,FALSE),",",VLOOKUP(A10,'C'!A:U,9,FALSE))</f>
        <v>22.28356294,114.1595438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5" customHeight="1">
      <c r="A11" s="3" t="s">
        <v>1554</v>
      </c>
      <c r="B11" s="3" t="s">
        <v>549</v>
      </c>
      <c r="C11" s="3" t="s">
        <v>550</v>
      </c>
      <c r="D11" s="3" t="s">
        <v>1767</v>
      </c>
      <c r="E11" s="1" t="str">
        <f ca="1">CONCATENATE(VLOOKUP(A11,'C'!A:U,10,FALSE),",",VLOOKUP(A11,'C'!A:U,9,FALSE))</f>
        <v>22.28300407,114.1591553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5" customHeight="1">
      <c r="A12" s="3" t="s">
        <v>1555</v>
      </c>
      <c r="B12" s="3" t="s">
        <v>1556</v>
      </c>
      <c r="C12" s="3" t="s">
        <v>1557</v>
      </c>
      <c r="D12" s="3" t="s">
        <v>1761</v>
      </c>
      <c r="E12" s="1" t="str">
        <f ca="1">CONCATENATE(VLOOKUP(A12,'C'!A:U,10,FALSE),",",VLOOKUP(A12,'C'!A:U,9,FALSE))</f>
        <v>22.28389293,114.15824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3">
      <c r="A13" s="3" t="s">
        <v>1559</v>
      </c>
      <c r="B13" s="3" t="s">
        <v>541</v>
      </c>
      <c r="C13" s="3" t="s">
        <v>542</v>
      </c>
      <c r="D13" s="3" t="s">
        <v>1763</v>
      </c>
      <c r="E13" s="1" t="str">
        <f ca="1">CONCATENATE(VLOOKUP(A13,'C'!A:U,10,FALSE),",",VLOOKUP(A13,'C'!A:U,9,FALSE))</f>
        <v>22.28462355,114.1581677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3">
      <c r="A14" s="3" t="s">
        <v>1768</v>
      </c>
      <c r="B14" s="3" t="s">
        <v>552</v>
      </c>
      <c r="C14" s="3" t="s">
        <v>553</v>
      </c>
      <c r="D14" s="3" t="s">
        <v>1769</v>
      </c>
      <c r="E14" s="1" t="str">
        <f ca="1">CONCATENATE(VLOOKUP(A14,'C'!A:U,10,FALSE),",",VLOOKUP(A14,'C'!A:U,9,FALSE))</f>
        <v>22.28255406,114.1577892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3">
      <c r="A15" s="3" t="s">
        <v>1770</v>
      </c>
      <c r="B15" s="1"/>
      <c r="C15" s="3" t="s">
        <v>555</v>
      </c>
      <c r="D15" s="1"/>
      <c r="E15" s="1" t="str">
        <f ca="1">CONCATENATE(VLOOKUP(A15,'C'!A:U,10,FALSE),",",VLOOKUP(A15,'C'!A:U,9,FALSE))</f>
        <v>,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3">
      <c r="A16" s="3" t="s">
        <v>1771</v>
      </c>
      <c r="B16" s="1"/>
      <c r="C16" s="3" t="s">
        <v>555</v>
      </c>
      <c r="D16" s="1"/>
      <c r="E16" s="1" t="str">
        <f ca="1">CONCATENATE(VLOOKUP(A16,'C'!A:U,10,FALSE),",",VLOOKUP(A16,'C'!A:U,9,FALSE))</f>
        <v>,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3">
      <c r="A17" s="3" t="s">
        <v>1772</v>
      </c>
      <c r="B17" s="3" t="s">
        <v>558</v>
      </c>
      <c r="C17" s="3" t="s">
        <v>559</v>
      </c>
      <c r="D17" s="3" t="s">
        <v>1773</v>
      </c>
      <c r="E17" s="1" t="str">
        <f ca="1">CONCATENATE(VLOOKUP(A17,'C'!A:U,10,FALSE),",",VLOOKUP(A17,'C'!A:U,9,FALSE))</f>
        <v>22.28223046,114.1584381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3">
      <c r="A18" s="3" t="s">
        <v>1289</v>
      </c>
      <c r="B18" s="3" t="s">
        <v>1290</v>
      </c>
      <c r="C18" s="3" t="s">
        <v>1291</v>
      </c>
      <c r="D18" s="3" t="s">
        <v>1774</v>
      </c>
      <c r="E18" s="1" t="str">
        <f ca="1">CONCATENATE(VLOOKUP(A18,'C'!A:U,10,FALSE),",",VLOOKUP(A18,'C'!A:U,9,FALSE))</f>
        <v>22.28150732,114.1577702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3">
      <c r="A19" s="3" t="s">
        <v>1293</v>
      </c>
      <c r="B19" s="3" t="s">
        <v>552</v>
      </c>
      <c r="C19" s="3" t="s">
        <v>553</v>
      </c>
      <c r="D19" s="3" t="s">
        <v>1769</v>
      </c>
      <c r="E19" s="1" t="str">
        <f ca="1">CONCATENATE(VLOOKUP(A19,'C'!A:U,10,FALSE),",",VLOOKUP(A19,'C'!A:U,9,FALSE))</f>
        <v>22.28255406,114.1577892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3">
      <c r="A20" s="3" t="s">
        <v>1284</v>
      </c>
      <c r="B20" s="3" t="s">
        <v>558</v>
      </c>
      <c r="C20" s="3" t="s">
        <v>559</v>
      </c>
      <c r="D20" s="3" t="s">
        <v>1773</v>
      </c>
      <c r="E20" s="1" t="str">
        <f ca="1">CONCATENATE(VLOOKUP(A20,'C'!A:U,10,FALSE),",",VLOOKUP(A20,'C'!A:U,9,FALSE))</f>
        <v>22.28223046,114.1584381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3">
      <c r="A21" s="3" t="s">
        <v>1285</v>
      </c>
      <c r="B21" s="3" t="s">
        <v>1286</v>
      </c>
      <c r="C21" s="3" t="s">
        <v>1287</v>
      </c>
      <c r="D21" s="3" t="s">
        <v>1775</v>
      </c>
      <c r="E21" s="1" t="str">
        <f ca="1">CONCATENATE(VLOOKUP(A21,'C'!A:U,10,FALSE),",",VLOOKUP(A21,'C'!A:U,9,FALSE))</f>
        <v>22.28149516,114.1585436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3">
      <c r="A22" s="3" t="s">
        <v>1776</v>
      </c>
      <c r="B22" s="1"/>
      <c r="C22" s="1"/>
      <c r="D22" s="1"/>
      <c r="E22" s="1" t="str">
        <f ca="1">CONCATENATE(VLOOKUP(A22,'C'!A:U,10,FALSE),",",VLOOKUP(A22,'C'!A:U,9,FALSE))</f>
        <v>,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3">
      <c r="A23" s="3" t="s">
        <v>1560</v>
      </c>
      <c r="B23" s="3" t="s">
        <v>558</v>
      </c>
      <c r="C23" s="3" t="s">
        <v>559</v>
      </c>
      <c r="D23" s="3" t="s">
        <v>1773</v>
      </c>
      <c r="E23" s="1" t="str">
        <f ca="1">CONCATENATE(VLOOKUP(A23,'C'!A:U,10,FALSE),",",VLOOKUP(A23,'C'!A:U,9,FALSE))</f>
        <v>22.28223046,114.1584381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3">
      <c r="A24" s="3" t="s">
        <v>1777</v>
      </c>
      <c r="B24" s="1"/>
      <c r="C24" s="1"/>
      <c r="D24" s="1"/>
      <c r="E24" s="1" t="str">
        <f ca="1">CONCATENATE(VLOOKUP(A24,'C'!A:U,10,FALSE),",",VLOOKUP(A24,'C'!A:U,9,FALSE))</f>
        <v>,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3">
      <c r="A25" s="3" t="s">
        <v>1561</v>
      </c>
      <c r="B25" s="3" t="s">
        <v>552</v>
      </c>
      <c r="C25" s="3" t="s">
        <v>553</v>
      </c>
      <c r="D25" s="3" t="s">
        <v>1769</v>
      </c>
      <c r="E25" s="1" t="str">
        <f ca="1">CONCATENATE(VLOOKUP(A25,'C'!A:U,10,FALSE),",",VLOOKUP(A25,'C'!A:U,9,FALSE))</f>
        <v>22.28255406,114.1577892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3">
      <c r="A26" s="3" t="s">
        <v>1778</v>
      </c>
      <c r="B26" s="1"/>
      <c r="C26" s="1"/>
      <c r="D26" s="1"/>
      <c r="E26" s="1" t="str">
        <f ca="1">CONCATENATE(VLOOKUP(A26,'C'!A:U,10,FALSE),",",VLOOKUP(A26,'C'!A:U,9,FALSE))</f>
        <v>,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3">
      <c r="A27" s="3" t="s">
        <v>1779</v>
      </c>
      <c r="B27" s="3" t="s">
        <v>561</v>
      </c>
      <c r="C27" s="3" t="s">
        <v>562</v>
      </c>
      <c r="D27" s="3" t="s">
        <v>1780</v>
      </c>
      <c r="E27" s="1" t="str">
        <f ca="1">CONCATENATE(VLOOKUP(A27,'C'!A:U,10,FALSE),",",VLOOKUP(A27,'C'!A:U,9,FALSE))</f>
        <v>22.28122499,114.1591631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3">
      <c r="A28" s="3" t="s">
        <v>1781</v>
      </c>
      <c r="B28" s="3" t="s">
        <v>564</v>
      </c>
      <c r="C28" s="3" t="s">
        <v>565</v>
      </c>
      <c r="D28" s="3" t="s">
        <v>1782</v>
      </c>
      <c r="E28" s="1" t="str">
        <f ca="1">CONCATENATE(VLOOKUP(A28,'C'!A:U,10,FALSE),",",VLOOKUP(A28,'C'!A:U,9,FALSE))</f>
        <v>22.28193604,114.1593912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3">
      <c r="A29" s="3" t="s">
        <v>1783</v>
      </c>
      <c r="B29" s="1"/>
      <c r="C29" s="3" t="s">
        <v>568</v>
      </c>
      <c r="D29" s="1"/>
      <c r="E29" s="1" t="str">
        <f ca="1">CONCATENATE(VLOOKUP(A29,'C'!A:U,10,FALSE),",",VLOOKUP(A29,'C'!A:U,9,FALSE))</f>
        <v>,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3">
      <c r="A30" s="3" t="s">
        <v>1299</v>
      </c>
      <c r="B30" s="3" t="s">
        <v>1300</v>
      </c>
      <c r="C30" s="3" t="s">
        <v>1301</v>
      </c>
      <c r="D30" s="3" t="s">
        <v>1784</v>
      </c>
      <c r="E30" s="1" t="str">
        <f ca="1">CONCATENATE(VLOOKUP(A30,'C'!A:U,10,FALSE),",",VLOOKUP(A30,'C'!A:U,9,FALSE))</f>
        <v>22.28043036,114.159011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3">
      <c r="A31" s="3" t="s">
        <v>1294</v>
      </c>
      <c r="B31" s="3" t="s">
        <v>1295</v>
      </c>
      <c r="C31" s="3" t="s">
        <v>1296</v>
      </c>
      <c r="D31" s="3" t="s">
        <v>1785</v>
      </c>
      <c r="E31" s="1" t="str">
        <f ca="1">CONCATENATE(VLOOKUP(A31,'C'!A:U,10,FALSE),",",VLOOKUP(A31,'C'!A:U,9,FALSE))</f>
        <v>22.28049694,114.1585176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3">
      <c r="A32" s="3" t="s">
        <v>1786</v>
      </c>
      <c r="B32" s="1"/>
      <c r="C32" s="1"/>
      <c r="D32" s="1"/>
      <c r="E32" s="1" t="str">
        <f ca="1">CONCATENATE(VLOOKUP(A32,'C'!A:U,10,FALSE),",",VLOOKUP(A32,'C'!A:U,9,FALSE))</f>
        <v>,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3">
      <c r="A33" s="3" t="s">
        <v>1298</v>
      </c>
      <c r="B33" s="3" t="s">
        <v>561</v>
      </c>
      <c r="C33" s="3" t="s">
        <v>562</v>
      </c>
      <c r="D33" s="3" t="s">
        <v>1780</v>
      </c>
      <c r="E33" s="1" t="str">
        <f ca="1">CONCATENATE(VLOOKUP(A33,'C'!A:U,10,FALSE),",",VLOOKUP(A33,'C'!A:U,9,FALSE))</f>
        <v>22.28122499,114.1591631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3">
      <c r="A34" s="3" t="s">
        <v>1562</v>
      </c>
      <c r="B34" s="3" t="s">
        <v>1563</v>
      </c>
      <c r="C34" s="3" t="s">
        <v>1564</v>
      </c>
      <c r="D34" s="3" t="s">
        <v>1787</v>
      </c>
      <c r="E34" s="1" t="str">
        <f ca="1">CONCATENATE(VLOOKUP(A34,'C'!A:U,10,FALSE),",",VLOOKUP(A34,'C'!A:U,9,FALSE))</f>
        <v>22.28367579,114.1567764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3">
      <c r="A35" s="3" t="s">
        <v>1566</v>
      </c>
      <c r="B35" s="3" t="s">
        <v>1567</v>
      </c>
      <c r="C35" s="3" t="s">
        <v>1568</v>
      </c>
      <c r="D35" s="3" t="s">
        <v>1788</v>
      </c>
      <c r="E35" s="1" t="str">
        <f ca="1">CONCATENATE(VLOOKUP(A35,'C'!A:U,10,FALSE),",",VLOOKUP(A35,'C'!A:U,9,FALSE))</f>
        <v>22.28345818,114.1568775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3">
      <c r="A36" s="3" t="s">
        <v>1570</v>
      </c>
      <c r="B36" s="3" t="s">
        <v>1571</v>
      </c>
      <c r="C36" s="3" t="s">
        <v>1572</v>
      </c>
      <c r="D36" s="3" t="s">
        <v>1789</v>
      </c>
      <c r="E36" s="1" t="str">
        <f ca="1">CONCATENATE(VLOOKUP(A36,'C'!A:U,10,FALSE),",",VLOOKUP(A36,'C'!A:U,9,FALSE))</f>
        <v>22.28316857,114.1566421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3">
      <c r="A37" s="3" t="s">
        <v>1574</v>
      </c>
      <c r="B37" s="3" t="s">
        <v>1575</v>
      </c>
      <c r="C37" s="3" t="s">
        <v>1576</v>
      </c>
      <c r="D37" s="3" t="s">
        <v>1790</v>
      </c>
      <c r="E37" s="1" t="str">
        <f ca="1">CONCATENATE(VLOOKUP(A37,'C'!A:U,10,FALSE),",",VLOOKUP(A37,'C'!A:U,9,FALSE))</f>
        <v>22.28335748,114.1564544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3">
      <c r="A38" s="3" t="s">
        <v>1791</v>
      </c>
      <c r="B38" s="1"/>
      <c r="C38" s="3" t="s">
        <v>569</v>
      </c>
      <c r="D38" s="1"/>
      <c r="E38" s="1" t="str">
        <f ca="1">CONCATENATE(VLOOKUP(A38,'C'!A:U,10,FALSE),",",VLOOKUP(A38,'C'!A:U,9,FALSE))</f>
        <v>,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3">
      <c r="A39" s="3" t="s">
        <v>1792</v>
      </c>
      <c r="B39" s="1"/>
      <c r="C39" s="3" t="s">
        <v>569</v>
      </c>
      <c r="D39" s="1"/>
      <c r="E39" s="1" t="str">
        <f ca="1">CONCATENATE(VLOOKUP(A39,'C'!A:U,10,FALSE),",",VLOOKUP(A39,'C'!A:U,9,FALSE))</f>
        <v>,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3">
      <c r="A40" s="3" t="s">
        <v>1793</v>
      </c>
      <c r="B40" s="3" t="s">
        <v>570</v>
      </c>
      <c r="C40" s="3" t="s">
        <v>571</v>
      </c>
      <c r="D40" s="3" t="s">
        <v>1794</v>
      </c>
      <c r="E40" s="1" t="str">
        <f ca="1">CONCATENATE(VLOOKUP(A40,'C'!A:U,10,FALSE),",",VLOOKUP(A40,'C'!A:U,9,FALSE))</f>
        <v>22.28140311,114.1614723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3">
      <c r="A41" s="3" t="s">
        <v>1795</v>
      </c>
      <c r="B41" s="3" t="s">
        <v>573</v>
      </c>
      <c r="C41" s="3" t="s">
        <v>574</v>
      </c>
      <c r="D41" s="3" t="s">
        <v>1796</v>
      </c>
      <c r="E41" s="1" t="str">
        <f ca="1">CONCATENATE(VLOOKUP(A41,'C'!A:U,10,FALSE),",",VLOOKUP(A41,'C'!A:U,9,FALSE))</f>
        <v>22.28130955,114.161831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3">
      <c r="A42" s="3" t="s">
        <v>1303</v>
      </c>
      <c r="B42" s="3" t="s">
        <v>1304</v>
      </c>
      <c r="C42" s="3" t="s">
        <v>1305</v>
      </c>
      <c r="D42" s="3" t="s">
        <v>1797</v>
      </c>
      <c r="E42" s="1" t="str">
        <f ca="1">CONCATENATE(VLOOKUP(A42,'C'!A:U,10,FALSE),",",VLOOKUP(A42,'C'!A:U,9,FALSE))</f>
        <v>22.2795425,114.1605385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3">
      <c r="A43" s="3" t="s">
        <v>1159</v>
      </c>
      <c r="B43" s="3" t="s">
        <v>1311</v>
      </c>
      <c r="C43" s="3" t="s">
        <v>1312</v>
      </c>
      <c r="D43" s="3" t="s">
        <v>1798</v>
      </c>
      <c r="E43" s="1" t="str">
        <f ca="1">CONCATENATE(VLOOKUP(A43,'C'!A:U,10,FALSE),",",VLOOKUP(A43,'C'!A:U,9,FALSE))</f>
        <v>22.27944157,114.1596737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3">
      <c r="A44" s="3" t="s">
        <v>1307</v>
      </c>
      <c r="B44" s="3" t="s">
        <v>1308</v>
      </c>
      <c r="C44" s="3" t="s">
        <v>1309</v>
      </c>
      <c r="D44" s="3" t="s">
        <v>1799</v>
      </c>
      <c r="E44" s="1" t="str">
        <f ca="1">CONCATENATE(VLOOKUP(A44,'C'!A:U,10,FALSE),",",VLOOKUP(A44,'C'!A:U,9,FALSE))</f>
        <v>22.2802969,114.1595453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3">
      <c r="A45" s="3" t="s">
        <v>1314</v>
      </c>
      <c r="B45" s="3" t="s">
        <v>1315</v>
      </c>
      <c r="C45" s="3" t="s">
        <v>1316</v>
      </c>
      <c r="D45" s="3" t="s">
        <v>1800</v>
      </c>
      <c r="E45" s="1" t="str">
        <f ca="1">CONCATENATE(VLOOKUP(A45,'C'!A:U,10,FALSE),",",VLOOKUP(A45,'C'!A:U,9,FALSE))</f>
        <v>22.28021008,114.1601375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3">
      <c r="A46" s="3" t="s">
        <v>1578</v>
      </c>
      <c r="B46" s="3" t="s">
        <v>1579</v>
      </c>
      <c r="C46" s="3" t="s">
        <v>1580</v>
      </c>
      <c r="D46" s="3" t="s">
        <v>1801</v>
      </c>
      <c r="E46" s="1" t="str">
        <f ca="1">CONCATENATE(VLOOKUP(A46,'C'!A:U,10,FALSE),",",VLOOKUP(A46,'C'!A:U,9,FALSE))</f>
        <v>22.2848037,114.1557917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3">
      <c r="A47" s="3" t="s">
        <v>1582</v>
      </c>
      <c r="B47" s="3" t="s">
        <v>1583</v>
      </c>
      <c r="C47" s="3" t="s">
        <v>1584</v>
      </c>
      <c r="D47" s="3" t="s">
        <v>1802</v>
      </c>
      <c r="E47" s="1" t="str">
        <f ca="1">CONCATENATE(VLOOKUP(A47,'C'!A:U,10,FALSE),",",VLOOKUP(A47,'C'!A:U,9,FALSE))</f>
        <v>22.28461147,114.1562378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3">
      <c r="A48" s="3" t="s">
        <v>1586</v>
      </c>
      <c r="B48" s="3" t="s">
        <v>1587</v>
      </c>
      <c r="C48" s="3" t="s">
        <v>1588</v>
      </c>
      <c r="D48" s="3" t="s">
        <v>1803</v>
      </c>
      <c r="E48" s="1" t="str">
        <f ca="1">CONCATENATE(VLOOKUP(A48,'C'!A:U,10,FALSE),",",VLOOKUP(A48,'C'!A:U,9,FALSE))</f>
        <v>22.28468077,114.1554176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3">
      <c r="A49" s="3" t="s">
        <v>1590</v>
      </c>
      <c r="B49" s="3" t="s">
        <v>1591</v>
      </c>
      <c r="C49" s="3" t="s">
        <v>1592</v>
      </c>
      <c r="D49" s="3" t="s">
        <v>1804</v>
      </c>
      <c r="E49" s="1" t="str">
        <f ca="1">CONCATENATE(VLOOKUP(A49,'C'!A:U,10,FALSE),",",VLOOKUP(A49,'C'!A:U,9,FALSE))</f>
        <v>22.28488831,114.1552131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3">
      <c r="A50" s="3" t="s">
        <v>1805</v>
      </c>
      <c r="B50" s="1"/>
      <c r="C50" s="3" t="s">
        <v>576</v>
      </c>
      <c r="D50" s="1"/>
      <c r="E50" s="1" t="str">
        <f ca="1">CONCATENATE(VLOOKUP(A50,'C'!A:U,10,FALSE),",",VLOOKUP(A50,'C'!A:U,9,FALSE))</f>
        <v>,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3">
      <c r="A51" s="3" t="s">
        <v>1806</v>
      </c>
      <c r="B51" s="3" t="s">
        <v>577</v>
      </c>
      <c r="C51" s="3" t="s">
        <v>578</v>
      </c>
      <c r="D51" s="3" t="s">
        <v>1807</v>
      </c>
      <c r="E51" s="1" t="str">
        <f ca="1">CONCATENATE(VLOOKUP(A51,'C'!A:U,10,FALSE),",",VLOOKUP(A51,'C'!A:U,9,FALSE))</f>
        <v>22.27927815,114.1615713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3">
      <c r="A52" s="3" t="s">
        <v>1808</v>
      </c>
      <c r="B52" s="1"/>
      <c r="C52" s="3" t="s">
        <v>569</v>
      </c>
      <c r="D52" s="1"/>
      <c r="E52" s="1" t="str">
        <f ca="1">CONCATENATE(VLOOKUP(A52,'C'!A:U,10,FALSE),",",VLOOKUP(A52,'C'!A:U,9,FALSE))</f>
        <v>,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3">
      <c r="A53" s="3" t="s">
        <v>1809</v>
      </c>
      <c r="B53" s="1"/>
      <c r="C53" s="3" t="s">
        <v>580</v>
      </c>
      <c r="D53" s="1"/>
      <c r="E53" s="1" t="str">
        <f ca="1">CONCATENATE(VLOOKUP(A53,'C'!A:U,10,FALSE),",",VLOOKUP(A53,'C'!A:U,9,FALSE))</f>
        <v>,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3">
      <c r="A54" s="3" t="s">
        <v>1318</v>
      </c>
      <c r="B54" s="3" t="s">
        <v>1319</v>
      </c>
      <c r="C54" s="3" t="s">
        <v>1320</v>
      </c>
      <c r="D54" s="3" t="s">
        <v>1797</v>
      </c>
      <c r="E54" s="1" t="str">
        <f ca="1">CONCATENATE(VLOOKUP(A54,'C'!A:U,10,FALSE),",",VLOOKUP(A54,'C'!A:U,9,FALSE))</f>
        <v>22.27918339,114.1600599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3">
      <c r="A55" s="3" t="s">
        <v>1327</v>
      </c>
      <c r="B55" s="3" t="s">
        <v>1304</v>
      </c>
      <c r="C55" s="3" t="s">
        <v>1305</v>
      </c>
      <c r="D55" s="3" t="s">
        <v>1797</v>
      </c>
      <c r="E55" s="1" t="str">
        <f ca="1">CONCATENATE(VLOOKUP(A55,'C'!A:U,10,FALSE),",",VLOOKUP(A55,'C'!A:U,9,FALSE))</f>
        <v>22.2795425,114.1605385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3">
      <c r="A56" s="3" t="s">
        <v>1322</v>
      </c>
      <c r="B56" s="3" t="s">
        <v>577</v>
      </c>
      <c r="C56" s="3" t="s">
        <v>578</v>
      </c>
      <c r="D56" s="3" t="s">
        <v>1807</v>
      </c>
      <c r="E56" s="1" t="str">
        <f ca="1">CONCATENATE(VLOOKUP(A56,'C'!A:U,10,FALSE),",",VLOOKUP(A56,'C'!A:U,9,FALSE))</f>
        <v>22.27927815,114.1615713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3">
      <c r="A57" s="3" t="s">
        <v>1323</v>
      </c>
      <c r="B57" s="3" t="s">
        <v>1324</v>
      </c>
      <c r="C57" s="3" t="s">
        <v>1325</v>
      </c>
      <c r="D57" s="3" t="s">
        <v>1810</v>
      </c>
      <c r="E57" s="1" t="str">
        <f ca="1">CONCATENATE(VLOOKUP(A57,'C'!A:U,10,FALSE),",",VLOOKUP(A57,'C'!A:U,9,FALSE))</f>
        <v>22.27846185,114.1605559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3">
      <c r="A58" s="3" t="s">
        <v>1594</v>
      </c>
      <c r="B58" s="3" t="s">
        <v>1595</v>
      </c>
      <c r="C58" s="3" t="s">
        <v>1399</v>
      </c>
      <c r="D58" s="3" t="s">
        <v>1811</v>
      </c>
      <c r="E58" s="1" t="str">
        <f ca="1">CONCATENATE(VLOOKUP(A58,'C'!A:U,10,FALSE),",",VLOOKUP(A58,'C'!A:U,9,FALSE))</f>
        <v>22.28597768,114.1543969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3">
      <c r="A59" s="3" t="s">
        <v>1812</v>
      </c>
      <c r="B59" s="1"/>
      <c r="C59" s="1"/>
      <c r="D59" s="1"/>
      <c r="E59" s="1" t="str">
        <f ca="1">CONCATENATE(VLOOKUP(A59,'C'!A:U,10,FALSE),",",VLOOKUP(A59,'C'!A:U,9,FALSE))</f>
        <v>,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3">
      <c r="A60" s="3" t="s">
        <v>1597</v>
      </c>
      <c r="B60" s="3" t="s">
        <v>1598</v>
      </c>
      <c r="C60" s="3" t="s">
        <v>1599</v>
      </c>
      <c r="D60" s="3" t="s">
        <v>1813</v>
      </c>
      <c r="E60" s="1" t="str">
        <f ca="1">CONCATENATE(VLOOKUP(A60,'C'!A:U,10,FALSE),",",VLOOKUP(A60,'C'!A:U,9,FALSE))</f>
        <v>22.28541239,114.1535644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3">
      <c r="A61" s="3" t="s">
        <v>1601</v>
      </c>
      <c r="B61" s="3" t="s">
        <v>1602</v>
      </c>
      <c r="C61" s="3" t="s">
        <v>1603</v>
      </c>
      <c r="D61" s="3" t="s">
        <v>1814</v>
      </c>
      <c r="E61" s="1" t="str">
        <f ca="1">CONCATENATE(VLOOKUP(A61,'C'!A:U,10,FALSE),",",VLOOKUP(A61,'C'!A:U,9,FALSE))</f>
        <v>22.28628594,114.153998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3">
      <c r="A62" s="3" t="s">
        <v>1815</v>
      </c>
      <c r="B62" s="3" t="s">
        <v>581</v>
      </c>
      <c r="C62" s="3" t="s">
        <v>582</v>
      </c>
      <c r="D62" s="3" t="s">
        <v>1816</v>
      </c>
      <c r="E62" s="1" t="str">
        <f ca="1">CONCATENATE(VLOOKUP(A62,'C'!A:U,10,FALSE),",",VLOOKUP(A62,'C'!A:U,9,FALSE))</f>
        <v>22.27837692,114.1633293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3">
      <c r="A63" s="3" t="s">
        <v>1817</v>
      </c>
      <c r="B63" s="1"/>
      <c r="C63" s="3" t="s">
        <v>585</v>
      </c>
      <c r="D63" s="1"/>
      <c r="E63" s="1" t="str">
        <f ca="1">CONCATENATE(VLOOKUP(A63,'C'!A:U,10,FALSE),",",VLOOKUP(A63,'C'!A:U,9,FALSE))</f>
        <v>,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3">
      <c r="A64" s="3" t="s">
        <v>1818</v>
      </c>
      <c r="B64" s="3" t="s">
        <v>586</v>
      </c>
      <c r="C64" s="3" t="s">
        <v>587</v>
      </c>
      <c r="D64" s="3" t="s">
        <v>1819</v>
      </c>
      <c r="E64" s="1" t="str">
        <f ca="1">CONCATENATE(VLOOKUP(A64,'C'!A:U,10,FALSE),",",VLOOKUP(A64,'C'!A:U,9,FALSE))</f>
        <v>22.27949003,114.1633165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3">
      <c r="A65" s="3" t="s">
        <v>1820</v>
      </c>
      <c r="B65" s="3" t="s">
        <v>589</v>
      </c>
      <c r="C65" s="3" t="s">
        <v>590</v>
      </c>
      <c r="D65" s="3" t="s">
        <v>1819</v>
      </c>
      <c r="E65" s="1" t="str">
        <f ca="1">CONCATENATE(VLOOKUP(A65,'C'!A:U,10,FALSE),",",VLOOKUP(A65,'C'!A:U,9,FALSE))</f>
        <v>22.27920391,114.1636883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3">
      <c r="A66" s="3" t="s">
        <v>1332</v>
      </c>
      <c r="B66" s="3" t="s">
        <v>1333</v>
      </c>
      <c r="C66" s="3" t="s">
        <v>1334</v>
      </c>
      <c r="D66" s="3" t="s">
        <v>1821</v>
      </c>
      <c r="E66" s="1" t="str">
        <f ca="1">CONCATENATE(VLOOKUP(A66,'C'!A:U,10,FALSE),",",VLOOKUP(A66,'C'!A:U,9,FALSE))</f>
        <v>22.27808604,114.1586315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3">
      <c r="A67" s="3" t="s">
        <v>1822</v>
      </c>
      <c r="B67" s="1"/>
      <c r="C67" s="1"/>
      <c r="D67" s="1"/>
      <c r="E67" s="1" t="str">
        <f ca="1">CONCATENATE(VLOOKUP(A67,'C'!A:U,10,FALSE),",",VLOOKUP(A67,'C'!A:U,9,FALSE))</f>
        <v>,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3">
      <c r="A68" s="3" t="s">
        <v>1328</v>
      </c>
      <c r="B68" s="3" t="s">
        <v>1329</v>
      </c>
      <c r="C68" s="3" t="s">
        <v>1330</v>
      </c>
      <c r="D68" s="3" t="s">
        <v>1823</v>
      </c>
      <c r="E68" s="1" t="str">
        <f ca="1">CONCATENATE(VLOOKUP(A68,'C'!A:U,10,FALSE),",",VLOOKUP(A68,'C'!A:U,9,FALSE))</f>
        <v>22.27769412,114.1591731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3">
      <c r="A69" s="3" t="s">
        <v>1336</v>
      </c>
      <c r="B69" s="3" t="s">
        <v>1337</v>
      </c>
      <c r="C69" s="3" t="s">
        <v>1338</v>
      </c>
      <c r="D69" s="3" t="s">
        <v>1824</v>
      </c>
      <c r="E69" s="1" t="str">
        <f ca="1">CONCATENATE(VLOOKUP(A69,'C'!A:U,10,FALSE),",",VLOOKUP(A69,'C'!A:U,9,FALSE))</f>
        <v>22.2774772,114.1584774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3">
      <c r="A70" s="3" t="s">
        <v>1605</v>
      </c>
      <c r="B70" s="3" t="s">
        <v>1606</v>
      </c>
      <c r="C70" s="3" t="s">
        <v>1607</v>
      </c>
      <c r="D70" s="3" t="s">
        <v>1825</v>
      </c>
      <c r="E70" s="1" t="str">
        <f ca="1">CONCATENATE(VLOOKUP(A70,'C'!A:U,10,FALSE),",",VLOOKUP(A70,'C'!A:U,9,FALSE))</f>
        <v>22.28668622,114.1523403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3">
      <c r="A71" s="3" t="s">
        <v>1609</v>
      </c>
      <c r="B71" s="3" t="s">
        <v>1610</v>
      </c>
      <c r="C71" s="3" t="s">
        <v>1611</v>
      </c>
      <c r="D71" s="3" t="s">
        <v>1826</v>
      </c>
      <c r="E71" s="1" t="str">
        <f ca="1">CONCATENATE(VLOOKUP(A71,'C'!A:U,10,FALSE),",",VLOOKUP(A71,'C'!A:U,9,FALSE))</f>
        <v>22.28628682,114.1523585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3">
      <c r="A72" s="3" t="s">
        <v>1612</v>
      </c>
      <c r="B72" s="3" t="s">
        <v>1613</v>
      </c>
      <c r="C72" s="3" t="s">
        <v>1416</v>
      </c>
      <c r="D72" s="3" t="s">
        <v>1827</v>
      </c>
      <c r="E72" s="1" t="str">
        <f ca="1">CONCATENATE(VLOOKUP(A72,'C'!A:U,10,FALSE),",",VLOOKUP(A72,'C'!A:U,9,FALSE))</f>
        <v>22.28629862,114.1521787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3">
      <c r="A73" s="3" t="s">
        <v>1615</v>
      </c>
      <c r="B73" s="3" t="s">
        <v>1616</v>
      </c>
      <c r="C73" s="3" t="s">
        <v>1617</v>
      </c>
      <c r="D73" s="3" t="s">
        <v>1828</v>
      </c>
      <c r="E73" s="1" t="str">
        <f ca="1">CONCATENATE(VLOOKUP(A73,'C'!A:U,10,FALSE),",",VLOOKUP(A73,'C'!A:U,9,FALSE))</f>
        <v>22.286838,114.1522554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3">
      <c r="A74" s="3" t="s">
        <v>1829</v>
      </c>
      <c r="B74" s="3" t="s">
        <v>592</v>
      </c>
      <c r="C74" s="3" t="s">
        <v>593</v>
      </c>
      <c r="D74" s="3" t="s">
        <v>1830</v>
      </c>
      <c r="E74" s="1" t="str">
        <f ca="1">CONCATENATE(VLOOKUP(A74,'C'!A:U,10,FALSE),",",VLOOKUP(A74,'C'!A:U,9,FALSE))</f>
        <v>22.27774452,114.1654027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3">
      <c r="A75" s="3" t="s">
        <v>1831</v>
      </c>
      <c r="B75" s="1"/>
      <c r="C75" s="3" t="s">
        <v>576</v>
      </c>
      <c r="D75" s="1"/>
      <c r="E75" s="1" t="str">
        <f ca="1">CONCATENATE(VLOOKUP(A75,'C'!A:U,10,FALSE),",",VLOOKUP(A75,'C'!A:U,9,FALSE))</f>
        <v>,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3">
      <c r="A76" s="3" t="s">
        <v>1832</v>
      </c>
      <c r="B76" s="3" t="s">
        <v>595</v>
      </c>
      <c r="C76" s="3" t="s">
        <v>596</v>
      </c>
      <c r="D76" s="3" t="s">
        <v>1833</v>
      </c>
      <c r="E76" s="1" t="str">
        <f ca="1">CONCATENATE(VLOOKUP(A76,'C'!A:U,10,FALSE),",",VLOOKUP(A76,'C'!A:U,9,FALSE))</f>
        <v>22.27856443,114.1652376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3">
      <c r="A77" s="3" t="s">
        <v>1834</v>
      </c>
      <c r="B77" s="1"/>
      <c r="C77" s="3" t="s">
        <v>598</v>
      </c>
      <c r="D77" s="1"/>
      <c r="E77" s="1" t="str">
        <f ca="1">CONCATENATE(VLOOKUP(A77,'C'!A:U,10,FALSE),",",VLOOKUP(A77,'C'!A:U,9,FALSE))</f>
        <v>,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3">
      <c r="A78" s="3" t="s">
        <v>1619</v>
      </c>
      <c r="B78" s="3" t="s">
        <v>1620</v>
      </c>
      <c r="C78" s="3" t="s">
        <v>1621</v>
      </c>
      <c r="D78" s="3" t="s">
        <v>1835</v>
      </c>
      <c r="E78" s="1" t="str">
        <f ca="1">CONCATENATE(VLOOKUP(A78,'C'!A:U,10,FALSE),",",VLOOKUP(A78,'C'!A:U,9,FALSE))</f>
        <v>22.28723668,114.1506678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3">
      <c r="A79" s="3" t="s">
        <v>1623</v>
      </c>
      <c r="B79" s="3" t="s">
        <v>1624</v>
      </c>
      <c r="C79" s="3" t="s">
        <v>1625</v>
      </c>
      <c r="D79" s="3" t="s">
        <v>1836</v>
      </c>
      <c r="E79" s="1" t="str">
        <f ca="1">CONCATENATE(VLOOKUP(A79,'C'!A:U,10,FALSE),",",VLOOKUP(A79,'C'!A:U,9,FALSE))</f>
        <v>22.28665285,114.1506441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3">
      <c r="A80" s="3" t="s">
        <v>1627</v>
      </c>
      <c r="B80" s="3" t="s">
        <v>1628</v>
      </c>
      <c r="C80" s="3" t="s">
        <v>1629</v>
      </c>
      <c r="D80" s="3" t="s">
        <v>1837</v>
      </c>
      <c r="E80" s="1" t="str">
        <f ca="1">CONCATENATE(VLOOKUP(A80,'C'!A:U,10,FALSE),",",VLOOKUP(A80,'C'!A:U,9,FALSE))</f>
        <v>22.28671852,114.1501961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3">
      <c r="A81" s="3" t="s">
        <v>1630</v>
      </c>
      <c r="B81" s="3" t="s">
        <v>1631</v>
      </c>
      <c r="C81" s="3" t="s">
        <v>1632</v>
      </c>
      <c r="D81" s="3" t="s">
        <v>1838</v>
      </c>
      <c r="E81" s="1" t="str">
        <f ca="1">CONCATENATE(VLOOKUP(A81,'C'!A:U,10,FALSE),",",VLOOKUP(A81,'C'!A:U,9,FALSE))</f>
        <v>22.28730986,114.150366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3">
      <c r="A82" s="3" t="s">
        <v>1839</v>
      </c>
      <c r="B82" s="1"/>
      <c r="C82" s="3" t="s">
        <v>599</v>
      </c>
      <c r="D82" s="1"/>
      <c r="E82" s="1" t="str">
        <f ca="1">CONCATENATE(VLOOKUP(A82,'C'!A:U,10,FALSE),",",VLOOKUP(A82,'C'!A:U,9,FALSE))</f>
        <v>,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3">
      <c r="A83" s="3" t="s">
        <v>1840</v>
      </c>
      <c r="B83" s="3" t="s">
        <v>600</v>
      </c>
      <c r="C83" s="3" t="s">
        <v>601</v>
      </c>
      <c r="D83" s="3" t="s">
        <v>1830</v>
      </c>
      <c r="E83" s="1" t="str">
        <f ca="1">CONCATENATE(VLOOKUP(A83,'C'!A:U,10,FALSE),",",VLOOKUP(A83,'C'!A:U,9,FALSE))</f>
        <v>22.27750049,114.1663348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3">
      <c r="A84" s="3" t="s">
        <v>1841</v>
      </c>
      <c r="B84" s="1"/>
      <c r="C84" s="3" t="s">
        <v>599</v>
      </c>
      <c r="D84" s="1"/>
      <c r="E84" s="1" t="str">
        <f ca="1">CONCATENATE(VLOOKUP(A84,'C'!A:U,10,FALSE),",",VLOOKUP(A84,'C'!A:U,9,FALSE))</f>
        <v>,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3">
      <c r="A85" s="3" t="s">
        <v>1842</v>
      </c>
      <c r="B85" s="3" t="s">
        <v>604</v>
      </c>
      <c r="C85" s="3" t="s">
        <v>605</v>
      </c>
      <c r="D85" s="3" t="s">
        <v>1843</v>
      </c>
      <c r="E85" s="1" t="str">
        <f ca="1">CONCATENATE(VLOOKUP(A85,'C'!A:U,10,FALSE),",",VLOOKUP(A85,'C'!A:U,9,FALSE))</f>
        <v>22.2783826,114.167421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3">
      <c r="A86" s="3" t="s">
        <v>1844</v>
      </c>
      <c r="B86" s="1"/>
      <c r="C86" s="1"/>
      <c r="D86" s="1"/>
      <c r="E86" s="1" t="str">
        <f ca="1">CONCATENATE(VLOOKUP(A86,'C'!A:U,10,FALSE),",",VLOOKUP(A86,'C'!A:U,9,FALSE))</f>
        <v>,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3">
      <c r="A87" s="3" t="s">
        <v>1634</v>
      </c>
      <c r="B87" s="3" t="s">
        <v>1635</v>
      </c>
      <c r="C87" s="3" t="s">
        <v>1636</v>
      </c>
      <c r="D87" s="3" t="s">
        <v>1845</v>
      </c>
      <c r="E87" s="1" t="str">
        <f ca="1">CONCATENATE(VLOOKUP(A87,'C'!A:U,10,FALSE),",",VLOOKUP(A87,'C'!A:U,9,FALSE))</f>
        <v>22.28769993,114.1491929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3">
      <c r="A88" s="3" t="s">
        <v>1638</v>
      </c>
      <c r="B88" s="3" t="s">
        <v>1639</v>
      </c>
      <c r="C88" s="3" t="s">
        <v>1640</v>
      </c>
      <c r="D88" s="3" t="s">
        <v>1846</v>
      </c>
      <c r="E88" s="1" t="str">
        <f ca="1">CONCATENATE(VLOOKUP(A88,'C'!A:U,10,FALSE),",",VLOOKUP(A88,'C'!A:U,9,FALSE))</f>
        <v>22.28781455,114.1486856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3">
      <c r="A89" s="3" t="s">
        <v>1847</v>
      </c>
      <c r="B89" s="1"/>
      <c r="C89" s="1"/>
      <c r="D89" s="1"/>
      <c r="E89" s="1" t="str">
        <f ca="1">CONCATENATE(VLOOKUP(A89,'C'!A:U,10,FALSE),",",VLOOKUP(A89,'C'!A:U,9,FALSE))</f>
        <v>,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3">
      <c r="A90" s="3" t="s">
        <v>1848</v>
      </c>
      <c r="B90" s="3" t="s">
        <v>111</v>
      </c>
      <c r="C90" s="3" t="s">
        <v>112</v>
      </c>
      <c r="D90" s="3" t="s">
        <v>112</v>
      </c>
      <c r="E90" s="1" t="str">
        <f ca="1">CONCATENATE(VLOOKUP(A90,'C'!A:U,10,FALSE),",",VLOOKUP(A90,'C'!A:U,9,FALSE))</f>
        <v>22.29587316,114.1725788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3">
      <c r="A91" s="3" t="s">
        <v>1849</v>
      </c>
      <c r="B91" s="3" t="s">
        <v>117</v>
      </c>
      <c r="C91" s="3" t="s">
        <v>118</v>
      </c>
      <c r="D91" s="3" t="s">
        <v>1850</v>
      </c>
      <c r="E91" s="1" t="str">
        <f ca="1">CONCATENATE(VLOOKUP(A91,'C'!A:U,10,FALSE),",",VLOOKUP(A91,'C'!A:U,9,FALSE))</f>
        <v>22.29519842,114.172826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3">
      <c r="A92" s="3" t="s">
        <v>1851</v>
      </c>
      <c r="B92" s="3" t="s">
        <v>122</v>
      </c>
      <c r="C92" s="3" t="s">
        <v>124</v>
      </c>
      <c r="D92" s="3" t="s">
        <v>1852</v>
      </c>
      <c r="E92" s="1" t="str">
        <f ca="1">CONCATENATE(VLOOKUP(A92,'C'!A:U,10,FALSE),",",VLOOKUP(A92,'C'!A:U,9,FALSE))</f>
        <v>22.29522526,114.1717747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3">
      <c r="A93" s="3" t="s">
        <v>1853</v>
      </c>
      <c r="B93" s="3" t="s">
        <v>128</v>
      </c>
      <c r="C93" s="3" t="s">
        <v>129</v>
      </c>
      <c r="D93" s="3" t="s">
        <v>1854</v>
      </c>
      <c r="E93" s="1" t="str">
        <f ca="1">CONCATENATE(VLOOKUP(A93,'C'!A:U,10,FALSE),",",VLOOKUP(A93,'C'!A:U,9,FALSE))</f>
        <v>22.29578211,114.1717514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3">
      <c r="A94" s="3" t="s">
        <v>1855</v>
      </c>
      <c r="B94" s="3" t="s">
        <v>609</v>
      </c>
      <c r="C94" s="3" t="s">
        <v>610</v>
      </c>
      <c r="D94" s="3" t="s">
        <v>1856</v>
      </c>
      <c r="E94" s="1" t="str">
        <f ca="1">CONCATENATE(VLOOKUP(A94,'C'!A:U,10,FALSE),",",VLOOKUP(A94,'C'!A:U,9,FALSE))</f>
        <v>22.27747922,114.1689259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3">
      <c r="A95" s="3" t="s">
        <v>1857</v>
      </c>
      <c r="B95" s="3" t="s">
        <v>613</v>
      </c>
      <c r="C95" s="3" t="s">
        <v>614</v>
      </c>
      <c r="D95" s="3" t="s">
        <v>1858</v>
      </c>
      <c r="E95" s="1" t="str">
        <f ca="1">CONCATENATE(VLOOKUP(A95,'C'!A:U,10,FALSE),",",VLOOKUP(A95,'C'!A:U,9,FALSE))</f>
        <v>22.27757928,114.1686577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3">
      <c r="A96" s="3" t="s">
        <v>1859</v>
      </c>
      <c r="B96" s="3" t="s">
        <v>616</v>
      </c>
      <c r="C96" s="3" t="s">
        <v>617</v>
      </c>
      <c r="D96" s="3" t="s">
        <v>1860</v>
      </c>
      <c r="E96" s="1" t="str">
        <f ca="1">CONCATENATE(VLOOKUP(A96,'C'!A:U,10,FALSE),",",VLOOKUP(A96,'C'!A:U,9,FALSE))</f>
        <v>22.27808157,114.1688911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3">
      <c r="A97" s="3" t="s">
        <v>1861</v>
      </c>
      <c r="B97" s="3" t="s">
        <v>618</v>
      </c>
      <c r="C97" s="3" t="s">
        <v>619</v>
      </c>
      <c r="D97" s="3" t="s">
        <v>1862</v>
      </c>
      <c r="E97" s="1" t="str">
        <f ca="1">CONCATENATE(VLOOKUP(A97,'C'!A:U,10,FALSE),",",VLOOKUP(A97,'C'!A:U,9,FALSE))</f>
        <v>22.27803261,114.169337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3">
      <c r="A98" s="3" t="s">
        <v>1642</v>
      </c>
      <c r="B98" s="3" t="s">
        <v>1643</v>
      </c>
      <c r="C98" s="3" t="s">
        <v>1644</v>
      </c>
      <c r="D98" s="3" t="s">
        <v>1863</v>
      </c>
      <c r="E98" s="1" t="str">
        <f ca="1">CONCATENATE(VLOOKUP(A98,'C'!A:U,10,FALSE),",",VLOOKUP(A98,'C'!A:U,9,FALSE))</f>
        <v>22.28806476,114.1474182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3">
      <c r="A99" s="3" t="s">
        <v>1646</v>
      </c>
      <c r="B99" s="3" t="s">
        <v>1647</v>
      </c>
      <c r="C99" s="3" t="s">
        <v>1648</v>
      </c>
      <c r="D99" s="3" t="s">
        <v>1864</v>
      </c>
      <c r="E99" s="1" t="str">
        <f ca="1">CONCATENATE(VLOOKUP(A99,'C'!A:U,10,FALSE),",",VLOOKUP(A99,'C'!A:U,9,FALSE))</f>
        <v>22.28746133,114.1472944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3">
      <c r="A100" s="3" t="s">
        <v>1650</v>
      </c>
      <c r="B100" s="3" t="s">
        <v>1651</v>
      </c>
      <c r="C100" s="3" t="s">
        <v>1652</v>
      </c>
      <c r="D100" s="3" t="s">
        <v>1865</v>
      </c>
      <c r="E100" s="1" t="str">
        <f ca="1">CONCATENATE(VLOOKUP(A100,'C'!A:U,10,FALSE),",",VLOOKUP(A100,'C'!A:U,9,FALSE))</f>
        <v>22.28747169,114.1469373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3">
      <c r="A101" s="3" t="s">
        <v>1654</v>
      </c>
      <c r="B101" s="3" t="s">
        <v>1655</v>
      </c>
      <c r="C101" s="3" t="s">
        <v>1656</v>
      </c>
      <c r="D101" s="3" t="s">
        <v>1866</v>
      </c>
      <c r="E101" s="1" t="str">
        <f ca="1">CONCATENATE(VLOOKUP(A101,'C'!A:U,10,FALSE),",",VLOOKUP(A101,'C'!A:U,9,FALSE))</f>
        <v>22.28787677,114.1469751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3">
      <c r="A102" s="3" t="s">
        <v>1867</v>
      </c>
      <c r="B102" s="3" t="s">
        <v>132</v>
      </c>
      <c r="C102" s="3" t="s">
        <v>133</v>
      </c>
      <c r="D102" s="3" t="s">
        <v>1868</v>
      </c>
      <c r="E102" s="1" t="str">
        <f ca="1">CONCATENATE(VLOOKUP(A102,'C'!A:U,10,FALSE),",",VLOOKUP(A102,'C'!A:U,9,FALSE))</f>
        <v>22.29681551,114.1727522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3">
      <c r="A103" s="3" t="s">
        <v>1869</v>
      </c>
      <c r="B103" s="3" t="s">
        <v>136</v>
      </c>
      <c r="C103" s="3" t="s">
        <v>137</v>
      </c>
      <c r="D103" s="3" t="s">
        <v>1870</v>
      </c>
      <c r="E103" s="1" t="str">
        <f ca="1">CONCATENATE(VLOOKUP(A103,'C'!A:U,10,FALSE),",",VLOOKUP(A103,'C'!A:U,9,FALSE))</f>
        <v>22.29734715,114.1726141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3">
      <c r="A104" s="3" t="s">
        <v>1871</v>
      </c>
      <c r="B104" s="3" t="s">
        <v>139</v>
      </c>
      <c r="C104" s="3" t="s">
        <v>140</v>
      </c>
      <c r="D104" s="3" t="s">
        <v>1872</v>
      </c>
      <c r="E104" s="1" t="str">
        <f ca="1">CONCATENATE(VLOOKUP(A104,'C'!A:U,10,FALSE),",",VLOOKUP(A104,'C'!A:U,9,FALSE))</f>
        <v>22.29699847,114.1718556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3">
      <c r="A105" s="3" t="s">
        <v>1873</v>
      </c>
      <c r="B105" s="3" t="s">
        <v>143</v>
      </c>
      <c r="C105" s="3" t="s">
        <v>140</v>
      </c>
      <c r="D105" s="3" t="s">
        <v>1872</v>
      </c>
      <c r="E105" s="1" t="str">
        <f ca="1">CONCATENATE(VLOOKUP(A105,'C'!A:U,10,FALSE),",",VLOOKUP(A105,'C'!A:U,9,FALSE))</f>
        <v>22.29699847,114.1718556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3">
      <c r="A106" s="3" t="s">
        <v>1874</v>
      </c>
      <c r="B106" s="3" t="s">
        <v>620</v>
      </c>
      <c r="C106" s="3" t="s">
        <v>621</v>
      </c>
      <c r="D106" s="3" t="s">
        <v>1875</v>
      </c>
      <c r="E106" s="1" t="str">
        <f ca="1">CONCATENATE(VLOOKUP(A106,'C'!A:U,10,FALSE),",",VLOOKUP(A106,'C'!A:U,9,FALSE))</f>
        <v>22.27735975,114.1711951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3">
      <c r="A107" s="3" t="s">
        <v>1876</v>
      </c>
      <c r="B107" s="3" t="s">
        <v>623</v>
      </c>
      <c r="C107" s="3" t="s">
        <v>624</v>
      </c>
      <c r="D107" s="3" t="s">
        <v>1877</v>
      </c>
      <c r="E107" s="1" t="str">
        <f ca="1">CONCATENATE(VLOOKUP(A107,'C'!A:U,10,FALSE),",",VLOOKUP(A107,'C'!A:U,9,FALSE))</f>
        <v>22.2773646,114.1708586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3">
      <c r="A108" s="3" t="s">
        <v>1878</v>
      </c>
      <c r="B108" s="3" t="s">
        <v>626</v>
      </c>
      <c r="C108" s="3" t="s">
        <v>627</v>
      </c>
      <c r="D108" s="3" t="s">
        <v>1879</v>
      </c>
      <c r="E108" s="1" t="str">
        <f ca="1">CONCATENATE(VLOOKUP(A108,'C'!A:U,10,FALSE),",",VLOOKUP(A108,'C'!A:U,9,FALSE))</f>
        <v>22.27780483,114.1709477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3">
      <c r="A109" s="3" t="s">
        <v>1880</v>
      </c>
      <c r="B109" s="3" t="s">
        <v>629</v>
      </c>
      <c r="C109" s="3" t="s">
        <v>630</v>
      </c>
      <c r="D109" s="3" t="s">
        <v>1881</v>
      </c>
      <c r="E109" s="1" t="str">
        <f ca="1">CONCATENATE(VLOOKUP(A109,'C'!A:U,10,FALSE),",",VLOOKUP(A109,'C'!A:U,9,FALSE))</f>
        <v>22.27778877,114.1712295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3">
      <c r="A110" s="3" t="s">
        <v>1658</v>
      </c>
      <c r="B110" s="3" t="s">
        <v>1659</v>
      </c>
      <c r="C110" s="3" t="s">
        <v>1660</v>
      </c>
      <c r="D110" s="3" t="s">
        <v>1882</v>
      </c>
      <c r="E110" s="1" t="str">
        <f ca="1">CONCATENATE(VLOOKUP(A110,'C'!A:U,10,FALSE),",",VLOOKUP(A110,'C'!A:U,9,FALSE))</f>
        <v>22.28799401,114.1455422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3">
      <c r="A111" s="3" t="s">
        <v>1662</v>
      </c>
      <c r="B111" s="3" t="s">
        <v>1663</v>
      </c>
      <c r="C111" s="3" t="s">
        <v>1664</v>
      </c>
      <c r="D111" s="3" t="s">
        <v>1883</v>
      </c>
      <c r="E111" s="1" t="str">
        <f ca="1">CONCATENATE(VLOOKUP(A111,'C'!A:U,10,FALSE),",",VLOOKUP(A111,'C'!A:U,9,FALSE))</f>
        <v>22.28766339,114.1454359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3">
      <c r="A112" s="3" t="s">
        <v>1666</v>
      </c>
      <c r="B112" s="3" t="s">
        <v>1667</v>
      </c>
      <c r="C112" s="3" t="s">
        <v>1668</v>
      </c>
      <c r="D112" s="3" t="s">
        <v>1884</v>
      </c>
      <c r="E112" s="1" t="str">
        <f ca="1">CONCATENATE(VLOOKUP(A112,'C'!A:U,10,FALSE),",",VLOOKUP(A112,'C'!A:U,9,FALSE))</f>
        <v>22.28767006,114.1449924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3">
      <c r="A113" s="3" t="s">
        <v>1669</v>
      </c>
      <c r="B113" s="3" t="s">
        <v>1670</v>
      </c>
      <c r="C113" s="3" t="s">
        <v>1671</v>
      </c>
      <c r="D113" s="3" t="s">
        <v>1885</v>
      </c>
      <c r="E113" s="1" t="str">
        <f ca="1">CONCATENATE(VLOOKUP(A113,'C'!A:U,10,FALSE),",",VLOOKUP(A113,'C'!A:U,9,FALSE))</f>
        <v>22.28802343,114.1449989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3">
      <c r="A114" s="3" t="s">
        <v>1886</v>
      </c>
      <c r="B114" s="3" t="s">
        <v>145</v>
      </c>
      <c r="C114" s="3" t="s">
        <v>146</v>
      </c>
      <c r="D114" s="3" t="s">
        <v>1887</v>
      </c>
      <c r="E114" s="1" t="str">
        <f ca="1">CONCATENATE(VLOOKUP(A114,'C'!A:U,10,FALSE),",",VLOOKUP(A114,'C'!A:U,9,FALSE))</f>
        <v>22.29900237,114.1723496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3">
      <c r="A115" s="3" t="s">
        <v>1888</v>
      </c>
      <c r="B115" s="3" t="s">
        <v>148</v>
      </c>
      <c r="C115" s="3" t="s">
        <v>149</v>
      </c>
      <c r="D115" s="3" t="s">
        <v>1889</v>
      </c>
      <c r="E115" s="1" t="str">
        <f ca="1">CONCATENATE(VLOOKUP(A115,'C'!A:U,10,FALSE),",",VLOOKUP(A115,'C'!A:U,9,FALSE))</f>
        <v>22.29885126,114.1724534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3">
      <c r="A116" s="3" t="s">
        <v>1890</v>
      </c>
      <c r="B116" s="3" t="s">
        <v>153</v>
      </c>
      <c r="C116" s="3" t="s">
        <v>154</v>
      </c>
      <c r="D116" s="3" t="s">
        <v>1891</v>
      </c>
      <c r="E116" s="1" t="str">
        <f ca="1">CONCATENATE(VLOOKUP(A116,'C'!A:U,10,FALSE),",",VLOOKUP(A116,'C'!A:U,9,FALSE))</f>
        <v>22.29872915,114.1716925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3">
      <c r="A117" s="3" t="s">
        <v>1892</v>
      </c>
      <c r="B117" s="3" t="s">
        <v>157</v>
      </c>
      <c r="C117" s="3" t="s">
        <v>158</v>
      </c>
      <c r="D117" s="3" t="s">
        <v>1893</v>
      </c>
      <c r="E117" s="1" t="str">
        <f ca="1">CONCATENATE(VLOOKUP(A117,'C'!A:U,10,FALSE),",",VLOOKUP(A117,'C'!A:U,9,FALSE))</f>
        <v>22.29961511,114.1717285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3">
      <c r="A118" s="3" t="s">
        <v>1894</v>
      </c>
      <c r="B118" s="3" t="s">
        <v>632</v>
      </c>
      <c r="C118" s="3" t="s">
        <v>633</v>
      </c>
      <c r="D118" s="3" t="s">
        <v>1895</v>
      </c>
      <c r="E118" s="1" t="str">
        <f ca="1">CONCATENATE(VLOOKUP(A118,'C'!A:U,10,FALSE),",",VLOOKUP(A118,'C'!A:U,9,FALSE))</f>
        <v>22.27723659,114.1731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3">
      <c r="A119" s="3" t="s">
        <v>1896</v>
      </c>
      <c r="B119" s="3" t="s">
        <v>635</v>
      </c>
      <c r="C119" s="3" t="s">
        <v>636</v>
      </c>
      <c r="D119" s="3" t="s">
        <v>1897</v>
      </c>
      <c r="E119" s="1" t="str">
        <f ca="1">CONCATENATE(VLOOKUP(A119,'C'!A:U,10,FALSE),",",VLOOKUP(A119,'C'!A:U,9,FALSE))</f>
        <v>22.27716394,114.1728015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3">
      <c r="A120" s="3" t="s">
        <v>1898</v>
      </c>
      <c r="B120" s="3" t="s">
        <v>638</v>
      </c>
      <c r="C120" s="3" t="s">
        <v>639</v>
      </c>
      <c r="D120" s="3" t="s">
        <v>1899</v>
      </c>
      <c r="E120" s="1" t="str">
        <f ca="1">CONCATENATE(VLOOKUP(A120,'C'!A:U,10,FALSE),",",VLOOKUP(A120,'C'!A:U,9,FALSE))</f>
        <v>22.27779288,114.1727793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3">
      <c r="A121" s="3" t="s">
        <v>1900</v>
      </c>
      <c r="B121" s="3" t="s">
        <v>641</v>
      </c>
      <c r="C121" s="3" t="s">
        <v>642</v>
      </c>
      <c r="D121" s="3" t="s">
        <v>1901</v>
      </c>
      <c r="E121" s="1" t="str">
        <f ca="1">CONCATENATE(VLOOKUP(A121,'C'!A:U,10,FALSE),",",VLOOKUP(A121,'C'!A:U,9,FALSE))</f>
        <v>22.2778383,114.1730654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3">
      <c r="A122" s="3" t="s">
        <v>1673</v>
      </c>
      <c r="B122" s="3" t="s">
        <v>1674</v>
      </c>
      <c r="C122" s="3" t="s">
        <v>1675</v>
      </c>
      <c r="D122" s="3" t="s">
        <v>1902</v>
      </c>
      <c r="E122" s="1" t="str">
        <f ca="1">CONCATENATE(VLOOKUP(A122,'C'!A:U,10,FALSE),",",VLOOKUP(A122,'C'!A:U,9,FALSE))</f>
        <v>22.28804803,114.1436344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3">
      <c r="A123" s="3" t="s">
        <v>1677</v>
      </c>
      <c r="B123" s="3" t="s">
        <v>1678</v>
      </c>
      <c r="C123" s="3" t="s">
        <v>1473</v>
      </c>
      <c r="D123" s="3" t="s">
        <v>1903</v>
      </c>
      <c r="E123" s="1" t="str">
        <f ca="1">CONCATENATE(VLOOKUP(A123,'C'!A:U,10,FALSE),",",VLOOKUP(A123,'C'!A:U,9,FALSE))</f>
        <v>22.28770472,114.1434996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3">
      <c r="A124" s="3" t="s">
        <v>1680</v>
      </c>
      <c r="B124" s="3" t="s">
        <v>1681</v>
      </c>
      <c r="C124" s="3" t="s">
        <v>1476</v>
      </c>
      <c r="D124" s="3" t="s">
        <v>1904</v>
      </c>
      <c r="E124" s="1" t="str">
        <f ca="1">CONCATENATE(VLOOKUP(A124,'C'!A:U,10,FALSE),",",VLOOKUP(A124,'C'!A:U,9,FALSE))</f>
        <v>22.28771939,114.143099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3">
      <c r="A125" s="3" t="s">
        <v>1683</v>
      </c>
      <c r="B125" s="3" t="s">
        <v>1684</v>
      </c>
      <c r="C125" s="3" t="s">
        <v>1478</v>
      </c>
      <c r="D125" s="3" t="s">
        <v>1905</v>
      </c>
      <c r="E125" s="1" t="str">
        <f ca="1">CONCATENATE(VLOOKUP(A125,'C'!A:U,10,FALSE),",",VLOOKUP(A125,'C'!A:U,9,FALSE))</f>
        <v>22.28806827,114.1431466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3">
      <c r="A126" s="3" t="s">
        <v>1906</v>
      </c>
      <c r="B126" s="3" t="s">
        <v>161</v>
      </c>
      <c r="C126" s="3" t="s">
        <v>162</v>
      </c>
      <c r="D126" s="3" t="s">
        <v>1907</v>
      </c>
      <c r="E126" s="1" t="str">
        <f ca="1">CONCATENATE(VLOOKUP(A126,'C'!A:U,10,FALSE),",",VLOOKUP(A126,'C'!A:U,9,FALSE))</f>
        <v>22.30091032,114.1725665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3">
      <c r="A127" s="3" t="s">
        <v>1908</v>
      </c>
      <c r="B127" s="3" t="s">
        <v>164</v>
      </c>
      <c r="C127" s="3" t="s">
        <v>165</v>
      </c>
      <c r="D127" s="3" t="s">
        <v>1909</v>
      </c>
      <c r="E127" s="1" t="str">
        <f ca="1">CONCATENATE(VLOOKUP(A127,'C'!A:U,10,FALSE),",",VLOOKUP(A127,'C'!A:U,9,FALSE))</f>
        <v>22.3001621,114.1724327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3">
      <c r="A128" s="3" t="s">
        <v>1910</v>
      </c>
      <c r="B128" s="1"/>
      <c r="C128" s="1"/>
      <c r="D128" s="1"/>
      <c r="E128" s="1" t="str">
        <f ca="1">CONCATENATE(VLOOKUP(A128,'C'!A:U,10,FALSE),",",VLOOKUP(A128,'C'!A:U,9,FALSE))</f>
        <v>,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3">
      <c r="A129" s="3" t="s">
        <v>1911</v>
      </c>
      <c r="B129" s="3" t="s">
        <v>168</v>
      </c>
      <c r="C129" s="3" t="s">
        <v>158</v>
      </c>
      <c r="D129" s="3" t="s">
        <v>1912</v>
      </c>
      <c r="E129" s="1" t="str">
        <f ca="1">CONCATENATE(VLOOKUP(A129,'C'!A:U,10,FALSE),",",VLOOKUP(A129,'C'!A:U,9,FALSE))</f>
        <v>22.30084347,114.1716441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3">
      <c r="A130" s="3" t="s">
        <v>1913</v>
      </c>
      <c r="B130" s="3" t="s">
        <v>644</v>
      </c>
      <c r="C130" s="3" t="s">
        <v>645</v>
      </c>
      <c r="D130" s="3" t="s">
        <v>1914</v>
      </c>
      <c r="E130" s="1" t="str">
        <f ca="1">CONCATENATE(VLOOKUP(A130,'C'!A:U,10,FALSE),",",VLOOKUP(A130,'C'!A:U,9,FALSE))</f>
        <v>22.27757658,114.1749674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3">
      <c r="A131" s="3" t="s">
        <v>1915</v>
      </c>
      <c r="B131" s="3" t="s">
        <v>647</v>
      </c>
      <c r="C131" s="3" t="s">
        <v>648</v>
      </c>
      <c r="D131" s="3" t="s">
        <v>1916</v>
      </c>
      <c r="E131" s="1" t="str">
        <f ca="1">CONCATENATE(VLOOKUP(A131,'C'!A:U,10,FALSE),",",VLOOKUP(A131,'C'!A:U,9,FALSE))</f>
        <v>22.27738587,114.1745561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3">
      <c r="A132" s="3" t="s">
        <v>1917</v>
      </c>
      <c r="B132" s="3" t="s">
        <v>650</v>
      </c>
      <c r="C132" s="3" t="s">
        <v>651</v>
      </c>
      <c r="D132" s="3" t="s">
        <v>1918</v>
      </c>
      <c r="E132" s="1" t="str">
        <f ca="1">CONCATENATE(VLOOKUP(A132,'C'!A:U,10,FALSE),",",VLOOKUP(A132,'C'!A:U,9,FALSE))</f>
        <v>22.27797132,114.1745385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3">
      <c r="A133" s="3" t="s">
        <v>1919</v>
      </c>
      <c r="B133" s="3" t="s">
        <v>653</v>
      </c>
      <c r="C133" s="3" t="s">
        <v>654</v>
      </c>
      <c r="D133" s="3" t="s">
        <v>1920</v>
      </c>
      <c r="E133" s="1" t="str">
        <f ca="1">CONCATENATE(VLOOKUP(A133,'C'!A:U,10,FALSE),",",VLOOKUP(A133,'C'!A:U,9,FALSE))</f>
        <v>22.27800451,114.1748907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3">
      <c r="A134" s="3" t="s">
        <v>1686</v>
      </c>
      <c r="B134" s="3" t="s">
        <v>1687</v>
      </c>
      <c r="C134" s="3" t="s">
        <v>1481</v>
      </c>
      <c r="D134" s="3" t="s">
        <v>1921</v>
      </c>
      <c r="E134" s="1" t="str">
        <f ca="1">CONCATENATE(VLOOKUP(A134,'C'!A:U,10,FALSE),",",VLOOKUP(A134,'C'!A:U,9,FALSE))</f>
        <v>22.28813413,114.1415445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3">
      <c r="A135" s="3" t="s">
        <v>1689</v>
      </c>
      <c r="B135" s="3" t="s">
        <v>1690</v>
      </c>
      <c r="C135" s="3" t="s">
        <v>1484</v>
      </c>
      <c r="D135" s="3" t="s">
        <v>1922</v>
      </c>
      <c r="E135" s="1" t="str">
        <f ca="1">CONCATENATE(VLOOKUP(A135,'C'!A:U,10,FALSE),",",VLOOKUP(A135,'C'!A:U,9,FALSE))</f>
        <v>22.28777143,114.1416548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3">
      <c r="A136" s="3" t="s">
        <v>1692</v>
      </c>
      <c r="B136" s="3" t="s">
        <v>1693</v>
      </c>
      <c r="C136" s="3" t="s">
        <v>1487</v>
      </c>
      <c r="D136" s="3" t="s">
        <v>1923</v>
      </c>
      <c r="E136" s="1" t="str">
        <f ca="1">CONCATENATE(VLOOKUP(A136,'C'!A:U,10,FALSE),",",VLOOKUP(A136,'C'!A:U,9,FALSE))</f>
        <v>22.2877575,114.1413475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3">
      <c r="A137" s="3" t="s">
        <v>1695</v>
      </c>
      <c r="B137" s="3" t="s">
        <v>1696</v>
      </c>
      <c r="C137" s="3" t="s">
        <v>1697</v>
      </c>
      <c r="D137" s="3" t="s">
        <v>1924</v>
      </c>
      <c r="E137" s="1" t="str">
        <f ca="1">CONCATENATE(VLOOKUP(A137,'C'!A:U,10,FALSE),",",VLOOKUP(A137,'C'!A:U,9,FALSE))</f>
        <v>22.28813422,114.1412874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3">
      <c r="A138" s="3" t="s">
        <v>1925</v>
      </c>
      <c r="B138" s="3" t="s">
        <v>170</v>
      </c>
      <c r="C138" s="3" t="s">
        <v>171</v>
      </c>
      <c r="D138" s="3" t="s">
        <v>1926</v>
      </c>
      <c r="E138" s="1" t="str">
        <f ca="1">CONCATENATE(VLOOKUP(A138,'C'!A:U,10,FALSE),",",VLOOKUP(A138,'C'!A:U,9,FALSE))</f>
        <v>22.30276031,114.1720885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3">
      <c r="A139" s="3" t="s">
        <v>1927</v>
      </c>
      <c r="B139" s="3" t="s">
        <v>174</v>
      </c>
      <c r="C139" s="3" t="s">
        <v>175</v>
      </c>
      <c r="D139" s="3" t="s">
        <v>1928</v>
      </c>
      <c r="E139" s="1" t="str">
        <f ca="1">CONCATENATE(VLOOKUP(A139,'C'!A:U,10,FALSE),",",VLOOKUP(A139,'C'!A:U,9,FALSE))</f>
        <v>22.30257896,114.1721036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3">
      <c r="A140" s="3" t="s">
        <v>1929</v>
      </c>
      <c r="B140" s="3" t="s">
        <v>178</v>
      </c>
      <c r="C140" s="3" t="s">
        <v>158</v>
      </c>
      <c r="D140" s="3" t="s">
        <v>1930</v>
      </c>
      <c r="E140" s="1" t="str">
        <f ca="1">CONCATENATE(VLOOKUP(A140,'C'!A:U,10,FALSE),",",VLOOKUP(A140,'C'!A:U,9,FALSE))</f>
        <v>22.30178578,114.1715796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3">
      <c r="A141" s="3" t="s">
        <v>1931</v>
      </c>
      <c r="B141" s="3" t="s">
        <v>179</v>
      </c>
      <c r="C141" s="3" t="s">
        <v>180</v>
      </c>
      <c r="D141" s="3" t="s">
        <v>1932</v>
      </c>
      <c r="E141" s="1" t="str">
        <f ca="1">CONCATENATE(VLOOKUP(A141,'C'!A:U,10,FALSE),",",VLOOKUP(A141,'C'!A:U,9,FALSE))</f>
        <v>22.30260893,114.1712109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3">
      <c r="A142" s="3" t="s">
        <v>1933</v>
      </c>
      <c r="B142" s="3" t="s">
        <v>656</v>
      </c>
      <c r="C142" s="3" t="s">
        <v>657</v>
      </c>
      <c r="D142" s="3" t="s">
        <v>1934</v>
      </c>
      <c r="E142" s="1" t="str">
        <f ca="1">CONCATENATE(VLOOKUP(A142,'C'!A:U,10,FALSE),",",VLOOKUP(A142,'C'!A:U,9,FALSE))</f>
        <v>22.27763002,114.1768876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3">
      <c r="A143" s="3" t="s">
        <v>1935</v>
      </c>
      <c r="B143" s="3" t="s">
        <v>659</v>
      </c>
      <c r="C143" s="3" t="s">
        <v>660</v>
      </c>
      <c r="D143" s="3" t="s">
        <v>1936</v>
      </c>
      <c r="E143" s="1" t="str">
        <f ca="1">CONCATENATE(VLOOKUP(A143,'C'!A:U,10,FALSE),",",VLOOKUP(A143,'C'!A:U,9,FALSE))</f>
        <v>22.2777396,114.1762751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3">
      <c r="A144" s="3" t="s">
        <v>1937</v>
      </c>
      <c r="B144" s="3" t="s">
        <v>662</v>
      </c>
      <c r="C144" s="3" t="s">
        <v>663</v>
      </c>
      <c r="D144" s="3" t="s">
        <v>1938</v>
      </c>
      <c r="E144" s="1" t="str">
        <f ca="1">CONCATENATE(VLOOKUP(A144,'C'!A:U,10,FALSE),",",VLOOKUP(A144,'C'!A:U,9,FALSE))</f>
        <v>22.27816757,114.1764179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3">
      <c r="A145" s="3" t="s">
        <v>1939</v>
      </c>
      <c r="B145" s="3" t="s">
        <v>665</v>
      </c>
      <c r="C145" s="3" t="s">
        <v>666</v>
      </c>
      <c r="D145" s="3" t="s">
        <v>1940</v>
      </c>
      <c r="E145" s="1" t="str">
        <f ca="1">CONCATENATE(VLOOKUP(A145,'C'!A:U,10,FALSE),",",VLOOKUP(A145,'C'!A:U,9,FALSE))</f>
        <v>22.2782281,114.176977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3">
      <c r="A146" s="3" t="s">
        <v>1699</v>
      </c>
      <c r="B146" s="3" t="s">
        <v>1700</v>
      </c>
      <c r="C146" s="3" t="s">
        <v>1493</v>
      </c>
      <c r="D146" s="3" t="s">
        <v>1941</v>
      </c>
      <c r="E146" s="1" t="str">
        <f ca="1">CONCATENATE(VLOOKUP(A146,'C'!A:U,10,FALSE),",",VLOOKUP(A146,'C'!A:U,9,FALSE))</f>
        <v>22.28784797,114.1395267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3">
      <c r="A147" s="3" t="s">
        <v>1702</v>
      </c>
      <c r="B147" s="3" t="s">
        <v>1703</v>
      </c>
      <c r="C147" s="3" t="s">
        <v>1496</v>
      </c>
      <c r="D147" s="3" t="s">
        <v>1942</v>
      </c>
      <c r="E147" s="1" t="str">
        <f ca="1">CONCATENATE(VLOOKUP(A147,'C'!A:U,10,FALSE),",",VLOOKUP(A147,'C'!A:U,9,FALSE))</f>
        <v>22.28739286,114.1396977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3">
      <c r="A148" s="3" t="s">
        <v>1705</v>
      </c>
      <c r="B148" s="3" t="s">
        <v>1706</v>
      </c>
      <c r="C148" s="3" t="s">
        <v>1707</v>
      </c>
      <c r="D148" s="3" t="s">
        <v>1943</v>
      </c>
      <c r="E148" s="1" t="str">
        <f ca="1">CONCATENATE(VLOOKUP(A148,'C'!A:U,10,FALSE),",",VLOOKUP(A148,'C'!A:U,9,FALSE))</f>
        <v>22.28736465,114.1392865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3">
      <c r="A149" s="3" t="s">
        <v>1709</v>
      </c>
      <c r="B149" s="3" t="s">
        <v>1710</v>
      </c>
      <c r="C149" s="3" t="s">
        <v>1711</v>
      </c>
      <c r="D149" s="3" t="s">
        <v>1944</v>
      </c>
      <c r="E149" s="1" t="str">
        <f ca="1">CONCATENATE(VLOOKUP(A149,'C'!A:U,10,FALSE),",",VLOOKUP(A149,'C'!A:U,9,FALSE))</f>
        <v>22.28772155,114.1391234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3">
      <c r="A150" s="3" t="s">
        <v>1945</v>
      </c>
      <c r="B150" s="3" t="s">
        <v>183</v>
      </c>
      <c r="C150" s="3" t="s">
        <v>184</v>
      </c>
      <c r="D150" s="3" t="s">
        <v>1946</v>
      </c>
      <c r="E150" s="1" t="str">
        <f ca="1">CONCATENATE(VLOOKUP(A150,'C'!A:U,10,FALSE),",",VLOOKUP(A150,'C'!A:U,9,FALSE))</f>
        <v>22.30481452,114.1719403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3">
      <c r="A151" s="3" t="s">
        <v>1947</v>
      </c>
      <c r="B151" s="3" t="s">
        <v>185</v>
      </c>
      <c r="C151" s="3" t="s">
        <v>186</v>
      </c>
      <c r="D151" s="3" t="s">
        <v>1948</v>
      </c>
      <c r="E151" s="1" t="str">
        <f ca="1">CONCATENATE(VLOOKUP(A151,'C'!A:U,10,FALSE),",",VLOOKUP(A151,'C'!A:U,9,FALSE))</f>
        <v>22.30433141,114.1719781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3">
      <c r="A152" s="3" t="s">
        <v>1949</v>
      </c>
      <c r="B152" s="3" t="s">
        <v>188</v>
      </c>
      <c r="C152" s="3" t="s">
        <v>189</v>
      </c>
      <c r="D152" s="3" t="s">
        <v>1950</v>
      </c>
      <c r="E152" s="1" t="str">
        <f ca="1">CONCATENATE(VLOOKUP(A152,'C'!A:U,10,FALSE),",",VLOOKUP(A152,'C'!A:U,9,FALSE))</f>
        <v>22.30412979,114.171439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3">
      <c r="A153" s="3" t="s">
        <v>1951</v>
      </c>
      <c r="B153" s="3" t="s">
        <v>191</v>
      </c>
      <c r="C153" s="3" t="s">
        <v>192</v>
      </c>
      <c r="D153" s="3" t="s">
        <v>1952</v>
      </c>
      <c r="E153" s="1" t="str">
        <f ca="1">CONCATENATE(VLOOKUP(A153,'C'!A:U,10,FALSE),",",VLOOKUP(A153,'C'!A:U,9,FALSE))</f>
        <v>22.30446197,114.1713733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3">
      <c r="A154" s="3" t="s">
        <v>1953</v>
      </c>
      <c r="B154" s="3" t="s">
        <v>668</v>
      </c>
      <c r="C154" s="3" t="s">
        <v>669</v>
      </c>
      <c r="D154" s="3" t="s">
        <v>1954</v>
      </c>
      <c r="E154" s="1" t="str">
        <f ca="1">CONCATENATE(VLOOKUP(A154,'C'!A:U,10,FALSE),",",VLOOKUP(A154,'C'!A:U,9,FALSE))</f>
        <v>22.27833304,114.1789903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3">
      <c r="A155" s="3" t="s">
        <v>1955</v>
      </c>
      <c r="B155" s="3" t="s">
        <v>671</v>
      </c>
      <c r="C155" s="3" t="s">
        <v>672</v>
      </c>
      <c r="D155" s="3" t="s">
        <v>1956</v>
      </c>
      <c r="E155" s="1" t="str">
        <f ca="1">CONCATENATE(VLOOKUP(A155,'C'!A:U,10,FALSE),",",VLOOKUP(A155,'C'!A:U,9,FALSE))</f>
        <v>22.27815417,114.1783751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3">
      <c r="A156" s="3" t="s">
        <v>1957</v>
      </c>
      <c r="B156" s="3" t="s">
        <v>673</v>
      </c>
      <c r="C156" s="3" t="s">
        <v>674</v>
      </c>
      <c r="D156" s="3" t="s">
        <v>1958</v>
      </c>
      <c r="E156" s="1" t="str">
        <f ca="1">CONCATENATE(VLOOKUP(A156,'C'!A:U,10,FALSE),",",VLOOKUP(A156,'C'!A:U,9,FALSE))</f>
        <v>22.27862226,114.1783821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3">
      <c r="A157" s="3" t="s">
        <v>1959</v>
      </c>
      <c r="B157" s="3" t="s">
        <v>676</v>
      </c>
      <c r="C157" s="3" t="s">
        <v>677</v>
      </c>
      <c r="D157" s="3" t="s">
        <v>1960</v>
      </c>
      <c r="E157" s="1" t="str">
        <f ca="1">CONCATENATE(VLOOKUP(A157,'C'!A:U,10,FALSE),",",VLOOKUP(A157,'C'!A:U,9,FALSE))</f>
        <v>22.27874315,114.1787936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3">
      <c r="A158" s="3" t="s">
        <v>1712</v>
      </c>
      <c r="B158" s="3" t="s">
        <v>1713</v>
      </c>
      <c r="C158" s="3" t="s">
        <v>1714</v>
      </c>
      <c r="D158" s="3" t="s">
        <v>1961</v>
      </c>
      <c r="E158" s="1" t="str">
        <f ca="1">CONCATENATE(VLOOKUP(A158,'C'!A:U,10,FALSE),",",VLOOKUP(A158,'C'!A:U,9,FALSE))</f>
        <v>22.28753766,114.1378749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3">
      <c r="A159" s="3" t="s">
        <v>1716</v>
      </c>
      <c r="B159" s="3" t="s">
        <v>1717</v>
      </c>
      <c r="C159" s="3" t="s">
        <v>1718</v>
      </c>
      <c r="D159" s="3" t="s">
        <v>1962</v>
      </c>
      <c r="E159" s="1" t="str">
        <f ca="1">CONCATENATE(VLOOKUP(A159,'C'!A:U,10,FALSE),",",VLOOKUP(A159,'C'!A:U,9,FALSE))</f>
        <v>22.28698982,114.137775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3">
      <c r="A160" s="3" t="s">
        <v>1720</v>
      </c>
      <c r="B160" s="3" t="s">
        <v>1721</v>
      </c>
      <c r="C160" s="3" t="s">
        <v>1722</v>
      </c>
      <c r="D160" s="3" t="s">
        <v>1963</v>
      </c>
      <c r="E160" s="1" t="str">
        <f ca="1">CONCATENATE(VLOOKUP(A160,'C'!A:U,10,FALSE),",",VLOOKUP(A160,'C'!A:U,9,FALSE))</f>
        <v>22.28688732,114.1375293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3">
      <c r="A161" s="3" t="s">
        <v>1724</v>
      </c>
      <c r="B161" s="3" t="s">
        <v>1725</v>
      </c>
      <c r="C161" s="3" t="s">
        <v>1726</v>
      </c>
      <c r="D161" s="3" t="s">
        <v>1964</v>
      </c>
      <c r="E161" s="1" t="str">
        <f ca="1">CONCATENATE(VLOOKUP(A161,'C'!A:U,10,FALSE),",",VLOOKUP(A161,'C'!A:U,9,FALSE))</f>
        <v>22.28747235,114.1371694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3">
      <c r="A162" s="3" t="s">
        <v>1965</v>
      </c>
      <c r="B162" s="3" t="s">
        <v>195</v>
      </c>
      <c r="C162" s="3" t="s">
        <v>196</v>
      </c>
      <c r="D162" s="3" t="s">
        <v>1966</v>
      </c>
      <c r="E162" s="1" t="str">
        <f ca="1">CONCATENATE(VLOOKUP(A162,'C'!A:U,10,FALSE),",",VLOOKUP(A162,'C'!A:U,9,FALSE))</f>
        <v>22.30622699,114.1717686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3">
      <c r="A163" s="3" t="s">
        <v>1967</v>
      </c>
      <c r="B163" s="3" t="s">
        <v>197</v>
      </c>
      <c r="C163" s="3" t="s">
        <v>198</v>
      </c>
      <c r="D163" s="3" t="s">
        <v>1968</v>
      </c>
      <c r="E163" s="1" t="str">
        <f ca="1">CONCATENATE(VLOOKUP(A163,'C'!A:U,10,FALSE),",",VLOOKUP(A163,'C'!A:U,9,FALSE))</f>
        <v>22.30603969,114.1718084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3">
      <c r="A164" s="3" t="s">
        <v>1969</v>
      </c>
      <c r="B164" s="3" t="s">
        <v>200</v>
      </c>
      <c r="C164" s="3" t="s">
        <v>201</v>
      </c>
      <c r="D164" s="3" t="s">
        <v>1970</v>
      </c>
      <c r="E164" s="1" t="str">
        <f ca="1">CONCATENATE(VLOOKUP(A164,'C'!A:U,10,FALSE),",",VLOOKUP(A164,'C'!A:U,9,FALSE))</f>
        <v>22.30606425,114.1712864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3">
      <c r="A165" s="3" t="s">
        <v>1971</v>
      </c>
      <c r="B165" s="3" t="s">
        <v>203</v>
      </c>
      <c r="C165" s="3" t="s">
        <v>204</v>
      </c>
      <c r="D165" s="3" t="s">
        <v>1972</v>
      </c>
      <c r="E165" s="1" t="str">
        <f ca="1">CONCATENATE(VLOOKUP(A165,'C'!A:U,10,FALSE),",",VLOOKUP(A165,'C'!A:U,9,FALSE))</f>
        <v>22.30617932,114.1712813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3">
      <c r="A166" s="3" t="s">
        <v>1973</v>
      </c>
      <c r="B166" s="3" t="s">
        <v>679</v>
      </c>
      <c r="C166" s="3" t="s">
        <v>680</v>
      </c>
      <c r="D166" s="3" t="s">
        <v>1974</v>
      </c>
      <c r="E166" s="1" t="str">
        <f ca="1">CONCATENATE(VLOOKUP(A166,'C'!A:U,10,FALSE),",",VLOOKUP(A166,'C'!A:U,9,FALSE))</f>
        <v>22.27902029,114.1809041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3">
      <c r="A167" s="3" t="s">
        <v>1975</v>
      </c>
      <c r="B167" s="3" t="s">
        <v>682</v>
      </c>
      <c r="C167" s="3" t="s">
        <v>683</v>
      </c>
      <c r="D167" s="3" t="s">
        <v>1976</v>
      </c>
      <c r="E167" s="1" t="str">
        <f ca="1">CONCATENATE(VLOOKUP(A167,'C'!A:U,10,FALSE),",",VLOOKUP(A167,'C'!A:U,9,FALSE))</f>
        <v>22.27884395,114.1804109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3">
      <c r="A168" s="3" t="s">
        <v>1977</v>
      </c>
      <c r="B168" s="3" t="s">
        <v>685</v>
      </c>
      <c r="C168" s="3" t="s">
        <v>686</v>
      </c>
      <c r="D168" s="3" t="s">
        <v>1978</v>
      </c>
      <c r="E168" s="1" t="str">
        <f ca="1">CONCATENATE(VLOOKUP(A168,'C'!A:U,10,FALSE),",",VLOOKUP(A168,'C'!A:U,9,FALSE))</f>
        <v>22.27918106,114.1800882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3">
      <c r="A169" s="3" t="s">
        <v>1979</v>
      </c>
      <c r="B169" s="3" t="s">
        <v>688</v>
      </c>
      <c r="C169" s="3" t="s">
        <v>689</v>
      </c>
      <c r="D169" s="3" t="s">
        <v>1980</v>
      </c>
      <c r="E169" s="1" t="str">
        <f ca="1">CONCATENATE(VLOOKUP(A169,'C'!A:U,10,FALSE),",",VLOOKUP(A169,'C'!A:U,9,FALSE))</f>
        <v>22.27937844,114.180616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3">
      <c r="A170" s="3" t="s">
        <v>1728</v>
      </c>
      <c r="B170" s="3" t="s">
        <v>1729</v>
      </c>
      <c r="C170" s="3" t="s">
        <v>1512</v>
      </c>
      <c r="D170" s="3" t="s">
        <v>1981</v>
      </c>
      <c r="E170" s="1" t="str">
        <f ca="1">CONCATENATE(VLOOKUP(A170,'C'!A:U,10,FALSE),",",VLOOKUP(A170,'C'!A:U,9,FALSE))</f>
        <v>22.28694237,114.1362588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3">
      <c r="A171" s="3" t="s">
        <v>1731</v>
      </c>
      <c r="B171" s="3" t="s">
        <v>1732</v>
      </c>
      <c r="C171" s="1"/>
      <c r="D171" s="3" t="s">
        <v>1982</v>
      </c>
      <c r="E171" s="1" t="str">
        <f ca="1">CONCATENATE(VLOOKUP(A171,'C'!A:U,10,FALSE),",",VLOOKUP(A171,'C'!A:U,9,FALSE))</f>
        <v>22.28651142,114.1361696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3">
      <c r="A172" s="3" t="s">
        <v>1733</v>
      </c>
      <c r="B172" s="3" t="s">
        <v>1734</v>
      </c>
      <c r="C172" s="3" t="s">
        <v>1516</v>
      </c>
      <c r="D172" s="3" t="s">
        <v>1983</v>
      </c>
      <c r="E172" s="1" t="str">
        <f ca="1">CONCATENATE(VLOOKUP(A172,'C'!A:U,10,FALSE),",",VLOOKUP(A172,'C'!A:U,9,FALSE))</f>
        <v>22.28659513,114.1356467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3">
      <c r="A173" s="3" t="s">
        <v>1736</v>
      </c>
      <c r="B173" s="3" t="s">
        <v>1737</v>
      </c>
      <c r="C173" s="3" t="s">
        <v>1738</v>
      </c>
      <c r="D173" s="3" t="s">
        <v>1984</v>
      </c>
      <c r="E173" s="1" t="str">
        <f ca="1">CONCATENATE(VLOOKUP(A173,'C'!A:U,10,FALSE),",",VLOOKUP(A173,'C'!A:U,9,FALSE))</f>
        <v>22.28710521,114.1359189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3">
      <c r="A174" s="3" t="s">
        <v>1985</v>
      </c>
      <c r="B174" s="3" t="s">
        <v>205</v>
      </c>
      <c r="C174" s="3" t="s">
        <v>206</v>
      </c>
      <c r="D174" s="3" t="s">
        <v>1986</v>
      </c>
      <c r="E174" s="1" t="str">
        <f ca="1">CONCATENATE(VLOOKUP(A174,'C'!A:U,10,FALSE),",",VLOOKUP(A174,'C'!A:U,9,FALSE))</f>
        <v>22.30804235,114.1718235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3">
      <c r="A175" s="3" t="s">
        <v>1987</v>
      </c>
      <c r="B175" s="3" t="s">
        <v>207</v>
      </c>
      <c r="C175" s="3" t="s">
        <v>208</v>
      </c>
      <c r="D175" s="3" t="s">
        <v>1988</v>
      </c>
      <c r="E175" s="1" t="str">
        <f ca="1">CONCATENATE(VLOOKUP(A175,'C'!A:U,10,FALSE),",",VLOOKUP(A175,'C'!A:U,9,FALSE))</f>
        <v>22.30744805,114.1710816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3">
      <c r="A176" s="3" t="s">
        <v>1989</v>
      </c>
      <c r="B176" s="3" t="s">
        <v>210</v>
      </c>
      <c r="C176" s="3" t="s">
        <v>211</v>
      </c>
      <c r="D176" s="3" t="s">
        <v>1990</v>
      </c>
      <c r="E176" s="1" t="str">
        <f ca="1">CONCATENATE(VLOOKUP(A176,'C'!A:U,10,FALSE),",",VLOOKUP(A176,'C'!A:U,9,FALSE))</f>
        <v>22.30762817,114.171665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3">
      <c r="A177" s="3" t="s">
        <v>1991</v>
      </c>
      <c r="B177" s="3" t="s">
        <v>213</v>
      </c>
      <c r="C177" s="3" t="s">
        <v>214</v>
      </c>
      <c r="D177" s="3" t="s">
        <v>1992</v>
      </c>
      <c r="E177" s="1" t="str">
        <f ca="1">CONCATENATE(VLOOKUP(A177,'C'!A:U,10,FALSE),",",VLOOKUP(A177,'C'!A:U,9,FALSE))</f>
        <v>22.30796114,114.1710676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3">
      <c r="A178" s="3" t="s">
        <v>1993</v>
      </c>
      <c r="B178" s="3" t="s">
        <v>691</v>
      </c>
      <c r="C178" s="3" t="s">
        <v>692</v>
      </c>
      <c r="D178" s="3" t="s">
        <v>1994</v>
      </c>
      <c r="E178" s="1" t="str">
        <f ca="1">CONCATENATE(VLOOKUP(A178,'C'!A:U,10,FALSE),",",VLOOKUP(A178,'C'!A:U,9,FALSE))</f>
        <v>22.27962433,114.1826522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3">
      <c r="A179" s="3" t="s">
        <v>1995</v>
      </c>
      <c r="B179" s="3" t="s">
        <v>694</v>
      </c>
      <c r="C179" s="3" t="s">
        <v>695</v>
      </c>
      <c r="D179" s="3" t="s">
        <v>1996</v>
      </c>
      <c r="E179" s="1" t="str">
        <f ca="1">CONCATENATE(VLOOKUP(A179,'C'!A:U,10,FALSE),",",VLOOKUP(A179,'C'!A:U,9,FALSE))</f>
        <v>22.27950105,114.1821622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3">
      <c r="A180" s="3" t="s">
        <v>1997</v>
      </c>
      <c r="B180" s="3" t="s">
        <v>697</v>
      </c>
      <c r="C180" s="3" t="s">
        <v>698</v>
      </c>
      <c r="D180" s="3" t="s">
        <v>1998</v>
      </c>
      <c r="E180" s="1" t="str">
        <f ca="1">CONCATENATE(VLOOKUP(A180,'C'!A:U,10,FALSE),",",VLOOKUP(A180,'C'!A:U,9,FALSE))</f>
        <v>22.27990823,114.1820594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3">
      <c r="A181" s="3" t="s">
        <v>1999</v>
      </c>
      <c r="B181" s="3" t="s">
        <v>699</v>
      </c>
      <c r="C181" s="3" t="s">
        <v>700</v>
      </c>
      <c r="D181" s="3" t="s">
        <v>2000</v>
      </c>
      <c r="E181" s="1" t="str">
        <f ca="1">CONCATENATE(VLOOKUP(A181,'C'!A:U,10,FALSE),",",VLOOKUP(A181,'C'!A:U,9,FALSE))</f>
        <v>22.2800435,114.1823889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3">
      <c r="A182" s="3" t="s">
        <v>2001</v>
      </c>
      <c r="B182" s="1"/>
      <c r="C182" s="1"/>
      <c r="D182" s="1"/>
      <c r="E182" s="1" t="str">
        <f ca="1">CONCATENATE(VLOOKUP(A182,'C'!A:U,10,FALSE),",",VLOOKUP(A182,'C'!A:U,9,FALSE))</f>
        <v>,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3">
      <c r="A183" s="3" t="s">
        <v>1740</v>
      </c>
      <c r="B183" s="3" t="s">
        <v>1741</v>
      </c>
      <c r="C183" s="3" t="s">
        <v>1742</v>
      </c>
      <c r="D183" s="3" t="s">
        <v>2002</v>
      </c>
      <c r="E183" s="1" t="str">
        <f ca="1">CONCATENATE(VLOOKUP(A183,'C'!A:U,10,FALSE),",",VLOOKUP(A183,'C'!A:U,9,FALSE))</f>
        <v>22.28688304,114.1339054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3">
      <c r="A184" s="3" t="s">
        <v>1744</v>
      </c>
      <c r="B184" s="3" t="s">
        <v>1745</v>
      </c>
      <c r="C184" s="3" t="s">
        <v>1527</v>
      </c>
      <c r="D184" s="3" t="s">
        <v>2003</v>
      </c>
      <c r="E184" s="1" t="str">
        <f ca="1">CONCATENATE(VLOOKUP(A184,'C'!A:U,10,FALSE),",",VLOOKUP(A184,'C'!A:U,9,FALSE))</f>
        <v>22.28697415,114.1334574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3">
      <c r="A185" s="3" t="s">
        <v>2004</v>
      </c>
      <c r="B185" s="1"/>
      <c r="C185" s="1"/>
      <c r="D185" s="1"/>
      <c r="E185" s="1" t="str">
        <f ca="1">CONCATENATE(VLOOKUP(A185,'C'!A:U,10,FALSE),",",VLOOKUP(A185,'C'!A:U,9,FALSE))</f>
        <v>,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3">
      <c r="A186" s="3" t="s">
        <v>2005</v>
      </c>
      <c r="B186" s="3" t="s">
        <v>216</v>
      </c>
      <c r="C186" s="3" t="s">
        <v>217</v>
      </c>
      <c r="D186" s="3" t="s">
        <v>2006</v>
      </c>
      <c r="E186" s="1" t="str">
        <f ca="1">CONCATENATE(VLOOKUP(A186,'C'!A:U,10,FALSE),",",VLOOKUP(A186,'C'!A:U,9,FALSE))</f>
        <v>22.30991908,114.1715072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3">
      <c r="A187" s="3" t="s">
        <v>2007</v>
      </c>
      <c r="B187" s="3" t="s">
        <v>219</v>
      </c>
      <c r="C187" s="3" t="s">
        <v>220</v>
      </c>
      <c r="D187" s="3" t="s">
        <v>2008</v>
      </c>
      <c r="E187" s="1" t="str">
        <f ca="1">CONCATENATE(VLOOKUP(A187,'C'!A:U,10,FALSE),",",VLOOKUP(A187,'C'!A:U,9,FALSE))</f>
        <v>22.30979024,114.1715383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3">
      <c r="A188" s="3" t="s">
        <v>2009</v>
      </c>
      <c r="B188" s="3" t="s">
        <v>222</v>
      </c>
      <c r="C188" s="3" t="s">
        <v>223</v>
      </c>
      <c r="D188" s="3" t="s">
        <v>2010</v>
      </c>
      <c r="E188" s="1" t="str">
        <f ca="1">CONCATENATE(VLOOKUP(A188,'C'!A:U,10,FALSE),",",VLOOKUP(A188,'C'!A:U,9,FALSE))</f>
        <v>22.3094561,114.1709227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3">
      <c r="A189" s="3" t="s">
        <v>2011</v>
      </c>
      <c r="B189" s="3" t="s">
        <v>225</v>
      </c>
      <c r="C189" s="3" t="s">
        <v>226</v>
      </c>
      <c r="D189" s="3" t="s">
        <v>2012</v>
      </c>
      <c r="E189" s="1" t="str">
        <f ca="1">CONCATENATE(VLOOKUP(A189,'C'!A:U,10,FALSE),",",VLOOKUP(A189,'C'!A:U,9,FALSE))</f>
        <v>22.30971456,114.1707203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3">
      <c r="A190" s="3" t="s">
        <v>2013</v>
      </c>
      <c r="B190" s="3" t="s">
        <v>702</v>
      </c>
      <c r="C190" s="3" t="s">
        <v>703</v>
      </c>
      <c r="D190" s="3" t="s">
        <v>2014</v>
      </c>
      <c r="E190" s="1" t="str">
        <f ca="1">CONCATENATE(VLOOKUP(A190,'C'!A:U,10,FALSE),",",VLOOKUP(A190,'C'!A:U,9,FALSE))</f>
        <v>22.27992359,114.1842536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3">
      <c r="A191" s="3" t="s">
        <v>2015</v>
      </c>
      <c r="B191" s="3" t="s">
        <v>705</v>
      </c>
      <c r="C191" s="3" t="s">
        <v>706</v>
      </c>
      <c r="D191" s="3" t="s">
        <v>2016</v>
      </c>
      <c r="E191" s="1" t="str">
        <f ca="1">CONCATENATE(VLOOKUP(A191,'C'!A:U,10,FALSE),",",VLOOKUP(A191,'C'!A:U,9,FALSE))</f>
        <v>22.27980119,114.1838005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3">
      <c r="A192" s="3" t="s">
        <v>2017</v>
      </c>
      <c r="B192" s="3" t="s">
        <v>708</v>
      </c>
      <c r="C192" s="3" t="s">
        <v>709</v>
      </c>
      <c r="D192" s="3" t="s">
        <v>2018</v>
      </c>
      <c r="E192" s="1" t="str">
        <f ca="1">CONCATENATE(VLOOKUP(A192,'C'!A:U,10,FALSE),",",VLOOKUP(A192,'C'!A:U,9,FALSE))</f>
        <v>22.28031167,114.1837643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3">
      <c r="A193" s="3" t="s">
        <v>2019</v>
      </c>
      <c r="B193" s="3" t="s">
        <v>711</v>
      </c>
      <c r="C193" s="3" t="s">
        <v>712</v>
      </c>
      <c r="D193" s="3" t="s">
        <v>2020</v>
      </c>
      <c r="E193" s="1" t="str">
        <f ca="1">CONCATENATE(VLOOKUP(A193,'C'!A:U,10,FALSE),",",VLOOKUP(A193,'C'!A:U,9,FALSE))</f>
        <v>22.28041186,114.184473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3">
      <c r="A194" s="3" t="s">
        <v>1747</v>
      </c>
      <c r="B194" s="3" t="s">
        <v>1748</v>
      </c>
      <c r="C194" s="3" t="s">
        <v>1530</v>
      </c>
      <c r="D194" s="3" t="s">
        <v>2021</v>
      </c>
      <c r="E194" s="1" t="str">
        <f ca="1">CONCATENATE(VLOOKUP(A194,'C'!A:U,10,FALSE),",",VLOOKUP(A194,'C'!A:U,9,FALSE))</f>
        <v>22.28679344,114.1326744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3">
      <c r="A195" s="3" t="s">
        <v>1750</v>
      </c>
      <c r="B195" s="3" t="s">
        <v>1751</v>
      </c>
      <c r="C195" s="3" t="s">
        <v>1533</v>
      </c>
      <c r="D195" s="3" t="s">
        <v>2022</v>
      </c>
      <c r="E195" s="1" t="str">
        <f ca="1">CONCATENATE(VLOOKUP(A195,'C'!A:U,10,FALSE),",",VLOOKUP(A195,'C'!A:U,9,FALSE))</f>
        <v>22.28649699,114.1325156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3">
      <c r="A196" s="3" t="s">
        <v>2023</v>
      </c>
      <c r="B196" s="1"/>
      <c r="C196" s="1"/>
      <c r="D196" s="1"/>
      <c r="E196" s="1" t="str">
        <f ca="1">CONCATENATE(VLOOKUP(A196,'C'!A:U,10,FALSE),",",VLOOKUP(A196,'C'!A:U,9,FALSE))</f>
        <v>,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3">
      <c r="A197" s="3" t="s">
        <v>2024</v>
      </c>
      <c r="B197" s="1"/>
      <c r="C197" s="1"/>
      <c r="D197" s="1"/>
      <c r="E197" s="1" t="str">
        <f ca="1">CONCATENATE(VLOOKUP(A197,'C'!A:U,10,FALSE),",",VLOOKUP(A197,'C'!A:U,9,FALSE))</f>
        <v>,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3">
      <c r="A198" s="3" t="s">
        <v>2025</v>
      </c>
      <c r="B198" s="3" t="s">
        <v>228</v>
      </c>
      <c r="C198" s="3" t="s">
        <v>229</v>
      </c>
      <c r="D198" s="3" t="s">
        <v>2026</v>
      </c>
      <c r="E198" s="1" t="str">
        <f ca="1">CONCATENATE(VLOOKUP(A198,'C'!A:U,10,FALSE),",",VLOOKUP(A198,'C'!A:U,9,FALSE))</f>
        <v>22.31156702,114.1711861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3">
      <c r="A199" s="3" t="s">
        <v>2027</v>
      </c>
      <c r="B199" s="3" t="s">
        <v>231</v>
      </c>
      <c r="C199" s="3" t="s">
        <v>232</v>
      </c>
      <c r="D199" s="3" t="s">
        <v>2028</v>
      </c>
      <c r="E199" s="1" t="str">
        <f ca="1">CONCATENATE(VLOOKUP(A199,'C'!A:U,10,FALSE),",",VLOOKUP(A199,'C'!A:U,9,FALSE))</f>
        <v>22.31148501,114.1712057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3">
      <c r="A200" s="3" t="s">
        <v>2029</v>
      </c>
      <c r="B200" s="3" t="s">
        <v>234</v>
      </c>
      <c r="C200" s="3" t="s">
        <v>235</v>
      </c>
      <c r="D200" s="3" t="s">
        <v>2030</v>
      </c>
      <c r="E200" s="1" t="str">
        <f ca="1">CONCATENATE(VLOOKUP(A200,'C'!A:U,10,FALSE),",",VLOOKUP(A200,'C'!A:U,9,FALSE))</f>
        <v>22.31149723,114.1707248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3">
      <c r="A201" s="3" t="s">
        <v>2031</v>
      </c>
      <c r="B201" s="3" t="s">
        <v>236</v>
      </c>
      <c r="C201" s="3" t="s">
        <v>237</v>
      </c>
      <c r="D201" s="3" t="s">
        <v>2032</v>
      </c>
      <c r="E201" s="1" t="str">
        <f ca="1">CONCATENATE(VLOOKUP(A201,'C'!A:U,10,FALSE),",",VLOOKUP(A201,'C'!A:U,9,FALSE))</f>
        <v>22.3113397,114.1707551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3">
      <c r="A202" s="3" t="s">
        <v>2033</v>
      </c>
      <c r="B202" s="3" t="s">
        <v>714</v>
      </c>
      <c r="C202" s="3" t="s">
        <v>715</v>
      </c>
      <c r="D202" s="3" t="s">
        <v>1014</v>
      </c>
      <c r="E202" s="1" t="str">
        <f ca="1">CONCATENATE(VLOOKUP(A202,'C'!A:U,10,FALSE),",",VLOOKUP(A202,'C'!A:U,9,FALSE))</f>
        <v>22.27945228,114.1861172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3">
      <c r="A203" s="3" t="s">
        <v>2034</v>
      </c>
      <c r="B203" s="3" t="s">
        <v>716</v>
      </c>
      <c r="C203" s="3" t="s">
        <v>717</v>
      </c>
      <c r="D203" s="3" t="s">
        <v>2035</v>
      </c>
      <c r="E203" s="1" t="str">
        <f ca="1">CONCATENATE(VLOOKUP(A203,'C'!A:U,10,FALSE),",",VLOOKUP(A203,'C'!A:U,9,FALSE))</f>
        <v>22.27953591,114.1858596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3">
      <c r="A204" s="3" t="s">
        <v>2036</v>
      </c>
      <c r="B204" s="3" t="s">
        <v>719</v>
      </c>
      <c r="C204" s="3" t="s">
        <v>720</v>
      </c>
      <c r="D204" s="3" t="s">
        <v>2037</v>
      </c>
      <c r="E204" s="1" t="str">
        <f ca="1">CONCATENATE(VLOOKUP(A204,'C'!A:U,10,FALSE),",",VLOOKUP(A204,'C'!A:U,9,FALSE))</f>
        <v>22.27988797,114.186129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3">
      <c r="A205" s="3" t="s">
        <v>2038</v>
      </c>
      <c r="B205" s="3" t="s">
        <v>721</v>
      </c>
      <c r="C205" s="3" t="s">
        <v>722</v>
      </c>
      <c r="D205" s="3" t="s">
        <v>2039</v>
      </c>
      <c r="E205" s="1" t="str">
        <f ca="1">CONCATENATE(VLOOKUP(A205,'C'!A:U,10,FALSE),",",VLOOKUP(A205,'C'!A:U,9,FALSE))</f>
        <v>22.2799502,114.1863851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3">
      <c r="A206" s="3" t="s">
        <v>2040</v>
      </c>
      <c r="B206" s="3" t="s">
        <v>238</v>
      </c>
      <c r="C206" s="3" t="s">
        <v>239</v>
      </c>
      <c r="D206" s="3" t="s">
        <v>2041</v>
      </c>
      <c r="E206" s="1" t="str">
        <f ca="1">CONCATENATE(VLOOKUP(A206,'C'!A:U,10,FALSE),",",VLOOKUP(A206,'C'!A:U,9,FALSE))</f>
        <v>22.31335666,114.1708527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3">
      <c r="A207" s="3" t="s">
        <v>2042</v>
      </c>
      <c r="B207" s="3" t="s">
        <v>241</v>
      </c>
      <c r="C207" s="3" t="s">
        <v>242</v>
      </c>
      <c r="D207" s="3" t="s">
        <v>2043</v>
      </c>
      <c r="E207" s="1" t="str">
        <f ca="1">CONCATENATE(VLOOKUP(A207,'C'!A:U,10,FALSE),",",VLOOKUP(A207,'C'!A:U,9,FALSE))</f>
        <v>22.31321578,114.1708856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3">
      <c r="A208" s="3" t="s">
        <v>2044</v>
      </c>
      <c r="B208" s="3" t="s">
        <v>244</v>
      </c>
      <c r="C208" s="3" t="s">
        <v>245</v>
      </c>
      <c r="D208" s="3" t="s">
        <v>2045</v>
      </c>
      <c r="E208" s="1" t="str">
        <f ca="1">CONCATENATE(VLOOKUP(A208,'C'!A:U,10,FALSE),",",VLOOKUP(A208,'C'!A:U,9,FALSE))</f>
        <v>22.31275516,114.1704589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3">
      <c r="A209" s="3" t="s">
        <v>2046</v>
      </c>
      <c r="B209" s="3" t="s">
        <v>247</v>
      </c>
      <c r="C209" s="3" t="s">
        <v>248</v>
      </c>
      <c r="D209" s="3" t="s">
        <v>2047</v>
      </c>
      <c r="E209" s="1" t="str">
        <f ca="1">CONCATENATE(VLOOKUP(A209,'C'!A:U,10,FALSE),",",VLOOKUP(A209,'C'!A:U,9,FALSE))</f>
        <v>22.31343911,114.1703284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3">
      <c r="A210" s="3" t="s">
        <v>2048</v>
      </c>
      <c r="B210" s="3" t="s">
        <v>724</v>
      </c>
      <c r="C210" s="3" t="s">
        <v>725</v>
      </c>
      <c r="D210" s="3" t="s">
        <v>2049</v>
      </c>
      <c r="E210" s="1" t="str">
        <f ca="1">CONCATENATE(VLOOKUP(A210,'C'!A:U,10,FALSE),",",VLOOKUP(A210,'C'!A:U,9,FALSE))</f>
        <v>22.27957115,114.1884208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3">
      <c r="A211" s="3" t="s">
        <v>2050</v>
      </c>
      <c r="B211" s="3" t="s">
        <v>727</v>
      </c>
      <c r="C211" s="3" t="s">
        <v>728</v>
      </c>
      <c r="D211" s="3" t="s">
        <v>2051</v>
      </c>
      <c r="E211" s="1" t="str">
        <f ca="1">CONCATENATE(VLOOKUP(A211,'C'!A:U,10,FALSE),",",VLOOKUP(A211,'C'!A:U,9,FALSE))</f>
        <v>22.27943899,114.1881336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3">
      <c r="A212" s="3" t="s">
        <v>2052</v>
      </c>
      <c r="B212" s="1"/>
      <c r="C212" s="3" t="s">
        <v>730</v>
      </c>
      <c r="D212" s="1"/>
      <c r="E212" s="1" t="str">
        <f ca="1">CONCATENATE(VLOOKUP(A212,'C'!A:U,10,FALSE),",",VLOOKUP(A212,'C'!A:U,9,FALSE))</f>
        <v>,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3">
      <c r="A213" s="3" t="s">
        <v>2053</v>
      </c>
      <c r="B213" s="1"/>
      <c r="C213" s="3" t="s">
        <v>730</v>
      </c>
      <c r="D213" s="1"/>
      <c r="E213" s="1" t="str">
        <f ca="1">CONCATENATE(VLOOKUP(A213,'C'!A:U,10,FALSE),",",VLOOKUP(A213,'C'!A:U,9,FALSE))</f>
        <v>,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3">
      <c r="A214" s="3" t="s">
        <v>2054</v>
      </c>
      <c r="B214" s="3" t="s">
        <v>250</v>
      </c>
      <c r="C214" s="3" t="s">
        <v>251</v>
      </c>
      <c r="D214" s="3" t="s">
        <v>2055</v>
      </c>
      <c r="E214" s="1" t="str">
        <f ca="1">CONCATENATE(VLOOKUP(A214,'C'!A:U,10,FALSE),",",VLOOKUP(A214,'C'!A:U,9,FALSE))</f>
        <v>22.31517131,114.1704887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3">
      <c r="A215" s="3" t="s">
        <v>2056</v>
      </c>
      <c r="B215" s="3" t="s">
        <v>253</v>
      </c>
      <c r="C215" s="3" t="s">
        <v>254</v>
      </c>
      <c r="D215" s="3" t="s">
        <v>2057</v>
      </c>
      <c r="E215" s="1" t="str">
        <f ca="1">CONCATENATE(VLOOKUP(A215,'C'!A:U,10,FALSE),",",VLOOKUP(A215,'C'!A:U,9,FALSE))</f>
        <v>22.31506029,114.1705116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3">
      <c r="A216" s="3" t="s">
        <v>2058</v>
      </c>
      <c r="B216" s="3" t="s">
        <v>256</v>
      </c>
      <c r="C216" s="3" t="s">
        <v>257</v>
      </c>
      <c r="D216" s="3" t="s">
        <v>2059</v>
      </c>
      <c r="E216" s="1" t="str">
        <f ca="1">CONCATENATE(VLOOKUP(A216,'C'!A:U,10,FALSE),",",VLOOKUP(A216,'C'!A:U,9,FALSE))</f>
        <v>22.31495295,114.1700129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3">
      <c r="A217" s="3" t="s">
        <v>2060</v>
      </c>
      <c r="B217" s="3" t="s">
        <v>259</v>
      </c>
      <c r="C217" s="3" t="s">
        <v>260</v>
      </c>
      <c r="D217" s="3" t="s">
        <v>2061</v>
      </c>
      <c r="E217" s="1" t="str">
        <f ca="1">CONCATENATE(VLOOKUP(A217,'C'!A:U,10,FALSE),",",VLOOKUP(A217,'C'!A:U,9,FALSE))</f>
        <v>22.31511715,114.1699784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3">
      <c r="A218" s="3" t="s">
        <v>2062</v>
      </c>
      <c r="B218" s="1"/>
      <c r="C218" s="3" t="s">
        <v>731</v>
      </c>
      <c r="D218" s="1"/>
      <c r="E218" s="1" t="str">
        <f ca="1">CONCATENATE(VLOOKUP(A218,'C'!A:U,10,FALSE),",",VLOOKUP(A218,'C'!A:U,9,FALSE))</f>
        <v>,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3">
      <c r="A219" s="3" t="s">
        <v>2063</v>
      </c>
      <c r="B219" s="3" t="s">
        <v>732</v>
      </c>
      <c r="C219" s="3" t="s">
        <v>733</v>
      </c>
      <c r="D219" s="3" t="s">
        <v>2064</v>
      </c>
      <c r="E219" s="1" t="str">
        <f ca="1">CONCATENATE(VLOOKUP(A219,'C'!A:U,10,FALSE),",",VLOOKUP(A219,'C'!A:U,9,FALSE))</f>
        <v>22.2799082,114.1896634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3">
      <c r="A220" s="3" t="s">
        <v>2065</v>
      </c>
      <c r="B220" s="1"/>
      <c r="C220" s="3" t="s">
        <v>737</v>
      </c>
      <c r="D220" s="1"/>
      <c r="E220" s="1" t="str">
        <f ca="1">CONCATENATE(VLOOKUP(A220,'C'!A:U,10,FALSE),",",VLOOKUP(A220,'C'!A:U,9,FALSE))</f>
        <v>,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3">
      <c r="A221" s="3" t="s">
        <v>2066</v>
      </c>
      <c r="B221" s="1"/>
      <c r="C221" s="3" t="s">
        <v>737</v>
      </c>
      <c r="D221" s="1"/>
      <c r="E221" s="1" t="str">
        <f ca="1">CONCATENATE(VLOOKUP(A221,'C'!A:U,10,FALSE),",",VLOOKUP(A221,'C'!A:U,9,FALSE))</f>
        <v>,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3">
      <c r="A222" s="3" t="s">
        <v>2067</v>
      </c>
      <c r="B222" s="3" t="s">
        <v>262</v>
      </c>
      <c r="C222" s="3" t="s">
        <v>263</v>
      </c>
      <c r="D222" s="3" t="s">
        <v>2068</v>
      </c>
      <c r="E222" s="1" t="str">
        <f ca="1">CONCATENATE(VLOOKUP(A222,'C'!A:U,10,FALSE),",",VLOOKUP(A222,'C'!A:U,9,FALSE))</f>
        <v>22.31730545,114.1701272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3">
      <c r="A223" s="3" t="s">
        <v>2069</v>
      </c>
      <c r="B223" s="3" t="s">
        <v>266</v>
      </c>
      <c r="C223" s="3" t="s">
        <v>267</v>
      </c>
      <c r="D223" s="3" t="s">
        <v>2070</v>
      </c>
      <c r="E223" s="1" t="str">
        <f ca="1">CONCATENATE(VLOOKUP(A223,'C'!A:U,10,FALSE),",",VLOOKUP(A223,'C'!A:U,9,FALSE))</f>
        <v>22.31690279,114.1702067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3">
      <c r="A224" s="3" t="s">
        <v>2071</v>
      </c>
      <c r="B224" s="3" t="s">
        <v>269</v>
      </c>
      <c r="C224" s="3" t="s">
        <v>270</v>
      </c>
      <c r="D224" s="3" t="s">
        <v>2072</v>
      </c>
      <c r="E224" s="1" t="str">
        <f ca="1">CONCATENATE(VLOOKUP(A224,'C'!A:U,10,FALSE),",",VLOOKUP(A224,'C'!A:U,9,FALSE))</f>
        <v>22.31684557,114.169569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3">
      <c r="A225" s="3" t="s">
        <v>2073</v>
      </c>
      <c r="B225" s="3" t="s">
        <v>272</v>
      </c>
      <c r="C225" s="3" t="s">
        <v>273</v>
      </c>
      <c r="D225" s="3" t="s">
        <v>2074</v>
      </c>
      <c r="E225" s="1" t="str">
        <f ca="1">CONCATENATE(VLOOKUP(A225,'C'!A:U,10,FALSE),",",VLOOKUP(A225,'C'!A:U,9,FALSE))</f>
        <v>22.31716285,114.169553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3">
      <c r="A226" s="3" t="s">
        <v>2075</v>
      </c>
      <c r="B226" s="1"/>
      <c r="C226" s="3" t="s">
        <v>576</v>
      </c>
      <c r="D226" s="1"/>
      <c r="E226" s="1" t="str">
        <f ca="1">CONCATENATE(VLOOKUP(A226,'C'!A:U,10,FALSE),",",VLOOKUP(A226,'C'!A:U,9,FALSE))</f>
        <v>,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3">
      <c r="A227" s="3" t="s">
        <v>2076</v>
      </c>
      <c r="B227" s="3" t="s">
        <v>738</v>
      </c>
      <c r="C227" s="3" t="s">
        <v>739</v>
      </c>
      <c r="D227" s="3" t="s">
        <v>2077</v>
      </c>
      <c r="E227" s="1" t="str">
        <f ca="1">CONCATENATE(VLOOKUP(A227,'C'!A:U,10,FALSE),",",VLOOKUP(A227,'C'!A:U,9,FALSE))</f>
        <v>22.28125726,114.1915176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3">
      <c r="A228" s="3" t="s">
        <v>2078</v>
      </c>
      <c r="B228" s="1"/>
      <c r="C228" s="3" t="s">
        <v>737</v>
      </c>
      <c r="D228" s="1"/>
      <c r="E228" s="1" t="str">
        <f ca="1">CONCATENATE(VLOOKUP(A228,'C'!A:U,10,FALSE),",",VLOOKUP(A228,'C'!A:U,9,FALSE))</f>
        <v>,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3">
      <c r="A229" s="3" t="s">
        <v>2079</v>
      </c>
      <c r="B229" s="3" t="s">
        <v>742</v>
      </c>
      <c r="C229" s="3" t="s">
        <v>743</v>
      </c>
      <c r="D229" s="3" t="s">
        <v>2080</v>
      </c>
      <c r="E229" s="1" t="str">
        <f ca="1">CONCATENATE(VLOOKUP(A229,'C'!A:U,10,FALSE),",",VLOOKUP(A229,'C'!A:U,9,FALSE))</f>
        <v>22.28242876,114.1914991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3">
      <c r="A230" s="3" t="s">
        <v>2081</v>
      </c>
      <c r="B230" s="3" t="s">
        <v>275</v>
      </c>
      <c r="C230" s="3" t="s">
        <v>276</v>
      </c>
      <c r="D230" s="3" t="s">
        <v>2082</v>
      </c>
      <c r="E230" s="1" t="str">
        <f ca="1">CONCATENATE(VLOOKUP(A230,'C'!A:U,10,FALSE),",",VLOOKUP(A230,'C'!A:U,9,FALSE))</f>
        <v>22.31873573,114.1697238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3">
      <c r="A231" s="3" t="s">
        <v>2083</v>
      </c>
      <c r="B231" s="3" t="s">
        <v>278</v>
      </c>
      <c r="C231" s="3" t="s">
        <v>279</v>
      </c>
      <c r="D231" s="3" t="s">
        <v>2084</v>
      </c>
      <c r="E231" s="1" t="str">
        <f ca="1">CONCATENATE(VLOOKUP(A231,'C'!A:U,10,FALSE),",",VLOOKUP(A231,'C'!A:U,9,FALSE))</f>
        <v>22.31862574,114.1697446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3">
      <c r="A232" s="3" t="s">
        <v>2085</v>
      </c>
      <c r="B232" s="3" t="s">
        <v>281</v>
      </c>
      <c r="C232" s="3" t="s">
        <v>282</v>
      </c>
      <c r="D232" s="3" t="s">
        <v>2086</v>
      </c>
      <c r="E232" s="1" t="str">
        <f ca="1">CONCATENATE(VLOOKUP(A232,'C'!A:U,10,FALSE),",",VLOOKUP(A232,'C'!A:U,9,FALSE))</f>
        <v>22.31850095,114.1692747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3">
      <c r="A233" s="3" t="s">
        <v>2087</v>
      </c>
      <c r="B233" s="3" t="s">
        <v>284</v>
      </c>
      <c r="C233" s="3" t="s">
        <v>285</v>
      </c>
      <c r="D233" s="3" t="s">
        <v>2088</v>
      </c>
      <c r="E233" s="1" t="str">
        <f ca="1">CONCATENATE(VLOOKUP(A233,'C'!A:U,10,FALSE),",",VLOOKUP(A233,'C'!A:U,9,FALSE))</f>
        <v>22.3188974,114.1691885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3">
      <c r="A234" s="3" t="s">
        <v>2089</v>
      </c>
      <c r="B234" s="3" t="s">
        <v>745</v>
      </c>
      <c r="C234" s="3" t="s">
        <v>746</v>
      </c>
      <c r="D234" s="3" t="s">
        <v>2090</v>
      </c>
      <c r="E234" s="1" t="str">
        <f ca="1">CONCATENATE(VLOOKUP(A234,'C'!A:U,10,FALSE),",",VLOOKUP(A234,'C'!A:U,9,FALSE))</f>
        <v>22.28326376,114.1928639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3">
      <c r="A235" s="3" t="s">
        <v>2091</v>
      </c>
      <c r="B235" s="3" t="s">
        <v>749</v>
      </c>
      <c r="C235" s="3" t="s">
        <v>750</v>
      </c>
      <c r="D235" s="3" t="s">
        <v>2092</v>
      </c>
      <c r="E235" s="1" t="str">
        <f ca="1">CONCATENATE(VLOOKUP(A235,'C'!A:U,10,FALSE),",",VLOOKUP(A235,'C'!A:U,9,FALSE))</f>
        <v>22.28279895,114.1926816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3">
      <c r="A236" s="3" t="s">
        <v>2093</v>
      </c>
      <c r="B236" s="3" t="s">
        <v>752</v>
      </c>
      <c r="C236" s="3" t="s">
        <v>753</v>
      </c>
      <c r="D236" s="3" t="s">
        <v>2080</v>
      </c>
      <c r="E236" s="1" t="str">
        <f ca="1">CONCATENATE(VLOOKUP(A236,'C'!A:U,10,FALSE),",",VLOOKUP(A236,'C'!A:U,9,FALSE))</f>
        <v>22.28271654,114.191851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3">
      <c r="A237" s="3" t="s">
        <v>2094</v>
      </c>
      <c r="B237" s="3" t="s">
        <v>756</v>
      </c>
      <c r="C237" s="3" t="s">
        <v>757</v>
      </c>
      <c r="D237" s="3" t="s">
        <v>2095</v>
      </c>
      <c r="E237" s="1" t="str">
        <f ca="1">CONCATENATE(VLOOKUP(A237,'C'!A:U,10,FALSE),",",VLOOKUP(A237,'C'!A:U,9,FALSE))</f>
        <v>22.28320283,114.1921628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3">
      <c r="A238" s="3" t="s">
        <v>2096</v>
      </c>
      <c r="B238" s="3" t="s">
        <v>286</v>
      </c>
      <c r="C238" s="3" t="s">
        <v>287</v>
      </c>
      <c r="D238" s="3" t="s">
        <v>2097</v>
      </c>
      <c r="E238" s="1" t="str">
        <f ca="1">CONCATENATE(VLOOKUP(A238,'C'!A:U,10,FALSE),",",VLOOKUP(A238,'C'!A:U,9,FALSE))</f>
        <v>22.32058005,114.169452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3">
      <c r="A239" s="3" t="s">
        <v>2098</v>
      </c>
      <c r="B239" s="3" t="s">
        <v>288</v>
      </c>
      <c r="C239" s="3" t="s">
        <v>289</v>
      </c>
      <c r="D239" s="3" t="s">
        <v>2099</v>
      </c>
      <c r="E239" s="1" t="str">
        <f ca="1">CONCATENATE(VLOOKUP(A239,'C'!A:U,10,FALSE),",",VLOOKUP(A239,'C'!A:U,9,FALSE))</f>
        <v>22.31997164,114.1696267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3">
      <c r="A240" s="3" t="s">
        <v>2100</v>
      </c>
      <c r="B240" s="3" t="s">
        <v>290</v>
      </c>
      <c r="C240" s="3" t="s">
        <v>291</v>
      </c>
      <c r="D240" s="3" t="s">
        <v>2101</v>
      </c>
      <c r="E240" s="1" t="str">
        <f ca="1">CONCATENATE(VLOOKUP(A240,'C'!A:U,10,FALSE),",",VLOOKUP(A240,'C'!A:U,9,FALSE))</f>
        <v>22.32032038,114.1688979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3">
      <c r="A241" s="3" t="s">
        <v>2102</v>
      </c>
      <c r="B241" s="3" t="s">
        <v>294</v>
      </c>
      <c r="C241" s="3" t="s">
        <v>295</v>
      </c>
      <c r="D241" s="3" t="s">
        <v>2103</v>
      </c>
      <c r="E241" s="1" t="str">
        <f ca="1">CONCATENATE(VLOOKUP(A241,'C'!A:U,10,FALSE),",",VLOOKUP(A241,'C'!A:U,9,FALSE))</f>
        <v>22.32040137,114.1688884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3">
      <c r="A242" s="3" t="s">
        <v>2104</v>
      </c>
      <c r="B242" s="3" t="s">
        <v>759</v>
      </c>
      <c r="C242" s="3" t="s">
        <v>760</v>
      </c>
      <c r="D242" s="3" t="s">
        <v>2105</v>
      </c>
      <c r="E242" s="1" t="str">
        <f ca="1">CONCATENATE(VLOOKUP(A242,'C'!A:U,10,FALSE),",",VLOOKUP(A242,'C'!A:U,9,FALSE))</f>
        <v>22.2853423,114.193305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3">
      <c r="A243" s="3" t="s">
        <v>2106</v>
      </c>
      <c r="B243" s="3" t="s">
        <v>763</v>
      </c>
      <c r="C243" s="3" t="s">
        <v>764</v>
      </c>
      <c r="D243" s="3" t="s">
        <v>2107</v>
      </c>
      <c r="E243" s="1" t="str">
        <f ca="1">CONCATENATE(VLOOKUP(A243,'C'!A:U,10,FALSE),",",VLOOKUP(A243,'C'!A:U,9,FALSE))</f>
        <v>22.28451952,114.1931637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3">
      <c r="A244" s="3" t="s">
        <v>2108</v>
      </c>
      <c r="B244" s="3" t="s">
        <v>766</v>
      </c>
      <c r="C244" s="3" t="s">
        <v>767</v>
      </c>
      <c r="D244" s="3" t="s">
        <v>2109</v>
      </c>
      <c r="E244" s="1" t="str">
        <f ca="1">CONCATENATE(VLOOKUP(A244,'C'!A:U,10,FALSE),",",VLOOKUP(A244,'C'!A:U,9,FALSE))</f>
        <v>22.28465636,114.1925643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3">
      <c r="A245" s="3" t="s">
        <v>2110</v>
      </c>
      <c r="B245" s="3" t="s">
        <v>769</v>
      </c>
      <c r="C245" s="3" t="s">
        <v>770</v>
      </c>
      <c r="D245" s="3" t="s">
        <v>2111</v>
      </c>
      <c r="E245" s="1" t="str">
        <f ca="1">CONCATENATE(VLOOKUP(A245,'C'!A:U,10,FALSE),",",VLOOKUP(A245,'C'!A:U,9,FALSE))</f>
        <v>22.28496189,114.192647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3">
      <c r="A246" s="3" t="s">
        <v>2112</v>
      </c>
      <c r="B246" s="3" t="s">
        <v>297</v>
      </c>
      <c r="C246" s="3" t="s">
        <v>298</v>
      </c>
      <c r="D246" s="3" t="s">
        <v>2113</v>
      </c>
      <c r="E246" s="1" t="str">
        <f ca="1">CONCATENATE(VLOOKUP(A246,'C'!A:U,10,FALSE),",",VLOOKUP(A246,'C'!A:U,9,FALSE))</f>
        <v>22.32255841,114.1690485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3">
      <c r="A247" s="3" t="s">
        <v>2114</v>
      </c>
      <c r="B247" s="3" t="s">
        <v>300</v>
      </c>
      <c r="C247" s="3" t="s">
        <v>301</v>
      </c>
      <c r="D247" s="3" t="s">
        <v>2115</v>
      </c>
      <c r="E247" s="1" t="str">
        <f ca="1">CONCATENATE(VLOOKUP(A247,'C'!A:U,10,FALSE),",",VLOOKUP(A247,'C'!A:U,9,FALSE))</f>
        <v>22.32192405,114.1690585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3">
      <c r="A248" s="3" t="s">
        <v>2116</v>
      </c>
      <c r="B248" s="3" t="s">
        <v>303</v>
      </c>
      <c r="C248" s="3" t="s">
        <v>304</v>
      </c>
      <c r="D248" s="3" t="s">
        <v>2117</v>
      </c>
      <c r="E248" s="1" t="str">
        <f ca="1">CONCATENATE(VLOOKUP(A248,'C'!A:U,10,FALSE),",",VLOOKUP(A248,'C'!A:U,9,FALSE))</f>
        <v>22.32176889,114.1686103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3">
      <c r="A249" s="3" t="s">
        <v>2118</v>
      </c>
      <c r="B249" s="3" t="s">
        <v>306</v>
      </c>
      <c r="C249" s="3" t="s">
        <v>307</v>
      </c>
      <c r="D249" s="3" t="s">
        <v>2119</v>
      </c>
      <c r="E249" s="1" t="str">
        <f ca="1">CONCATENATE(VLOOKUP(A249,'C'!A:U,10,FALSE),",",VLOOKUP(A249,'C'!A:U,9,FALSE))</f>
        <v>22.32214633,114.1684319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3">
      <c r="A250" s="3" t="s">
        <v>2120</v>
      </c>
      <c r="B250" s="1"/>
      <c r="C250" s="3" t="s">
        <v>772</v>
      </c>
      <c r="D250" s="1"/>
      <c r="E250" s="1" t="str">
        <f ca="1">CONCATENATE(VLOOKUP(A250,'C'!A:U,10,FALSE),",",VLOOKUP(A250,'C'!A:U,9,FALSE))</f>
        <v>,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3">
      <c r="A251" s="3" t="s">
        <v>2121</v>
      </c>
      <c r="B251" s="3" t="s">
        <v>773</v>
      </c>
      <c r="C251" s="3" t="s">
        <v>774</v>
      </c>
      <c r="D251" s="3" t="s">
        <v>2122</v>
      </c>
      <c r="E251" s="1" t="str">
        <f ca="1">CONCATENATE(VLOOKUP(A251,'C'!A:U,10,FALSE),",",VLOOKUP(A251,'C'!A:U,9,FALSE))</f>
        <v>22.28650179,114.1931619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3">
      <c r="A252" s="3" t="s">
        <v>2123</v>
      </c>
      <c r="B252" s="3" t="s">
        <v>775</v>
      </c>
      <c r="C252" s="3" t="s">
        <v>776</v>
      </c>
      <c r="D252" s="3" t="s">
        <v>2124</v>
      </c>
      <c r="E252" s="1" t="str">
        <f ca="1">CONCATENATE(VLOOKUP(A252,'C'!A:U,10,FALSE),",",VLOOKUP(A252,'C'!A:U,9,FALSE))</f>
        <v>22.28654597,114.1927075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3">
      <c r="A253" s="3" t="s">
        <v>2125</v>
      </c>
      <c r="B253" s="3" t="s">
        <v>778</v>
      </c>
      <c r="C253" s="3" t="s">
        <v>779</v>
      </c>
      <c r="D253" s="3" t="s">
        <v>2126</v>
      </c>
      <c r="E253" s="1" t="str">
        <f ca="1">CONCATENATE(VLOOKUP(A253,'C'!A:U,10,FALSE),",",VLOOKUP(A253,'C'!A:U,9,FALSE))</f>
        <v>22.28678826,114.1926494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3">
      <c r="A254" s="3" t="s">
        <v>2127</v>
      </c>
      <c r="B254" s="3" t="s">
        <v>309</v>
      </c>
      <c r="C254" s="3" t="s">
        <v>310</v>
      </c>
      <c r="D254" s="3" t="s">
        <v>2128</v>
      </c>
      <c r="E254" s="1" t="str">
        <f ca="1">CONCATENATE(VLOOKUP(A254,'C'!A:U,10,FALSE),",",VLOOKUP(A254,'C'!A:U,9,FALSE))</f>
        <v>22.32441914,114.1689185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3">
      <c r="A255" s="3" t="s">
        <v>2129</v>
      </c>
      <c r="B255" s="3" t="s">
        <v>312</v>
      </c>
      <c r="C255" s="3" t="s">
        <v>313</v>
      </c>
      <c r="D255" s="3" t="s">
        <v>2130</v>
      </c>
      <c r="E255" s="1" t="str">
        <f ca="1">CONCATENATE(VLOOKUP(A255,'C'!A:U,10,FALSE),",",VLOOKUP(A255,'C'!A:U,9,FALSE))</f>
        <v>22.32372943,114.168095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3">
      <c r="A256" s="3" t="s">
        <v>2131</v>
      </c>
      <c r="B256" s="3" t="s">
        <v>316</v>
      </c>
      <c r="C256" s="3" t="s">
        <v>317</v>
      </c>
      <c r="D256" s="3" t="s">
        <v>2132</v>
      </c>
      <c r="E256" s="1" t="str">
        <f ca="1">CONCATENATE(VLOOKUP(A256,'C'!A:U,10,FALSE),",",VLOOKUP(A256,'C'!A:U,9,FALSE))</f>
        <v>22.32385622,114.1687745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3">
      <c r="A257" s="3" t="s">
        <v>2133</v>
      </c>
      <c r="B257" s="3" t="s">
        <v>319</v>
      </c>
      <c r="C257" s="3" t="s">
        <v>320</v>
      </c>
      <c r="D257" s="3" t="s">
        <v>2134</v>
      </c>
      <c r="E257" s="1" t="str">
        <f ca="1">CONCATENATE(VLOOKUP(A257,'C'!A:U,10,FALSE),",",VLOOKUP(A257,'C'!A:U,9,FALSE))</f>
        <v>22.32420912,114.1681496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3">
      <c r="A258" s="3" t="s">
        <v>2135</v>
      </c>
      <c r="B258" s="3" t="s">
        <v>781</v>
      </c>
      <c r="C258" s="3" t="s">
        <v>782</v>
      </c>
      <c r="D258" s="3" t="s">
        <v>2136</v>
      </c>
      <c r="E258" s="1" t="str">
        <f ca="1">CONCATENATE(VLOOKUP(A258,'C'!A:U,10,FALSE),",",VLOOKUP(A258,'C'!A:U,9,FALSE))</f>
        <v>22.28840514,114.1941391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3">
      <c r="A259" s="3" t="s">
        <v>2137</v>
      </c>
      <c r="B259" s="3" t="s">
        <v>784</v>
      </c>
      <c r="C259" s="3" t="s">
        <v>785</v>
      </c>
      <c r="D259" s="3" t="s">
        <v>2136</v>
      </c>
      <c r="E259" s="1" t="str">
        <f ca="1">CONCATENATE(VLOOKUP(A259,'C'!A:U,10,FALSE),",",VLOOKUP(A259,'C'!A:U,9,FALSE))</f>
        <v>22.2880551,114.1938284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3">
      <c r="A260" s="3" t="s">
        <v>2138</v>
      </c>
      <c r="B260" s="3" t="s">
        <v>787</v>
      </c>
      <c r="C260" s="3" t="s">
        <v>788</v>
      </c>
      <c r="D260" s="3" t="s">
        <v>2139</v>
      </c>
      <c r="E260" s="1" t="str">
        <f ca="1">CONCATENATE(VLOOKUP(A260,'C'!A:U,10,FALSE),",",VLOOKUP(A260,'C'!A:U,9,FALSE))</f>
        <v>22.28842144,114.1933551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3">
      <c r="A261" s="3" t="s">
        <v>2140</v>
      </c>
      <c r="B261" s="3" t="s">
        <v>790</v>
      </c>
      <c r="C261" s="3" t="s">
        <v>791</v>
      </c>
      <c r="D261" s="3" t="s">
        <v>2141</v>
      </c>
      <c r="E261" s="1" t="str">
        <f ca="1">CONCATENATE(VLOOKUP(A261,'C'!A:U,10,FALSE),",",VLOOKUP(A261,'C'!A:U,9,FALSE))</f>
        <v>22.28869566,114.1935827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3">
      <c r="A262" s="3" t="s">
        <v>2142</v>
      </c>
      <c r="B262" s="3" t="s">
        <v>322</v>
      </c>
      <c r="C262" s="3" t="s">
        <v>323</v>
      </c>
      <c r="D262" s="3" t="s">
        <v>2143</v>
      </c>
      <c r="E262" s="1" t="str">
        <f ca="1">CONCATENATE(VLOOKUP(A262,'C'!A:U,10,FALSE),",",VLOOKUP(A262,'C'!A:U,9,FALSE))</f>
        <v>22.32580155,114.1682647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3">
      <c r="A263" s="3" t="s">
        <v>2144</v>
      </c>
      <c r="B263" s="3" t="s">
        <v>325</v>
      </c>
      <c r="C263" s="3" t="s">
        <v>326</v>
      </c>
      <c r="D263" s="3" t="s">
        <v>2145</v>
      </c>
      <c r="E263" s="1" t="str">
        <f ca="1">CONCATENATE(VLOOKUP(A263,'C'!A:U,10,FALSE),",",VLOOKUP(A263,'C'!A:U,9,FALSE))</f>
        <v>22.32573051,114.1682715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3">
      <c r="A264" s="3" t="s">
        <v>2146</v>
      </c>
      <c r="B264" s="3" t="s">
        <v>328</v>
      </c>
      <c r="C264" s="3" t="s">
        <v>329</v>
      </c>
      <c r="D264" s="3" t="s">
        <v>2147</v>
      </c>
      <c r="E264" s="1" t="str">
        <f ca="1">CONCATENATE(VLOOKUP(A264,'C'!A:U,10,FALSE),",",VLOOKUP(A264,'C'!A:U,9,FALSE))</f>
        <v>22.32554891,114.1678362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3">
      <c r="A265" s="3" t="s">
        <v>2148</v>
      </c>
      <c r="B265" s="3" t="s">
        <v>331</v>
      </c>
      <c r="C265" s="3" t="s">
        <v>332</v>
      </c>
      <c r="D265" s="3" t="s">
        <v>2149</v>
      </c>
      <c r="E265" s="1" t="str">
        <f ca="1">CONCATENATE(VLOOKUP(A265,'C'!A:U,10,FALSE),",",VLOOKUP(A265,'C'!A:U,9,FALSE))</f>
        <v>22.32576328,114.1678002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3">
      <c r="A266" s="3" t="s">
        <v>2150</v>
      </c>
      <c r="B266" s="3" t="s">
        <v>793</v>
      </c>
      <c r="C266" s="3" t="s">
        <v>794</v>
      </c>
      <c r="D266" s="3" t="s">
        <v>2151</v>
      </c>
      <c r="E266" s="1" t="str">
        <f ca="1">CONCATENATE(VLOOKUP(A266,'C'!A:U,10,FALSE),",",VLOOKUP(A266,'C'!A:U,9,FALSE))</f>
        <v>22.28973835,114.1951709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3">
      <c r="A267" s="3" t="s">
        <v>2152</v>
      </c>
      <c r="B267" s="3" t="s">
        <v>796</v>
      </c>
      <c r="C267" s="3" t="s">
        <v>797</v>
      </c>
      <c r="D267" s="3" t="s">
        <v>2153</v>
      </c>
      <c r="E267" s="1" t="str">
        <f ca="1">CONCATENATE(VLOOKUP(A267,'C'!A:U,10,FALSE),",",VLOOKUP(A267,'C'!A:U,9,FALSE))</f>
        <v>22.28950145,114.19496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3">
      <c r="A268" s="3" t="s">
        <v>2154</v>
      </c>
      <c r="B268" s="3" t="s">
        <v>799</v>
      </c>
      <c r="C268" s="3" t="s">
        <v>800</v>
      </c>
      <c r="D268" s="3" t="s">
        <v>2155</v>
      </c>
      <c r="E268" s="1" t="str">
        <f ca="1">CONCATENATE(VLOOKUP(A268,'C'!A:U,10,FALSE),",",VLOOKUP(A268,'C'!A:U,9,FALSE))</f>
        <v>22.28983136,114.1944777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3">
      <c r="A269" s="3" t="s">
        <v>2156</v>
      </c>
      <c r="B269" s="3" t="s">
        <v>802</v>
      </c>
      <c r="C269" s="3" t="s">
        <v>803</v>
      </c>
      <c r="D269" s="3" t="s">
        <v>2157</v>
      </c>
      <c r="E269" s="1" t="str">
        <f ca="1">CONCATENATE(VLOOKUP(A269,'C'!A:U,10,FALSE),",",VLOOKUP(A269,'C'!A:U,9,FALSE))</f>
        <v>22.29005956,114.194783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3">
      <c r="A270" s="3" t="s">
        <v>2158</v>
      </c>
      <c r="B270" s="3" t="s">
        <v>334</v>
      </c>
      <c r="C270" s="3" t="s">
        <v>335</v>
      </c>
      <c r="D270" s="3" t="s">
        <v>2159</v>
      </c>
      <c r="E270" s="1" t="str">
        <f ca="1">CONCATENATE(VLOOKUP(A270,'C'!A:U,10,FALSE),",",VLOOKUP(A270,'C'!A:U,9,FALSE))</f>
        <v>22.32753726,114.1675795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3">
      <c r="A271" s="3" t="s">
        <v>2160</v>
      </c>
      <c r="B271" s="3" t="s">
        <v>338</v>
      </c>
      <c r="C271" s="3" t="s">
        <v>339</v>
      </c>
      <c r="D271" s="3" t="s">
        <v>2161</v>
      </c>
      <c r="E271" s="1" t="str">
        <f ca="1">CONCATENATE(VLOOKUP(A271,'C'!A:U,10,FALSE),",",VLOOKUP(A271,'C'!A:U,9,FALSE))</f>
        <v>22.32729458,114.1676831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3">
      <c r="A272" s="3" t="s">
        <v>2162</v>
      </c>
      <c r="B272" s="3" t="s">
        <v>341</v>
      </c>
      <c r="C272" s="3" t="s">
        <v>214</v>
      </c>
      <c r="D272" s="3" t="s">
        <v>2163</v>
      </c>
      <c r="E272" s="1" t="str">
        <f ca="1">CONCATENATE(VLOOKUP(A272,'C'!A:U,10,FALSE),",",VLOOKUP(A272,'C'!A:U,9,FALSE))</f>
        <v>22.32742151,114.1669699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3">
      <c r="A273" s="3" t="s">
        <v>2164</v>
      </c>
      <c r="B273" s="3" t="s">
        <v>343</v>
      </c>
      <c r="C273" s="3" t="s">
        <v>344</v>
      </c>
      <c r="D273" s="3" t="s">
        <v>2165</v>
      </c>
      <c r="E273" s="1" t="str">
        <f ca="1">CONCATENATE(VLOOKUP(A273,'C'!A:U,10,FALSE),",",VLOOKUP(A273,'C'!A:U,9,FALSE))</f>
        <v>22.32758326,114.1671124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3">
      <c r="A274" s="3" t="s">
        <v>2166</v>
      </c>
      <c r="B274" s="3" t="s">
        <v>805</v>
      </c>
      <c r="C274" s="3" t="s">
        <v>806</v>
      </c>
      <c r="D274" s="3" t="s">
        <v>2167</v>
      </c>
      <c r="E274" s="1" t="str">
        <f ca="1">CONCATENATE(VLOOKUP(A274,'C'!A:U,10,FALSE),",",VLOOKUP(A274,'C'!A:U,9,FALSE))</f>
        <v>22.29020588,114.1968598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3">
      <c r="A275" s="3" t="s">
        <v>2168</v>
      </c>
      <c r="B275" s="3" t="s">
        <v>808</v>
      </c>
      <c r="C275" s="3" t="s">
        <v>809</v>
      </c>
      <c r="D275" s="3" t="s">
        <v>2169</v>
      </c>
      <c r="E275" s="1" t="str">
        <f ca="1">CONCATENATE(VLOOKUP(A275,'C'!A:U,10,FALSE),",",VLOOKUP(A275,'C'!A:U,9,FALSE))</f>
        <v>22.29012049,114.1964724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3">
      <c r="A276" s="3" t="s">
        <v>2170</v>
      </c>
      <c r="B276" s="3" t="s">
        <v>811</v>
      </c>
      <c r="C276" s="3" t="s">
        <v>812</v>
      </c>
      <c r="D276" s="3" t="s">
        <v>2171</v>
      </c>
      <c r="E276" s="1" t="str">
        <f ca="1">CONCATENATE(VLOOKUP(A276,'C'!A:U,10,FALSE),",",VLOOKUP(A276,'C'!A:U,9,FALSE))</f>
        <v>22.29067625,114.1964841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3">
      <c r="A277" s="3" t="s">
        <v>2172</v>
      </c>
      <c r="B277" s="3" t="s">
        <v>814</v>
      </c>
      <c r="C277" s="3" t="s">
        <v>815</v>
      </c>
      <c r="D277" s="3" t="s">
        <v>2173</v>
      </c>
      <c r="E277" s="1" t="str">
        <f ca="1">CONCATENATE(VLOOKUP(A277,'C'!A:U,10,FALSE),",",VLOOKUP(A277,'C'!A:U,9,FALSE))</f>
        <v>22.2907218,114.1969751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3">
      <c r="A278" s="3" t="s">
        <v>2174</v>
      </c>
      <c r="B278" s="3" t="s">
        <v>346</v>
      </c>
      <c r="C278" s="3" t="s">
        <v>347</v>
      </c>
      <c r="D278" s="3" t="s">
        <v>2175</v>
      </c>
      <c r="E278" s="1" t="str">
        <f ca="1">CONCATENATE(VLOOKUP(A278,'C'!A:U,10,FALSE),",",VLOOKUP(A278,'C'!A:U,9,FALSE))</f>
        <v>22.32880536,114.1665059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3">
      <c r="A279" s="3" t="s">
        <v>2176</v>
      </c>
      <c r="B279" s="3" t="s">
        <v>349</v>
      </c>
      <c r="C279" s="3" t="s">
        <v>350</v>
      </c>
      <c r="D279" s="3" t="s">
        <v>2177</v>
      </c>
      <c r="E279" s="1" t="str">
        <f ca="1">CONCATENATE(VLOOKUP(A279,'C'!A:U,10,FALSE),",",VLOOKUP(A279,'C'!A:U,9,FALSE))</f>
        <v>22.32875931,114.1669798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3">
      <c r="A280" s="3" t="s">
        <v>2178</v>
      </c>
      <c r="B280" s="3" t="s">
        <v>352</v>
      </c>
      <c r="C280" s="3" t="s">
        <v>353</v>
      </c>
      <c r="D280" s="3" t="s">
        <v>2179</v>
      </c>
      <c r="E280" s="1" t="str">
        <f ca="1">CONCATENATE(VLOOKUP(A280,'C'!A:U,10,FALSE),",",VLOOKUP(A280,'C'!A:U,9,FALSE))</f>
        <v>22.32871584,114.1665802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3">
      <c r="A281" s="3" t="s">
        <v>2180</v>
      </c>
      <c r="B281" s="3" t="s">
        <v>354</v>
      </c>
      <c r="C281" s="3" t="s">
        <v>355</v>
      </c>
      <c r="D281" s="3" t="s">
        <v>2181</v>
      </c>
      <c r="E281" s="1" t="str">
        <f ca="1">CONCATENATE(VLOOKUP(A281,'C'!A:U,10,FALSE),",",VLOOKUP(A281,'C'!A:U,9,FALSE))</f>
        <v>22.32896527,114.1669379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3">
      <c r="A282" s="3" t="s">
        <v>2182</v>
      </c>
      <c r="B282" s="3" t="s">
        <v>817</v>
      </c>
      <c r="C282" s="3" t="s">
        <v>818</v>
      </c>
      <c r="D282" s="3" t="s">
        <v>2183</v>
      </c>
      <c r="E282" s="1" t="str">
        <f ca="1">CONCATENATE(VLOOKUP(A282,'C'!A:U,10,FALSE),",",VLOOKUP(A282,'C'!A:U,9,FALSE))</f>
        <v>22.29051577,114.1989373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3">
      <c r="A283" s="3" t="s">
        <v>2184</v>
      </c>
      <c r="B283" s="3" t="s">
        <v>820</v>
      </c>
      <c r="C283" s="3" t="s">
        <v>821</v>
      </c>
      <c r="D283" s="3" t="s">
        <v>2185</v>
      </c>
      <c r="E283" s="1" t="str">
        <f ca="1">CONCATENATE(VLOOKUP(A283,'C'!A:U,10,FALSE),",",VLOOKUP(A283,'C'!A:U,9,FALSE))</f>
        <v>22.29044098,114.1986769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3">
      <c r="A284" s="3" t="s">
        <v>2186</v>
      </c>
      <c r="B284" s="3" t="s">
        <v>823</v>
      </c>
      <c r="C284" s="3" t="s">
        <v>824</v>
      </c>
      <c r="D284" s="3" t="s">
        <v>2187</v>
      </c>
      <c r="E284" s="1" t="str">
        <f ca="1">CONCATENATE(VLOOKUP(A284,'C'!A:U,10,FALSE),",",VLOOKUP(A284,'C'!A:U,9,FALSE))</f>
        <v>22.29104316,114.1985141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3">
      <c r="A285" s="3" t="s">
        <v>2188</v>
      </c>
      <c r="B285" s="3" t="s">
        <v>826</v>
      </c>
      <c r="C285" s="3" t="s">
        <v>827</v>
      </c>
      <c r="D285" s="3" t="s">
        <v>2189</v>
      </c>
      <c r="E285" s="1" t="str">
        <f ca="1">CONCATENATE(VLOOKUP(A285,'C'!A:U,10,FALSE),",",VLOOKUP(A285,'C'!A:U,9,FALSE))</f>
        <v>22.29127536,114.199158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3">
      <c r="A286" s="3" t="s">
        <v>2190</v>
      </c>
      <c r="B286" s="3" t="s">
        <v>357</v>
      </c>
      <c r="C286" s="3" t="s">
        <v>358</v>
      </c>
      <c r="D286" s="3" t="s">
        <v>2191</v>
      </c>
      <c r="E286" s="1" t="str">
        <f ca="1">CONCATENATE(VLOOKUP(A286,'C'!A:U,10,FALSE),",",VLOOKUP(A286,'C'!A:U,9,FALSE))</f>
        <v>22.33077512,114.1658972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3">
      <c r="A287" s="3" t="s">
        <v>2192</v>
      </c>
      <c r="B287" s="3" t="s">
        <v>360</v>
      </c>
      <c r="C287" s="3" t="s">
        <v>361</v>
      </c>
      <c r="D287" s="3" t="s">
        <v>2193</v>
      </c>
      <c r="E287" s="1" t="str">
        <f ca="1">CONCATENATE(VLOOKUP(A287,'C'!A:U,10,FALSE),",",VLOOKUP(A287,'C'!A:U,9,FALSE))</f>
        <v>22.33044344,114.1662387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3">
      <c r="A288" s="3" t="s">
        <v>2194</v>
      </c>
      <c r="B288" s="3" t="s">
        <v>363</v>
      </c>
      <c r="C288" s="3" t="s">
        <v>364</v>
      </c>
      <c r="D288" s="3" t="s">
        <v>2195</v>
      </c>
      <c r="E288" s="1" t="str">
        <f ca="1">CONCATENATE(VLOOKUP(A288,'C'!A:U,10,FALSE),",",VLOOKUP(A288,'C'!A:U,9,FALSE))</f>
        <v>22.33020099,114.165718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3">
      <c r="A289" s="3" t="s">
        <v>2196</v>
      </c>
      <c r="B289" s="3" t="s">
        <v>366</v>
      </c>
      <c r="C289" s="3" t="s">
        <v>367</v>
      </c>
      <c r="D289" s="3" t="s">
        <v>2197</v>
      </c>
      <c r="E289" s="1" t="str">
        <f ca="1">CONCATENATE(VLOOKUP(A289,'C'!A:U,10,FALSE),",",VLOOKUP(A289,'C'!A:U,9,FALSE))</f>
        <v>22.33036555,114.1655774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3">
      <c r="A290" s="3" t="s">
        <v>2198</v>
      </c>
      <c r="B290" s="3" t="s">
        <v>829</v>
      </c>
      <c r="C290" s="3" t="s">
        <v>830</v>
      </c>
      <c r="D290" s="3" t="s">
        <v>2199</v>
      </c>
      <c r="E290" s="1" t="str">
        <f ca="1">CONCATENATE(VLOOKUP(A290,'C'!A:U,10,FALSE),",",VLOOKUP(A290,'C'!A:U,9,FALSE))</f>
        <v>22.29103947,114.2007837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3">
      <c r="A291" s="3" t="s">
        <v>2200</v>
      </c>
      <c r="B291" s="3" t="s">
        <v>832</v>
      </c>
      <c r="C291" s="3" t="s">
        <v>833</v>
      </c>
      <c r="D291" s="3" t="s">
        <v>2201</v>
      </c>
      <c r="E291" s="1" t="str">
        <f ca="1">CONCATENATE(VLOOKUP(A291,'C'!A:U,10,FALSE),",",VLOOKUP(A291,'C'!A:U,9,FALSE))</f>
        <v>22.29081561,114.2001915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3">
      <c r="A292" s="3" t="s">
        <v>2202</v>
      </c>
      <c r="B292" s="3" t="s">
        <v>835</v>
      </c>
      <c r="C292" s="3" t="s">
        <v>836</v>
      </c>
      <c r="D292" s="3" t="s">
        <v>2203</v>
      </c>
      <c r="E292" s="1" t="str">
        <f ca="1">CONCATENATE(VLOOKUP(A292,'C'!A:U,10,FALSE),",",VLOOKUP(A292,'C'!A:U,9,FALSE))</f>
        <v>22.29141885,114.2003975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3">
      <c r="A293" s="3" t="s">
        <v>2204</v>
      </c>
      <c r="B293" s="3" t="s">
        <v>838</v>
      </c>
      <c r="C293" s="3" t="s">
        <v>839</v>
      </c>
      <c r="D293" s="3" t="s">
        <v>2205</v>
      </c>
      <c r="E293" s="1" t="str">
        <f ca="1">CONCATENATE(VLOOKUP(A293,'C'!A:U,10,FALSE),",",VLOOKUP(A293,'C'!A:U,9,FALSE))</f>
        <v>22.29146201,114.2005865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3">
      <c r="A294" s="3" t="s">
        <v>2206</v>
      </c>
      <c r="B294" s="3" t="s">
        <v>368</v>
      </c>
      <c r="C294" s="3" t="s">
        <v>369</v>
      </c>
      <c r="D294" s="3" t="s">
        <v>2207</v>
      </c>
      <c r="E294" s="1" t="str">
        <f ca="1">CONCATENATE(VLOOKUP(A294,'C'!A:U,10,FALSE),",",VLOOKUP(A294,'C'!A:U,9,FALSE))</f>
        <v>22.3320813,114.1647871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3">
      <c r="A295" s="3" t="s">
        <v>2208</v>
      </c>
      <c r="B295" s="3" t="s">
        <v>371</v>
      </c>
      <c r="C295" s="3" t="s">
        <v>372</v>
      </c>
      <c r="D295" s="3" t="s">
        <v>2209</v>
      </c>
      <c r="E295" s="1" t="str">
        <f ca="1">CONCATENATE(VLOOKUP(A295,'C'!A:U,10,FALSE),",",VLOOKUP(A295,'C'!A:U,9,FALSE))</f>
        <v>22.3319439,114.1649091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3">
      <c r="A296" s="3" t="s">
        <v>2210</v>
      </c>
      <c r="B296" s="3" t="s">
        <v>374</v>
      </c>
      <c r="C296" s="3" t="s">
        <v>375</v>
      </c>
      <c r="D296" s="3" t="s">
        <v>2211</v>
      </c>
      <c r="E296" s="1" t="str">
        <f ca="1">CONCATENATE(VLOOKUP(A296,'C'!A:U,10,FALSE),",",VLOOKUP(A296,'C'!A:U,9,FALSE))</f>
        <v>22.33176821,114.1645211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3">
      <c r="A297" s="3" t="s">
        <v>2212</v>
      </c>
      <c r="B297" s="3" t="s">
        <v>377</v>
      </c>
      <c r="C297" s="3" t="s">
        <v>378</v>
      </c>
      <c r="D297" s="3" t="s">
        <v>2213</v>
      </c>
      <c r="E297" s="1" t="str">
        <f ca="1">CONCATENATE(VLOOKUP(A297,'C'!A:U,10,FALSE),",",VLOOKUP(A297,'C'!A:U,9,FALSE))</f>
        <v>22.33191272,114.1643397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3">
      <c r="A298" s="3" t="s">
        <v>2214</v>
      </c>
      <c r="B298" s="3" t="s">
        <v>841</v>
      </c>
      <c r="C298" s="3" t="s">
        <v>842</v>
      </c>
      <c r="D298" s="3" t="s">
        <v>2215</v>
      </c>
      <c r="E298" s="1" t="str">
        <f ca="1">CONCATENATE(VLOOKUP(A298,'C'!A:U,10,FALSE),",",VLOOKUP(A298,'C'!A:U,9,FALSE))</f>
        <v>22.29112688,114.2030122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3">
      <c r="A299" s="3" t="s">
        <v>2216</v>
      </c>
      <c r="B299" s="3" t="s">
        <v>844</v>
      </c>
      <c r="C299" s="3" t="s">
        <v>845</v>
      </c>
      <c r="D299" s="3" t="s">
        <v>2217</v>
      </c>
      <c r="E299" s="1" t="str">
        <f ca="1">CONCATENATE(VLOOKUP(A299,'C'!A:U,10,FALSE),",",VLOOKUP(A299,'C'!A:U,9,FALSE))</f>
        <v>22.29125428,114.2018518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3">
      <c r="A300" s="3" t="s">
        <v>2218</v>
      </c>
      <c r="B300" s="3" t="s">
        <v>849</v>
      </c>
      <c r="C300" s="3" t="s">
        <v>850</v>
      </c>
      <c r="D300" s="3" t="s">
        <v>2219</v>
      </c>
      <c r="E300" s="1" t="str">
        <f ca="1">CONCATENATE(VLOOKUP(A300,'C'!A:U,10,FALSE),",",VLOOKUP(A300,'C'!A:U,9,FALSE))</f>
        <v>22.29183985,114.2022475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3">
      <c r="A301" s="3" t="s">
        <v>2220</v>
      </c>
      <c r="B301" s="3" t="s">
        <v>852</v>
      </c>
      <c r="C301" s="3" t="s">
        <v>853</v>
      </c>
      <c r="D301" s="3" t="s">
        <v>2221</v>
      </c>
      <c r="E301" s="1" t="str">
        <f ca="1">CONCATENATE(VLOOKUP(A301,'C'!A:U,10,FALSE),",",VLOOKUP(A301,'C'!A:U,9,FALSE))</f>
        <v>22.29196244,114.2024792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3">
      <c r="A302" s="3" t="s">
        <v>2222</v>
      </c>
      <c r="B302" s="1"/>
      <c r="C302" s="1"/>
      <c r="D302" s="1"/>
      <c r="E302" s="1" t="str">
        <f ca="1">CONCATENATE(VLOOKUP(A302,'C'!A:U,10,FALSE),",",VLOOKUP(A302,'C'!A:U,9,FALSE))</f>
        <v>,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3">
      <c r="A303" s="3" t="s">
        <v>2223</v>
      </c>
      <c r="B303" s="1"/>
      <c r="C303" s="1"/>
      <c r="D303" s="1"/>
      <c r="E303" s="1" t="str">
        <f ca="1">CONCATENATE(VLOOKUP(A303,'C'!A:U,10,FALSE),",",VLOOKUP(A303,'C'!A:U,9,FALSE))</f>
        <v>,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3">
      <c r="A304" s="3" t="s">
        <v>2224</v>
      </c>
      <c r="B304" s="3" t="s">
        <v>381</v>
      </c>
      <c r="C304" s="3" t="s">
        <v>382</v>
      </c>
      <c r="D304" s="3" t="s">
        <v>2225</v>
      </c>
      <c r="E304" s="1" t="str">
        <f ca="1">CONCATENATE(VLOOKUP(A304,'C'!A:U,10,FALSE),",",VLOOKUP(A304,'C'!A:U,9,FALSE))</f>
        <v>22.33293598,114.1631436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3">
      <c r="A305" s="3" t="s">
        <v>2226</v>
      </c>
      <c r="B305" s="3" t="s">
        <v>384</v>
      </c>
      <c r="C305" s="3" t="s">
        <v>385</v>
      </c>
      <c r="D305" s="3" t="s">
        <v>2227</v>
      </c>
      <c r="E305" s="1" t="str">
        <f ca="1">CONCATENATE(VLOOKUP(A305,'C'!A:U,10,FALSE),",",VLOOKUP(A305,'C'!A:U,9,FALSE))</f>
        <v>22.33302023,114.1630328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3">
      <c r="A306" s="3" t="s">
        <v>2228</v>
      </c>
      <c r="B306" s="3" t="s">
        <v>855</v>
      </c>
      <c r="C306" s="3" t="s">
        <v>856</v>
      </c>
      <c r="D306" s="3" t="s">
        <v>2229</v>
      </c>
      <c r="E306" s="1" t="str">
        <f ca="1">CONCATENATE(VLOOKUP(A306,'C'!A:U,10,FALSE),",",VLOOKUP(A306,'C'!A:U,9,FALSE))</f>
        <v>22.29174577,114.2043303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3">
      <c r="A307" s="3" t="s">
        <v>2230</v>
      </c>
      <c r="B307" s="3" t="s">
        <v>858</v>
      </c>
      <c r="C307" s="3" t="s">
        <v>859</v>
      </c>
      <c r="D307" s="3" t="s">
        <v>2229</v>
      </c>
      <c r="E307" s="1" t="str">
        <f ca="1">CONCATENATE(VLOOKUP(A307,'C'!A:U,10,FALSE),",",VLOOKUP(A307,'C'!A:U,9,FALSE))</f>
        <v>22.2916647,114.2039348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3">
      <c r="A308" s="3" t="s">
        <v>2231</v>
      </c>
      <c r="B308" s="1"/>
      <c r="C308" s="3" t="s">
        <v>861</v>
      </c>
      <c r="D308" s="1"/>
      <c r="E308" s="1" t="str">
        <f ca="1">CONCATENATE(VLOOKUP(A308,'C'!A:U,10,FALSE),",",VLOOKUP(A308,'C'!A:U,9,FALSE))</f>
        <v>,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3">
      <c r="A309" s="3" t="s">
        <v>2232</v>
      </c>
      <c r="B309" s="1"/>
      <c r="C309" s="3" t="s">
        <v>599</v>
      </c>
      <c r="D309" s="1"/>
      <c r="E309" s="1" t="str">
        <f ca="1">CONCATENATE(VLOOKUP(A309,'C'!A:U,10,FALSE),",",VLOOKUP(A309,'C'!A:U,9,FALSE))</f>
        <v>,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3">
      <c r="A310" s="3" t="s">
        <v>2233</v>
      </c>
      <c r="B310" s="3" t="s">
        <v>387</v>
      </c>
      <c r="C310" s="3" t="s">
        <v>388</v>
      </c>
      <c r="D310" s="3" t="s">
        <v>2234</v>
      </c>
      <c r="E310" s="1" t="str">
        <f ca="1">CONCATENATE(VLOOKUP(A310,'C'!A:U,10,FALSE),",",VLOOKUP(A310,'C'!A:U,9,FALSE))</f>
        <v>22.33456858,114.1616375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3">
      <c r="A311" s="3" t="s">
        <v>2235</v>
      </c>
      <c r="B311" s="3" t="s">
        <v>390</v>
      </c>
      <c r="C311" s="3" t="s">
        <v>391</v>
      </c>
      <c r="D311" s="3" t="s">
        <v>2236</v>
      </c>
      <c r="E311" s="1" t="str">
        <f ca="1">CONCATENATE(VLOOKUP(A311,'C'!A:U,10,FALSE),",",VLOOKUP(A311,'C'!A:U,9,FALSE))</f>
        <v>22.33432297,114.1619562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3">
      <c r="A312" s="3" t="s">
        <v>2235</v>
      </c>
      <c r="B312" s="3" t="s">
        <v>393</v>
      </c>
      <c r="C312" s="3" t="s">
        <v>394</v>
      </c>
      <c r="D312" s="3" t="s">
        <v>2237</v>
      </c>
      <c r="E312" s="1" t="str">
        <f ca="1">CONCATENATE(VLOOKUP(A312,'C'!A:U,10,FALSE),",",VLOOKUP(A312,'C'!A:U,9,FALSE))</f>
        <v>22.33432297,114.1619562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3">
      <c r="A313" s="3" t="s">
        <v>2238</v>
      </c>
      <c r="B313" s="3" t="s">
        <v>397</v>
      </c>
      <c r="C313" s="3" t="s">
        <v>398</v>
      </c>
      <c r="D313" s="3" t="s">
        <v>2239</v>
      </c>
      <c r="E313" s="1" t="str">
        <f ca="1">CONCATENATE(VLOOKUP(A313,'C'!A:U,10,FALSE),",",VLOOKUP(A313,'C'!A:U,9,FALSE))</f>
        <v>22.334412,114.1612863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3">
      <c r="A314" s="3" t="s">
        <v>2240</v>
      </c>
      <c r="B314" s="3" t="s">
        <v>862</v>
      </c>
      <c r="C314" s="3" t="s">
        <v>863</v>
      </c>
      <c r="D314" s="3" t="s">
        <v>2241</v>
      </c>
      <c r="E314" s="1" t="str">
        <f ca="1">CONCATENATE(VLOOKUP(A314,'C'!A:U,10,FALSE),",",VLOOKUP(A314,'C'!A:U,9,FALSE))</f>
        <v>22.29160171,114.2064297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3">
      <c r="A315" s="3" t="s">
        <v>2242</v>
      </c>
      <c r="B315" s="3" t="s">
        <v>865</v>
      </c>
      <c r="C315" s="3" t="s">
        <v>866</v>
      </c>
      <c r="D315" s="3" t="s">
        <v>2241</v>
      </c>
      <c r="E315" s="1" t="str">
        <f ca="1">CONCATENATE(VLOOKUP(A315,'C'!A:U,10,FALSE),",",VLOOKUP(A315,'C'!A:U,9,FALSE))</f>
        <v>22.29179398,114.2060174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3">
      <c r="A316" s="3" t="s">
        <v>2243</v>
      </c>
      <c r="B316" s="3" t="s">
        <v>868</v>
      </c>
      <c r="C316" s="3" t="s">
        <v>869</v>
      </c>
      <c r="D316" s="3" t="s">
        <v>2244</v>
      </c>
      <c r="E316" s="1" t="str">
        <f ca="1">CONCATENATE(VLOOKUP(A316,'C'!A:U,10,FALSE),",",VLOOKUP(A316,'C'!A:U,9,FALSE))</f>
        <v>22.29231422,114.2061643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3">
      <c r="A317" s="3" t="s">
        <v>2245</v>
      </c>
      <c r="B317" s="3" t="s">
        <v>870</v>
      </c>
      <c r="C317" s="3" t="s">
        <v>2246</v>
      </c>
      <c r="D317" s="3" t="s">
        <v>2247</v>
      </c>
      <c r="E317" s="1" t="str">
        <f ca="1">CONCATENATE(VLOOKUP(A317,'C'!A:U,10,FALSE),",",VLOOKUP(A317,'C'!A:U,9,FALSE))</f>
        <v>22.29216712,114.2069383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3">
      <c r="A318" s="3" t="s">
        <v>2248</v>
      </c>
      <c r="B318" s="3" t="s">
        <v>400</v>
      </c>
      <c r="C318" s="3" t="s">
        <v>401</v>
      </c>
      <c r="D318" s="3" t="s">
        <v>2249</v>
      </c>
      <c r="E318" s="1" t="str">
        <f ca="1">CONCATENATE(VLOOKUP(A318,'C'!A:U,10,FALSE),",",VLOOKUP(A318,'C'!A:U,9,FALSE))</f>
        <v>22.3355524,114.1603147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3">
      <c r="A319" s="3" t="s">
        <v>2250</v>
      </c>
      <c r="B319" s="3" t="s">
        <v>402</v>
      </c>
      <c r="C319" s="3" t="s">
        <v>403</v>
      </c>
      <c r="D319" s="3" t="s">
        <v>2251</v>
      </c>
      <c r="E319" s="1" t="str">
        <f ca="1">CONCATENATE(VLOOKUP(A319,'C'!A:U,10,FALSE),",",VLOOKUP(A319,'C'!A:U,9,FALSE))</f>
        <v>22.33549633,114.1604374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3">
      <c r="A320" s="3" t="s">
        <v>2252</v>
      </c>
      <c r="B320" s="3" t="s">
        <v>405</v>
      </c>
      <c r="C320" s="3" t="s">
        <v>406</v>
      </c>
      <c r="D320" s="3" t="s">
        <v>2253</v>
      </c>
      <c r="E320" s="1" t="str">
        <f ca="1">CONCATENATE(VLOOKUP(A320,'C'!A:U,10,FALSE),",",VLOOKUP(A320,'C'!A:U,9,FALSE))</f>
        <v>22.33511324,114.1601475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3">
      <c r="A321" s="3" t="s">
        <v>2254</v>
      </c>
      <c r="B321" s="3" t="s">
        <v>408</v>
      </c>
      <c r="C321" s="3" t="s">
        <v>409</v>
      </c>
      <c r="D321" s="3" t="s">
        <v>2255</v>
      </c>
      <c r="E321" s="1" t="str">
        <f ca="1">CONCATENATE(VLOOKUP(A321,'C'!A:U,10,FALSE),",",VLOOKUP(A321,'C'!A:U,9,FALSE))</f>
        <v>22.33537126,114.1600192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3">
      <c r="A322" s="3" t="s">
        <v>2256</v>
      </c>
      <c r="B322" s="3" t="s">
        <v>872</v>
      </c>
      <c r="C322" s="3" t="s">
        <v>873</v>
      </c>
      <c r="D322" s="3" t="s">
        <v>2257</v>
      </c>
      <c r="E322" s="1" t="str">
        <f ca="1">CONCATENATE(VLOOKUP(A322,'C'!A:U,10,FALSE),",",VLOOKUP(A322,'C'!A:U,9,FALSE))</f>
        <v>22.29100159,114.2082126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3">
      <c r="A323" s="3" t="s">
        <v>2258</v>
      </c>
      <c r="B323" s="3" t="s">
        <v>875</v>
      </c>
      <c r="C323" s="3" t="s">
        <v>876</v>
      </c>
      <c r="D323" s="3" t="s">
        <v>2259</v>
      </c>
      <c r="E323" s="1" t="str">
        <f ca="1">CONCATENATE(VLOOKUP(A323,'C'!A:U,10,FALSE),",",VLOOKUP(A323,'C'!A:U,9,FALSE))</f>
        <v>22.29119165,114.2079054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3">
      <c r="A324" s="3" t="s">
        <v>2260</v>
      </c>
      <c r="B324" s="3" t="s">
        <v>878</v>
      </c>
      <c r="C324" s="3" t="s">
        <v>879</v>
      </c>
      <c r="D324" s="3" t="s">
        <v>2261</v>
      </c>
      <c r="E324" s="1" t="str">
        <f ca="1">CONCATENATE(VLOOKUP(A324,'C'!A:U,10,FALSE),",",VLOOKUP(A324,'C'!A:U,9,FALSE))</f>
        <v>22.29175813,114.2081638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3">
      <c r="A325" s="3" t="s">
        <v>2262</v>
      </c>
      <c r="B325" s="3" t="s">
        <v>881</v>
      </c>
      <c r="C325" s="3" t="s">
        <v>882</v>
      </c>
      <c r="D325" s="3" t="s">
        <v>2263</v>
      </c>
      <c r="E325" s="1" t="str">
        <f ca="1">CONCATENATE(VLOOKUP(A325,'C'!A:U,10,FALSE),",",VLOOKUP(A325,'C'!A:U,9,FALSE))</f>
        <v>22.29154346,114.2086883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3">
      <c r="A326" s="3" t="s">
        <v>2264</v>
      </c>
      <c r="B326" s="3" t="s">
        <v>412</v>
      </c>
      <c r="C326" s="3" t="s">
        <v>413</v>
      </c>
      <c r="D326" s="3" t="s">
        <v>2265</v>
      </c>
      <c r="E326" s="1" t="str">
        <f ca="1">CONCATENATE(VLOOKUP(A326,'C'!A:U,10,FALSE),",",VLOOKUP(A326,'C'!A:U,9,FALSE))</f>
        <v>22.33674153,114.1588315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3">
      <c r="A327" s="3" t="s">
        <v>2266</v>
      </c>
      <c r="B327" s="3" t="s">
        <v>415</v>
      </c>
      <c r="C327" s="3" t="s">
        <v>416</v>
      </c>
      <c r="D327" s="3" t="s">
        <v>2267</v>
      </c>
      <c r="E327" s="1" t="str">
        <f ca="1">CONCATENATE(VLOOKUP(A327,'C'!A:U,10,FALSE),",",VLOOKUP(A327,'C'!A:U,9,FALSE))</f>
        <v>22.33629679,114.1594034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3">
      <c r="A328" s="3" t="s">
        <v>2268</v>
      </c>
      <c r="B328" s="3" t="s">
        <v>419</v>
      </c>
      <c r="C328" s="3" t="s">
        <v>420</v>
      </c>
      <c r="D328" s="3" t="s">
        <v>2269</v>
      </c>
      <c r="E328" s="1" t="str">
        <f ca="1">CONCATENATE(VLOOKUP(A328,'C'!A:U,10,FALSE),",",VLOOKUP(A328,'C'!A:U,9,FALSE))</f>
        <v>22.33612816,114.1590199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3">
      <c r="A329" s="3" t="s">
        <v>2270</v>
      </c>
      <c r="B329" s="3" t="s">
        <v>422</v>
      </c>
      <c r="C329" s="3" t="s">
        <v>423</v>
      </c>
      <c r="D329" s="3" t="s">
        <v>2271</v>
      </c>
      <c r="E329" s="1" t="str">
        <f ca="1">CONCATENATE(VLOOKUP(A329,'C'!A:U,10,FALSE),",",VLOOKUP(A329,'C'!A:U,9,FALSE))</f>
        <v>22.33666726,114.1583485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3">
      <c r="A330" s="3" t="s">
        <v>2272</v>
      </c>
      <c r="B330" s="3" t="s">
        <v>884</v>
      </c>
      <c r="C330" s="3" t="s">
        <v>885</v>
      </c>
      <c r="D330" s="3" t="s">
        <v>2273</v>
      </c>
      <c r="E330" s="1" t="str">
        <f ca="1">CONCATENATE(VLOOKUP(A330,'C'!A:U,10,FALSE),",",VLOOKUP(A330,'C'!A:U,9,FALSE))</f>
        <v>22.28982102,114.2090205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3">
      <c r="A331" s="3" t="s">
        <v>2274</v>
      </c>
      <c r="B331" s="3" t="s">
        <v>886</v>
      </c>
      <c r="C331" s="3" t="s">
        <v>887</v>
      </c>
      <c r="D331" s="3" t="s">
        <v>2275</v>
      </c>
      <c r="E331" s="1" t="str">
        <f ca="1">CONCATENATE(VLOOKUP(A331,'C'!A:U,10,FALSE),",",VLOOKUP(A331,'C'!A:U,9,FALSE))</f>
        <v>22.29000912,114.209122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3">
      <c r="A332" s="3" t="s">
        <v>2276</v>
      </c>
      <c r="B332" s="3" t="s">
        <v>889</v>
      </c>
      <c r="C332" s="3" t="s">
        <v>890</v>
      </c>
      <c r="D332" s="3" t="s">
        <v>2277</v>
      </c>
      <c r="E332" s="1" t="str">
        <f ca="1">CONCATENATE(VLOOKUP(A332,'C'!A:U,10,FALSE),",",VLOOKUP(A332,'C'!A:U,9,FALSE))</f>
        <v>22.29006761,114.209634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3">
      <c r="A333" s="3" t="s">
        <v>2278</v>
      </c>
      <c r="B333" s="3" t="s">
        <v>892</v>
      </c>
      <c r="C333" s="3" t="s">
        <v>893</v>
      </c>
      <c r="D333" s="3" t="s">
        <v>2279</v>
      </c>
      <c r="E333" s="1" t="str">
        <f ca="1">CONCATENATE(VLOOKUP(A333,'C'!A:U,10,FALSE),",",VLOOKUP(A333,'C'!A:U,9,FALSE))</f>
        <v>22.28979866,114.2097528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3">
      <c r="A334" s="3" t="s">
        <v>2280</v>
      </c>
      <c r="B334" s="3" t="s">
        <v>425</v>
      </c>
      <c r="C334" s="3" t="s">
        <v>426</v>
      </c>
      <c r="D334" s="3" t="s">
        <v>2281</v>
      </c>
      <c r="E334" s="1" t="str">
        <f ca="1">CONCATENATE(VLOOKUP(A334,'C'!A:U,10,FALSE),",",VLOOKUP(A334,'C'!A:U,9,FALSE))</f>
        <v>22.33785368,114.1573705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3">
      <c r="A335" s="3" t="s">
        <v>2282</v>
      </c>
      <c r="B335" s="3" t="s">
        <v>427</v>
      </c>
      <c r="C335" s="3" t="s">
        <v>428</v>
      </c>
      <c r="D335" s="3" t="s">
        <v>2283</v>
      </c>
      <c r="E335" s="1" t="str">
        <f ca="1">CONCATENATE(VLOOKUP(A335,'C'!A:U,10,FALSE),",",VLOOKUP(A335,'C'!A:U,9,FALSE))</f>
        <v>22.33784467,114.1573876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3">
      <c r="A336" s="3" t="s">
        <v>2284</v>
      </c>
      <c r="B336" s="3" t="s">
        <v>429</v>
      </c>
      <c r="C336" s="3" t="s">
        <v>430</v>
      </c>
      <c r="D336" s="3" t="s">
        <v>2285</v>
      </c>
      <c r="E336" s="1" t="str">
        <f ca="1">CONCATENATE(VLOOKUP(A336,'C'!A:U,10,FALSE),",",VLOOKUP(A336,'C'!A:U,9,FALSE))</f>
        <v>22.33755943,114.1572111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3">
      <c r="A337" s="3" t="s">
        <v>2286</v>
      </c>
      <c r="B337" s="3" t="s">
        <v>431</v>
      </c>
      <c r="C337" s="3" t="s">
        <v>432</v>
      </c>
      <c r="D337" s="3" t="s">
        <v>2287</v>
      </c>
      <c r="E337" s="1" t="str">
        <f ca="1">CONCATENATE(VLOOKUP(A337,'C'!A:U,10,FALSE),",",VLOOKUP(A337,'C'!A:U,9,FALSE))</f>
        <v>22.33759108,114.157165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3">
      <c r="A338" s="3" t="s">
        <v>2288</v>
      </c>
      <c r="B338" s="3" t="s">
        <v>895</v>
      </c>
      <c r="C338" s="3" t="s">
        <v>896</v>
      </c>
      <c r="D338" s="3" t="s">
        <v>2289</v>
      </c>
      <c r="E338" s="1" t="str">
        <f ca="1">CONCATENATE(VLOOKUP(A338,'C'!A:U,10,FALSE),",",VLOOKUP(A338,'C'!A:U,9,FALSE))</f>
        <v>22.28788612,114.2097607</v>
      </c>
      <c r="F338" s="3" t="s">
        <v>2290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3">
      <c r="A339" s="3" t="s">
        <v>2291</v>
      </c>
      <c r="B339" s="3" t="s">
        <v>899</v>
      </c>
      <c r="C339" s="3" t="s">
        <v>900</v>
      </c>
      <c r="D339" s="3" t="s">
        <v>2292</v>
      </c>
      <c r="E339" s="1" t="str">
        <f ca="1">CONCATENATE(VLOOKUP(A339,'C'!A:U,10,FALSE),",",VLOOKUP(A339,'C'!A:U,9,FALSE))</f>
        <v>22.28809165,114.2103039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3">
      <c r="A340" s="3" t="s">
        <v>2293</v>
      </c>
      <c r="B340" s="3" t="s">
        <v>901</v>
      </c>
      <c r="C340" s="3" t="s">
        <v>902</v>
      </c>
      <c r="D340" s="3" t="s">
        <v>2294</v>
      </c>
      <c r="E340" s="1" t="str">
        <f ca="1">CONCATENATE(VLOOKUP(A340,'C'!A:U,10,FALSE),",",VLOOKUP(A340,'C'!A:U,9,FALSE))</f>
        <v>22.2885325,114.210133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3">
      <c r="A341" s="3" t="s">
        <v>2295</v>
      </c>
      <c r="B341" s="3" t="s">
        <v>904</v>
      </c>
      <c r="C341" s="3" t="s">
        <v>905</v>
      </c>
      <c r="D341" s="3" t="s">
        <v>2296</v>
      </c>
      <c r="E341" s="1" t="str">
        <f ca="1">CONCATENATE(VLOOKUP(A341,'C'!A:U,10,FALSE),",",VLOOKUP(A341,'C'!A:U,9,FALSE))</f>
        <v>22.28853595,114.2096365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3">
      <c r="A342" s="3" t="s">
        <v>2297</v>
      </c>
      <c r="B342" s="3" t="s">
        <v>433</v>
      </c>
      <c r="C342" s="3" t="s">
        <v>434</v>
      </c>
      <c r="D342" s="3" t="s">
        <v>2298</v>
      </c>
      <c r="E342" s="1" t="str">
        <f ca="1">CONCATENATE(VLOOKUP(A342,'C'!A:U,10,FALSE),",",VLOOKUP(A342,'C'!A:U,9,FALSE))</f>
        <v>22.33908525,114.1558051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3">
      <c r="A343" s="3" t="s">
        <v>2299</v>
      </c>
      <c r="B343" s="3" t="s">
        <v>436</v>
      </c>
      <c r="C343" s="3" t="s">
        <v>437</v>
      </c>
      <c r="D343" s="3" t="s">
        <v>2300</v>
      </c>
      <c r="E343" s="1" t="str">
        <f ca="1">CONCATENATE(VLOOKUP(A343,'C'!A:U,10,FALSE),",",VLOOKUP(A343,'C'!A:U,9,FALSE))</f>
        <v>22.33887784,114.156074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3">
      <c r="A344" s="3" t="s">
        <v>2301</v>
      </c>
      <c r="B344" s="3" t="s">
        <v>439</v>
      </c>
      <c r="C344" s="3" t="s">
        <v>440</v>
      </c>
      <c r="D344" s="3" t="s">
        <v>2302</v>
      </c>
      <c r="E344" s="1" t="str">
        <f ca="1">CONCATENATE(VLOOKUP(A344,'C'!A:U,10,FALSE),",",VLOOKUP(A344,'C'!A:U,9,FALSE))</f>
        <v>22.33867798,114.1557407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3">
      <c r="A345" s="3" t="s">
        <v>2303</v>
      </c>
      <c r="B345" s="3" t="s">
        <v>441</v>
      </c>
      <c r="C345" s="3" t="s">
        <v>442</v>
      </c>
      <c r="D345" s="3" t="s">
        <v>2304</v>
      </c>
      <c r="E345" s="1" t="str">
        <f ca="1">CONCATENATE(VLOOKUP(A345,'C'!A:U,10,FALSE),",",VLOOKUP(A345,'C'!A:U,9,FALSE))</f>
        <v>22.33873942,114.1556512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3">
      <c r="A346" s="3" t="s">
        <v>2305</v>
      </c>
      <c r="B346" s="3" t="s">
        <v>444</v>
      </c>
      <c r="C346" s="3" t="s">
        <v>445</v>
      </c>
      <c r="D346" s="3" t="s">
        <v>2306</v>
      </c>
      <c r="E346" s="1" t="str">
        <f ca="1">CONCATENATE(VLOOKUP(A346,'C'!A:U,10,FALSE),",",VLOOKUP(A346,'C'!A:U,9,FALSE))</f>
        <v>22.34021483,114.1543454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3">
      <c r="A347" s="3" t="s">
        <v>2307</v>
      </c>
      <c r="B347" s="3" t="s">
        <v>447</v>
      </c>
      <c r="C347" s="3" t="s">
        <v>448</v>
      </c>
      <c r="D347" s="3" t="s">
        <v>2308</v>
      </c>
      <c r="E347" s="1" t="str">
        <f ca="1">CONCATENATE(VLOOKUP(A347,'C'!A:U,10,FALSE),",",VLOOKUP(A347,'C'!A:U,9,FALSE))</f>
        <v>22.33967251,114.1544415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3">
      <c r="A348" s="3" t="s">
        <v>2309</v>
      </c>
      <c r="B348" s="3" t="s">
        <v>450</v>
      </c>
      <c r="C348" s="3" t="s">
        <v>451</v>
      </c>
      <c r="D348" s="3" t="s">
        <v>2310</v>
      </c>
      <c r="E348" s="1" t="str">
        <f ca="1">CONCATENATE(VLOOKUP(A348,'C'!A:U,10,FALSE),",",VLOOKUP(A348,'C'!A:U,9,FALSE))</f>
        <v>22.33990773,114.1547453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3">
      <c r="A349" s="3" t="s">
        <v>2311</v>
      </c>
      <c r="B349" s="3" t="s">
        <v>453</v>
      </c>
      <c r="C349" s="3" t="s">
        <v>454</v>
      </c>
      <c r="D349" s="3" t="s">
        <v>2312</v>
      </c>
      <c r="E349" s="1" t="str">
        <f ca="1">CONCATENATE(VLOOKUP(A349,'C'!A:U,10,FALSE),",",VLOOKUP(A349,'C'!A:U,9,FALSE))</f>
        <v>22.33988632,114.1540382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3">
      <c r="A350" s="3" t="s">
        <v>2313</v>
      </c>
      <c r="B350" s="3" t="s">
        <v>456</v>
      </c>
      <c r="C350" s="3" t="s">
        <v>457</v>
      </c>
      <c r="D350" s="3" t="s">
        <v>2314</v>
      </c>
      <c r="E350" s="1" t="str">
        <f ca="1">CONCATENATE(VLOOKUP(A350,'C'!A:U,10,FALSE),",",VLOOKUP(A350,'C'!A:U,9,FALSE))</f>
        <v>22.34009309,114.1523486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3">
      <c r="A351" s="3" t="s">
        <v>2315</v>
      </c>
      <c r="B351" s="3" t="s">
        <v>459</v>
      </c>
      <c r="C351" s="3" t="s">
        <v>460</v>
      </c>
      <c r="D351" s="3" t="s">
        <v>2316</v>
      </c>
      <c r="E351" s="1" t="str">
        <f ca="1">CONCATENATE(VLOOKUP(A351,'C'!A:U,10,FALSE),",",VLOOKUP(A351,'C'!A:U,9,FALSE))</f>
        <v>22.34015824,114.1525312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3">
      <c r="A352" s="3" t="s">
        <v>2317</v>
      </c>
      <c r="B352" s="3" t="s">
        <v>462</v>
      </c>
      <c r="C352" s="3" t="s">
        <v>463</v>
      </c>
      <c r="D352" s="3" t="s">
        <v>2318</v>
      </c>
      <c r="E352" s="1" t="str">
        <f ca="1">CONCATENATE(VLOOKUP(A352,'C'!A:U,10,FALSE),",",VLOOKUP(A352,'C'!A:U,9,FALSE))</f>
        <v>22.33972013,114.1530379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3">
      <c r="A353" s="3" t="s">
        <v>2319</v>
      </c>
      <c r="B353" s="3" t="s">
        <v>465</v>
      </c>
      <c r="C353" s="3" t="s">
        <v>466</v>
      </c>
      <c r="D353" s="3" t="s">
        <v>2320</v>
      </c>
      <c r="E353" s="1" t="str">
        <f ca="1">CONCATENATE(VLOOKUP(A353,'C'!A:U,10,FALSE),",",VLOOKUP(A353,'C'!A:U,9,FALSE))</f>
        <v>22.33972609,114.1525137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3">
      <c r="A354" s="3" t="s">
        <v>2321</v>
      </c>
      <c r="B354" s="3" t="s">
        <v>467</v>
      </c>
      <c r="C354" s="3" t="s">
        <v>468</v>
      </c>
      <c r="D354" s="3" t="s">
        <v>2322</v>
      </c>
      <c r="E354" s="1" t="str">
        <f ca="1">CONCATENATE(VLOOKUP(A354,'C'!A:U,10,FALSE),",",VLOOKUP(A354,'C'!A:U,9,FALSE))</f>
        <v>22.33953921,114.1507259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3">
      <c r="A355" s="3" t="s">
        <v>2323</v>
      </c>
      <c r="B355" s="3" t="s">
        <v>470</v>
      </c>
      <c r="C355" s="3" t="s">
        <v>471</v>
      </c>
      <c r="D355" s="3" t="s">
        <v>2324</v>
      </c>
      <c r="E355" s="1" t="str">
        <f ca="1">CONCATENATE(VLOOKUP(A355,'C'!A:U,10,FALSE),",",VLOOKUP(A355,'C'!A:U,9,FALSE))</f>
        <v>22.33964642,114.1510496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3">
      <c r="A356" s="3" t="s">
        <v>2325</v>
      </c>
      <c r="B356" s="3" t="s">
        <v>473</v>
      </c>
      <c r="C356" s="3" t="s">
        <v>474</v>
      </c>
      <c r="D356" s="3" t="s">
        <v>2326</v>
      </c>
      <c r="E356" s="1" t="str">
        <f ca="1">CONCATENATE(VLOOKUP(A356,'C'!A:U,10,FALSE),",",VLOOKUP(A356,'C'!A:U,9,FALSE))</f>
        <v>22.33911472,114.151262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3">
      <c r="A357" s="3" t="s">
        <v>2327</v>
      </c>
      <c r="B357" s="3" t="s">
        <v>476</v>
      </c>
      <c r="C357" s="3" t="s">
        <v>477</v>
      </c>
      <c r="D357" s="3" t="s">
        <v>2328</v>
      </c>
      <c r="E357" s="1" t="str">
        <f ca="1">CONCATENATE(VLOOKUP(A357,'C'!A:U,10,FALSE),",",VLOOKUP(A357,'C'!A:U,9,FALSE))</f>
        <v>22.33892109,114.150607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3">
      <c r="A358" s="3" t="s">
        <v>2329</v>
      </c>
      <c r="B358" s="3" t="s">
        <v>479</v>
      </c>
      <c r="C358" s="3" t="s">
        <v>480</v>
      </c>
      <c r="D358" s="3" t="s">
        <v>2330</v>
      </c>
      <c r="E358" s="1" t="str">
        <f ca="1">CONCATENATE(VLOOKUP(A358,'C'!A:U,10,FALSE),",",VLOOKUP(A358,'C'!A:U,9,FALSE))</f>
        <v>22.33871245,114.1486998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3">
      <c r="A359" s="3" t="s">
        <v>2331</v>
      </c>
      <c r="B359" s="3" t="s">
        <v>482</v>
      </c>
      <c r="C359" s="3" t="s">
        <v>483</v>
      </c>
      <c r="D359" s="3" t="s">
        <v>2332</v>
      </c>
      <c r="E359" s="1" t="str">
        <f ca="1">CONCATENATE(VLOOKUP(A359,'C'!A:U,10,FALSE),",",VLOOKUP(A359,'C'!A:U,9,FALSE))</f>
        <v>22.33900247,114.1491667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3">
      <c r="A360" s="3" t="s">
        <v>2333</v>
      </c>
      <c r="B360" s="3" t="s">
        <v>485</v>
      </c>
      <c r="C360" s="3" t="s">
        <v>486</v>
      </c>
      <c r="D360" s="3" t="s">
        <v>2334</v>
      </c>
      <c r="E360" s="1" t="str">
        <f ca="1">CONCATENATE(VLOOKUP(A360,'C'!A:U,10,FALSE),",",VLOOKUP(A360,'C'!A:U,9,FALSE))</f>
        <v>22.33851061,114.1494156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3">
      <c r="A361" s="3" t="s">
        <v>2335</v>
      </c>
      <c r="B361" s="3" t="s">
        <v>488</v>
      </c>
      <c r="C361" s="3" t="s">
        <v>489</v>
      </c>
      <c r="D361" s="3" t="s">
        <v>2336</v>
      </c>
      <c r="E361" s="1" t="str">
        <f ca="1">CONCATENATE(VLOOKUP(A361,'C'!A:U,10,FALSE),",",VLOOKUP(A361,'C'!A:U,9,FALSE))</f>
        <v>22.33806508,114.1486966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3">
      <c r="A362" s="3" t="s">
        <v>2337</v>
      </c>
      <c r="B362" s="3" t="s">
        <v>491</v>
      </c>
      <c r="C362" s="3" t="s">
        <v>492</v>
      </c>
      <c r="D362" s="3" t="s">
        <v>2338</v>
      </c>
      <c r="E362" s="1" t="str">
        <f ca="1">CONCATENATE(VLOOKUP(A362,'C'!A:U,10,FALSE),",",VLOOKUP(A362,'C'!A:U,9,FALSE))</f>
        <v>22.33810889,114.1465847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3">
      <c r="A363" s="3" t="s">
        <v>2339</v>
      </c>
      <c r="B363" s="3" t="s">
        <v>494</v>
      </c>
      <c r="C363" s="3" t="s">
        <v>495</v>
      </c>
      <c r="D363" s="3" t="s">
        <v>2340</v>
      </c>
      <c r="E363" s="1" t="str">
        <f ca="1">CONCATENATE(VLOOKUP(A363,'C'!A:U,10,FALSE),",",VLOOKUP(A363,'C'!A:U,9,FALSE))</f>
        <v>22.33825197,114.1470007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3">
      <c r="A364" s="3" t="s">
        <v>2341</v>
      </c>
      <c r="B364" s="3" t="s">
        <v>497</v>
      </c>
      <c r="C364" s="3" t="s">
        <v>498</v>
      </c>
      <c r="D364" s="3" t="s">
        <v>2342</v>
      </c>
      <c r="E364" s="1" t="str">
        <f ca="1">CONCATENATE(VLOOKUP(A364,'C'!A:U,10,FALSE),",",VLOOKUP(A364,'C'!A:U,9,FALSE))</f>
        <v>22.3373997,114.146736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3">
      <c r="A365" s="3" t="s">
        <v>2343</v>
      </c>
      <c r="B365" s="3" t="s">
        <v>500</v>
      </c>
      <c r="C365" s="3" t="s">
        <v>501</v>
      </c>
      <c r="D365" s="3" t="s">
        <v>2342</v>
      </c>
      <c r="E365" s="1" t="str">
        <f ca="1">CONCATENATE(VLOOKUP(A365,'C'!A:U,10,FALSE),",",VLOOKUP(A365,'C'!A:U,9,FALSE))</f>
        <v>22.33768955,114.1472246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3">
      <c r="A366" s="3" t="s">
        <v>2344</v>
      </c>
      <c r="B366" s="3" t="s">
        <v>503</v>
      </c>
      <c r="C366" s="3" t="s">
        <v>504</v>
      </c>
      <c r="D366" s="3" t="s">
        <v>2345</v>
      </c>
      <c r="E366" s="1" t="str">
        <f ca="1">CONCATENATE(VLOOKUP(A366,'C'!A:U,10,FALSE),",",VLOOKUP(A366,'C'!A:U,9,FALSE))</f>
        <v>22.33766721,114.1453029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3">
      <c r="A367" s="3" t="s">
        <v>2346</v>
      </c>
      <c r="B367" s="3" t="s">
        <v>506</v>
      </c>
      <c r="C367" s="3" t="s">
        <v>507</v>
      </c>
      <c r="D367" s="3" t="s">
        <v>2347</v>
      </c>
      <c r="E367" s="1" t="str">
        <f ca="1">CONCATENATE(VLOOKUP(A367,'C'!A:U,10,FALSE),",",VLOOKUP(A367,'C'!A:U,9,FALSE))</f>
        <v>22.3371807,114.1455451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3">
      <c r="A368" s="3" t="s">
        <v>2348</v>
      </c>
      <c r="B368" s="3" t="s">
        <v>509</v>
      </c>
      <c r="C368" s="3" t="s">
        <v>510</v>
      </c>
      <c r="D368" s="3" t="s">
        <v>2349</v>
      </c>
      <c r="E368" s="1" t="str">
        <f ca="1">CONCATENATE(VLOOKUP(A368,'C'!A:U,10,FALSE),",",VLOOKUP(A368,'C'!A:U,9,FALSE))</f>
        <v>22.33780246,114.1456905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3">
      <c r="A369" s="3" t="s">
        <v>2350</v>
      </c>
      <c r="B369" s="3" t="s">
        <v>512</v>
      </c>
      <c r="C369" s="3" t="s">
        <v>513</v>
      </c>
      <c r="D369" s="3" t="s">
        <v>2351</v>
      </c>
      <c r="E369" s="1" t="str">
        <f ca="1">CONCATENATE(VLOOKUP(A369,'C'!A:U,10,FALSE),",",VLOOKUP(A369,'C'!A:U,9,FALSE))</f>
        <v>22.33707755,114.1452799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  <pageSetUpPr fitToPage="1"/>
  </sheetPr>
  <dimension ref="A1:AA75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4.453125" defaultRowHeight="15" customHeight="1"/>
  <cols>
    <col min="1" max="27" width="14.453125" customWidth="1"/>
  </cols>
  <sheetData>
    <row r="1" spans="1:27" ht="15.75" customHeight="1">
      <c r="A1" s="343"/>
      <c r="B1" s="344"/>
      <c r="C1" s="345"/>
      <c r="D1" s="419" t="s">
        <v>2352</v>
      </c>
      <c r="E1" s="420"/>
      <c r="F1" s="420"/>
      <c r="G1" s="420"/>
      <c r="H1" s="420"/>
      <c r="I1" s="421"/>
      <c r="J1" s="422" t="s">
        <v>2353</v>
      </c>
      <c r="K1" s="420"/>
      <c r="L1" s="420"/>
      <c r="M1" s="167"/>
      <c r="N1" s="167"/>
    </row>
    <row r="2" spans="1:27" ht="63.75" customHeight="1">
      <c r="A2" s="346" t="s">
        <v>2354</v>
      </c>
      <c r="B2" s="347" t="s">
        <v>2355</v>
      </c>
      <c r="C2" s="347" t="s">
        <v>2356</v>
      </c>
      <c r="D2" s="348" t="s">
        <v>2357</v>
      </c>
      <c r="E2" s="348" t="s">
        <v>2358</v>
      </c>
      <c r="F2" s="348" t="s">
        <v>2359</v>
      </c>
      <c r="G2" s="348" t="s">
        <v>2360</v>
      </c>
      <c r="H2" s="348" t="s">
        <v>2361</v>
      </c>
      <c r="I2" s="348" t="s">
        <v>2362</v>
      </c>
      <c r="J2" s="349" t="s">
        <v>2363</v>
      </c>
      <c r="K2" s="350" t="s">
        <v>2364</v>
      </c>
      <c r="L2" s="350" t="s">
        <v>2365</v>
      </c>
      <c r="M2" s="167"/>
      <c r="N2" s="167"/>
    </row>
    <row r="3" spans="1:27" ht="15.75" customHeight="1">
      <c r="A3" s="405">
        <v>200</v>
      </c>
      <c r="B3" s="406">
        <v>1</v>
      </c>
      <c r="C3" s="351" t="s">
        <v>110</v>
      </c>
      <c r="D3" s="247"/>
      <c r="E3" s="352"/>
      <c r="F3" s="187"/>
      <c r="G3" s="247"/>
      <c r="H3" s="407" t="e">
        <f>AVERAGE($D3:$G6)</f>
        <v>#DIV/0!</v>
      </c>
      <c r="I3" s="385"/>
      <c r="J3" s="423"/>
      <c r="K3" s="417">
        <f>B3-J3</f>
        <v>1</v>
      </c>
      <c r="L3" s="418">
        <f>K3*K3</f>
        <v>1</v>
      </c>
      <c r="M3" s="353" t="s">
        <v>2366</v>
      </c>
      <c r="N3" s="354" t="s">
        <v>2367</v>
      </c>
      <c r="O3" s="219"/>
      <c r="P3" s="401"/>
      <c r="Q3" s="401"/>
      <c r="R3" s="414"/>
      <c r="S3" s="403"/>
      <c r="T3" s="404"/>
      <c r="U3" s="404"/>
      <c r="V3" s="219"/>
      <c r="W3" s="219"/>
      <c r="X3" s="219"/>
      <c r="Y3" s="219"/>
      <c r="Z3" s="219"/>
      <c r="AA3" s="219"/>
    </row>
    <row r="4" spans="1:27" ht="15.75" customHeight="1">
      <c r="A4" s="393"/>
      <c r="B4" s="382"/>
      <c r="C4" s="351" t="s">
        <v>116</v>
      </c>
      <c r="D4" s="247"/>
      <c r="E4" s="352"/>
      <c r="F4" s="187"/>
      <c r="G4" s="247"/>
      <c r="H4" s="393"/>
      <c r="I4" s="382"/>
      <c r="J4" s="382"/>
      <c r="K4" s="382"/>
      <c r="L4" s="393"/>
      <c r="M4" s="169"/>
      <c r="N4" s="355" t="s">
        <v>1170</v>
      </c>
      <c r="P4" s="372"/>
      <c r="Q4" s="372"/>
      <c r="R4" s="372"/>
      <c r="S4" s="372"/>
      <c r="T4" s="372"/>
      <c r="U4" s="372"/>
    </row>
    <row r="5" spans="1:27" ht="15.75" customHeight="1">
      <c r="A5" s="393"/>
      <c r="B5" s="382"/>
      <c r="C5" s="351" t="s">
        <v>121</v>
      </c>
      <c r="D5" s="247"/>
      <c r="E5" s="352"/>
      <c r="F5" s="187"/>
      <c r="G5" s="247"/>
      <c r="H5" s="393"/>
      <c r="I5" s="382"/>
      <c r="J5" s="382"/>
      <c r="K5" s="382"/>
      <c r="L5" s="393"/>
      <c r="M5" s="167"/>
      <c r="N5" s="167"/>
      <c r="P5" s="372"/>
      <c r="Q5" s="372"/>
      <c r="R5" s="372"/>
      <c r="S5" s="372"/>
      <c r="T5" s="372"/>
      <c r="U5" s="372"/>
    </row>
    <row r="6" spans="1:27" ht="15.75" customHeight="1">
      <c r="A6" s="394"/>
      <c r="B6" s="383"/>
      <c r="C6" s="351" t="s">
        <v>127</v>
      </c>
      <c r="D6" s="247"/>
      <c r="E6" s="352"/>
      <c r="F6" s="187"/>
      <c r="G6" s="247"/>
      <c r="H6" s="394"/>
      <c r="I6" s="383"/>
      <c r="J6" s="383"/>
      <c r="K6" s="383"/>
      <c r="L6" s="394"/>
      <c r="M6" s="167"/>
      <c r="N6" s="356"/>
      <c r="P6" s="372"/>
      <c r="Q6" s="372"/>
      <c r="R6" s="372"/>
      <c r="S6" s="372"/>
      <c r="T6" s="372"/>
      <c r="U6" s="372"/>
    </row>
    <row r="7" spans="1:27" ht="15.75" customHeight="1">
      <c r="A7" s="405">
        <v>400</v>
      </c>
      <c r="B7" s="406">
        <v>2</v>
      </c>
      <c r="C7" s="351" t="s">
        <v>110</v>
      </c>
      <c r="D7" s="247"/>
      <c r="E7" s="352"/>
      <c r="F7" s="187"/>
      <c r="G7" s="247"/>
      <c r="H7" s="407" t="e">
        <f>AVERAGE($D7:$G10)</f>
        <v>#DIV/0!</v>
      </c>
      <c r="I7" s="385"/>
      <c r="J7" s="410"/>
      <c r="K7" s="411">
        <f>B7-J7</f>
        <v>2</v>
      </c>
      <c r="L7" s="424">
        <f>K7*K7</f>
        <v>4</v>
      </c>
      <c r="M7" s="167"/>
      <c r="N7" s="218"/>
      <c r="P7" s="401"/>
      <c r="Q7" s="401"/>
      <c r="R7" s="402"/>
      <c r="S7" s="403"/>
      <c r="T7" s="404"/>
      <c r="U7" s="404"/>
    </row>
    <row r="8" spans="1:27" ht="15.75" customHeight="1">
      <c r="A8" s="393"/>
      <c r="B8" s="382"/>
      <c r="C8" s="351" t="s">
        <v>116</v>
      </c>
      <c r="D8" s="247"/>
      <c r="E8" s="352"/>
      <c r="F8" s="187"/>
      <c r="G8" s="247"/>
      <c r="H8" s="393"/>
      <c r="I8" s="382"/>
      <c r="J8" s="382"/>
      <c r="K8" s="382"/>
      <c r="L8" s="393"/>
      <c r="M8" s="167"/>
      <c r="N8" s="215"/>
      <c r="P8" s="372"/>
      <c r="Q8" s="372"/>
      <c r="R8" s="372"/>
      <c r="S8" s="372"/>
      <c r="T8" s="372"/>
      <c r="U8" s="372"/>
    </row>
    <row r="9" spans="1:27" ht="15.75" customHeight="1">
      <c r="A9" s="393"/>
      <c r="B9" s="382"/>
      <c r="C9" s="351" t="s">
        <v>121</v>
      </c>
      <c r="D9" s="247"/>
      <c r="E9" s="352"/>
      <c r="F9" s="187"/>
      <c r="G9" s="247"/>
      <c r="H9" s="393"/>
      <c r="I9" s="382"/>
      <c r="J9" s="382"/>
      <c r="K9" s="382"/>
      <c r="L9" s="393"/>
      <c r="M9" s="167"/>
      <c r="P9" s="372"/>
      <c r="Q9" s="372"/>
      <c r="R9" s="372"/>
      <c r="S9" s="372"/>
      <c r="T9" s="372"/>
      <c r="U9" s="372"/>
    </row>
    <row r="10" spans="1:27" ht="15.75" customHeight="1">
      <c r="A10" s="394"/>
      <c r="B10" s="383"/>
      <c r="C10" s="351" t="s">
        <v>127</v>
      </c>
      <c r="D10" s="247"/>
      <c r="E10" s="352"/>
      <c r="F10" s="187"/>
      <c r="G10" s="247"/>
      <c r="H10" s="394"/>
      <c r="I10" s="383"/>
      <c r="J10" s="383"/>
      <c r="K10" s="383"/>
      <c r="L10" s="394"/>
      <c r="M10" s="167"/>
      <c r="N10" s="167"/>
      <c r="P10" s="372"/>
      <c r="Q10" s="372"/>
      <c r="R10" s="372"/>
      <c r="S10" s="372"/>
      <c r="T10" s="372"/>
      <c r="U10" s="372"/>
    </row>
    <row r="11" spans="1:27" ht="15.75" customHeight="1">
      <c r="A11" s="405">
        <v>600</v>
      </c>
      <c r="B11" s="406">
        <v>3</v>
      </c>
      <c r="C11" s="351" t="s">
        <v>110</v>
      </c>
      <c r="D11" s="247"/>
      <c r="E11" s="352"/>
      <c r="F11" s="187"/>
      <c r="G11" s="247"/>
      <c r="H11" s="407" t="e">
        <f>AVERAGE($D11:$G14)</f>
        <v>#DIV/0!</v>
      </c>
      <c r="I11" s="385"/>
      <c r="J11" s="408"/>
      <c r="K11" s="409">
        <f>B11-J11</f>
        <v>3</v>
      </c>
      <c r="L11" s="409">
        <f>K11*K11</f>
        <v>9</v>
      </c>
      <c r="M11" s="167"/>
      <c r="P11" s="401"/>
      <c r="Q11" s="401"/>
      <c r="R11" s="403"/>
      <c r="S11" s="403"/>
      <c r="T11" s="404"/>
      <c r="U11" s="404"/>
    </row>
    <row r="12" spans="1:27" ht="15.75" customHeight="1">
      <c r="A12" s="393"/>
      <c r="B12" s="382"/>
      <c r="C12" s="351" t="s">
        <v>116</v>
      </c>
      <c r="D12" s="247"/>
      <c r="E12" s="352"/>
      <c r="F12" s="187"/>
      <c r="G12" s="247"/>
      <c r="H12" s="393"/>
      <c r="I12" s="382"/>
      <c r="J12" s="382"/>
      <c r="K12" s="382"/>
      <c r="L12" s="382"/>
      <c r="M12" s="167"/>
      <c r="N12" s="167"/>
      <c r="P12" s="372"/>
      <c r="Q12" s="372"/>
      <c r="R12" s="372"/>
      <c r="S12" s="372"/>
      <c r="T12" s="372"/>
      <c r="U12" s="372"/>
    </row>
    <row r="13" spans="1:27" ht="15.75" customHeight="1">
      <c r="A13" s="393"/>
      <c r="B13" s="382"/>
      <c r="C13" s="351" t="s">
        <v>121</v>
      </c>
      <c r="D13" s="247"/>
      <c r="E13" s="352"/>
      <c r="F13" s="187"/>
      <c r="G13" s="247"/>
      <c r="H13" s="393"/>
      <c r="I13" s="382"/>
      <c r="J13" s="382"/>
      <c r="K13" s="382"/>
      <c r="L13" s="382"/>
      <c r="M13" s="167"/>
      <c r="N13" s="167"/>
      <c r="P13" s="372"/>
      <c r="Q13" s="372"/>
      <c r="R13" s="372"/>
      <c r="S13" s="372"/>
      <c r="T13" s="372"/>
      <c r="U13" s="372"/>
    </row>
    <row r="14" spans="1:27" ht="15.75" customHeight="1">
      <c r="A14" s="394"/>
      <c r="B14" s="383"/>
      <c r="C14" s="351" t="s">
        <v>127</v>
      </c>
      <c r="D14" s="247"/>
      <c r="E14" s="352"/>
      <c r="F14" s="187"/>
      <c r="G14" s="357"/>
      <c r="H14" s="394"/>
      <c r="I14" s="383"/>
      <c r="J14" s="383"/>
      <c r="K14" s="383"/>
      <c r="L14" s="383"/>
      <c r="M14" s="167"/>
      <c r="N14" s="167"/>
      <c r="P14" s="372"/>
      <c r="Q14" s="372"/>
      <c r="R14" s="372"/>
      <c r="S14" s="372"/>
      <c r="T14" s="372"/>
      <c r="U14" s="372"/>
    </row>
    <row r="15" spans="1:27" ht="15.75" customHeight="1">
      <c r="A15" s="405">
        <v>800</v>
      </c>
      <c r="B15" s="406">
        <v>4</v>
      </c>
      <c r="C15" s="351" t="s">
        <v>110</v>
      </c>
      <c r="D15" s="247"/>
      <c r="E15" s="352"/>
      <c r="F15" s="187"/>
      <c r="G15" s="247"/>
      <c r="H15" s="407" t="e">
        <f>AVERAGE($D15:$G18)</f>
        <v>#DIV/0!</v>
      </c>
      <c r="I15" s="385"/>
      <c r="J15" s="410"/>
      <c r="K15" s="411">
        <f>B15-J15</f>
        <v>4</v>
      </c>
      <c r="L15" s="411">
        <f>K15*K15</f>
        <v>16</v>
      </c>
      <c r="M15" s="167"/>
      <c r="N15" s="167"/>
      <c r="P15" s="401"/>
      <c r="Q15" s="401"/>
      <c r="R15" s="402"/>
      <c r="S15" s="403"/>
      <c r="T15" s="404"/>
      <c r="U15" s="404"/>
    </row>
    <row r="16" spans="1:27" ht="15.75" customHeight="1">
      <c r="A16" s="393"/>
      <c r="B16" s="382"/>
      <c r="C16" s="351" t="s">
        <v>116</v>
      </c>
      <c r="D16" s="247"/>
      <c r="E16" s="352"/>
      <c r="F16" s="187"/>
      <c r="G16" s="247"/>
      <c r="H16" s="393"/>
      <c r="I16" s="382"/>
      <c r="J16" s="382"/>
      <c r="K16" s="382"/>
      <c r="L16" s="382"/>
      <c r="M16" s="167"/>
      <c r="N16" s="167"/>
      <c r="P16" s="372"/>
      <c r="Q16" s="372"/>
      <c r="R16" s="372"/>
      <c r="S16" s="372"/>
      <c r="T16" s="372"/>
      <c r="U16" s="372"/>
    </row>
    <row r="17" spans="1:21" ht="15.75" customHeight="1">
      <c r="A17" s="393"/>
      <c r="B17" s="382"/>
      <c r="C17" s="351" t="s">
        <v>121</v>
      </c>
      <c r="D17" s="247"/>
      <c r="E17" s="352"/>
      <c r="F17" s="187"/>
      <c r="G17" s="247"/>
      <c r="H17" s="393"/>
      <c r="I17" s="382"/>
      <c r="J17" s="382"/>
      <c r="K17" s="382"/>
      <c r="L17" s="382"/>
      <c r="M17" s="167"/>
      <c r="N17" s="167"/>
      <c r="P17" s="372"/>
      <c r="Q17" s="372"/>
      <c r="R17" s="372"/>
      <c r="S17" s="372"/>
      <c r="T17" s="372"/>
      <c r="U17" s="372"/>
    </row>
    <row r="18" spans="1:21" ht="15.75" customHeight="1">
      <c r="A18" s="394"/>
      <c r="B18" s="383"/>
      <c r="C18" s="351" t="s">
        <v>127</v>
      </c>
      <c r="D18" s="247"/>
      <c r="E18" s="219"/>
      <c r="F18" s="358"/>
      <c r="G18" s="247"/>
      <c r="H18" s="394"/>
      <c r="I18" s="383"/>
      <c r="J18" s="383"/>
      <c r="K18" s="383"/>
      <c r="L18" s="383"/>
      <c r="M18" s="167"/>
      <c r="N18" s="167"/>
      <c r="P18" s="372"/>
      <c r="Q18" s="372"/>
      <c r="R18" s="372"/>
      <c r="S18" s="372"/>
      <c r="T18" s="372"/>
      <c r="U18" s="372"/>
    </row>
    <row r="19" spans="1:21" ht="15.75" customHeight="1">
      <c r="A19" s="405">
        <v>1000</v>
      </c>
      <c r="B19" s="406">
        <v>5</v>
      </c>
      <c r="C19" s="351" t="s">
        <v>110</v>
      </c>
      <c r="D19" s="247"/>
      <c r="E19" s="352"/>
      <c r="F19" s="187"/>
      <c r="G19" s="247"/>
      <c r="H19" s="407" t="e">
        <f>AVERAGE($D19:$G22)</f>
        <v>#DIV/0!</v>
      </c>
      <c r="I19" s="385"/>
      <c r="J19" s="408"/>
      <c r="K19" s="409">
        <f>B19-J19</f>
        <v>5</v>
      </c>
      <c r="L19" s="409">
        <f>K19*K19</f>
        <v>25</v>
      </c>
      <c r="M19" s="167"/>
      <c r="P19" s="401"/>
      <c r="Q19" s="401"/>
      <c r="R19" s="402"/>
      <c r="S19" s="403"/>
      <c r="T19" s="404"/>
      <c r="U19" s="404"/>
    </row>
    <row r="20" spans="1:21" ht="15.75" customHeight="1">
      <c r="A20" s="393"/>
      <c r="B20" s="382"/>
      <c r="C20" s="351" t="s">
        <v>116</v>
      </c>
      <c r="D20" s="247"/>
      <c r="E20" s="352"/>
      <c r="F20" s="187"/>
      <c r="G20" s="247"/>
      <c r="H20" s="393"/>
      <c r="I20" s="382"/>
      <c r="J20" s="382"/>
      <c r="K20" s="382"/>
      <c r="L20" s="382"/>
      <c r="M20" s="167"/>
      <c r="N20" s="167"/>
      <c r="P20" s="372"/>
      <c r="Q20" s="372"/>
      <c r="R20" s="372"/>
      <c r="S20" s="372"/>
      <c r="T20" s="372"/>
      <c r="U20" s="372"/>
    </row>
    <row r="21" spans="1:21" ht="15.75" customHeight="1">
      <c r="A21" s="393"/>
      <c r="B21" s="382"/>
      <c r="C21" s="351" t="s">
        <v>121</v>
      </c>
      <c r="D21" s="247"/>
      <c r="E21" s="219"/>
      <c r="F21" s="187"/>
      <c r="G21" s="247"/>
      <c r="H21" s="393"/>
      <c r="I21" s="382"/>
      <c r="J21" s="382"/>
      <c r="K21" s="382"/>
      <c r="L21" s="382"/>
      <c r="M21" s="167"/>
      <c r="N21" s="167"/>
      <c r="P21" s="372"/>
      <c r="Q21" s="372"/>
      <c r="R21" s="372"/>
      <c r="S21" s="372"/>
      <c r="T21" s="372"/>
      <c r="U21" s="372"/>
    </row>
    <row r="22" spans="1:21" ht="15.75" customHeight="1">
      <c r="A22" s="394"/>
      <c r="B22" s="383"/>
      <c r="C22" s="351" t="s">
        <v>127</v>
      </c>
      <c r="D22" s="247"/>
      <c r="E22" s="352"/>
      <c r="F22" s="187"/>
      <c r="G22" s="247"/>
      <c r="H22" s="394"/>
      <c r="I22" s="383"/>
      <c r="J22" s="383"/>
      <c r="K22" s="383"/>
      <c r="L22" s="383"/>
      <c r="M22" s="167"/>
      <c r="N22" s="167"/>
      <c r="P22" s="372"/>
      <c r="Q22" s="372"/>
      <c r="R22" s="372"/>
      <c r="S22" s="372"/>
      <c r="T22" s="372"/>
      <c r="U22" s="372"/>
    </row>
    <row r="23" spans="1:21" ht="15.75" customHeight="1">
      <c r="A23" s="405">
        <v>1200</v>
      </c>
      <c r="B23" s="406">
        <v>6</v>
      </c>
      <c r="C23" s="351" t="s">
        <v>110</v>
      </c>
      <c r="D23" s="247"/>
      <c r="E23" s="247"/>
      <c r="F23" s="187"/>
      <c r="G23" s="247"/>
      <c r="H23" s="407" t="e">
        <f>AVERAGE($D23:$G26)</f>
        <v>#DIV/0!</v>
      </c>
      <c r="I23" s="385"/>
      <c r="J23" s="410"/>
      <c r="K23" s="411">
        <f>B23-J23</f>
        <v>6</v>
      </c>
      <c r="L23" s="411">
        <f>K23*K23</f>
        <v>36</v>
      </c>
      <c r="M23" s="167"/>
      <c r="N23" s="167"/>
      <c r="P23" s="401"/>
      <c r="Q23" s="401"/>
      <c r="R23" s="402"/>
      <c r="S23" s="403"/>
      <c r="T23" s="404"/>
      <c r="U23" s="404"/>
    </row>
    <row r="24" spans="1:21" ht="15.75" customHeight="1">
      <c r="A24" s="393"/>
      <c r="B24" s="382"/>
      <c r="C24" s="351" t="s">
        <v>116</v>
      </c>
      <c r="D24" s="247"/>
      <c r="E24" s="247"/>
      <c r="F24" s="187"/>
      <c r="G24" s="247"/>
      <c r="H24" s="393"/>
      <c r="I24" s="382"/>
      <c r="J24" s="382"/>
      <c r="K24" s="382"/>
      <c r="L24" s="382"/>
      <c r="M24" s="167"/>
      <c r="N24" s="167"/>
      <c r="P24" s="372"/>
      <c r="Q24" s="372"/>
      <c r="R24" s="372"/>
      <c r="S24" s="372"/>
      <c r="T24" s="372"/>
      <c r="U24" s="372"/>
    </row>
    <row r="25" spans="1:21" ht="15.75" customHeight="1">
      <c r="A25" s="393"/>
      <c r="B25" s="382"/>
      <c r="C25" s="351" t="s">
        <v>121</v>
      </c>
      <c r="D25" s="247"/>
      <c r="E25" s="219"/>
      <c r="F25" s="187"/>
      <c r="G25" s="247"/>
      <c r="H25" s="393"/>
      <c r="I25" s="382"/>
      <c r="J25" s="382"/>
      <c r="K25" s="382"/>
      <c r="L25" s="382"/>
      <c r="M25" s="167"/>
      <c r="N25" s="167"/>
      <c r="P25" s="372"/>
      <c r="Q25" s="372"/>
      <c r="R25" s="372"/>
      <c r="S25" s="372"/>
      <c r="T25" s="372"/>
      <c r="U25" s="372"/>
    </row>
    <row r="26" spans="1:21" ht="15.75" customHeight="1">
      <c r="A26" s="394"/>
      <c r="B26" s="383"/>
      <c r="C26" s="351" t="s">
        <v>127</v>
      </c>
      <c r="D26" s="247"/>
      <c r="E26" s="352"/>
      <c r="F26" s="187"/>
      <c r="G26" s="247"/>
      <c r="H26" s="394"/>
      <c r="I26" s="383"/>
      <c r="J26" s="383"/>
      <c r="K26" s="383"/>
      <c r="L26" s="383"/>
      <c r="M26" s="167"/>
      <c r="N26" s="167"/>
      <c r="P26" s="372"/>
      <c r="Q26" s="372"/>
      <c r="R26" s="372"/>
      <c r="S26" s="372"/>
      <c r="T26" s="372"/>
      <c r="U26" s="372"/>
    </row>
    <row r="27" spans="1:21" ht="15.75" customHeight="1">
      <c r="A27" s="405">
        <v>1400</v>
      </c>
      <c r="B27" s="406">
        <v>7</v>
      </c>
      <c r="C27" s="351" t="s">
        <v>110</v>
      </c>
      <c r="D27" s="247"/>
      <c r="E27" s="352"/>
      <c r="F27" s="187"/>
      <c r="G27" s="247"/>
      <c r="H27" s="407" t="e">
        <f>AVERAGE($D27:$G30)</f>
        <v>#DIV/0!</v>
      </c>
      <c r="I27" s="385"/>
      <c r="J27" s="408"/>
      <c r="K27" s="409">
        <f>B27-J27</f>
        <v>7</v>
      </c>
      <c r="L27" s="409">
        <f>K27*K27</f>
        <v>49</v>
      </c>
      <c r="M27" s="167"/>
      <c r="N27" s="167"/>
      <c r="P27" s="401"/>
      <c r="Q27" s="401"/>
      <c r="R27" s="403"/>
      <c r="S27" s="403"/>
      <c r="T27" s="404"/>
      <c r="U27" s="404"/>
    </row>
    <row r="28" spans="1:21" ht="15.75" customHeight="1">
      <c r="A28" s="393"/>
      <c r="B28" s="382"/>
      <c r="C28" s="351" t="s">
        <v>116</v>
      </c>
      <c r="D28" s="247"/>
      <c r="E28" s="352"/>
      <c r="F28" s="187"/>
      <c r="G28" s="247"/>
      <c r="H28" s="393"/>
      <c r="I28" s="382"/>
      <c r="J28" s="382"/>
      <c r="K28" s="382"/>
      <c r="L28" s="382"/>
      <c r="M28" s="167"/>
      <c r="N28" s="167"/>
      <c r="P28" s="372"/>
      <c r="Q28" s="372"/>
      <c r="R28" s="372"/>
      <c r="S28" s="372"/>
      <c r="T28" s="372"/>
      <c r="U28" s="372"/>
    </row>
    <row r="29" spans="1:21" ht="15.75" customHeight="1">
      <c r="A29" s="393"/>
      <c r="B29" s="382"/>
      <c r="C29" s="351" t="s">
        <v>121</v>
      </c>
      <c r="D29" s="247"/>
      <c r="E29" s="352"/>
      <c r="F29" s="187"/>
      <c r="G29" s="247"/>
      <c r="H29" s="393"/>
      <c r="I29" s="382"/>
      <c r="J29" s="382"/>
      <c r="K29" s="382"/>
      <c r="L29" s="382"/>
      <c r="M29" s="167"/>
      <c r="N29" s="167"/>
      <c r="P29" s="372"/>
      <c r="Q29" s="372"/>
      <c r="R29" s="372"/>
      <c r="S29" s="372"/>
      <c r="T29" s="372"/>
      <c r="U29" s="372"/>
    </row>
    <row r="30" spans="1:21" ht="15.75" customHeight="1">
      <c r="A30" s="394"/>
      <c r="B30" s="383"/>
      <c r="C30" s="351" t="s">
        <v>127</v>
      </c>
      <c r="D30" s="247"/>
      <c r="E30" s="352"/>
      <c r="F30" s="187"/>
      <c r="G30" s="247"/>
      <c r="H30" s="394"/>
      <c r="I30" s="383"/>
      <c r="J30" s="383"/>
      <c r="K30" s="383"/>
      <c r="L30" s="383"/>
      <c r="M30" s="167"/>
      <c r="N30" s="167"/>
      <c r="P30" s="372"/>
      <c r="Q30" s="372"/>
      <c r="R30" s="372"/>
      <c r="S30" s="372"/>
      <c r="T30" s="372"/>
      <c r="U30" s="372"/>
    </row>
    <row r="31" spans="1:21" ht="15.75" customHeight="1">
      <c r="A31" s="405">
        <v>1600</v>
      </c>
      <c r="B31" s="406">
        <v>8</v>
      </c>
      <c r="C31" s="351" t="s">
        <v>110</v>
      </c>
      <c r="D31" s="247"/>
      <c r="E31" s="352"/>
      <c r="F31" s="187"/>
      <c r="G31" s="359"/>
      <c r="H31" s="407" t="e">
        <f>AVERAGE($D31:$G34)</f>
        <v>#DIV/0!</v>
      </c>
      <c r="I31" s="385"/>
      <c r="J31" s="410"/>
      <c r="K31" s="411">
        <f>B31-J31</f>
        <v>8</v>
      </c>
      <c r="L31" s="411">
        <f>K31*K31</f>
        <v>64</v>
      </c>
      <c r="M31" s="167"/>
      <c r="N31" s="167"/>
      <c r="P31" s="401"/>
      <c r="Q31" s="401"/>
      <c r="R31" s="402"/>
      <c r="S31" s="403"/>
      <c r="T31" s="404"/>
      <c r="U31" s="404"/>
    </row>
    <row r="32" spans="1:21" ht="15.75" customHeight="1">
      <c r="A32" s="393"/>
      <c r="B32" s="382"/>
      <c r="C32" s="351" t="s">
        <v>116</v>
      </c>
      <c r="D32" s="247"/>
      <c r="E32" s="352"/>
      <c r="F32" s="187"/>
      <c r="G32" s="247"/>
      <c r="H32" s="393"/>
      <c r="I32" s="382"/>
      <c r="J32" s="382"/>
      <c r="K32" s="382"/>
      <c r="L32" s="382"/>
      <c r="M32" s="167"/>
      <c r="N32" s="167"/>
      <c r="P32" s="372"/>
      <c r="Q32" s="372"/>
      <c r="R32" s="372"/>
      <c r="S32" s="372"/>
      <c r="T32" s="372"/>
      <c r="U32" s="372"/>
    </row>
    <row r="33" spans="1:21" ht="15.75" customHeight="1">
      <c r="A33" s="393"/>
      <c r="B33" s="382"/>
      <c r="C33" s="351" t="s">
        <v>121</v>
      </c>
      <c r="D33" s="247"/>
      <c r="E33" s="352"/>
      <c r="F33" s="187"/>
      <c r="G33" s="247"/>
      <c r="H33" s="393"/>
      <c r="I33" s="382"/>
      <c r="J33" s="382"/>
      <c r="K33" s="382"/>
      <c r="L33" s="382"/>
      <c r="M33" s="167"/>
      <c r="N33" s="167"/>
      <c r="P33" s="372"/>
      <c r="Q33" s="372"/>
      <c r="R33" s="372"/>
      <c r="S33" s="372"/>
      <c r="T33" s="372"/>
      <c r="U33" s="372"/>
    </row>
    <row r="34" spans="1:21" ht="15.75" customHeight="1">
      <c r="A34" s="394"/>
      <c r="B34" s="383"/>
      <c r="C34" s="351" t="s">
        <v>127</v>
      </c>
      <c r="D34" s="247"/>
      <c r="E34" s="352"/>
      <c r="F34" s="187"/>
      <c r="G34" s="247"/>
      <c r="H34" s="394"/>
      <c r="I34" s="383"/>
      <c r="J34" s="383"/>
      <c r="K34" s="383"/>
      <c r="L34" s="383"/>
      <c r="M34" s="167"/>
      <c r="N34" s="167"/>
      <c r="P34" s="372"/>
      <c r="Q34" s="372"/>
      <c r="R34" s="372"/>
      <c r="S34" s="372"/>
      <c r="T34" s="372"/>
      <c r="U34" s="372"/>
    </row>
    <row r="35" spans="1:21" ht="15.75" customHeight="1">
      <c r="A35" s="405">
        <v>1800</v>
      </c>
      <c r="B35" s="406">
        <v>9</v>
      </c>
      <c r="C35" s="351" t="s">
        <v>110</v>
      </c>
      <c r="D35" s="360"/>
      <c r="E35" s="352"/>
      <c r="F35" s="187"/>
      <c r="G35" s="247"/>
      <c r="H35" s="407" t="e">
        <f>AVERAGE($D35:$G38)</f>
        <v>#DIV/0!</v>
      </c>
      <c r="I35" s="385"/>
      <c r="J35" s="408"/>
      <c r="K35" s="409">
        <f>B35-J35</f>
        <v>9</v>
      </c>
      <c r="L35" s="409">
        <f>K35*K35</f>
        <v>81</v>
      </c>
      <c r="M35" s="167"/>
      <c r="N35" s="167"/>
      <c r="P35" s="401"/>
      <c r="Q35" s="401"/>
      <c r="R35" s="403"/>
      <c r="S35" s="403"/>
      <c r="T35" s="404"/>
      <c r="U35" s="404"/>
    </row>
    <row r="36" spans="1:21" ht="15.75" customHeight="1">
      <c r="A36" s="393"/>
      <c r="B36" s="382"/>
      <c r="C36" s="351" t="s">
        <v>116</v>
      </c>
      <c r="D36" s="360"/>
      <c r="E36" s="352"/>
      <c r="F36" s="187"/>
      <c r="G36" s="247"/>
      <c r="H36" s="393"/>
      <c r="I36" s="382"/>
      <c r="J36" s="382"/>
      <c r="K36" s="382"/>
      <c r="L36" s="382"/>
      <c r="M36" s="167"/>
      <c r="N36" s="167"/>
      <c r="P36" s="372"/>
      <c r="Q36" s="372"/>
      <c r="R36" s="372"/>
      <c r="S36" s="372"/>
      <c r="T36" s="372"/>
      <c r="U36" s="372"/>
    </row>
    <row r="37" spans="1:21" ht="15.75" customHeight="1">
      <c r="A37" s="393"/>
      <c r="B37" s="382"/>
      <c r="C37" s="351" t="s">
        <v>121</v>
      </c>
      <c r="D37" s="360"/>
      <c r="E37" s="352"/>
      <c r="F37" s="187"/>
      <c r="G37" s="247"/>
      <c r="H37" s="393"/>
      <c r="I37" s="382"/>
      <c r="J37" s="382"/>
      <c r="K37" s="382"/>
      <c r="L37" s="382"/>
      <c r="M37" s="167"/>
      <c r="N37" s="167"/>
      <c r="P37" s="372"/>
      <c r="Q37" s="372"/>
      <c r="R37" s="372"/>
      <c r="S37" s="372"/>
      <c r="T37" s="372"/>
      <c r="U37" s="372"/>
    </row>
    <row r="38" spans="1:21" ht="15.75" customHeight="1">
      <c r="A38" s="394"/>
      <c r="B38" s="383"/>
      <c r="C38" s="351" t="s">
        <v>127</v>
      </c>
      <c r="D38" s="360"/>
      <c r="E38" s="352"/>
      <c r="F38" s="187"/>
      <c r="G38" s="247"/>
      <c r="H38" s="394"/>
      <c r="I38" s="383"/>
      <c r="J38" s="383"/>
      <c r="K38" s="383"/>
      <c r="L38" s="383"/>
      <c r="M38" s="167"/>
      <c r="N38" s="167"/>
      <c r="P38" s="372"/>
      <c r="Q38" s="372"/>
      <c r="R38" s="372"/>
      <c r="S38" s="372"/>
      <c r="T38" s="372"/>
      <c r="U38" s="372"/>
    </row>
    <row r="39" spans="1:21" ht="15.75" customHeight="1">
      <c r="A39" s="405">
        <v>2000</v>
      </c>
      <c r="B39" s="406">
        <v>10</v>
      </c>
      <c r="C39" s="351" t="s">
        <v>110</v>
      </c>
      <c r="D39" s="360"/>
      <c r="E39" s="352"/>
      <c r="F39" s="187"/>
      <c r="G39" s="247"/>
      <c r="H39" s="407" t="e">
        <f>AVERAGE($D39:$G42)</f>
        <v>#DIV/0!</v>
      </c>
      <c r="I39" s="385"/>
      <c r="J39" s="410"/>
      <c r="K39" s="411">
        <f>B39-J39</f>
        <v>10</v>
      </c>
      <c r="L39" s="411">
        <f>K39*K39</f>
        <v>100</v>
      </c>
      <c r="M39" s="167"/>
      <c r="N39" s="167"/>
      <c r="P39" s="401"/>
      <c r="Q39" s="401"/>
      <c r="R39" s="402"/>
      <c r="S39" s="403"/>
      <c r="T39" s="404"/>
      <c r="U39" s="404"/>
    </row>
    <row r="40" spans="1:21" ht="15.75" customHeight="1">
      <c r="A40" s="393"/>
      <c r="B40" s="382"/>
      <c r="C40" s="351" t="s">
        <v>116</v>
      </c>
      <c r="D40" s="360"/>
      <c r="E40" s="352"/>
      <c r="F40" s="187"/>
      <c r="G40" s="247"/>
      <c r="H40" s="393"/>
      <c r="I40" s="382"/>
      <c r="J40" s="382"/>
      <c r="K40" s="382"/>
      <c r="L40" s="382"/>
      <c r="M40" s="167"/>
      <c r="N40" s="167"/>
      <c r="P40" s="372"/>
      <c r="Q40" s="372"/>
      <c r="R40" s="372"/>
      <c r="S40" s="372"/>
      <c r="T40" s="372"/>
      <c r="U40" s="372"/>
    </row>
    <row r="41" spans="1:21" ht="15.75" customHeight="1">
      <c r="A41" s="393"/>
      <c r="B41" s="382"/>
      <c r="C41" s="351" t="s">
        <v>121</v>
      </c>
      <c r="D41" s="360"/>
      <c r="E41" s="352"/>
      <c r="F41" s="187"/>
      <c r="G41" s="247"/>
      <c r="H41" s="393"/>
      <c r="I41" s="382"/>
      <c r="J41" s="382"/>
      <c r="K41" s="382"/>
      <c r="L41" s="382"/>
      <c r="M41" s="167"/>
      <c r="N41" s="167"/>
      <c r="P41" s="372"/>
      <c r="Q41" s="372"/>
      <c r="R41" s="372"/>
      <c r="S41" s="372"/>
      <c r="T41" s="372"/>
      <c r="U41" s="372"/>
    </row>
    <row r="42" spans="1:21" ht="15.75" customHeight="1">
      <c r="A42" s="394"/>
      <c r="B42" s="383"/>
      <c r="C42" s="351" t="s">
        <v>127</v>
      </c>
      <c r="D42" s="360"/>
      <c r="E42" s="352"/>
      <c r="F42" s="187"/>
      <c r="G42" s="247"/>
      <c r="H42" s="394"/>
      <c r="I42" s="383"/>
      <c r="J42" s="383"/>
      <c r="K42" s="383"/>
      <c r="L42" s="383"/>
      <c r="M42" s="167"/>
      <c r="N42" s="167"/>
      <c r="P42" s="372"/>
      <c r="Q42" s="372"/>
      <c r="R42" s="372"/>
      <c r="S42" s="372"/>
      <c r="T42" s="372"/>
      <c r="U42" s="372"/>
    </row>
    <row r="43" spans="1:21" ht="15.75" customHeight="1">
      <c r="A43" s="405">
        <v>2200</v>
      </c>
      <c r="B43" s="406">
        <v>11</v>
      </c>
      <c r="C43" s="351" t="s">
        <v>110</v>
      </c>
      <c r="D43" s="360"/>
      <c r="E43" s="352"/>
      <c r="F43" s="187"/>
      <c r="G43" s="247"/>
      <c r="H43" s="407" t="e">
        <f>AVERAGE($D43:$G46)</f>
        <v>#DIV/0!</v>
      </c>
      <c r="I43" s="385"/>
      <c r="J43" s="408"/>
      <c r="K43" s="409">
        <f>B43-J43</f>
        <v>11</v>
      </c>
      <c r="L43" s="409">
        <f>K43*K43</f>
        <v>121</v>
      </c>
      <c r="M43" s="167"/>
      <c r="N43" s="167"/>
      <c r="P43" s="401"/>
      <c r="Q43" s="401"/>
      <c r="R43" s="402"/>
      <c r="S43" s="403"/>
      <c r="T43" s="404"/>
      <c r="U43" s="404"/>
    </row>
    <row r="44" spans="1:21" ht="15.75" customHeight="1">
      <c r="A44" s="393"/>
      <c r="B44" s="382"/>
      <c r="C44" s="351" t="s">
        <v>116</v>
      </c>
      <c r="D44" s="360"/>
      <c r="E44" s="352"/>
      <c r="F44" s="187"/>
      <c r="G44" s="247"/>
      <c r="H44" s="393"/>
      <c r="I44" s="382"/>
      <c r="J44" s="382"/>
      <c r="K44" s="382"/>
      <c r="L44" s="382"/>
      <c r="M44" s="167"/>
      <c r="N44" s="167"/>
      <c r="P44" s="372"/>
      <c r="Q44" s="372"/>
      <c r="R44" s="372"/>
      <c r="S44" s="372"/>
      <c r="T44" s="372"/>
      <c r="U44" s="372"/>
    </row>
    <row r="45" spans="1:21" ht="15.75" customHeight="1">
      <c r="A45" s="393"/>
      <c r="B45" s="382"/>
      <c r="C45" s="351" t="s">
        <v>121</v>
      </c>
      <c r="D45" s="360"/>
      <c r="E45" s="352"/>
      <c r="F45" s="187"/>
      <c r="G45" s="247"/>
      <c r="H45" s="393"/>
      <c r="I45" s="382"/>
      <c r="J45" s="382"/>
      <c r="K45" s="382"/>
      <c r="L45" s="382"/>
      <c r="M45" s="167"/>
      <c r="N45" s="167"/>
      <c r="P45" s="372"/>
      <c r="Q45" s="372"/>
      <c r="R45" s="372"/>
      <c r="S45" s="372"/>
      <c r="T45" s="372"/>
      <c r="U45" s="372"/>
    </row>
    <row r="46" spans="1:21" ht="15.75" customHeight="1">
      <c r="A46" s="394"/>
      <c r="B46" s="383"/>
      <c r="C46" s="351" t="s">
        <v>127</v>
      </c>
      <c r="D46" s="360"/>
      <c r="E46" s="352"/>
      <c r="F46" s="187"/>
      <c r="G46" s="247"/>
      <c r="H46" s="394"/>
      <c r="I46" s="383"/>
      <c r="J46" s="383"/>
      <c r="K46" s="383"/>
      <c r="L46" s="383"/>
      <c r="M46" s="167"/>
      <c r="N46" s="167"/>
      <c r="P46" s="372"/>
      <c r="Q46" s="372"/>
      <c r="R46" s="372"/>
      <c r="S46" s="372"/>
      <c r="T46" s="372"/>
      <c r="U46" s="372"/>
    </row>
    <row r="47" spans="1:21" ht="15.75" customHeight="1">
      <c r="A47" s="412">
        <v>2400</v>
      </c>
      <c r="B47" s="413">
        <v>12</v>
      </c>
      <c r="C47" s="351" t="s">
        <v>110</v>
      </c>
      <c r="D47" s="360"/>
      <c r="E47" s="352"/>
      <c r="F47" s="236"/>
      <c r="G47" s="247"/>
      <c r="H47" s="407" t="e">
        <f>AVERAGE($D47:$G50)</f>
        <v>#DIV/0!</v>
      </c>
      <c r="I47" s="385"/>
      <c r="J47" s="410"/>
      <c r="K47" s="411">
        <f>B47-J47</f>
        <v>12</v>
      </c>
      <c r="L47" s="411">
        <f>K47*K47</f>
        <v>144</v>
      </c>
      <c r="M47" s="167"/>
      <c r="N47" s="167"/>
      <c r="P47" s="403"/>
      <c r="Q47" s="403"/>
      <c r="R47" s="403"/>
      <c r="S47" s="403"/>
      <c r="T47" s="404"/>
      <c r="U47" s="404"/>
    </row>
    <row r="48" spans="1:21" ht="15.75" customHeight="1">
      <c r="A48" s="393"/>
      <c r="B48" s="382"/>
      <c r="C48" s="351" t="s">
        <v>116</v>
      </c>
      <c r="D48" s="360"/>
      <c r="E48" s="352"/>
      <c r="F48" s="236"/>
      <c r="G48" s="247"/>
      <c r="H48" s="393"/>
      <c r="I48" s="382"/>
      <c r="J48" s="382"/>
      <c r="K48" s="382"/>
      <c r="L48" s="382"/>
      <c r="M48" s="167"/>
      <c r="N48" s="167"/>
      <c r="P48" s="372"/>
      <c r="Q48" s="372"/>
      <c r="R48" s="372"/>
      <c r="S48" s="372"/>
      <c r="T48" s="372"/>
      <c r="U48" s="372"/>
    </row>
    <row r="49" spans="1:21" ht="15.75" customHeight="1">
      <c r="A49" s="393"/>
      <c r="B49" s="382"/>
      <c r="C49" s="351" t="s">
        <v>121</v>
      </c>
      <c r="D49" s="360"/>
      <c r="E49" s="352"/>
      <c r="F49" s="236"/>
      <c r="G49" s="247"/>
      <c r="H49" s="393"/>
      <c r="I49" s="382"/>
      <c r="J49" s="382"/>
      <c r="K49" s="382"/>
      <c r="L49" s="382"/>
      <c r="M49" s="167"/>
      <c r="N49" s="167"/>
      <c r="P49" s="372"/>
      <c r="Q49" s="372"/>
      <c r="R49" s="372"/>
      <c r="S49" s="372"/>
      <c r="T49" s="372"/>
      <c r="U49" s="372"/>
    </row>
    <row r="50" spans="1:21" ht="15.75" customHeight="1">
      <c r="A50" s="394"/>
      <c r="B50" s="383"/>
      <c r="C50" s="351" t="s">
        <v>127</v>
      </c>
      <c r="D50" s="360"/>
      <c r="E50" s="352"/>
      <c r="F50" s="236"/>
      <c r="G50" s="247"/>
      <c r="H50" s="394"/>
      <c r="I50" s="383"/>
      <c r="J50" s="383"/>
      <c r="K50" s="383"/>
      <c r="L50" s="383"/>
      <c r="M50" s="167"/>
      <c r="N50" s="167"/>
      <c r="P50" s="372"/>
      <c r="Q50" s="372"/>
      <c r="R50" s="372"/>
      <c r="S50" s="372"/>
      <c r="T50" s="372"/>
      <c r="U50" s="372"/>
    </row>
    <row r="51" spans="1:21" ht="15.75" customHeight="1">
      <c r="A51" s="412">
        <v>2600</v>
      </c>
      <c r="B51" s="413">
        <v>13</v>
      </c>
      <c r="C51" s="351" t="s">
        <v>110</v>
      </c>
      <c r="D51" s="360"/>
      <c r="E51" s="352"/>
      <c r="F51" s="236"/>
      <c r="G51" s="247"/>
      <c r="H51" s="407" t="e">
        <f>AVERAGE($D51:$G54)</f>
        <v>#DIV/0!</v>
      </c>
      <c r="I51" s="385"/>
      <c r="J51" s="408"/>
      <c r="K51" s="409">
        <f>B51-J51</f>
        <v>13</v>
      </c>
      <c r="L51" s="409">
        <f>K51*K51</f>
        <v>169</v>
      </c>
      <c r="M51" s="167"/>
      <c r="N51" s="167"/>
      <c r="P51" s="403"/>
      <c r="Q51" s="403"/>
      <c r="R51" s="402"/>
      <c r="S51" s="403"/>
      <c r="T51" s="404"/>
      <c r="U51" s="404"/>
    </row>
    <row r="52" spans="1:21" ht="15.75" customHeight="1">
      <c r="A52" s="393"/>
      <c r="B52" s="382"/>
      <c r="C52" s="351" t="s">
        <v>116</v>
      </c>
      <c r="D52" s="360"/>
      <c r="E52" s="352"/>
      <c r="F52" s="236"/>
      <c r="G52" s="247"/>
      <c r="H52" s="393"/>
      <c r="I52" s="382"/>
      <c r="J52" s="382"/>
      <c r="K52" s="382"/>
      <c r="L52" s="382"/>
      <c r="M52" s="167"/>
      <c r="N52" s="167"/>
      <c r="P52" s="372"/>
      <c r="Q52" s="372"/>
      <c r="R52" s="372"/>
      <c r="S52" s="372"/>
      <c r="T52" s="372"/>
      <c r="U52" s="372"/>
    </row>
    <row r="53" spans="1:21" ht="15.75" customHeight="1">
      <c r="A53" s="393"/>
      <c r="B53" s="382"/>
      <c r="C53" s="351" t="s">
        <v>121</v>
      </c>
      <c r="D53" s="360"/>
      <c r="E53" s="352"/>
      <c r="F53" s="236"/>
      <c r="G53" s="247"/>
      <c r="H53" s="393"/>
      <c r="I53" s="382"/>
      <c r="J53" s="382"/>
      <c r="K53" s="382"/>
      <c r="L53" s="382"/>
      <c r="M53" s="167"/>
      <c r="N53" s="167"/>
      <c r="P53" s="372"/>
      <c r="Q53" s="372"/>
      <c r="R53" s="372"/>
      <c r="S53" s="372"/>
      <c r="T53" s="372"/>
      <c r="U53" s="372"/>
    </row>
    <row r="54" spans="1:21" ht="15.75" customHeight="1">
      <c r="A54" s="394"/>
      <c r="B54" s="383"/>
      <c r="C54" s="351" t="s">
        <v>127</v>
      </c>
      <c r="D54" s="360"/>
      <c r="E54" s="352"/>
      <c r="F54" s="236"/>
      <c r="G54" s="247"/>
      <c r="H54" s="394"/>
      <c r="I54" s="383"/>
      <c r="J54" s="383"/>
      <c r="K54" s="383"/>
      <c r="L54" s="383"/>
      <c r="M54" s="167"/>
      <c r="N54" s="167"/>
      <c r="P54" s="372"/>
      <c r="Q54" s="372"/>
      <c r="R54" s="372"/>
      <c r="S54" s="372"/>
      <c r="T54" s="372"/>
      <c r="U54" s="372"/>
    </row>
    <row r="55" spans="1:21" ht="15.75" customHeight="1">
      <c r="A55" s="412">
        <v>2800</v>
      </c>
      <c r="B55" s="413">
        <v>14</v>
      </c>
      <c r="C55" s="351" t="s">
        <v>110</v>
      </c>
      <c r="D55" s="360"/>
      <c r="E55" s="352"/>
      <c r="F55" s="236"/>
      <c r="G55" s="247"/>
      <c r="H55" s="407" t="e">
        <f>AVERAGE($D55:$G58)</f>
        <v>#DIV/0!</v>
      </c>
      <c r="I55" s="385"/>
      <c r="J55" s="410"/>
      <c r="K55" s="411">
        <f>B55-J55</f>
        <v>14</v>
      </c>
      <c r="L55" s="411">
        <f>K55*K55</f>
        <v>196</v>
      </c>
      <c r="M55" s="167"/>
      <c r="N55" s="167"/>
      <c r="P55" s="403"/>
      <c r="Q55" s="403"/>
      <c r="R55" s="402"/>
      <c r="S55" s="403"/>
      <c r="T55" s="404"/>
      <c r="U55" s="404"/>
    </row>
    <row r="56" spans="1:21" ht="15.75" customHeight="1">
      <c r="A56" s="393"/>
      <c r="B56" s="382"/>
      <c r="C56" s="351" t="s">
        <v>116</v>
      </c>
      <c r="D56" s="360"/>
      <c r="E56" s="352"/>
      <c r="F56" s="236"/>
      <c r="G56" s="247"/>
      <c r="H56" s="393"/>
      <c r="I56" s="382"/>
      <c r="J56" s="382"/>
      <c r="K56" s="382"/>
      <c r="L56" s="382"/>
      <c r="M56" s="167"/>
      <c r="N56" s="167"/>
      <c r="P56" s="372"/>
      <c r="Q56" s="372"/>
      <c r="R56" s="372"/>
      <c r="S56" s="372"/>
      <c r="T56" s="372"/>
      <c r="U56" s="372"/>
    </row>
    <row r="57" spans="1:21" ht="15.75" customHeight="1">
      <c r="A57" s="393"/>
      <c r="B57" s="382"/>
      <c r="C57" s="351" t="s">
        <v>121</v>
      </c>
      <c r="D57" s="360"/>
      <c r="E57" s="352"/>
      <c r="F57" s="236"/>
      <c r="G57" s="247"/>
      <c r="H57" s="393"/>
      <c r="I57" s="382"/>
      <c r="J57" s="382"/>
      <c r="K57" s="382"/>
      <c r="L57" s="382"/>
      <c r="M57" s="167"/>
      <c r="N57" s="167"/>
      <c r="P57" s="372"/>
      <c r="Q57" s="372"/>
      <c r="R57" s="372"/>
      <c r="S57" s="372"/>
      <c r="T57" s="372"/>
      <c r="U57" s="372"/>
    </row>
    <row r="58" spans="1:21" ht="15.75" customHeight="1">
      <c r="A58" s="394"/>
      <c r="B58" s="383"/>
      <c r="C58" s="351" t="s">
        <v>127</v>
      </c>
      <c r="D58" s="360"/>
      <c r="E58" s="352"/>
      <c r="F58" s="236"/>
      <c r="G58" s="247"/>
      <c r="H58" s="394"/>
      <c r="I58" s="383"/>
      <c r="J58" s="383"/>
      <c r="K58" s="383"/>
      <c r="L58" s="383"/>
      <c r="M58" s="167"/>
      <c r="N58" s="167"/>
      <c r="P58" s="372"/>
      <c r="Q58" s="372"/>
      <c r="R58" s="372"/>
      <c r="S58" s="372"/>
      <c r="T58" s="372"/>
      <c r="U58" s="372"/>
    </row>
    <row r="59" spans="1:21" ht="15.75" customHeight="1">
      <c r="A59" s="412">
        <v>3000</v>
      </c>
      <c r="B59" s="413">
        <v>15</v>
      </c>
      <c r="C59" s="351" t="s">
        <v>110</v>
      </c>
      <c r="D59" s="360"/>
      <c r="E59" s="352"/>
      <c r="F59" s="236"/>
      <c r="G59" s="247"/>
      <c r="H59" s="407" t="e">
        <f>AVERAGE($D59:$G62)</f>
        <v>#DIV/0!</v>
      </c>
      <c r="I59" s="385"/>
      <c r="J59" s="408"/>
      <c r="K59" s="409">
        <f>B59-J59</f>
        <v>15</v>
      </c>
      <c r="L59" s="409">
        <f>K59*K59</f>
        <v>225</v>
      </c>
      <c r="M59" s="167"/>
      <c r="N59" s="167"/>
      <c r="P59" s="403"/>
      <c r="Q59" s="403"/>
      <c r="R59" s="402"/>
      <c r="S59" s="403"/>
      <c r="T59" s="404"/>
      <c r="U59" s="404"/>
    </row>
    <row r="60" spans="1:21" ht="15.75" customHeight="1">
      <c r="A60" s="393"/>
      <c r="B60" s="382"/>
      <c r="C60" s="351" t="s">
        <v>116</v>
      </c>
      <c r="D60" s="360"/>
      <c r="E60" s="352"/>
      <c r="F60" s="236"/>
      <c r="G60" s="247"/>
      <c r="H60" s="393"/>
      <c r="I60" s="382"/>
      <c r="J60" s="382"/>
      <c r="K60" s="382"/>
      <c r="L60" s="382"/>
      <c r="M60" s="167"/>
      <c r="N60" s="167"/>
      <c r="P60" s="372"/>
      <c r="Q60" s="372"/>
      <c r="R60" s="372"/>
      <c r="S60" s="372"/>
      <c r="T60" s="372"/>
      <c r="U60" s="372"/>
    </row>
    <row r="61" spans="1:21" ht="15.75" customHeight="1">
      <c r="A61" s="393"/>
      <c r="B61" s="382"/>
      <c r="C61" s="351" t="s">
        <v>121</v>
      </c>
      <c r="D61" s="360"/>
      <c r="E61" s="352"/>
      <c r="F61" s="236"/>
      <c r="G61" s="247"/>
      <c r="H61" s="393"/>
      <c r="I61" s="382"/>
      <c r="J61" s="382"/>
      <c r="K61" s="382"/>
      <c r="L61" s="382"/>
      <c r="M61" s="167"/>
      <c r="N61" s="167"/>
      <c r="P61" s="372"/>
      <c r="Q61" s="372"/>
      <c r="R61" s="372"/>
      <c r="S61" s="372"/>
      <c r="T61" s="372"/>
      <c r="U61" s="372"/>
    </row>
    <row r="62" spans="1:21" ht="15.75" customHeight="1">
      <c r="A62" s="394"/>
      <c r="B62" s="383"/>
      <c r="C62" s="351" t="s">
        <v>127</v>
      </c>
      <c r="D62" s="360"/>
      <c r="E62" s="352"/>
      <c r="F62" s="236"/>
      <c r="G62" s="361"/>
      <c r="H62" s="394"/>
      <c r="I62" s="383"/>
      <c r="J62" s="383"/>
      <c r="K62" s="383"/>
      <c r="L62" s="383"/>
      <c r="M62" s="167"/>
      <c r="N62" s="167"/>
      <c r="P62" s="372"/>
      <c r="Q62" s="372"/>
      <c r="R62" s="372"/>
      <c r="S62" s="372"/>
      <c r="T62" s="372"/>
      <c r="U62" s="372"/>
    </row>
    <row r="63" spans="1:21" ht="15.75" customHeight="1">
      <c r="A63" s="412">
        <v>3200</v>
      </c>
      <c r="B63" s="413">
        <v>16</v>
      </c>
      <c r="C63" s="351" t="s">
        <v>110</v>
      </c>
      <c r="D63" s="360"/>
      <c r="E63" s="352"/>
      <c r="F63" s="236"/>
      <c r="G63" s="247"/>
      <c r="H63" s="407" t="e">
        <f>AVERAGE($D63:$G66)</f>
        <v>#DIV/0!</v>
      </c>
      <c r="I63" s="385"/>
      <c r="J63" s="410"/>
      <c r="K63" s="411">
        <f>B63-J63</f>
        <v>16</v>
      </c>
      <c r="L63" s="411">
        <f>K63*K63</f>
        <v>256</v>
      </c>
      <c r="M63" s="167"/>
      <c r="N63" s="167"/>
      <c r="P63" s="403"/>
      <c r="Q63" s="403"/>
      <c r="R63" s="403"/>
      <c r="S63" s="403"/>
      <c r="T63" s="404"/>
      <c r="U63" s="404"/>
    </row>
    <row r="64" spans="1:21" ht="15.75" customHeight="1">
      <c r="A64" s="393"/>
      <c r="B64" s="382"/>
      <c r="C64" s="351" t="s">
        <v>116</v>
      </c>
      <c r="D64" s="360"/>
      <c r="E64" s="352"/>
      <c r="F64" s="236"/>
      <c r="G64" s="247"/>
      <c r="H64" s="393"/>
      <c r="I64" s="382"/>
      <c r="J64" s="382"/>
      <c r="K64" s="382"/>
      <c r="L64" s="382"/>
      <c r="M64" s="167"/>
      <c r="N64" s="167"/>
      <c r="P64" s="372"/>
      <c r="Q64" s="372"/>
      <c r="R64" s="372"/>
      <c r="S64" s="372"/>
      <c r="T64" s="372"/>
      <c r="U64" s="372"/>
    </row>
    <row r="65" spans="1:21" ht="15.75" customHeight="1">
      <c r="A65" s="393"/>
      <c r="B65" s="382"/>
      <c r="C65" s="351" t="s">
        <v>121</v>
      </c>
      <c r="D65" s="360"/>
      <c r="E65" s="352"/>
      <c r="F65" s="236"/>
      <c r="G65" s="247"/>
      <c r="H65" s="393"/>
      <c r="I65" s="382"/>
      <c r="J65" s="382"/>
      <c r="K65" s="382"/>
      <c r="L65" s="382"/>
      <c r="M65" s="167"/>
      <c r="N65" s="167"/>
      <c r="P65" s="372"/>
      <c r="Q65" s="372"/>
      <c r="R65" s="372"/>
      <c r="S65" s="372"/>
      <c r="T65" s="372"/>
      <c r="U65" s="372"/>
    </row>
    <row r="66" spans="1:21" ht="15.75" customHeight="1">
      <c r="A66" s="394"/>
      <c r="B66" s="383"/>
      <c r="C66" s="351" t="s">
        <v>127</v>
      </c>
      <c r="D66" s="360"/>
      <c r="E66" s="352"/>
      <c r="F66" s="236"/>
      <c r="G66" s="247"/>
      <c r="H66" s="394"/>
      <c r="I66" s="383"/>
      <c r="J66" s="383"/>
      <c r="K66" s="383"/>
      <c r="L66" s="383"/>
      <c r="M66" s="167"/>
      <c r="N66" s="167"/>
      <c r="P66" s="372"/>
      <c r="Q66" s="372"/>
      <c r="R66" s="372"/>
      <c r="S66" s="372"/>
      <c r="T66" s="372"/>
      <c r="U66" s="372"/>
    </row>
    <row r="67" spans="1:21" ht="15.75" customHeight="1">
      <c r="A67" s="412">
        <v>3400</v>
      </c>
      <c r="B67" s="413">
        <v>17</v>
      </c>
      <c r="C67" s="351" t="s">
        <v>110</v>
      </c>
      <c r="D67" s="360"/>
      <c r="E67" s="352"/>
      <c r="F67" s="236"/>
      <c r="G67" s="181"/>
      <c r="H67" s="407" t="e">
        <f>AVERAGE($D67:$G70)</f>
        <v>#DIV/0!</v>
      </c>
      <c r="I67" s="385"/>
      <c r="J67" s="408"/>
      <c r="K67" s="409">
        <f>B67-J67</f>
        <v>17</v>
      </c>
      <c r="L67" s="409">
        <f>K67*K67</f>
        <v>289</v>
      </c>
      <c r="M67" s="167"/>
      <c r="N67" s="167"/>
      <c r="P67" s="403"/>
      <c r="Q67" s="403"/>
      <c r="R67" s="402"/>
      <c r="S67" s="403"/>
      <c r="T67" s="404"/>
      <c r="U67" s="404"/>
    </row>
    <row r="68" spans="1:21" ht="15.75" customHeight="1">
      <c r="A68" s="393"/>
      <c r="B68" s="382"/>
      <c r="C68" s="351" t="s">
        <v>116</v>
      </c>
      <c r="D68" s="360"/>
      <c r="E68" s="352"/>
      <c r="F68" s="236"/>
      <c r="G68" s="247"/>
      <c r="H68" s="393"/>
      <c r="I68" s="382"/>
      <c r="J68" s="382"/>
      <c r="K68" s="382"/>
      <c r="L68" s="382"/>
      <c r="M68" s="167"/>
      <c r="N68" s="167"/>
      <c r="P68" s="372"/>
      <c r="Q68" s="372"/>
      <c r="R68" s="372"/>
      <c r="S68" s="372"/>
      <c r="T68" s="372"/>
      <c r="U68" s="372"/>
    </row>
    <row r="69" spans="1:21" ht="15.75" customHeight="1">
      <c r="A69" s="393"/>
      <c r="B69" s="382"/>
      <c r="C69" s="351" t="s">
        <v>121</v>
      </c>
      <c r="D69" s="360"/>
      <c r="E69" s="352"/>
      <c r="F69" s="236"/>
      <c r="G69" s="247"/>
      <c r="H69" s="393"/>
      <c r="I69" s="382"/>
      <c r="J69" s="382"/>
      <c r="K69" s="382"/>
      <c r="L69" s="382"/>
      <c r="M69" s="167"/>
      <c r="N69" s="167"/>
      <c r="P69" s="372"/>
      <c r="Q69" s="372"/>
      <c r="R69" s="372"/>
      <c r="S69" s="372"/>
      <c r="T69" s="372"/>
      <c r="U69" s="372"/>
    </row>
    <row r="70" spans="1:21" ht="15.75" customHeight="1">
      <c r="A70" s="394"/>
      <c r="B70" s="383"/>
      <c r="C70" s="351" t="s">
        <v>127</v>
      </c>
      <c r="D70" s="360"/>
      <c r="E70" s="352"/>
      <c r="F70" s="236"/>
      <c r="G70" s="247"/>
      <c r="H70" s="394"/>
      <c r="I70" s="383"/>
      <c r="J70" s="383"/>
      <c r="K70" s="383"/>
      <c r="L70" s="383"/>
      <c r="M70" s="167"/>
      <c r="N70" s="167"/>
      <c r="P70" s="372"/>
      <c r="Q70" s="372"/>
      <c r="R70" s="372"/>
      <c r="S70" s="372"/>
      <c r="T70" s="372"/>
      <c r="U70" s="372"/>
    </row>
    <row r="71" spans="1:21" ht="15.75" customHeight="1">
      <c r="A71" s="412">
        <v>3600</v>
      </c>
      <c r="B71" s="413">
        <v>18</v>
      </c>
      <c r="C71" s="351" t="s">
        <v>110</v>
      </c>
      <c r="D71" s="360"/>
      <c r="E71" s="352"/>
      <c r="F71" s="236"/>
      <c r="G71" s="247"/>
      <c r="H71" s="407" t="e">
        <f>AVERAGE($D71:$G74)</f>
        <v>#DIV/0!</v>
      </c>
      <c r="I71" s="385"/>
      <c r="J71" s="410"/>
      <c r="K71" s="411">
        <f>B71-J71</f>
        <v>18</v>
      </c>
      <c r="L71" s="411">
        <f>K71*K71</f>
        <v>324</v>
      </c>
      <c r="M71" s="167"/>
      <c r="N71" s="167"/>
      <c r="P71" s="403"/>
      <c r="Q71" s="403"/>
      <c r="R71" s="402"/>
      <c r="S71" s="403"/>
      <c r="T71" s="404"/>
      <c r="U71" s="404"/>
    </row>
    <row r="72" spans="1:21" ht="15.75" customHeight="1">
      <c r="A72" s="393"/>
      <c r="B72" s="382"/>
      <c r="C72" s="351" t="s">
        <v>116</v>
      </c>
      <c r="D72" s="360"/>
      <c r="E72" s="352"/>
      <c r="F72" s="236"/>
      <c r="G72" s="247"/>
      <c r="H72" s="393"/>
      <c r="I72" s="382"/>
      <c r="J72" s="382"/>
      <c r="K72" s="382"/>
      <c r="L72" s="382"/>
      <c r="M72" s="167"/>
      <c r="N72" s="167"/>
      <c r="P72" s="372"/>
      <c r="Q72" s="372"/>
      <c r="R72" s="372"/>
      <c r="S72" s="372"/>
      <c r="T72" s="372"/>
      <c r="U72" s="372"/>
    </row>
    <row r="73" spans="1:21" ht="15.75" customHeight="1">
      <c r="A73" s="393"/>
      <c r="B73" s="382"/>
      <c r="C73" s="351" t="s">
        <v>121</v>
      </c>
      <c r="D73" s="360"/>
      <c r="E73" s="352"/>
      <c r="F73" s="236"/>
      <c r="G73" s="247"/>
      <c r="H73" s="393"/>
      <c r="I73" s="382"/>
      <c r="J73" s="382"/>
      <c r="K73" s="382"/>
      <c r="L73" s="382"/>
      <c r="M73" s="167"/>
      <c r="N73" s="167"/>
      <c r="P73" s="372"/>
      <c r="Q73" s="372"/>
      <c r="R73" s="372"/>
      <c r="S73" s="372"/>
      <c r="T73" s="372"/>
      <c r="U73" s="372"/>
    </row>
    <row r="74" spans="1:21" ht="15.75" customHeight="1">
      <c r="A74" s="394"/>
      <c r="B74" s="383"/>
      <c r="C74" s="351" t="s">
        <v>127</v>
      </c>
      <c r="D74" s="360"/>
      <c r="E74" s="352"/>
      <c r="F74" s="236"/>
      <c r="G74" s="247"/>
      <c r="H74" s="394"/>
      <c r="I74" s="383"/>
      <c r="J74" s="383"/>
      <c r="K74" s="383"/>
      <c r="L74" s="383"/>
      <c r="M74" s="167"/>
      <c r="N74" s="167"/>
      <c r="P74" s="372"/>
      <c r="Q74" s="372"/>
      <c r="R74" s="372"/>
      <c r="S74" s="372"/>
      <c r="T74" s="372"/>
      <c r="U74" s="372"/>
    </row>
    <row r="75" spans="1:21" ht="15.75" customHeight="1">
      <c r="A75" s="412">
        <v>3800</v>
      </c>
      <c r="B75" s="413">
        <v>19</v>
      </c>
      <c r="C75" s="351" t="s">
        <v>110</v>
      </c>
      <c r="D75" s="360"/>
      <c r="E75" s="352"/>
      <c r="F75" s="236"/>
      <c r="G75" s="247"/>
      <c r="H75" s="407" t="e">
        <f>AVERAGE($D75:$G78)</f>
        <v>#DIV/0!</v>
      </c>
      <c r="I75" s="385"/>
      <c r="J75" s="408"/>
      <c r="K75" s="409">
        <f>B75-J75</f>
        <v>19</v>
      </c>
      <c r="L75" s="409">
        <f>K75*K75</f>
        <v>361</v>
      </c>
      <c r="M75" s="167"/>
      <c r="N75" s="167"/>
      <c r="P75" s="403"/>
      <c r="Q75" s="403"/>
      <c r="R75" s="403"/>
      <c r="S75" s="403"/>
      <c r="T75" s="404"/>
      <c r="U75" s="404"/>
    </row>
    <row r="76" spans="1:21" ht="15.75" customHeight="1">
      <c r="A76" s="393"/>
      <c r="B76" s="382"/>
      <c r="C76" s="351" t="s">
        <v>116</v>
      </c>
      <c r="D76" s="360"/>
      <c r="E76" s="352"/>
      <c r="F76" s="236"/>
      <c r="G76" s="247"/>
      <c r="H76" s="393"/>
      <c r="I76" s="382"/>
      <c r="J76" s="382"/>
      <c r="K76" s="382"/>
      <c r="L76" s="382"/>
      <c r="M76" s="167"/>
      <c r="N76" s="167"/>
      <c r="P76" s="372"/>
      <c r="Q76" s="372"/>
      <c r="R76" s="372"/>
      <c r="S76" s="372"/>
      <c r="T76" s="372"/>
      <c r="U76" s="372"/>
    </row>
    <row r="77" spans="1:21" ht="15.75" customHeight="1">
      <c r="A77" s="393"/>
      <c r="B77" s="382"/>
      <c r="C77" s="351" t="s">
        <v>121</v>
      </c>
      <c r="D77" s="360"/>
      <c r="E77" s="352"/>
      <c r="F77" s="236"/>
      <c r="G77" s="247"/>
      <c r="H77" s="393"/>
      <c r="I77" s="382"/>
      <c r="J77" s="382"/>
      <c r="K77" s="382"/>
      <c r="L77" s="382"/>
      <c r="M77" s="167"/>
      <c r="N77" s="167"/>
      <c r="P77" s="372"/>
      <c r="Q77" s="372"/>
      <c r="R77" s="372"/>
      <c r="S77" s="372"/>
      <c r="T77" s="372"/>
      <c r="U77" s="372"/>
    </row>
    <row r="78" spans="1:21" ht="15.75" customHeight="1">
      <c r="A78" s="394"/>
      <c r="B78" s="383"/>
      <c r="C78" s="351" t="s">
        <v>127</v>
      </c>
      <c r="D78" s="360"/>
      <c r="E78" s="352"/>
      <c r="F78" s="236"/>
      <c r="G78" s="247"/>
      <c r="H78" s="394"/>
      <c r="I78" s="383"/>
      <c r="J78" s="383"/>
      <c r="K78" s="383"/>
      <c r="L78" s="383"/>
      <c r="M78" s="167"/>
      <c r="N78" s="167"/>
      <c r="P78" s="372"/>
      <c r="Q78" s="372"/>
      <c r="R78" s="372"/>
      <c r="S78" s="372"/>
      <c r="T78" s="372"/>
      <c r="U78" s="372"/>
    </row>
    <row r="79" spans="1:21" ht="15.75" customHeight="1">
      <c r="A79" s="412">
        <v>4000</v>
      </c>
      <c r="B79" s="413">
        <v>20</v>
      </c>
      <c r="C79" s="351" t="s">
        <v>110</v>
      </c>
      <c r="D79" s="360"/>
      <c r="E79" s="352"/>
      <c r="F79" s="236"/>
      <c r="G79" s="247"/>
      <c r="H79" s="407" t="e">
        <f>AVERAGE($D79:$G82)</f>
        <v>#DIV/0!</v>
      </c>
      <c r="I79" s="385"/>
      <c r="J79" s="410"/>
      <c r="K79" s="411">
        <f>B79-J79</f>
        <v>20</v>
      </c>
      <c r="L79" s="411">
        <f>K79*K79</f>
        <v>400</v>
      </c>
      <c r="M79" s="167"/>
      <c r="N79" s="167"/>
      <c r="P79" s="403"/>
      <c r="Q79" s="403"/>
      <c r="R79" s="402"/>
      <c r="S79" s="403"/>
      <c r="T79" s="404"/>
      <c r="U79" s="404"/>
    </row>
    <row r="80" spans="1:21" ht="15.75" customHeight="1">
      <c r="A80" s="393"/>
      <c r="B80" s="382"/>
      <c r="C80" s="351" t="s">
        <v>116</v>
      </c>
      <c r="D80" s="360"/>
      <c r="E80" s="352"/>
      <c r="F80" s="236"/>
      <c r="G80" s="247"/>
      <c r="H80" s="393"/>
      <c r="I80" s="382"/>
      <c r="J80" s="382"/>
      <c r="K80" s="382"/>
      <c r="L80" s="382"/>
      <c r="M80" s="167"/>
      <c r="N80" s="167"/>
      <c r="P80" s="372"/>
      <c r="Q80" s="372"/>
      <c r="R80" s="372"/>
      <c r="S80" s="372"/>
      <c r="T80" s="372"/>
      <c r="U80" s="372"/>
    </row>
    <row r="81" spans="1:21" ht="15.75" customHeight="1">
      <c r="A81" s="393"/>
      <c r="B81" s="382"/>
      <c r="C81" s="351" t="s">
        <v>121</v>
      </c>
      <c r="D81" s="360"/>
      <c r="E81" s="352"/>
      <c r="F81" s="236"/>
      <c r="G81" s="247"/>
      <c r="H81" s="393"/>
      <c r="I81" s="382"/>
      <c r="J81" s="382"/>
      <c r="K81" s="382"/>
      <c r="L81" s="382"/>
      <c r="M81" s="167"/>
      <c r="N81" s="167"/>
      <c r="P81" s="372"/>
      <c r="Q81" s="372"/>
      <c r="R81" s="372"/>
      <c r="S81" s="372"/>
      <c r="T81" s="372"/>
      <c r="U81" s="372"/>
    </row>
    <row r="82" spans="1:21" ht="15.75" customHeight="1">
      <c r="A82" s="394"/>
      <c r="B82" s="383"/>
      <c r="C82" s="351" t="s">
        <v>127</v>
      </c>
      <c r="D82" s="360"/>
      <c r="E82" s="352"/>
      <c r="F82" s="236"/>
      <c r="G82" s="247"/>
      <c r="H82" s="394"/>
      <c r="I82" s="383"/>
      <c r="J82" s="383"/>
      <c r="K82" s="383"/>
      <c r="L82" s="383"/>
      <c r="M82" s="167"/>
      <c r="N82" s="167"/>
      <c r="P82" s="372"/>
      <c r="Q82" s="372"/>
      <c r="R82" s="372"/>
      <c r="S82" s="372"/>
      <c r="T82" s="372"/>
      <c r="U82" s="372"/>
    </row>
    <row r="83" spans="1:21" ht="15.75" customHeight="1">
      <c r="A83" s="412">
        <v>4200</v>
      </c>
      <c r="B83" s="413">
        <v>21</v>
      </c>
      <c r="C83" s="351" t="s">
        <v>110</v>
      </c>
      <c r="D83" s="360"/>
      <c r="E83" s="352"/>
      <c r="F83" s="236"/>
      <c r="G83" s="247"/>
      <c r="H83" s="407" t="e">
        <f>AVERAGE($D83:$G86)</f>
        <v>#DIV/0!</v>
      </c>
      <c r="I83" s="385"/>
      <c r="J83" s="408"/>
      <c r="K83" s="409">
        <f>B83-J83</f>
        <v>21</v>
      </c>
      <c r="L83" s="409">
        <f>K83*K83</f>
        <v>441</v>
      </c>
      <c r="M83" s="167"/>
      <c r="N83" s="167"/>
      <c r="P83" s="403"/>
      <c r="Q83" s="403"/>
      <c r="R83" s="403"/>
      <c r="S83" s="403"/>
      <c r="T83" s="404"/>
      <c r="U83" s="404"/>
    </row>
    <row r="84" spans="1:21" ht="15.75" customHeight="1">
      <c r="A84" s="393"/>
      <c r="B84" s="382"/>
      <c r="C84" s="351" t="s">
        <v>116</v>
      </c>
      <c r="D84" s="360"/>
      <c r="E84" s="352"/>
      <c r="F84" s="236"/>
      <c r="G84" s="247"/>
      <c r="H84" s="393"/>
      <c r="I84" s="382"/>
      <c r="J84" s="382"/>
      <c r="K84" s="382"/>
      <c r="L84" s="382"/>
      <c r="M84" s="167"/>
      <c r="N84" s="167"/>
      <c r="P84" s="372"/>
      <c r="Q84" s="372"/>
      <c r="R84" s="372"/>
      <c r="S84" s="372"/>
      <c r="T84" s="372"/>
      <c r="U84" s="372"/>
    </row>
    <row r="85" spans="1:21" ht="15.75" customHeight="1">
      <c r="A85" s="393"/>
      <c r="B85" s="382"/>
      <c r="C85" s="351" t="s">
        <v>121</v>
      </c>
      <c r="D85" s="360"/>
      <c r="E85" s="352"/>
      <c r="F85" s="236"/>
      <c r="G85" s="247"/>
      <c r="H85" s="393"/>
      <c r="I85" s="382"/>
      <c r="J85" s="382"/>
      <c r="K85" s="382"/>
      <c r="L85" s="382"/>
      <c r="M85" s="167"/>
      <c r="N85" s="167"/>
      <c r="P85" s="372"/>
      <c r="Q85" s="372"/>
      <c r="R85" s="372"/>
      <c r="S85" s="372"/>
      <c r="T85" s="372"/>
      <c r="U85" s="372"/>
    </row>
    <row r="86" spans="1:21" ht="15.75" customHeight="1">
      <c r="A86" s="394"/>
      <c r="B86" s="383"/>
      <c r="C86" s="351" t="s">
        <v>127</v>
      </c>
      <c r="D86" s="360"/>
      <c r="E86" s="352"/>
      <c r="F86" s="236"/>
      <c r="G86" s="247"/>
      <c r="H86" s="394"/>
      <c r="I86" s="383"/>
      <c r="J86" s="383"/>
      <c r="K86" s="383"/>
      <c r="L86" s="383"/>
      <c r="M86" s="167"/>
      <c r="N86" s="167"/>
      <c r="P86" s="372"/>
      <c r="Q86" s="372"/>
      <c r="R86" s="372"/>
      <c r="S86" s="372"/>
      <c r="T86" s="372"/>
      <c r="U86" s="372"/>
    </row>
    <row r="87" spans="1:21" ht="15.75" customHeight="1">
      <c r="A87" s="412">
        <v>4400</v>
      </c>
      <c r="B87" s="413">
        <v>22</v>
      </c>
      <c r="C87" s="351" t="s">
        <v>110</v>
      </c>
      <c r="D87" s="360"/>
      <c r="E87" s="352"/>
      <c r="F87" s="236"/>
      <c r="G87" s="247"/>
      <c r="H87" s="407" t="e">
        <f>AVERAGE($D87:$G90)</f>
        <v>#DIV/0!</v>
      </c>
      <c r="I87" s="385"/>
      <c r="J87" s="410"/>
      <c r="K87" s="411">
        <f>B87-J87</f>
        <v>22</v>
      </c>
      <c r="L87" s="411">
        <f>K87*K87</f>
        <v>484</v>
      </c>
      <c r="M87" s="167"/>
      <c r="N87" s="167"/>
      <c r="P87" s="403"/>
      <c r="Q87" s="403"/>
      <c r="R87" s="403"/>
      <c r="S87" s="403"/>
      <c r="T87" s="404"/>
      <c r="U87" s="404"/>
    </row>
    <row r="88" spans="1:21" ht="15.75" customHeight="1">
      <c r="A88" s="393"/>
      <c r="B88" s="382"/>
      <c r="C88" s="351" t="s">
        <v>116</v>
      </c>
      <c r="D88" s="360"/>
      <c r="E88" s="362"/>
      <c r="F88" s="236"/>
      <c r="G88" s="247"/>
      <c r="H88" s="393"/>
      <c r="I88" s="382"/>
      <c r="J88" s="382"/>
      <c r="K88" s="382"/>
      <c r="L88" s="382"/>
      <c r="M88" s="167"/>
      <c r="N88" s="167"/>
      <c r="P88" s="372"/>
      <c r="Q88" s="372"/>
      <c r="R88" s="372"/>
      <c r="S88" s="372"/>
      <c r="T88" s="372"/>
      <c r="U88" s="372"/>
    </row>
    <row r="89" spans="1:21" ht="15.75" customHeight="1">
      <c r="A89" s="393"/>
      <c r="B89" s="382"/>
      <c r="C89" s="351" t="s">
        <v>121</v>
      </c>
      <c r="D89" s="360"/>
      <c r="E89" s="352"/>
      <c r="F89" s="236"/>
      <c r="G89" s="247"/>
      <c r="H89" s="393"/>
      <c r="I89" s="382"/>
      <c r="J89" s="382"/>
      <c r="K89" s="382"/>
      <c r="L89" s="382"/>
      <c r="M89" s="167"/>
      <c r="N89" s="167"/>
      <c r="P89" s="372"/>
      <c r="Q89" s="372"/>
      <c r="R89" s="372"/>
      <c r="S89" s="372"/>
      <c r="T89" s="372"/>
      <c r="U89" s="372"/>
    </row>
    <row r="90" spans="1:21" ht="15.75" customHeight="1">
      <c r="A90" s="394"/>
      <c r="B90" s="383"/>
      <c r="C90" s="351" t="s">
        <v>127</v>
      </c>
      <c r="D90" s="360"/>
      <c r="E90" s="352"/>
      <c r="F90" s="236"/>
      <c r="G90" s="247"/>
      <c r="H90" s="394"/>
      <c r="I90" s="383"/>
      <c r="J90" s="383"/>
      <c r="K90" s="383"/>
      <c r="L90" s="383"/>
      <c r="M90" s="167"/>
      <c r="N90" s="167"/>
      <c r="P90" s="372"/>
      <c r="Q90" s="372"/>
      <c r="R90" s="372"/>
      <c r="S90" s="372"/>
      <c r="T90" s="372"/>
      <c r="U90" s="372"/>
    </row>
    <row r="91" spans="1:21" ht="15.75" customHeight="1">
      <c r="A91" s="412">
        <v>4600</v>
      </c>
      <c r="B91" s="413">
        <v>23</v>
      </c>
      <c r="C91" s="351" t="s">
        <v>110</v>
      </c>
      <c r="D91" s="360"/>
      <c r="E91" s="352"/>
      <c r="F91" s="236"/>
      <c r="G91" s="247"/>
      <c r="H91" s="407" t="e">
        <f>AVERAGE($D91:$G94)</f>
        <v>#DIV/0!</v>
      </c>
      <c r="I91" s="385"/>
      <c r="J91" s="408"/>
      <c r="K91" s="409">
        <f>B91-J91</f>
        <v>23</v>
      </c>
      <c r="L91" s="409">
        <f>K91*K91</f>
        <v>529</v>
      </c>
      <c r="M91" s="167"/>
      <c r="N91" s="167"/>
      <c r="P91" s="403"/>
      <c r="Q91" s="403"/>
      <c r="R91" s="402"/>
      <c r="S91" s="403"/>
      <c r="T91" s="404"/>
      <c r="U91" s="404"/>
    </row>
    <row r="92" spans="1:21" ht="15.75" customHeight="1">
      <c r="A92" s="393"/>
      <c r="B92" s="382"/>
      <c r="C92" s="351" t="s">
        <v>116</v>
      </c>
      <c r="D92" s="360"/>
      <c r="E92" s="352"/>
      <c r="F92" s="236"/>
      <c r="G92" s="247"/>
      <c r="H92" s="393"/>
      <c r="I92" s="382"/>
      <c r="J92" s="382"/>
      <c r="K92" s="382"/>
      <c r="L92" s="382"/>
      <c r="M92" s="167"/>
      <c r="N92" s="167"/>
      <c r="P92" s="372"/>
      <c r="Q92" s="372"/>
      <c r="R92" s="372"/>
      <c r="S92" s="372"/>
      <c r="T92" s="372"/>
      <c r="U92" s="372"/>
    </row>
    <row r="93" spans="1:21" ht="15.75" customHeight="1">
      <c r="A93" s="393"/>
      <c r="B93" s="382"/>
      <c r="C93" s="351" t="s">
        <v>121</v>
      </c>
      <c r="D93" s="360"/>
      <c r="E93" s="352"/>
      <c r="F93" s="236"/>
      <c r="G93" s="247"/>
      <c r="H93" s="393"/>
      <c r="I93" s="382"/>
      <c r="J93" s="382"/>
      <c r="K93" s="382"/>
      <c r="L93" s="382"/>
      <c r="M93" s="167"/>
      <c r="N93" s="167"/>
      <c r="P93" s="372"/>
      <c r="Q93" s="372"/>
      <c r="R93" s="372"/>
      <c r="S93" s="372"/>
      <c r="T93" s="372"/>
      <c r="U93" s="372"/>
    </row>
    <row r="94" spans="1:21" ht="15.75" customHeight="1">
      <c r="A94" s="394"/>
      <c r="B94" s="383"/>
      <c r="C94" s="351" t="s">
        <v>127</v>
      </c>
      <c r="D94" s="360"/>
      <c r="E94" s="352"/>
      <c r="F94" s="236"/>
      <c r="G94" s="247"/>
      <c r="H94" s="394"/>
      <c r="I94" s="383"/>
      <c r="J94" s="383"/>
      <c r="K94" s="383"/>
      <c r="L94" s="383"/>
      <c r="M94" s="167"/>
      <c r="N94" s="167"/>
      <c r="P94" s="372"/>
      <c r="Q94" s="372"/>
      <c r="R94" s="372"/>
      <c r="S94" s="372"/>
      <c r="T94" s="372"/>
      <c r="U94" s="372"/>
    </row>
    <row r="95" spans="1:21" ht="15.75" customHeight="1">
      <c r="A95" s="412">
        <v>4800</v>
      </c>
      <c r="B95" s="413">
        <v>24</v>
      </c>
      <c r="C95" s="351" t="s">
        <v>110</v>
      </c>
      <c r="D95" s="360"/>
      <c r="E95" s="352"/>
      <c r="F95" s="236"/>
      <c r="G95" s="247"/>
      <c r="H95" s="407" t="e">
        <f>AVERAGE($D95:$G98)</f>
        <v>#DIV/0!</v>
      </c>
      <c r="I95" s="385"/>
      <c r="J95" s="410"/>
      <c r="K95" s="411">
        <f>B95-J95</f>
        <v>24</v>
      </c>
      <c r="L95" s="411">
        <f>K95*K95</f>
        <v>576</v>
      </c>
      <c r="M95" s="167"/>
      <c r="N95" s="167"/>
      <c r="P95" s="403"/>
      <c r="Q95" s="403"/>
      <c r="R95" s="402"/>
      <c r="S95" s="403"/>
      <c r="T95" s="404"/>
      <c r="U95" s="404"/>
    </row>
    <row r="96" spans="1:21" ht="15.75" customHeight="1">
      <c r="A96" s="393"/>
      <c r="B96" s="382"/>
      <c r="C96" s="351" t="s">
        <v>116</v>
      </c>
      <c r="D96" s="360"/>
      <c r="E96" s="352"/>
      <c r="F96" s="236"/>
      <c r="G96" s="247"/>
      <c r="H96" s="393"/>
      <c r="I96" s="382"/>
      <c r="J96" s="382"/>
      <c r="K96" s="382"/>
      <c r="L96" s="382"/>
      <c r="M96" s="167"/>
      <c r="N96" s="167"/>
      <c r="P96" s="372"/>
      <c r="Q96" s="372"/>
      <c r="R96" s="372"/>
      <c r="S96" s="372"/>
      <c r="T96" s="372"/>
      <c r="U96" s="372"/>
    </row>
    <row r="97" spans="1:21" ht="15.75" customHeight="1">
      <c r="A97" s="393"/>
      <c r="B97" s="382"/>
      <c r="C97" s="351" t="s">
        <v>121</v>
      </c>
      <c r="D97" s="360"/>
      <c r="E97" s="352"/>
      <c r="F97" s="236"/>
      <c r="G97" s="247"/>
      <c r="H97" s="393"/>
      <c r="I97" s="382"/>
      <c r="J97" s="382"/>
      <c r="K97" s="382"/>
      <c r="L97" s="382"/>
      <c r="M97" s="167"/>
      <c r="N97" s="167"/>
      <c r="P97" s="372"/>
      <c r="Q97" s="372"/>
      <c r="R97" s="372"/>
      <c r="S97" s="372"/>
      <c r="T97" s="372"/>
      <c r="U97" s="372"/>
    </row>
    <row r="98" spans="1:21" ht="15.75" customHeight="1">
      <c r="A98" s="394"/>
      <c r="B98" s="383"/>
      <c r="C98" s="351" t="s">
        <v>127</v>
      </c>
      <c r="D98" s="360"/>
      <c r="E98" s="352"/>
      <c r="F98" s="236"/>
      <c r="G98" s="247"/>
      <c r="H98" s="394"/>
      <c r="I98" s="383"/>
      <c r="J98" s="383"/>
      <c r="K98" s="383"/>
      <c r="L98" s="383"/>
      <c r="M98" s="167"/>
      <c r="N98" s="167"/>
      <c r="P98" s="372"/>
      <c r="Q98" s="372"/>
      <c r="R98" s="372"/>
      <c r="S98" s="372"/>
      <c r="T98" s="372"/>
      <c r="U98" s="372"/>
    </row>
    <row r="99" spans="1:21" ht="15.75" customHeight="1">
      <c r="A99" s="412">
        <v>5000</v>
      </c>
      <c r="B99" s="413">
        <v>25</v>
      </c>
      <c r="C99" s="351" t="s">
        <v>110</v>
      </c>
      <c r="D99" s="360"/>
      <c r="E99" s="352"/>
      <c r="F99" s="236"/>
      <c r="G99" s="247"/>
      <c r="H99" s="407" t="e">
        <f>AVERAGE($D99:$G102)</f>
        <v>#DIV/0!</v>
      </c>
      <c r="I99" s="385"/>
      <c r="J99" s="408"/>
      <c r="K99" s="409">
        <f>B99-J99</f>
        <v>25</v>
      </c>
      <c r="L99" s="409">
        <f>K99*K99</f>
        <v>625</v>
      </c>
      <c r="M99" s="167"/>
      <c r="N99" s="167"/>
      <c r="P99" s="403"/>
      <c r="Q99" s="403"/>
      <c r="R99" s="403"/>
      <c r="S99" s="403"/>
      <c r="T99" s="404"/>
      <c r="U99" s="404"/>
    </row>
    <row r="100" spans="1:21" ht="15.75" customHeight="1">
      <c r="A100" s="393"/>
      <c r="B100" s="382"/>
      <c r="C100" s="351" t="s">
        <v>116</v>
      </c>
      <c r="D100" s="360"/>
      <c r="E100" s="352"/>
      <c r="F100" s="236"/>
      <c r="G100" s="247"/>
      <c r="H100" s="393"/>
      <c r="I100" s="382"/>
      <c r="J100" s="382"/>
      <c r="K100" s="382"/>
      <c r="L100" s="382"/>
      <c r="M100" s="167"/>
      <c r="N100" s="167"/>
      <c r="P100" s="372"/>
      <c r="Q100" s="372"/>
      <c r="R100" s="372"/>
      <c r="S100" s="372"/>
      <c r="T100" s="372"/>
      <c r="U100" s="372"/>
    </row>
    <row r="101" spans="1:21" ht="15.75" customHeight="1">
      <c r="A101" s="393"/>
      <c r="B101" s="382"/>
      <c r="C101" s="351" t="s">
        <v>121</v>
      </c>
      <c r="D101" s="360"/>
      <c r="E101" s="352"/>
      <c r="F101" s="236"/>
      <c r="G101" s="247"/>
      <c r="H101" s="393"/>
      <c r="I101" s="382"/>
      <c r="J101" s="382"/>
      <c r="K101" s="382"/>
      <c r="L101" s="382"/>
      <c r="M101" s="167"/>
      <c r="N101" s="167"/>
      <c r="P101" s="372"/>
      <c r="Q101" s="372"/>
      <c r="R101" s="372"/>
      <c r="S101" s="372"/>
      <c r="T101" s="372"/>
      <c r="U101" s="372"/>
    </row>
    <row r="102" spans="1:21" ht="15.75" customHeight="1">
      <c r="A102" s="394"/>
      <c r="B102" s="383"/>
      <c r="C102" s="351" t="s">
        <v>127</v>
      </c>
      <c r="D102" s="360"/>
      <c r="E102" s="352"/>
      <c r="F102" s="236"/>
      <c r="G102" s="247"/>
      <c r="H102" s="394"/>
      <c r="I102" s="383"/>
      <c r="J102" s="383"/>
      <c r="K102" s="383"/>
      <c r="L102" s="383"/>
      <c r="M102" s="167"/>
      <c r="N102" s="167"/>
      <c r="P102" s="372"/>
      <c r="Q102" s="372"/>
      <c r="R102" s="372"/>
      <c r="S102" s="372"/>
      <c r="T102" s="372"/>
      <c r="U102" s="372"/>
    </row>
    <row r="103" spans="1:21" ht="15.75" customHeight="1">
      <c r="A103" s="412">
        <v>5200</v>
      </c>
      <c r="B103" s="413">
        <v>26</v>
      </c>
      <c r="C103" s="351" t="s">
        <v>110</v>
      </c>
      <c r="D103" s="360"/>
      <c r="E103" s="352"/>
      <c r="F103" s="236"/>
      <c r="G103" s="247"/>
      <c r="H103" s="407" t="e">
        <f>AVERAGE($D103:$G106)</f>
        <v>#DIV/0!</v>
      </c>
      <c r="I103" s="385"/>
      <c r="J103" s="410"/>
      <c r="K103" s="411">
        <f>B103-J103</f>
        <v>26</v>
      </c>
      <c r="L103" s="411">
        <f>K103*K103</f>
        <v>676</v>
      </c>
      <c r="M103" s="167"/>
      <c r="N103" s="167"/>
      <c r="P103" s="403"/>
      <c r="Q103" s="403"/>
      <c r="R103" s="402"/>
      <c r="S103" s="403"/>
      <c r="T103" s="404"/>
      <c r="U103" s="404"/>
    </row>
    <row r="104" spans="1:21" ht="15.75" customHeight="1">
      <c r="A104" s="393"/>
      <c r="B104" s="382"/>
      <c r="C104" s="351" t="s">
        <v>116</v>
      </c>
      <c r="D104" s="360"/>
      <c r="E104" s="352"/>
      <c r="F104" s="236"/>
      <c r="G104" s="247"/>
      <c r="H104" s="393"/>
      <c r="I104" s="382"/>
      <c r="J104" s="382"/>
      <c r="K104" s="382"/>
      <c r="L104" s="382"/>
      <c r="M104" s="167"/>
      <c r="N104" s="167"/>
      <c r="P104" s="372"/>
      <c r="Q104" s="372"/>
      <c r="R104" s="372"/>
      <c r="S104" s="372"/>
      <c r="T104" s="372"/>
      <c r="U104" s="372"/>
    </row>
    <row r="105" spans="1:21" ht="15.75" customHeight="1">
      <c r="A105" s="393"/>
      <c r="B105" s="382"/>
      <c r="C105" s="351" t="s">
        <v>121</v>
      </c>
      <c r="D105" s="360"/>
      <c r="E105" s="352"/>
      <c r="F105" s="236"/>
      <c r="G105" s="247"/>
      <c r="H105" s="393"/>
      <c r="I105" s="382"/>
      <c r="J105" s="382"/>
      <c r="K105" s="382"/>
      <c r="L105" s="382"/>
      <c r="M105" s="167"/>
      <c r="N105" s="167"/>
      <c r="P105" s="372"/>
      <c r="Q105" s="372"/>
      <c r="R105" s="372"/>
      <c r="S105" s="372"/>
      <c r="T105" s="372"/>
      <c r="U105" s="372"/>
    </row>
    <row r="106" spans="1:21" ht="15.75" customHeight="1">
      <c r="A106" s="394"/>
      <c r="B106" s="383"/>
      <c r="C106" s="351" t="s">
        <v>127</v>
      </c>
      <c r="D106" s="360"/>
      <c r="E106" s="352"/>
      <c r="F106" s="236"/>
      <c r="G106" s="247"/>
      <c r="H106" s="394"/>
      <c r="I106" s="383"/>
      <c r="J106" s="383"/>
      <c r="K106" s="383"/>
      <c r="L106" s="383"/>
      <c r="M106" s="167"/>
      <c r="N106" s="167"/>
      <c r="P106" s="372"/>
      <c r="Q106" s="372"/>
      <c r="R106" s="372"/>
      <c r="S106" s="372"/>
      <c r="T106" s="372"/>
      <c r="U106" s="372"/>
    </row>
    <row r="107" spans="1:21" ht="15.75" customHeight="1">
      <c r="A107" s="412">
        <v>5400</v>
      </c>
      <c r="B107" s="413">
        <v>27</v>
      </c>
      <c r="C107" s="351" t="s">
        <v>110</v>
      </c>
      <c r="D107" s="247"/>
      <c r="E107" s="352"/>
      <c r="F107" s="236"/>
      <c r="G107" s="247"/>
      <c r="H107" s="407" t="e">
        <f>AVERAGE($D107:$G110)</f>
        <v>#DIV/0!</v>
      </c>
      <c r="I107" s="385"/>
      <c r="J107" s="408"/>
      <c r="K107" s="409">
        <f>B107-J107</f>
        <v>27</v>
      </c>
      <c r="L107" s="409">
        <f>K107*K107</f>
        <v>729</v>
      </c>
      <c r="M107" s="167"/>
      <c r="N107" s="167"/>
      <c r="P107" s="403"/>
      <c r="Q107" s="403"/>
      <c r="R107" s="402"/>
      <c r="S107" s="403"/>
      <c r="T107" s="404"/>
      <c r="U107" s="404"/>
    </row>
    <row r="108" spans="1:21" ht="15.75" customHeight="1">
      <c r="A108" s="393"/>
      <c r="B108" s="382"/>
      <c r="C108" s="351" t="s">
        <v>116</v>
      </c>
      <c r="D108" s="247"/>
      <c r="E108" s="352"/>
      <c r="F108" s="236"/>
      <c r="G108" s="247"/>
      <c r="H108" s="393"/>
      <c r="I108" s="382"/>
      <c r="J108" s="382"/>
      <c r="K108" s="382"/>
      <c r="L108" s="382"/>
      <c r="M108" s="167"/>
      <c r="N108" s="167"/>
      <c r="P108" s="372"/>
      <c r="Q108" s="372"/>
      <c r="R108" s="372"/>
      <c r="S108" s="372"/>
      <c r="T108" s="372"/>
      <c r="U108" s="372"/>
    </row>
    <row r="109" spans="1:21" ht="15.75" customHeight="1">
      <c r="A109" s="393"/>
      <c r="B109" s="382"/>
      <c r="C109" s="351" t="s">
        <v>121</v>
      </c>
      <c r="D109" s="247"/>
      <c r="E109" s="352"/>
      <c r="F109" s="236"/>
      <c r="G109" s="247"/>
      <c r="H109" s="393"/>
      <c r="I109" s="382"/>
      <c r="J109" s="382"/>
      <c r="K109" s="382"/>
      <c r="L109" s="382"/>
      <c r="M109" s="167"/>
      <c r="N109" s="167"/>
      <c r="P109" s="372"/>
      <c r="Q109" s="372"/>
      <c r="R109" s="372"/>
      <c r="S109" s="372"/>
      <c r="T109" s="372"/>
      <c r="U109" s="372"/>
    </row>
    <row r="110" spans="1:21" ht="15.75" customHeight="1">
      <c r="A110" s="394"/>
      <c r="B110" s="383"/>
      <c r="C110" s="351" t="s">
        <v>127</v>
      </c>
      <c r="D110" s="247"/>
      <c r="E110" s="352"/>
      <c r="F110" s="236"/>
      <c r="G110" s="247"/>
      <c r="H110" s="394"/>
      <c r="I110" s="383"/>
      <c r="J110" s="383"/>
      <c r="K110" s="383"/>
      <c r="L110" s="383"/>
      <c r="M110" s="167"/>
      <c r="N110" s="167"/>
      <c r="P110" s="372"/>
      <c r="Q110" s="372"/>
      <c r="R110" s="372"/>
      <c r="S110" s="372"/>
      <c r="T110" s="372"/>
      <c r="U110" s="372"/>
    </row>
    <row r="111" spans="1:21" ht="15.75" customHeight="1">
      <c r="A111" s="412">
        <v>5600</v>
      </c>
      <c r="B111" s="413">
        <v>28</v>
      </c>
      <c r="C111" s="351" t="s">
        <v>110</v>
      </c>
      <c r="D111" s="247"/>
      <c r="E111" s="352"/>
      <c r="F111" s="236"/>
      <c r="G111" s="247"/>
      <c r="H111" s="407" t="e">
        <f>AVERAGE($D111:$G114)</f>
        <v>#DIV/0!</v>
      </c>
      <c r="I111" s="385"/>
      <c r="J111" s="410"/>
      <c r="K111" s="411">
        <f>B111-J111</f>
        <v>28</v>
      </c>
      <c r="L111" s="411">
        <f>K111*K111</f>
        <v>784</v>
      </c>
      <c r="M111" s="167"/>
      <c r="N111" s="167"/>
      <c r="P111" s="403"/>
      <c r="Q111" s="403"/>
      <c r="R111" s="402"/>
      <c r="S111" s="403"/>
      <c r="T111" s="404"/>
      <c r="U111" s="404"/>
    </row>
    <row r="112" spans="1:21" ht="15.75" customHeight="1">
      <c r="A112" s="393"/>
      <c r="B112" s="382"/>
      <c r="C112" s="351" t="s">
        <v>116</v>
      </c>
      <c r="D112" s="247"/>
      <c r="E112" s="352"/>
      <c r="F112" s="236"/>
      <c r="G112" s="247"/>
      <c r="H112" s="393"/>
      <c r="I112" s="382"/>
      <c r="J112" s="382"/>
      <c r="K112" s="382"/>
      <c r="L112" s="382"/>
      <c r="M112" s="167"/>
      <c r="N112" s="167"/>
      <c r="P112" s="372"/>
      <c r="Q112" s="372"/>
      <c r="R112" s="372"/>
      <c r="S112" s="372"/>
      <c r="T112" s="372"/>
      <c r="U112" s="372"/>
    </row>
    <row r="113" spans="1:21" ht="15.75" customHeight="1">
      <c r="A113" s="393"/>
      <c r="B113" s="382"/>
      <c r="C113" s="351" t="s">
        <v>121</v>
      </c>
      <c r="D113" s="247"/>
      <c r="E113" s="219"/>
      <c r="F113" s="236"/>
      <c r="G113" s="247"/>
      <c r="H113" s="393"/>
      <c r="I113" s="382"/>
      <c r="J113" s="382"/>
      <c r="K113" s="382"/>
      <c r="L113" s="382"/>
      <c r="M113" s="167"/>
      <c r="N113" s="167"/>
      <c r="P113" s="372"/>
      <c r="Q113" s="372"/>
      <c r="R113" s="372"/>
      <c r="S113" s="372"/>
      <c r="T113" s="372"/>
      <c r="U113" s="372"/>
    </row>
    <row r="114" spans="1:21" ht="15.75" customHeight="1">
      <c r="A114" s="394"/>
      <c r="B114" s="383"/>
      <c r="C114" s="351" t="s">
        <v>127</v>
      </c>
      <c r="D114" s="247"/>
      <c r="E114" s="352"/>
      <c r="F114" s="236"/>
      <c r="G114" s="247"/>
      <c r="H114" s="394"/>
      <c r="I114" s="383"/>
      <c r="J114" s="383"/>
      <c r="K114" s="383"/>
      <c r="L114" s="383"/>
      <c r="M114" s="167"/>
      <c r="N114" s="167"/>
      <c r="P114" s="372"/>
      <c r="Q114" s="372"/>
      <c r="R114" s="372"/>
      <c r="S114" s="372"/>
      <c r="T114" s="372"/>
      <c r="U114" s="372"/>
    </row>
    <row r="115" spans="1:21" ht="15.75" customHeight="1">
      <c r="A115" s="412">
        <v>5800</v>
      </c>
      <c r="B115" s="413">
        <v>29</v>
      </c>
      <c r="C115" s="351" t="s">
        <v>110</v>
      </c>
      <c r="D115" s="247"/>
      <c r="E115" s="352"/>
      <c r="F115" s="236"/>
      <c r="G115" s="247"/>
      <c r="H115" s="407" t="e">
        <f>AVERAGE($D115:$G118)</f>
        <v>#DIV/0!</v>
      </c>
      <c r="I115" s="385"/>
      <c r="J115" s="408"/>
      <c r="K115" s="409">
        <f>B115-J115</f>
        <v>29</v>
      </c>
      <c r="L115" s="409">
        <f>K115*K115</f>
        <v>841</v>
      </c>
      <c r="M115" s="167"/>
      <c r="N115" s="167"/>
      <c r="P115" s="403"/>
      <c r="Q115" s="403"/>
      <c r="R115" s="402"/>
      <c r="S115" s="403"/>
      <c r="T115" s="404"/>
      <c r="U115" s="404"/>
    </row>
    <row r="116" spans="1:21" ht="15.75" customHeight="1">
      <c r="A116" s="393"/>
      <c r="B116" s="382"/>
      <c r="C116" s="351" t="s">
        <v>116</v>
      </c>
      <c r="D116" s="247"/>
      <c r="E116" s="352"/>
      <c r="F116" s="236"/>
      <c r="G116" s="247"/>
      <c r="H116" s="393"/>
      <c r="I116" s="382"/>
      <c r="J116" s="382"/>
      <c r="K116" s="382"/>
      <c r="L116" s="382"/>
      <c r="M116" s="167"/>
      <c r="N116" s="167"/>
      <c r="P116" s="372"/>
      <c r="Q116" s="372"/>
      <c r="R116" s="372"/>
      <c r="S116" s="372"/>
      <c r="T116" s="372"/>
      <c r="U116" s="372"/>
    </row>
    <row r="117" spans="1:21" ht="15.75" customHeight="1">
      <c r="A117" s="393"/>
      <c r="B117" s="382"/>
      <c r="C117" s="351" t="s">
        <v>121</v>
      </c>
      <c r="D117" s="247"/>
      <c r="E117" s="352"/>
      <c r="F117" s="236"/>
      <c r="G117" s="247"/>
      <c r="H117" s="393"/>
      <c r="I117" s="382"/>
      <c r="J117" s="382"/>
      <c r="K117" s="382"/>
      <c r="L117" s="382"/>
      <c r="M117" s="167"/>
      <c r="N117" s="167"/>
      <c r="P117" s="372"/>
      <c r="Q117" s="372"/>
      <c r="R117" s="372"/>
      <c r="S117" s="372"/>
      <c r="T117" s="372"/>
      <c r="U117" s="372"/>
    </row>
    <row r="118" spans="1:21" ht="15.75" customHeight="1">
      <c r="A118" s="394"/>
      <c r="B118" s="383"/>
      <c r="C118" s="351" t="s">
        <v>127</v>
      </c>
      <c r="D118" s="247"/>
      <c r="E118" s="352"/>
      <c r="F118" s="236"/>
      <c r="G118" s="247"/>
      <c r="H118" s="394"/>
      <c r="I118" s="383"/>
      <c r="J118" s="383"/>
      <c r="K118" s="383"/>
      <c r="L118" s="383"/>
      <c r="M118" s="167"/>
      <c r="N118" s="167"/>
      <c r="P118" s="372"/>
      <c r="Q118" s="372"/>
      <c r="R118" s="372"/>
      <c r="S118" s="372"/>
      <c r="T118" s="372"/>
      <c r="U118" s="372"/>
    </row>
    <row r="119" spans="1:21" ht="15.75" customHeight="1">
      <c r="A119" s="412">
        <v>6000</v>
      </c>
      <c r="B119" s="413">
        <v>29</v>
      </c>
      <c r="C119" s="351" t="s">
        <v>110</v>
      </c>
      <c r="D119" s="247"/>
      <c r="E119" s="352"/>
      <c r="F119" s="236"/>
      <c r="G119" s="247"/>
      <c r="H119" s="407" t="e">
        <f>AVERAGE($D119:$G122)</f>
        <v>#DIV/0!</v>
      </c>
      <c r="I119" s="385"/>
      <c r="J119" s="410"/>
      <c r="K119" s="411">
        <f>B119-J119</f>
        <v>29</v>
      </c>
      <c r="L119" s="411">
        <f>K119*K119</f>
        <v>841</v>
      </c>
      <c r="M119" s="167"/>
      <c r="N119" s="167"/>
      <c r="P119" s="403"/>
      <c r="Q119" s="403"/>
      <c r="R119" s="414"/>
      <c r="S119" s="403"/>
      <c r="T119" s="404"/>
      <c r="U119" s="404"/>
    </row>
    <row r="120" spans="1:21" ht="15.75" customHeight="1">
      <c r="A120" s="393"/>
      <c r="B120" s="382"/>
      <c r="C120" s="351" t="s">
        <v>116</v>
      </c>
      <c r="D120" s="247"/>
      <c r="E120" s="352"/>
      <c r="F120" s="236"/>
      <c r="G120" s="247"/>
      <c r="H120" s="393"/>
      <c r="I120" s="382"/>
      <c r="J120" s="382"/>
      <c r="K120" s="382"/>
      <c r="L120" s="382"/>
      <c r="M120" s="167"/>
      <c r="N120" s="167"/>
      <c r="P120" s="372"/>
      <c r="Q120" s="372"/>
      <c r="R120" s="372"/>
      <c r="S120" s="372"/>
      <c r="T120" s="372"/>
      <c r="U120" s="372"/>
    </row>
    <row r="121" spans="1:21" ht="15.75" customHeight="1">
      <c r="A121" s="393"/>
      <c r="B121" s="382"/>
      <c r="C121" s="351" t="s">
        <v>121</v>
      </c>
      <c r="D121" s="247"/>
      <c r="E121" s="352"/>
      <c r="F121" s="236"/>
      <c r="G121" s="247"/>
      <c r="H121" s="393"/>
      <c r="I121" s="382"/>
      <c r="J121" s="382"/>
      <c r="K121" s="382"/>
      <c r="L121" s="382"/>
      <c r="M121" s="167"/>
      <c r="N121" s="167"/>
      <c r="P121" s="372"/>
      <c r="Q121" s="372"/>
      <c r="R121" s="372"/>
      <c r="S121" s="372"/>
      <c r="T121" s="372"/>
      <c r="U121" s="372"/>
    </row>
    <row r="122" spans="1:21" ht="15.75" customHeight="1">
      <c r="A122" s="394"/>
      <c r="B122" s="383"/>
      <c r="C122" s="351" t="s">
        <v>127</v>
      </c>
      <c r="D122" s="247"/>
      <c r="E122" s="352"/>
      <c r="F122" s="236"/>
      <c r="G122" s="247"/>
      <c r="H122" s="394"/>
      <c r="I122" s="383"/>
      <c r="J122" s="383"/>
      <c r="K122" s="383"/>
      <c r="L122" s="383"/>
      <c r="M122" s="167"/>
      <c r="N122" s="167"/>
      <c r="P122" s="372"/>
      <c r="Q122" s="372"/>
      <c r="R122" s="372"/>
      <c r="S122" s="372"/>
      <c r="T122" s="372"/>
      <c r="U122" s="372"/>
    </row>
    <row r="123" spans="1:21" ht="15.75" customHeight="1">
      <c r="A123" s="412">
        <v>6200</v>
      </c>
      <c r="B123" s="413">
        <v>30</v>
      </c>
      <c r="C123" s="351" t="s">
        <v>110</v>
      </c>
      <c r="D123" s="247"/>
      <c r="E123" s="352"/>
      <c r="F123" s="236"/>
      <c r="G123" s="247"/>
      <c r="H123" s="407" t="e">
        <f>AVERAGE($D123:$G126)</f>
        <v>#DIV/0!</v>
      </c>
      <c r="I123" s="385"/>
      <c r="J123" s="408"/>
      <c r="K123" s="409">
        <f>B123-J123</f>
        <v>30</v>
      </c>
      <c r="L123" s="409">
        <f>K123*K123</f>
        <v>900</v>
      </c>
      <c r="M123" s="167"/>
      <c r="N123" s="167"/>
      <c r="P123" s="403"/>
      <c r="Q123" s="425"/>
      <c r="R123" s="402"/>
      <c r="S123" s="403"/>
      <c r="T123" s="404"/>
      <c r="U123" s="404"/>
    </row>
    <row r="124" spans="1:21" ht="15.75" customHeight="1">
      <c r="A124" s="393"/>
      <c r="B124" s="382"/>
      <c r="C124" s="351" t="s">
        <v>116</v>
      </c>
      <c r="D124" s="247"/>
      <c r="E124" s="352"/>
      <c r="F124" s="236"/>
      <c r="G124" s="247"/>
      <c r="H124" s="393"/>
      <c r="I124" s="382"/>
      <c r="J124" s="382"/>
      <c r="K124" s="382"/>
      <c r="L124" s="382"/>
      <c r="M124" s="167"/>
      <c r="N124" s="167"/>
      <c r="P124" s="372"/>
      <c r="Q124" s="372"/>
      <c r="R124" s="372"/>
      <c r="S124" s="372"/>
      <c r="T124" s="372"/>
      <c r="U124" s="372"/>
    </row>
    <row r="125" spans="1:21" ht="15.75" customHeight="1">
      <c r="A125" s="393"/>
      <c r="B125" s="382"/>
      <c r="C125" s="351" t="s">
        <v>121</v>
      </c>
      <c r="D125" s="247"/>
      <c r="E125" s="352"/>
      <c r="F125" s="236"/>
      <c r="G125" s="247"/>
      <c r="H125" s="393"/>
      <c r="I125" s="382"/>
      <c r="J125" s="382"/>
      <c r="K125" s="382"/>
      <c r="L125" s="382"/>
      <c r="M125" s="167"/>
      <c r="N125" s="167"/>
      <c r="P125" s="372"/>
      <c r="Q125" s="372"/>
      <c r="R125" s="372"/>
      <c r="S125" s="372"/>
      <c r="T125" s="372"/>
      <c r="U125" s="372"/>
    </row>
    <row r="126" spans="1:21" ht="15.75" customHeight="1">
      <c r="A126" s="394"/>
      <c r="B126" s="383"/>
      <c r="C126" s="351" t="s">
        <v>127</v>
      </c>
      <c r="D126" s="247"/>
      <c r="E126" s="352"/>
      <c r="F126" s="236"/>
      <c r="G126" s="247"/>
      <c r="H126" s="394"/>
      <c r="I126" s="383"/>
      <c r="J126" s="383"/>
      <c r="K126" s="383"/>
      <c r="L126" s="383"/>
      <c r="M126" s="167"/>
      <c r="N126" s="167"/>
      <c r="P126" s="372"/>
      <c r="Q126" s="372"/>
      <c r="R126" s="372"/>
      <c r="S126" s="372"/>
      <c r="T126" s="372"/>
      <c r="U126" s="372"/>
    </row>
    <row r="127" spans="1:21" ht="15.75" customHeight="1">
      <c r="A127" s="412">
        <v>6400</v>
      </c>
      <c r="B127" s="413">
        <v>30</v>
      </c>
      <c r="C127" s="351" t="s">
        <v>110</v>
      </c>
      <c r="D127" s="247"/>
      <c r="E127" s="352"/>
      <c r="F127" s="236"/>
      <c r="G127" s="247"/>
      <c r="H127" s="407" t="e">
        <f>AVERAGE($D127:$G130)</f>
        <v>#DIV/0!</v>
      </c>
      <c r="I127" s="385"/>
      <c r="J127" s="410"/>
      <c r="K127" s="411">
        <f>B127-J127</f>
        <v>30</v>
      </c>
      <c r="L127" s="411">
        <f>K127*K127</f>
        <v>900</v>
      </c>
      <c r="M127" s="167"/>
      <c r="N127" s="167"/>
      <c r="P127" s="403"/>
      <c r="Q127" s="403"/>
      <c r="R127" s="402"/>
      <c r="S127" s="403"/>
      <c r="T127" s="404"/>
      <c r="U127" s="404"/>
    </row>
    <row r="128" spans="1:21" ht="15.75" customHeight="1">
      <c r="A128" s="393"/>
      <c r="B128" s="382"/>
      <c r="C128" s="351" t="s">
        <v>116</v>
      </c>
      <c r="D128" s="247"/>
      <c r="E128" s="352"/>
      <c r="F128" s="236"/>
      <c r="G128" s="247"/>
      <c r="H128" s="393"/>
      <c r="I128" s="382"/>
      <c r="J128" s="382"/>
      <c r="K128" s="382"/>
      <c r="L128" s="382"/>
      <c r="M128" s="167"/>
      <c r="N128" s="167"/>
      <c r="P128" s="372"/>
      <c r="Q128" s="372"/>
      <c r="R128" s="372"/>
      <c r="S128" s="372"/>
      <c r="T128" s="372"/>
      <c r="U128" s="372"/>
    </row>
    <row r="129" spans="1:21" ht="15.75" customHeight="1">
      <c r="A129" s="393"/>
      <c r="B129" s="382"/>
      <c r="C129" s="351" t="s">
        <v>121</v>
      </c>
      <c r="D129" s="247"/>
      <c r="E129" s="352"/>
      <c r="F129" s="236"/>
      <c r="G129" s="247"/>
      <c r="H129" s="393"/>
      <c r="I129" s="382"/>
      <c r="J129" s="382"/>
      <c r="K129" s="382"/>
      <c r="L129" s="382"/>
      <c r="M129" s="167"/>
      <c r="N129" s="167"/>
      <c r="P129" s="372"/>
      <c r="Q129" s="372"/>
      <c r="R129" s="372"/>
      <c r="S129" s="372"/>
      <c r="T129" s="372"/>
      <c r="U129" s="372"/>
    </row>
    <row r="130" spans="1:21" ht="15.75" customHeight="1">
      <c r="A130" s="394"/>
      <c r="B130" s="383"/>
      <c r="C130" s="351" t="s">
        <v>127</v>
      </c>
      <c r="D130" s="247"/>
      <c r="E130" s="352"/>
      <c r="F130" s="236"/>
      <c r="G130" s="247"/>
      <c r="H130" s="394"/>
      <c r="I130" s="383"/>
      <c r="J130" s="383"/>
      <c r="K130" s="383"/>
      <c r="L130" s="383"/>
      <c r="M130" s="167"/>
      <c r="N130" s="167"/>
      <c r="P130" s="372"/>
      <c r="Q130" s="372"/>
      <c r="R130" s="372"/>
      <c r="S130" s="372"/>
      <c r="T130" s="372"/>
      <c r="U130" s="372"/>
    </row>
    <row r="131" spans="1:21" ht="15.75" customHeight="1">
      <c r="A131" s="412">
        <v>6600</v>
      </c>
      <c r="B131" s="413">
        <v>31</v>
      </c>
      <c r="C131" s="351" t="s">
        <v>110</v>
      </c>
      <c r="D131" s="247"/>
      <c r="E131" s="352"/>
      <c r="F131" s="236"/>
      <c r="G131" s="247"/>
      <c r="H131" s="407" t="e">
        <f>AVERAGE($D131:$G134)</f>
        <v>#DIV/0!</v>
      </c>
      <c r="I131" s="385"/>
      <c r="J131" s="408"/>
      <c r="K131" s="409">
        <f>B131-J131</f>
        <v>31</v>
      </c>
      <c r="L131" s="409">
        <f>K131*K131</f>
        <v>961</v>
      </c>
      <c r="M131" s="167"/>
      <c r="N131" s="167"/>
      <c r="P131" s="403"/>
      <c r="Q131" s="403"/>
      <c r="R131" s="414"/>
      <c r="S131" s="415"/>
      <c r="T131" s="404"/>
      <c r="U131" s="404"/>
    </row>
    <row r="132" spans="1:21" ht="15.75" customHeight="1">
      <c r="A132" s="393"/>
      <c r="B132" s="382"/>
      <c r="C132" s="351" t="s">
        <v>116</v>
      </c>
      <c r="D132" s="247"/>
      <c r="E132" s="352"/>
      <c r="F132" s="236"/>
      <c r="G132" s="247"/>
      <c r="H132" s="393"/>
      <c r="I132" s="382"/>
      <c r="J132" s="382"/>
      <c r="K132" s="382"/>
      <c r="L132" s="382"/>
      <c r="M132" s="167"/>
      <c r="N132" s="167"/>
      <c r="P132" s="372"/>
      <c r="Q132" s="372"/>
      <c r="R132" s="372"/>
      <c r="S132" s="372"/>
      <c r="T132" s="372"/>
      <c r="U132" s="372"/>
    </row>
    <row r="133" spans="1:21" ht="15.75" customHeight="1">
      <c r="A133" s="393"/>
      <c r="B133" s="382"/>
      <c r="C133" s="351" t="s">
        <v>121</v>
      </c>
      <c r="D133" s="247"/>
      <c r="E133" s="352"/>
      <c r="F133" s="236"/>
      <c r="G133" s="247"/>
      <c r="H133" s="393"/>
      <c r="I133" s="382"/>
      <c r="J133" s="382"/>
      <c r="K133" s="382"/>
      <c r="L133" s="382"/>
      <c r="M133" s="167"/>
      <c r="N133" s="167"/>
      <c r="P133" s="372"/>
      <c r="Q133" s="372"/>
      <c r="R133" s="372"/>
      <c r="S133" s="372"/>
      <c r="T133" s="372"/>
      <c r="U133" s="372"/>
    </row>
    <row r="134" spans="1:21" ht="15.75" customHeight="1">
      <c r="A134" s="394"/>
      <c r="B134" s="383"/>
      <c r="C134" s="351" t="s">
        <v>127</v>
      </c>
      <c r="D134" s="247"/>
      <c r="E134" s="352"/>
      <c r="F134" s="236"/>
      <c r="G134" s="247"/>
      <c r="H134" s="394"/>
      <c r="I134" s="383"/>
      <c r="J134" s="383"/>
      <c r="K134" s="383"/>
      <c r="L134" s="383"/>
      <c r="M134" s="167"/>
      <c r="N134" s="167"/>
      <c r="P134" s="372"/>
      <c r="Q134" s="372"/>
      <c r="R134" s="372"/>
      <c r="S134" s="372"/>
      <c r="T134" s="372"/>
      <c r="U134" s="372"/>
    </row>
    <row r="135" spans="1:21" ht="15.75" customHeight="1">
      <c r="A135" s="412">
        <v>6800</v>
      </c>
      <c r="B135" s="413">
        <v>31</v>
      </c>
      <c r="C135" s="351" t="s">
        <v>110</v>
      </c>
      <c r="D135" s="247"/>
      <c r="E135" s="352"/>
      <c r="F135" s="236"/>
      <c r="G135" s="247"/>
      <c r="H135" s="407" t="e">
        <f>AVERAGE($D135:$G138)</f>
        <v>#DIV/0!</v>
      </c>
      <c r="I135" s="385"/>
      <c r="J135" s="410"/>
      <c r="K135" s="411">
        <f>B135-J135</f>
        <v>31</v>
      </c>
      <c r="L135" s="411">
        <f>K135*K135</f>
        <v>961</v>
      </c>
      <c r="M135" s="167"/>
      <c r="N135" s="167"/>
      <c r="P135" s="403"/>
      <c r="Q135" s="403"/>
      <c r="R135" s="414"/>
      <c r="S135" s="415"/>
      <c r="T135" s="404"/>
      <c r="U135" s="404"/>
    </row>
    <row r="136" spans="1:21" ht="15.75" customHeight="1">
      <c r="A136" s="393"/>
      <c r="B136" s="382"/>
      <c r="C136" s="351" t="s">
        <v>116</v>
      </c>
      <c r="D136" s="247"/>
      <c r="E136" s="352"/>
      <c r="F136" s="236"/>
      <c r="G136" s="247"/>
      <c r="H136" s="393"/>
      <c r="I136" s="382"/>
      <c r="J136" s="382"/>
      <c r="K136" s="382"/>
      <c r="L136" s="382"/>
      <c r="M136" s="167"/>
      <c r="N136" s="167"/>
      <c r="P136" s="372"/>
      <c r="Q136" s="372"/>
      <c r="R136" s="372"/>
      <c r="S136" s="372"/>
      <c r="T136" s="372"/>
      <c r="U136" s="372"/>
    </row>
    <row r="137" spans="1:21" ht="15.75" customHeight="1">
      <c r="A137" s="393"/>
      <c r="B137" s="382"/>
      <c r="C137" s="351" t="s">
        <v>121</v>
      </c>
      <c r="D137" s="247"/>
      <c r="E137" s="363"/>
      <c r="F137" s="236"/>
      <c r="G137" s="247"/>
      <c r="H137" s="393"/>
      <c r="I137" s="382"/>
      <c r="J137" s="382"/>
      <c r="K137" s="382"/>
      <c r="L137" s="382"/>
      <c r="M137" s="167"/>
      <c r="N137" s="167"/>
      <c r="P137" s="372"/>
      <c r="Q137" s="372"/>
      <c r="R137" s="372"/>
      <c r="S137" s="372"/>
      <c r="T137" s="372"/>
      <c r="U137" s="372"/>
    </row>
    <row r="138" spans="1:21" ht="15.75" customHeight="1">
      <c r="A138" s="394"/>
      <c r="B138" s="383"/>
      <c r="C138" s="351" t="s">
        <v>127</v>
      </c>
      <c r="D138" s="247"/>
      <c r="E138" s="363"/>
      <c r="F138" s="236"/>
      <c r="G138" s="247"/>
      <c r="H138" s="394"/>
      <c r="I138" s="383"/>
      <c r="J138" s="383"/>
      <c r="K138" s="383"/>
      <c r="L138" s="383"/>
      <c r="M138" s="167"/>
      <c r="N138" s="167"/>
      <c r="P138" s="372"/>
      <c r="Q138" s="372"/>
      <c r="R138" s="372"/>
      <c r="S138" s="372"/>
      <c r="T138" s="372"/>
      <c r="U138" s="372"/>
    </row>
    <row r="139" spans="1:21" ht="15.75" customHeight="1">
      <c r="A139" s="412">
        <v>7000</v>
      </c>
      <c r="B139" s="413">
        <v>32</v>
      </c>
      <c r="C139" s="351" t="s">
        <v>110</v>
      </c>
      <c r="D139" s="247"/>
      <c r="E139" s="352"/>
      <c r="F139" s="236"/>
      <c r="G139" s="247"/>
      <c r="H139" s="407" t="e">
        <f>AVERAGE($D139:$G142)</f>
        <v>#DIV/0!</v>
      </c>
      <c r="I139" s="416"/>
      <c r="J139" s="408"/>
      <c r="K139" s="409">
        <f>B139-J139</f>
        <v>32</v>
      </c>
      <c r="L139" s="409">
        <f>K139*K139</f>
        <v>1024</v>
      </c>
      <c r="M139" s="167"/>
      <c r="N139" s="167"/>
      <c r="P139" s="403"/>
      <c r="Q139" s="403"/>
      <c r="R139" s="403"/>
      <c r="S139" s="415"/>
      <c r="T139" s="404"/>
      <c r="U139" s="404"/>
    </row>
    <row r="140" spans="1:21" ht="15.75" customHeight="1">
      <c r="A140" s="393"/>
      <c r="B140" s="382"/>
      <c r="C140" s="351" t="s">
        <v>116</v>
      </c>
      <c r="D140" s="247"/>
      <c r="E140" s="352"/>
      <c r="F140" s="236"/>
      <c r="G140" s="247"/>
      <c r="H140" s="393"/>
      <c r="I140" s="393"/>
      <c r="J140" s="382"/>
      <c r="K140" s="382"/>
      <c r="L140" s="382"/>
      <c r="M140" s="167"/>
      <c r="N140" s="167"/>
      <c r="P140" s="372"/>
      <c r="Q140" s="372"/>
      <c r="R140" s="372"/>
      <c r="S140" s="372"/>
      <c r="T140" s="372"/>
      <c r="U140" s="372"/>
    </row>
    <row r="141" spans="1:21" ht="15.75" customHeight="1">
      <c r="A141" s="393"/>
      <c r="B141" s="382"/>
      <c r="C141" s="351" t="s">
        <v>121</v>
      </c>
      <c r="D141" s="247"/>
      <c r="E141" s="352"/>
      <c r="F141" s="236"/>
      <c r="G141" s="247"/>
      <c r="H141" s="393"/>
      <c r="I141" s="393"/>
      <c r="J141" s="382"/>
      <c r="K141" s="382"/>
      <c r="L141" s="382"/>
      <c r="M141" s="167"/>
      <c r="N141" s="167"/>
      <c r="P141" s="372"/>
      <c r="Q141" s="372"/>
      <c r="R141" s="372"/>
      <c r="S141" s="372"/>
      <c r="T141" s="372"/>
      <c r="U141" s="372"/>
    </row>
    <row r="142" spans="1:21" ht="15.75" customHeight="1">
      <c r="A142" s="394"/>
      <c r="B142" s="383"/>
      <c r="C142" s="351" t="s">
        <v>127</v>
      </c>
      <c r="D142" s="247"/>
      <c r="E142" s="352"/>
      <c r="F142" s="236"/>
      <c r="G142" s="247"/>
      <c r="H142" s="394"/>
      <c r="I142" s="394"/>
      <c r="J142" s="383"/>
      <c r="K142" s="383"/>
      <c r="L142" s="383"/>
      <c r="M142" s="167"/>
      <c r="N142" s="167"/>
      <c r="P142" s="372"/>
      <c r="Q142" s="372"/>
      <c r="R142" s="372"/>
      <c r="S142" s="372"/>
      <c r="T142" s="372"/>
      <c r="U142" s="372"/>
    </row>
    <row r="143" spans="1:21" ht="15.75" customHeight="1">
      <c r="A143" s="412">
        <v>7200</v>
      </c>
      <c r="B143" s="413">
        <v>32</v>
      </c>
      <c r="C143" s="351" t="s">
        <v>110</v>
      </c>
      <c r="D143" s="247"/>
      <c r="E143" s="352"/>
      <c r="F143" s="236"/>
      <c r="G143" s="247"/>
      <c r="H143" s="407" t="e">
        <f>AVERAGE($D143:$G146)</f>
        <v>#DIV/0!</v>
      </c>
      <c r="I143" s="385"/>
      <c r="J143" s="410"/>
      <c r="K143" s="411">
        <f>B143-J143</f>
        <v>32</v>
      </c>
      <c r="L143" s="411">
        <f>K143*K143</f>
        <v>1024</v>
      </c>
      <c r="M143" s="167"/>
      <c r="N143" s="167"/>
      <c r="P143" s="403"/>
      <c r="Q143" s="403"/>
      <c r="R143" s="414"/>
      <c r="S143" s="415"/>
      <c r="T143" s="404"/>
      <c r="U143" s="404"/>
    </row>
    <row r="144" spans="1:21" ht="15.75" customHeight="1">
      <c r="A144" s="393"/>
      <c r="B144" s="382"/>
      <c r="C144" s="351" t="s">
        <v>116</v>
      </c>
      <c r="D144" s="247"/>
      <c r="E144" s="352"/>
      <c r="F144" s="236"/>
      <c r="G144" s="247"/>
      <c r="H144" s="393"/>
      <c r="I144" s="382"/>
      <c r="J144" s="382"/>
      <c r="K144" s="382"/>
      <c r="L144" s="382"/>
      <c r="M144" s="167"/>
      <c r="N144" s="167"/>
      <c r="P144" s="372"/>
      <c r="Q144" s="372"/>
      <c r="R144" s="372"/>
      <c r="S144" s="372"/>
      <c r="T144" s="372"/>
      <c r="U144" s="372"/>
    </row>
    <row r="145" spans="1:21" ht="15.75" customHeight="1">
      <c r="A145" s="393"/>
      <c r="B145" s="382"/>
      <c r="C145" s="351" t="s">
        <v>121</v>
      </c>
      <c r="D145" s="247"/>
      <c r="E145" s="352"/>
      <c r="F145" s="236"/>
      <c r="G145" s="247"/>
      <c r="H145" s="393"/>
      <c r="I145" s="382"/>
      <c r="J145" s="382"/>
      <c r="K145" s="382"/>
      <c r="L145" s="382"/>
      <c r="M145" s="167"/>
      <c r="N145" s="167"/>
      <c r="P145" s="372"/>
      <c r="Q145" s="372"/>
      <c r="R145" s="372"/>
      <c r="S145" s="372"/>
      <c r="T145" s="372"/>
      <c r="U145" s="372"/>
    </row>
    <row r="146" spans="1:21" ht="15.75" customHeight="1">
      <c r="A146" s="394"/>
      <c r="B146" s="383"/>
      <c r="C146" s="351" t="s">
        <v>127</v>
      </c>
      <c r="D146" s="247"/>
      <c r="E146" s="352"/>
      <c r="F146" s="236"/>
      <c r="G146" s="247"/>
      <c r="H146" s="394"/>
      <c r="I146" s="383"/>
      <c r="J146" s="383"/>
      <c r="K146" s="383"/>
      <c r="L146" s="383"/>
      <c r="M146" s="167"/>
      <c r="N146" s="167"/>
      <c r="P146" s="372"/>
      <c r="Q146" s="372"/>
      <c r="R146" s="372"/>
      <c r="S146" s="372"/>
      <c r="T146" s="372"/>
      <c r="U146" s="372"/>
    </row>
    <row r="147" spans="1:21" ht="15.75" customHeight="1">
      <c r="A147" s="412">
        <v>7400</v>
      </c>
      <c r="B147" s="413">
        <v>33</v>
      </c>
      <c r="C147" s="351" t="s">
        <v>110</v>
      </c>
      <c r="D147" s="239"/>
      <c r="E147" s="352"/>
      <c r="F147" s="239"/>
      <c r="G147" s="239"/>
      <c r="H147" s="407" t="e">
        <f>AVERAGE($D147:$G150)</f>
        <v>#DIV/0!</v>
      </c>
      <c r="I147" s="385"/>
      <c r="J147" s="410"/>
      <c r="K147" s="411">
        <f>B147-J147</f>
        <v>33</v>
      </c>
      <c r="L147" s="411">
        <f>K147*K147</f>
        <v>1089</v>
      </c>
    </row>
    <row r="148" spans="1:21" ht="15.75" customHeight="1">
      <c r="A148" s="393"/>
      <c r="B148" s="382"/>
      <c r="C148" s="351" t="s">
        <v>116</v>
      </c>
      <c r="D148" s="239"/>
      <c r="E148" s="352"/>
      <c r="F148" s="239"/>
      <c r="G148" s="239"/>
      <c r="H148" s="393"/>
      <c r="I148" s="382"/>
      <c r="J148" s="382"/>
      <c r="K148" s="382"/>
      <c r="L148" s="382"/>
    </row>
    <row r="149" spans="1:21" ht="15.75" customHeight="1">
      <c r="A149" s="393"/>
      <c r="B149" s="382"/>
      <c r="C149" s="351" t="s">
        <v>121</v>
      </c>
      <c r="D149" s="239"/>
      <c r="E149" s="352"/>
      <c r="F149" s="239"/>
      <c r="G149" s="239"/>
      <c r="H149" s="393"/>
      <c r="I149" s="382"/>
      <c r="J149" s="382"/>
      <c r="K149" s="382"/>
      <c r="L149" s="382"/>
    </row>
    <row r="150" spans="1:21" ht="15.75" customHeight="1">
      <c r="A150" s="394"/>
      <c r="B150" s="383"/>
      <c r="C150" s="351" t="s">
        <v>127</v>
      </c>
      <c r="D150" s="239"/>
      <c r="E150" s="352"/>
      <c r="F150" s="239"/>
      <c r="G150" s="239"/>
      <c r="H150" s="394"/>
      <c r="I150" s="383"/>
      <c r="J150" s="383"/>
      <c r="K150" s="383"/>
      <c r="L150" s="383"/>
    </row>
    <row r="151" spans="1:21" ht="15.75" customHeight="1">
      <c r="A151" s="364"/>
      <c r="B151" s="364"/>
      <c r="C151" s="365"/>
      <c r="G151" s="366" t="s">
        <v>2368</v>
      </c>
      <c r="H151" s="220" t="e">
        <f t="shared" ref="H151:I151" si="0">AVERAGE(H3:H150)</f>
        <v>#DIV/0!</v>
      </c>
      <c r="I151" s="221" t="e">
        <f t="shared" si="0"/>
        <v>#DIV/0!</v>
      </c>
      <c r="J151" s="367"/>
      <c r="K151" s="368" t="s">
        <v>1276</v>
      </c>
      <c r="L151" s="223">
        <f>SUM(L3:L114,L119:L150)</f>
        <v>15414</v>
      </c>
    </row>
    <row r="152" spans="1:21" ht="15.75" customHeight="1">
      <c r="A152" s="364"/>
      <c r="B152" s="364"/>
      <c r="C152" s="365"/>
      <c r="J152" s="368"/>
      <c r="K152" s="368" t="s">
        <v>1277</v>
      </c>
      <c r="L152" s="17">
        <f>1-((6*L151)/(36^(3)-36))</f>
        <v>-0.98378378378378373</v>
      </c>
    </row>
    <row r="153" spans="1:21" ht="15.75" customHeight="1">
      <c r="A153" s="364"/>
      <c r="B153" s="364"/>
      <c r="C153" s="365"/>
      <c r="I153" s="364"/>
      <c r="J153" s="368"/>
      <c r="K153" s="368" t="s">
        <v>1278</v>
      </c>
      <c r="L153" s="369">
        <f>L152*((36-2)/(1-(L152)^(2)))^(1/2)</f>
        <v>-31.982851899450065</v>
      </c>
    </row>
    <row r="154" spans="1:21" ht="15.75" customHeight="1">
      <c r="A154" s="364"/>
      <c r="B154" s="364"/>
      <c r="C154" s="365"/>
      <c r="I154" s="364"/>
      <c r="J154" s="220"/>
      <c r="K154" s="370" t="s">
        <v>2369</v>
      </c>
      <c r="L154" s="370">
        <f>ABS(L153)</f>
        <v>31.982851899450065</v>
      </c>
    </row>
    <row r="155" spans="1:21" ht="15.75" customHeight="1">
      <c r="A155" s="364"/>
      <c r="B155" s="364"/>
      <c r="C155" s="365"/>
      <c r="I155" s="364"/>
      <c r="J155" s="220"/>
      <c r="K155" s="370"/>
      <c r="L155" s="370"/>
    </row>
    <row r="156" spans="1:21" ht="15.75" customHeight="1">
      <c r="A156" s="364"/>
      <c r="B156" s="364"/>
      <c r="C156" s="365"/>
    </row>
    <row r="157" spans="1:21" ht="15.75" customHeight="1">
      <c r="A157" s="364"/>
      <c r="B157" s="364"/>
      <c r="C157" s="365"/>
      <c r="I157" s="364"/>
      <c r="J157" s="220"/>
      <c r="K157" s="370"/>
      <c r="L157" s="370"/>
    </row>
    <row r="158" spans="1:21" ht="15.75" customHeight="1">
      <c r="A158" s="364"/>
      <c r="B158" s="364"/>
      <c r="C158" s="365"/>
      <c r="I158" s="364"/>
      <c r="J158" s="220"/>
      <c r="K158" s="370"/>
      <c r="L158" s="370"/>
    </row>
    <row r="159" spans="1:21" ht="15.75" customHeight="1">
      <c r="A159" s="364"/>
      <c r="B159" s="364"/>
      <c r="C159" s="365"/>
      <c r="H159" s="219"/>
      <c r="I159" s="364"/>
      <c r="J159" s="220"/>
      <c r="K159" s="370"/>
      <c r="L159" s="370"/>
    </row>
    <row r="160" spans="1:21" ht="15.75" customHeight="1">
      <c r="A160" s="364"/>
      <c r="B160" s="364"/>
      <c r="C160" s="365"/>
      <c r="I160" s="364"/>
      <c r="J160" s="220"/>
      <c r="K160" s="370"/>
      <c r="L160" s="370"/>
    </row>
    <row r="161" spans="1:12" ht="15.75" customHeight="1">
      <c r="A161" s="364"/>
      <c r="B161" s="364"/>
      <c r="C161" s="365"/>
      <c r="I161" s="364"/>
      <c r="J161" s="220"/>
      <c r="K161" s="370"/>
      <c r="L161" s="370"/>
    </row>
    <row r="162" spans="1:12" ht="15.75" customHeight="1">
      <c r="A162" s="364"/>
      <c r="B162" s="364"/>
      <c r="C162" s="365"/>
      <c r="I162" s="364"/>
      <c r="J162" s="220"/>
      <c r="K162" s="370"/>
      <c r="L162" s="370"/>
    </row>
    <row r="163" spans="1:12" ht="15.75" customHeight="1"/>
    <row r="164" spans="1:12" ht="15.75" customHeight="1"/>
    <row r="165" spans="1:12" ht="15.75" customHeight="1"/>
    <row r="166" spans="1:12" ht="15.75" customHeight="1"/>
    <row r="167" spans="1:12" ht="15.75" customHeight="1"/>
    <row r="168" spans="1:12" ht="15.75" customHeight="1"/>
    <row r="169" spans="1:12" ht="15.75" customHeight="1"/>
    <row r="170" spans="1:12" ht="15.75" customHeight="1"/>
    <row r="171" spans="1:12" ht="15.75" customHeight="1"/>
    <row r="172" spans="1:12" ht="15.75" customHeight="1"/>
    <row r="173" spans="1:12" ht="15.75" customHeight="1"/>
    <row r="174" spans="1:12" ht="15.75" customHeight="1"/>
    <row r="175" spans="1:12" ht="15.75" customHeight="1"/>
    <row r="176" spans="1:12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</sheetData>
  <mergeCells count="477">
    <mergeCell ref="R127:R130"/>
    <mergeCell ref="S127:S130"/>
    <mergeCell ref="T127:T130"/>
    <mergeCell ref="U127:U130"/>
    <mergeCell ref="A127:A130"/>
    <mergeCell ref="B127:B130"/>
    <mergeCell ref="H127:H130"/>
    <mergeCell ref="I127:I130"/>
    <mergeCell ref="J127:J130"/>
    <mergeCell ref="K127:K130"/>
    <mergeCell ref="L127:L130"/>
    <mergeCell ref="R123:R126"/>
    <mergeCell ref="S123:S126"/>
    <mergeCell ref="T123:T126"/>
    <mergeCell ref="U123:U126"/>
    <mergeCell ref="A123:A126"/>
    <mergeCell ref="B123:B126"/>
    <mergeCell ref="H123:H126"/>
    <mergeCell ref="I123:I126"/>
    <mergeCell ref="J123:J126"/>
    <mergeCell ref="K123:K126"/>
    <mergeCell ref="L123:L126"/>
    <mergeCell ref="R119:R122"/>
    <mergeCell ref="S119:S122"/>
    <mergeCell ref="T119:T122"/>
    <mergeCell ref="U119:U122"/>
    <mergeCell ref="A119:A122"/>
    <mergeCell ref="B119:B122"/>
    <mergeCell ref="H119:H122"/>
    <mergeCell ref="I119:I122"/>
    <mergeCell ref="J119:J122"/>
    <mergeCell ref="K119:K122"/>
    <mergeCell ref="L119:L122"/>
    <mergeCell ref="R115:R118"/>
    <mergeCell ref="S115:S118"/>
    <mergeCell ref="T115:T118"/>
    <mergeCell ref="U115:U118"/>
    <mergeCell ref="A115:A118"/>
    <mergeCell ref="B115:B118"/>
    <mergeCell ref="H115:H118"/>
    <mergeCell ref="I115:I118"/>
    <mergeCell ref="J115:J118"/>
    <mergeCell ref="K115:K118"/>
    <mergeCell ref="L115:L118"/>
    <mergeCell ref="R111:R114"/>
    <mergeCell ref="S111:S114"/>
    <mergeCell ref="T111:T114"/>
    <mergeCell ref="U111:U114"/>
    <mergeCell ref="A111:A114"/>
    <mergeCell ref="B111:B114"/>
    <mergeCell ref="H111:H114"/>
    <mergeCell ref="I111:I114"/>
    <mergeCell ref="J111:J114"/>
    <mergeCell ref="K111:K114"/>
    <mergeCell ref="L111:L114"/>
    <mergeCell ref="R107:R110"/>
    <mergeCell ref="S107:S110"/>
    <mergeCell ref="T107:T110"/>
    <mergeCell ref="U107:U110"/>
    <mergeCell ref="A107:A110"/>
    <mergeCell ref="B107:B110"/>
    <mergeCell ref="H107:H110"/>
    <mergeCell ref="I107:I110"/>
    <mergeCell ref="J107:J110"/>
    <mergeCell ref="K107:K110"/>
    <mergeCell ref="L107:L110"/>
    <mergeCell ref="R103:R106"/>
    <mergeCell ref="S103:S106"/>
    <mergeCell ref="T103:T106"/>
    <mergeCell ref="U103:U106"/>
    <mergeCell ref="A103:A106"/>
    <mergeCell ref="B103:B106"/>
    <mergeCell ref="H103:H106"/>
    <mergeCell ref="I103:I106"/>
    <mergeCell ref="J103:J106"/>
    <mergeCell ref="K103:K106"/>
    <mergeCell ref="L103:L106"/>
    <mergeCell ref="A147:A150"/>
    <mergeCell ref="B147:B150"/>
    <mergeCell ref="H147:H150"/>
    <mergeCell ref="I147:I150"/>
    <mergeCell ref="J147:J150"/>
    <mergeCell ref="K147:K150"/>
    <mergeCell ref="L147:L150"/>
    <mergeCell ref="P103:P106"/>
    <mergeCell ref="Q103:Q106"/>
    <mergeCell ref="P107:P110"/>
    <mergeCell ref="Q107:Q110"/>
    <mergeCell ref="P111:P114"/>
    <mergeCell ref="Q111:Q114"/>
    <mergeCell ref="P115:P118"/>
    <mergeCell ref="Q115:Q118"/>
    <mergeCell ref="P119:P122"/>
    <mergeCell ref="Q119:Q122"/>
    <mergeCell ref="P123:P126"/>
    <mergeCell ref="Q123:Q126"/>
    <mergeCell ref="P127:P130"/>
    <mergeCell ref="Q127:Q130"/>
    <mergeCell ref="P11:P14"/>
    <mergeCell ref="Q11:Q14"/>
    <mergeCell ref="R11:R14"/>
    <mergeCell ref="S11:S14"/>
    <mergeCell ref="T11:T14"/>
    <mergeCell ref="U11:U14"/>
    <mergeCell ref="P15:P18"/>
    <mergeCell ref="Q15:Q18"/>
    <mergeCell ref="R15:R18"/>
    <mergeCell ref="S15:S18"/>
    <mergeCell ref="T15:T18"/>
    <mergeCell ref="U15:U18"/>
    <mergeCell ref="T7:T10"/>
    <mergeCell ref="U7:U10"/>
    <mergeCell ref="A7:A10"/>
    <mergeCell ref="B7:B10"/>
    <mergeCell ref="H7:H10"/>
    <mergeCell ref="I7:I10"/>
    <mergeCell ref="J7:J10"/>
    <mergeCell ref="K7:K10"/>
    <mergeCell ref="L7:L10"/>
    <mergeCell ref="A3:A6"/>
    <mergeCell ref="B3:B6"/>
    <mergeCell ref="H3:H6"/>
    <mergeCell ref="I3:I6"/>
    <mergeCell ref="J3:J6"/>
    <mergeCell ref="P7:P10"/>
    <mergeCell ref="Q7:Q10"/>
    <mergeCell ref="R7:R10"/>
    <mergeCell ref="S7:S10"/>
    <mergeCell ref="K3:K6"/>
    <mergeCell ref="L3:L6"/>
    <mergeCell ref="P3:P6"/>
    <mergeCell ref="Q3:Q6"/>
    <mergeCell ref="R3:R6"/>
    <mergeCell ref="S3:S6"/>
    <mergeCell ref="T3:T6"/>
    <mergeCell ref="U3:U6"/>
    <mergeCell ref="D1:I1"/>
    <mergeCell ref="J1:L1"/>
    <mergeCell ref="P143:P146"/>
    <mergeCell ref="Q143:Q146"/>
    <mergeCell ref="R143:R146"/>
    <mergeCell ref="S143:S146"/>
    <mergeCell ref="T143:T146"/>
    <mergeCell ref="U143:U146"/>
    <mergeCell ref="A143:A146"/>
    <mergeCell ref="B143:B146"/>
    <mergeCell ref="H143:H146"/>
    <mergeCell ref="I143:I146"/>
    <mergeCell ref="J143:J146"/>
    <mergeCell ref="K143:K146"/>
    <mergeCell ref="L143:L146"/>
    <mergeCell ref="P139:P142"/>
    <mergeCell ref="Q139:Q142"/>
    <mergeCell ref="R139:R142"/>
    <mergeCell ref="S139:S142"/>
    <mergeCell ref="T139:T142"/>
    <mergeCell ref="U139:U142"/>
    <mergeCell ref="A139:A142"/>
    <mergeCell ref="B139:B142"/>
    <mergeCell ref="H139:H142"/>
    <mergeCell ref="I139:I142"/>
    <mergeCell ref="J139:J142"/>
    <mergeCell ref="K139:K142"/>
    <mergeCell ref="L139:L142"/>
    <mergeCell ref="P135:P138"/>
    <mergeCell ref="Q135:Q138"/>
    <mergeCell ref="R135:R138"/>
    <mergeCell ref="S135:S138"/>
    <mergeCell ref="T135:T138"/>
    <mergeCell ref="U135:U138"/>
    <mergeCell ref="A135:A138"/>
    <mergeCell ref="B135:B138"/>
    <mergeCell ref="H135:H138"/>
    <mergeCell ref="I135:I138"/>
    <mergeCell ref="J135:J138"/>
    <mergeCell ref="K135:K138"/>
    <mergeCell ref="L135:L138"/>
    <mergeCell ref="P131:P134"/>
    <mergeCell ref="Q131:Q134"/>
    <mergeCell ref="R131:R134"/>
    <mergeCell ref="S131:S134"/>
    <mergeCell ref="T131:T134"/>
    <mergeCell ref="U131:U134"/>
    <mergeCell ref="A131:A134"/>
    <mergeCell ref="B131:B134"/>
    <mergeCell ref="H131:H134"/>
    <mergeCell ref="I131:I134"/>
    <mergeCell ref="J131:J134"/>
    <mergeCell ref="K131:K134"/>
    <mergeCell ref="L131:L134"/>
    <mergeCell ref="A11:A14"/>
    <mergeCell ref="B11:B14"/>
    <mergeCell ref="H11:H14"/>
    <mergeCell ref="I11:I14"/>
    <mergeCell ref="J11:J14"/>
    <mergeCell ref="K11:K14"/>
    <mergeCell ref="L11:L14"/>
    <mergeCell ref="A15:A18"/>
    <mergeCell ref="B15:B18"/>
    <mergeCell ref="H15:H18"/>
    <mergeCell ref="I15:I18"/>
    <mergeCell ref="J15:J18"/>
    <mergeCell ref="K15:K18"/>
    <mergeCell ref="L15:L18"/>
    <mergeCell ref="P99:P102"/>
    <mergeCell ref="Q99:Q102"/>
    <mergeCell ref="R99:R102"/>
    <mergeCell ref="S99:S102"/>
    <mergeCell ref="T99:T102"/>
    <mergeCell ref="U99:U102"/>
    <mergeCell ref="A99:A102"/>
    <mergeCell ref="B99:B102"/>
    <mergeCell ref="H99:H102"/>
    <mergeCell ref="I99:I102"/>
    <mergeCell ref="J99:J102"/>
    <mergeCell ref="K99:K102"/>
    <mergeCell ref="L99:L102"/>
    <mergeCell ref="P95:P98"/>
    <mergeCell ref="Q95:Q98"/>
    <mergeCell ref="R95:R98"/>
    <mergeCell ref="S95:S98"/>
    <mergeCell ref="T95:T98"/>
    <mergeCell ref="U95:U98"/>
    <mergeCell ref="A95:A98"/>
    <mergeCell ref="B95:B98"/>
    <mergeCell ref="H95:H98"/>
    <mergeCell ref="I95:I98"/>
    <mergeCell ref="J95:J98"/>
    <mergeCell ref="K95:K98"/>
    <mergeCell ref="L95:L98"/>
    <mergeCell ref="P91:P94"/>
    <mergeCell ref="Q91:Q94"/>
    <mergeCell ref="R91:R94"/>
    <mergeCell ref="S91:S94"/>
    <mergeCell ref="T91:T94"/>
    <mergeCell ref="U91:U94"/>
    <mergeCell ref="A91:A94"/>
    <mergeCell ref="B91:B94"/>
    <mergeCell ref="H91:H94"/>
    <mergeCell ref="I91:I94"/>
    <mergeCell ref="J91:J94"/>
    <mergeCell ref="K91:K94"/>
    <mergeCell ref="L91:L94"/>
    <mergeCell ref="P87:P90"/>
    <mergeCell ref="Q87:Q90"/>
    <mergeCell ref="R87:R90"/>
    <mergeCell ref="S87:S90"/>
    <mergeCell ref="T87:T90"/>
    <mergeCell ref="U87:U90"/>
    <mergeCell ref="A87:A90"/>
    <mergeCell ref="B87:B90"/>
    <mergeCell ref="H87:H90"/>
    <mergeCell ref="I87:I90"/>
    <mergeCell ref="J87:J90"/>
    <mergeCell ref="K87:K90"/>
    <mergeCell ref="L87:L90"/>
    <mergeCell ref="P83:P86"/>
    <mergeCell ref="Q83:Q86"/>
    <mergeCell ref="R83:R86"/>
    <mergeCell ref="S83:S86"/>
    <mergeCell ref="T83:T86"/>
    <mergeCell ref="U83:U86"/>
    <mergeCell ref="A83:A86"/>
    <mergeCell ref="B83:B86"/>
    <mergeCell ref="H83:H86"/>
    <mergeCell ref="I83:I86"/>
    <mergeCell ref="J83:J86"/>
    <mergeCell ref="K83:K86"/>
    <mergeCell ref="L83:L86"/>
    <mergeCell ref="P79:P82"/>
    <mergeCell ref="Q79:Q82"/>
    <mergeCell ref="R79:R82"/>
    <mergeCell ref="S79:S82"/>
    <mergeCell ref="T79:T82"/>
    <mergeCell ref="U79:U82"/>
    <mergeCell ref="A79:A82"/>
    <mergeCell ref="B79:B82"/>
    <mergeCell ref="H79:H82"/>
    <mergeCell ref="I79:I82"/>
    <mergeCell ref="J79:J82"/>
    <mergeCell ref="K79:K82"/>
    <mergeCell ref="L79:L82"/>
    <mergeCell ref="P75:P78"/>
    <mergeCell ref="Q75:Q78"/>
    <mergeCell ref="R75:R78"/>
    <mergeCell ref="S75:S78"/>
    <mergeCell ref="T75:T78"/>
    <mergeCell ref="U75:U78"/>
    <mergeCell ref="A75:A78"/>
    <mergeCell ref="B75:B78"/>
    <mergeCell ref="H75:H78"/>
    <mergeCell ref="I75:I78"/>
    <mergeCell ref="J75:J78"/>
    <mergeCell ref="K75:K78"/>
    <mergeCell ref="L75:L78"/>
    <mergeCell ref="P71:P74"/>
    <mergeCell ref="Q71:Q74"/>
    <mergeCell ref="R71:R74"/>
    <mergeCell ref="S71:S74"/>
    <mergeCell ref="T71:T74"/>
    <mergeCell ref="U71:U74"/>
    <mergeCell ref="A71:A74"/>
    <mergeCell ref="B71:B74"/>
    <mergeCell ref="H71:H74"/>
    <mergeCell ref="I71:I74"/>
    <mergeCell ref="J71:J74"/>
    <mergeCell ref="K71:K74"/>
    <mergeCell ref="L71:L74"/>
    <mergeCell ref="P67:P70"/>
    <mergeCell ref="Q67:Q70"/>
    <mergeCell ref="R67:R70"/>
    <mergeCell ref="S67:S70"/>
    <mergeCell ref="T67:T70"/>
    <mergeCell ref="U67:U70"/>
    <mergeCell ref="A67:A70"/>
    <mergeCell ref="B67:B70"/>
    <mergeCell ref="H67:H70"/>
    <mergeCell ref="I67:I70"/>
    <mergeCell ref="J67:J70"/>
    <mergeCell ref="K67:K70"/>
    <mergeCell ref="L67:L70"/>
    <mergeCell ref="P63:P66"/>
    <mergeCell ref="Q63:Q66"/>
    <mergeCell ref="R63:R66"/>
    <mergeCell ref="S63:S66"/>
    <mergeCell ref="T63:T66"/>
    <mergeCell ref="U63:U66"/>
    <mergeCell ref="A63:A66"/>
    <mergeCell ref="B63:B66"/>
    <mergeCell ref="H63:H66"/>
    <mergeCell ref="I63:I66"/>
    <mergeCell ref="J63:J66"/>
    <mergeCell ref="K63:K66"/>
    <mergeCell ref="L63:L66"/>
    <mergeCell ref="P59:P62"/>
    <mergeCell ref="Q59:Q62"/>
    <mergeCell ref="R59:R62"/>
    <mergeCell ref="S59:S62"/>
    <mergeCell ref="T59:T62"/>
    <mergeCell ref="U59:U62"/>
    <mergeCell ref="A59:A62"/>
    <mergeCell ref="B59:B62"/>
    <mergeCell ref="H59:H62"/>
    <mergeCell ref="I59:I62"/>
    <mergeCell ref="J59:J62"/>
    <mergeCell ref="K59:K62"/>
    <mergeCell ref="L59:L62"/>
    <mergeCell ref="P55:P58"/>
    <mergeCell ref="Q55:Q58"/>
    <mergeCell ref="R55:R58"/>
    <mergeCell ref="S55:S58"/>
    <mergeCell ref="T55:T58"/>
    <mergeCell ref="U55:U58"/>
    <mergeCell ref="A55:A58"/>
    <mergeCell ref="B55:B58"/>
    <mergeCell ref="H55:H58"/>
    <mergeCell ref="I55:I58"/>
    <mergeCell ref="J55:J58"/>
    <mergeCell ref="K55:K58"/>
    <mergeCell ref="L55:L58"/>
    <mergeCell ref="P51:P54"/>
    <mergeCell ref="Q51:Q54"/>
    <mergeCell ref="R51:R54"/>
    <mergeCell ref="S51:S54"/>
    <mergeCell ref="T51:T54"/>
    <mergeCell ref="U51:U54"/>
    <mergeCell ref="A51:A54"/>
    <mergeCell ref="B51:B54"/>
    <mergeCell ref="H51:H54"/>
    <mergeCell ref="I51:I54"/>
    <mergeCell ref="J51:J54"/>
    <mergeCell ref="K51:K54"/>
    <mergeCell ref="L51:L54"/>
    <mergeCell ref="P47:P50"/>
    <mergeCell ref="Q47:Q50"/>
    <mergeCell ref="R47:R50"/>
    <mergeCell ref="S47:S50"/>
    <mergeCell ref="T47:T50"/>
    <mergeCell ref="U47:U50"/>
    <mergeCell ref="A47:A50"/>
    <mergeCell ref="B47:B50"/>
    <mergeCell ref="H47:H50"/>
    <mergeCell ref="I47:I50"/>
    <mergeCell ref="J47:J50"/>
    <mergeCell ref="K47:K50"/>
    <mergeCell ref="L47:L50"/>
    <mergeCell ref="P43:P46"/>
    <mergeCell ref="Q43:Q46"/>
    <mergeCell ref="R43:R46"/>
    <mergeCell ref="S43:S46"/>
    <mergeCell ref="T43:T46"/>
    <mergeCell ref="U43:U46"/>
    <mergeCell ref="A43:A46"/>
    <mergeCell ref="B43:B46"/>
    <mergeCell ref="H43:H46"/>
    <mergeCell ref="I43:I46"/>
    <mergeCell ref="J43:J46"/>
    <mergeCell ref="K43:K46"/>
    <mergeCell ref="L43:L46"/>
    <mergeCell ref="P39:P42"/>
    <mergeCell ref="Q39:Q42"/>
    <mergeCell ref="R39:R42"/>
    <mergeCell ref="S39:S42"/>
    <mergeCell ref="T39:T42"/>
    <mergeCell ref="U39:U42"/>
    <mergeCell ref="A39:A42"/>
    <mergeCell ref="B39:B42"/>
    <mergeCell ref="H39:H42"/>
    <mergeCell ref="I39:I42"/>
    <mergeCell ref="J39:J42"/>
    <mergeCell ref="K39:K42"/>
    <mergeCell ref="L39:L42"/>
    <mergeCell ref="P35:P38"/>
    <mergeCell ref="Q35:Q38"/>
    <mergeCell ref="R35:R38"/>
    <mergeCell ref="S35:S38"/>
    <mergeCell ref="T35:T38"/>
    <mergeCell ref="U35:U38"/>
    <mergeCell ref="A35:A38"/>
    <mergeCell ref="B35:B38"/>
    <mergeCell ref="H35:H38"/>
    <mergeCell ref="I35:I38"/>
    <mergeCell ref="J35:J38"/>
    <mergeCell ref="K35:K38"/>
    <mergeCell ref="L35:L38"/>
    <mergeCell ref="P31:P34"/>
    <mergeCell ref="Q31:Q34"/>
    <mergeCell ref="R31:R34"/>
    <mergeCell ref="S31:S34"/>
    <mergeCell ref="T31:T34"/>
    <mergeCell ref="U31:U34"/>
    <mergeCell ref="A31:A34"/>
    <mergeCell ref="B31:B34"/>
    <mergeCell ref="H31:H34"/>
    <mergeCell ref="I31:I34"/>
    <mergeCell ref="J31:J34"/>
    <mergeCell ref="K31:K34"/>
    <mergeCell ref="L31:L34"/>
    <mergeCell ref="P27:P30"/>
    <mergeCell ref="Q27:Q30"/>
    <mergeCell ref="R27:R30"/>
    <mergeCell ref="S27:S30"/>
    <mergeCell ref="T27:T30"/>
    <mergeCell ref="U27:U30"/>
    <mergeCell ref="A27:A30"/>
    <mergeCell ref="B27:B30"/>
    <mergeCell ref="H27:H30"/>
    <mergeCell ref="I27:I30"/>
    <mergeCell ref="J27:J30"/>
    <mergeCell ref="K27:K30"/>
    <mergeCell ref="L27:L30"/>
    <mergeCell ref="P23:P26"/>
    <mergeCell ref="Q23:Q26"/>
    <mergeCell ref="R23:R26"/>
    <mergeCell ref="S23:S26"/>
    <mergeCell ref="T23:T26"/>
    <mergeCell ref="U23:U26"/>
    <mergeCell ref="A23:A26"/>
    <mergeCell ref="B23:B26"/>
    <mergeCell ref="H23:H26"/>
    <mergeCell ref="I23:I26"/>
    <mergeCell ref="J23:J26"/>
    <mergeCell ref="K23:K26"/>
    <mergeCell ref="L23:L26"/>
    <mergeCell ref="P19:P22"/>
    <mergeCell ref="Q19:Q22"/>
    <mergeCell ref="R19:R22"/>
    <mergeCell ref="S19:S22"/>
    <mergeCell ref="T19:T22"/>
    <mergeCell ref="U19:U22"/>
    <mergeCell ref="A19:A22"/>
    <mergeCell ref="B19:B22"/>
    <mergeCell ref="H19:H22"/>
    <mergeCell ref="I19:I22"/>
    <mergeCell ref="J19:J22"/>
    <mergeCell ref="K19:K22"/>
    <mergeCell ref="L19:L22"/>
  </mergeCells>
  <conditionalFormatting sqref="I3:I150">
    <cfRule type="cellIs" dxfId="3" priority="1" operator="lessThan">
      <formula>15</formula>
    </cfRule>
  </conditionalFormatting>
  <conditionalFormatting sqref="I3:I150">
    <cfRule type="cellIs" dxfId="2" priority="2" operator="between">
      <formula>15</formula>
      <formula>19.99</formula>
    </cfRule>
  </conditionalFormatting>
  <conditionalFormatting sqref="I3:I150">
    <cfRule type="cellIs" dxfId="1" priority="3" operator="between">
      <formula>20</formula>
      <formula>24.99</formula>
    </cfRule>
  </conditionalFormatting>
  <conditionalFormatting sqref="I3:I150">
    <cfRule type="cellIs" dxfId="0" priority="4" operator="between">
      <formula>25</formula>
      <formula>29.99</formula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20</vt:i4>
      </vt:variant>
    </vt:vector>
  </HeadingPairs>
  <TitlesOfParts>
    <vt:vector size="39" baseType="lpstr">
      <vt:lpstr>info</vt:lpstr>
      <vt:lpstr>Summary</vt:lpstr>
      <vt:lpstr>N</vt:lpstr>
      <vt:lpstr>N_analysis</vt:lpstr>
      <vt:lpstr>E</vt:lpstr>
      <vt:lpstr>NE_bmis</vt:lpstr>
      <vt:lpstr>E_analysis</vt:lpstr>
      <vt:lpstr>S</vt:lpstr>
      <vt:lpstr>S_original</vt:lpstr>
      <vt:lpstr>S_lookup</vt:lpstr>
      <vt:lpstr>S_analysis</vt:lpstr>
      <vt:lpstr>W_original</vt:lpstr>
      <vt:lpstr>W</vt:lpstr>
      <vt:lpstr>W_analysis</vt:lpstr>
      <vt:lpstr>C</vt:lpstr>
      <vt:lpstr>W_lookup</vt:lpstr>
      <vt:lpstr>C_analysis</vt:lpstr>
      <vt:lpstr>addr</vt:lpstr>
      <vt:lpstr>combined_old</vt:lpstr>
      <vt:lpstr>C_all</vt:lpstr>
      <vt:lpstr>C_d2</vt:lpstr>
      <vt:lpstr>C_mean</vt:lpstr>
      <vt:lpstr>C_sd</vt:lpstr>
      <vt:lpstr>E_all</vt:lpstr>
      <vt:lpstr>E_d2</vt:lpstr>
      <vt:lpstr>E_mean</vt:lpstr>
      <vt:lpstr>E_sd</vt:lpstr>
      <vt:lpstr>N_all</vt:lpstr>
      <vt:lpstr>N_d2</vt:lpstr>
      <vt:lpstr>N_mean</vt:lpstr>
      <vt:lpstr>N_sd</vt:lpstr>
      <vt:lpstr>S_all</vt:lpstr>
      <vt:lpstr>S_d2</vt:lpstr>
      <vt:lpstr>S_mean</vt:lpstr>
      <vt:lpstr>S_sd</vt:lpstr>
      <vt:lpstr>W_all</vt:lpstr>
      <vt:lpstr>W_d2</vt:lpstr>
      <vt:lpstr>W_mean</vt:lpstr>
      <vt:lpstr>W_sd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Cheung</dc:creator>
  <cp:lastModifiedBy>Abraham Cheung</cp:lastModifiedBy>
  <dcterms:created xsi:type="dcterms:W3CDTF">2021-08-27T17:57:08Z</dcterms:created>
  <dcterms:modified xsi:type="dcterms:W3CDTF">2021-08-27T17:57:09Z</dcterms:modified>
</cp:coreProperties>
</file>