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xl/charts/chart12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csula-my.sharepoint.com/personal/jlee464_calstatela_edu/Documents/CSULA/Past Classes/CIS 3200/Milestone/Milestone 7 submission/"/>
    </mc:Choice>
  </mc:AlternateContent>
  <xr:revisionPtr revIDLastSave="183" documentId="8_{E9260A9D-FAB9-4C8F-9897-DB9C070E7473}" xr6:coauthVersionLast="45" xr6:coauthVersionMax="45" xr10:uidLastSave="{9E95CBEA-D425-425D-97AB-D2EA314E5B1C}"/>
  <bookViews>
    <workbookView xWindow="-98" yWindow="-98" windowWidth="28996" windowHeight="15796" xr2:uid="{00000000-000D-0000-FFFF-FFFF00000000}"/>
  </bookViews>
  <sheets>
    <sheet name="Master table (4)" sheetId="16" r:id="rId1"/>
    <sheet name="_PalUtilTempWorksheet" sheetId="17" state="hidden" r:id="rId2"/>
    <sheet name="_STDS_DG24B107FB" sheetId="18" state="hidden" r:id="rId3"/>
    <sheet name="Regression Co2 GT" sheetId="44" r:id="rId4"/>
    <sheet name="Regression GT ANT" sheetId="45" r:id="rId5"/>
    <sheet name="Regression GT GR" sheetId="46" r:id="rId6"/>
    <sheet name="Regression ANT GMSL" sheetId="47" r:id="rId7"/>
    <sheet name="Regression GR GMSL " sheetId="48" r:id="rId8"/>
    <sheet name="Multi Regression ANT GR GMSL" sheetId="49" r:id="rId9"/>
    <sheet name="One Var Summary" sheetId="19" r:id="rId10"/>
    <sheet name="Scatter Global Temp-CO2" sheetId="29" r:id="rId11"/>
    <sheet name="Scatter GMSL-GT" sheetId="30" r:id="rId12"/>
    <sheet name="Scatter Green-GT" sheetId="32" r:id="rId13"/>
    <sheet name="Scatter ANT-GT" sheetId="43" r:id="rId14"/>
    <sheet name="Scatter GMSL - Ant. Gre." sheetId="33" r:id="rId15"/>
    <sheet name="Sheet1" sheetId="50" r:id="rId16"/>
    <sheet name="Correlation and Covariance" sheetId="34" r:id="rId17"/>
  </sheets>
  <definedNames>
    <definedName name="PalisadeReportWorkbookCreatedBy" hidden="1">"StatTools"</definedName>
    <definedName name="PalisadeReportWorksheetCreatedBy" localSheetId="16" hidden="1">"StatTools"</definedName>
    <definedName name="PalisadeReportWorksheetCreatedBy" localSheetId="8" hidden="1">"StatTools"</definedName>
    <definedName name="PalisadeReportWorksheetCreatedBy" localSheetId="9" hidden="1">"StatTools"</definedName>
    <definedName name="PalisadeReportWorksheetCreatedBy" localSheetId="6" hidden="1">"StatTools"</definedName>
    <definedName name="PalisadeReportWorksheetCreatedBy" localSheetId="3" hidden="1">"StatTools"</definedName>
    <definedName name="PalisadeReportWorksheetCreatedBy" localSheetId="7" hidden="1">"StatTools"</definedName>
    <definedName name="PalisadeReportWorksheetCreatedBy" localSheetId="4" hidden="1">"StatTools"</definedName>
    <definedName name="PalisadeReportWorksheetCreatedBy" localSheetId="5" hidden="1">"StatTools"</definedName>
    <definedName name="PalisadeReportWorksheetCreatedBy" localSheetId="13" hidden="1">"StatTools"</definedName>
    <definedName name="PalisadeReportWorksheetCreatedBy" localSheetId="10" hidden="1">"StatTools"</definedName>
    <definedName name="PalisadeReportWorksheetCreatedBy" localSheetId="14" hidden="1">"StatTools"</definedName>
    <definedName name="PalisadeReportWorksheetCreatedBy" localSheetId="11" hidden="1">"StatTools"</definedName>
    <definedName name="PalisadeReportWorksheetCreatedBy" localSheetId="12" hidden="1">"StatTools"</definedName>
    <definedName name="ScatterX_14D84" localSheetId="12">_xll.StatScatterPlot([0]!ST_GlobalTemperatureNoSmoothing_2,[0]!ST_GreenlandmassGigatonnes_6,0)</definedName>
    <definedName name="ScatterX_14D84">_xll.StatScatterPlot([0]!ST_GlobalTemperatureNoSmoothing_2,[0]!ST_GreenlandmassGigatonnes_6,0)</definedName>
    <definedName name="ScatterX_211C0" localSheetId="12">_xll.StatScatterPlot([0]!ST_GlobalTemperatureNoSmoothing_2,[0]!ST_AntarcticmassGigatonnes_5,0)</definedName>
    <definedName name="ScatterX_211C0">_xll.StatScatterPlot([0]!ST_GlobalTemperatureNoSmoothing_2,[0]!ST_AntarcticmassGigatonnes_5,0)</definedName>
    <definedName name="ScatterX_36C4B" localSheetId="10">_xll.StatScatterPlot([0]!ST_CO2AVGPPM_3,[0]!ST_GlobalTemperatureNoSmoothing_2,0)</definedName>
    <definedName name="ScatterX_36C4B">_xll.StatScatterPlot([0]!ST_CO2AVGPPM_3,[0]!ST_GlobalTemperatureNoSmoothing_2,0)</definedName>
    <definedName name="ScatterX_744D3" localSheetId="14">_xll.StatScatterPlot([0]!ST_GreenlandmassGigatonnes_6,[0]!ST_GMLS_4,0)</definedName>
    <definedName name="ScatterX_744D3">_xll.StatScatterPlot([0]!ST_GreenlandmassGigatonnes_6,[0]!ST_GMLS_4,0)</definedName>
    <definedName name="ScatterX_80BAF" localSheetId="3">_xll.StatScatterPlot([0]!ST_GMLS_4,[0]!ST_GlobalTemperatureNoSmoothing_2,0)</definedName>
    <definedName name="ScatterX_80BAF">_xll.StatScatterPlot([0]!ST_GMLS_4,[0]!ST_GlobalTemperatureNoSmoothing_2,0)</definedName>
    <definedName name="ScatterX_853F">_xll.StatScatterPlot([0]!ST_GreenlandmassGigatonnes_6,[0]!ST_GMLS_4,0)</definedName>
    <definedName name="ScatterX_8B6B1" localSheetId="13">_xll.StatScatterPlot([0]!ST_GlobalTemperatureNoSmoothing_2,[0]!ST_AntarcticmassGigatonnes_5,0)</definedName>
    <definedName name="ScatterX_9EDA6" localSheetId="11">_xll.StatScatterPlot([0]!ST_GlobalTemperatureNoSmoothing_2,[0]!ST_GMLS_4,0)</definedName>
    <definedName name="ScatterX_9EDA6">_xll.StatScatterPlot([0]!ST_GlobalTemperatureNoSmoothing_2,[0]!ST_GMLS_4,0)</definedName>
    <definedName name="ScatterX_D09E8" localSheetId="14">_xll.StatScatterPlot([0]!ST_AntarcticmassGigatonnes_5,[0]!ST_GMLS_4,0)</definedName>
    <definedName name="ScatterX_D09E8">_xll.StatScatterPlot([0]!ST_AntarcticmassGigatonnes_5,[0]!ST_GMLS_4,0)</definedName>
    <definedName name="ScatterX_DFC9E">_xll.StatScatterPlot([0]!ST_AntarcticmassGigatonnes_5,[0]!ST_GMLS_4,0)</definedName>
    <definedName name="ScatterY_14D84" localSheetId="12">_xll.StatScatterPlot([0]!ST_GlobalTemperatureNoSmoothing_2,[0]!ST_GreenlandmassGigatonnes_6,1)</definedName>
    <definedName name="ScatterY_14D84">_xll.StatScatterPlot([0]!ST_GlobalTemperatureNoSmoothing_2,[0]!ST_GreenlandmassGigatonnes_6,1)</definedName>
    <definedName name="ScatterY_211C0" localSheetId="12">_xll.StatScatterPlot([0]!ST_GlobalTemperatureNoSmoothing_2,[0]!ST_AntarcticmassGigatonnes_5,1)</definedName>
    <definedName name="ScatterY_211C0">_xll.StatScatterPlot([0]!ST_GlobalTemperatureNoSmoothing_2,[0]!ST_AntarcticmassGigatonnes_5,1)</definedName>
    <definedName name="ScatterY_36C4B" localSheetId="10">_xll.StatScatterPlot([0]!ST_CO2AVGPPM_3,[0]!ST_GlobalTemperatureNoSmoothing_2,1)</definedName>
    <definedName name="ScatterY_36C4B">_xll.StatScatterPlot([0]!ST_CO2AVGPPM_3,[0]!ST_GlobalTemperatureNoSmoothing_2,1)</definedName>
    <definedName name="ScatterY_744D3" localSheetId="14">_xll.StatScatterPlot([0]!ST_GreenlandmassGigatonnes_6,[0]!ST_GMLS_4,1)</definedName>
    <definedName name="ScatterY_744D3">_xll.StatScatterPlot([0]!ST_GreenlandmassGigatonnes_6,[0]!ST_GMLS_4,1)</definedName>
    <definedName name="ScatterY_80BAF" localSheetId="3">_xll.StatScatterPlot([0]!ST_GMLS_4,[0]!ST_GlobalTemperatureNoSmoothing_2,1)</definedName>
    <definedName name="ScatterY_80BAF">_xll.StatScatterPlot([0]!ST_GMLS_4,[0]!ST_GlobalTemperatureNoSmoothing_2,1)</definedName>
    <definedName name="ScatterY_853F">_xll.StatScatterPlot([0]!ST_GreenlandmassGigatonnes_6,[0]!ST_GMLS_4,1)</definedName>
    <definedName name="ScatterY_8B6B1" localSheetId="13">_xll.StatScatterPlot([0]!ST_GlobalTemperatureNoSmoothing_2,[0]!ST_AntarcticmassGigatonnes_5,1)</definedName>
    <definedName name="ScatterY_9EDA6" localSheetId="11">_xll.StatScatterPlot([0]!ST_GlobalTemperatureNoSmoothing_2,[0]!ST_GMLS_4,1)</definedName>
    <definedName name="ScatterY_9EDA6">_xll.StatScatterPlot([0]!ST_GlobalTemperatureNoSmoothing_2,[0]!ST_GMLS_4,1)</definedName>
    <definedName name="ScatterY_D09E8" localSheetId="14">_xll.StatScatterPlot([0]!ST_AntarcticmassGigatonnes_5,[0]!ST_GMLS_4,1)</definedName>
    <definedName name="ScatterY_D09E8">_xll.StatScatterPlot([0]!ST_AntarcticmassGigatonnes_5,[0]!ST_GMLS_4,1)</definedName>
    <definedName name="ScatterY_DFC9E">_xll.StatScatterPlot([0]!ST_AntarcticmassGigatonnes_5,[0]!ST_GMLS_4,1)</definedName>
    <definedName name="ST_AntarcticmassGigatonnes">#REF!</definedName>
    <definedName name="ST_AntarcticmassGigatonnes_5">'Master table (4)'!$E$2:$E$19</definedName>
    <definedName name="ST_CO2AVGPPM">#REF!</definedName>
    <definedName name="ST_CO2AVGPPM_3">'Master table (4)'!$C$2:$C$19</definedName>
    <definedName name="ST_GlobalTemperatureNoSmoothing">#REF!</definedName>
    <definedName name="ST_GlobalTemperatureNoSmoothing_2">'Master table (4)'!$B$2:$B$19</definedName>
    <definedName name="ST_GMLS">#REF!</definedName>
    <definedName name="ST_GMLS_4">'Master table (4)'!$D$2:$D$19</definedName>
    <definedName name="ST_GreenlandmassGigatonnes">#REF!</definedName>
    <definedName name="ST_GreenlandmassGigatonnes_6">'Master table (4)'!$F$2:$F$19</definedName>
    <definedName name="ST_Year">#REF!</definedName>
    <definedName name="ST_Year_1">'Master table (4)'!$A$2:$A$19</definedName>
    <definedName name="StatToolsHeader" localSheetId="16">'Correlation and Covariance'!$1:$5</definedName>
    <definedName name="StatToolsHeader" localSheetId="8">'Multi Regression ANT GR GMSL'!$1:$6</definedName>
    <definedName name="StatToolsHeader" localSheetId="9">'One Var Summary'!$1:$5</definedName>
    <definedName name="StatToolsHeader" localSheetId="6">'Regression ANT GMSL'!$1:$6</definedName>
    <definedName name="StatToolsHeader" localSheetId="3">'Regression Co2 GT'!$1:$6</definedName>
    <definedName name="StatToolsHeader" localSheetId="7">'Regression GR GMSL '!$1:$6</definedName>
    <definedName name="StatToolsHeader" localSheetId="4">'Regression GT ANT'!$1:$6</definedName>
    <definedName name="StatToolsHeader" localSheetId="5">'Regression GT GR'!$1:$6</definedName>
    <definedName name="StatToolsHeader" localSheetId="13">'Scatter ANT-GT'!$1:$5</definedName>
    <definedName name="StatToolsHeader" localSheetId="10">'Scatter Global Temp-CO2'!$1:$5</definedName>
    <definedName name="StatToolsHeader" localSheetId="14">'Scatter GMSL - Ant. Gre.'!$1:$5</definedName>
    <definedName name="StatToolsHeader" localSheetId="11">'Scatter GMSL-GT'!$1:$5</definedName>
    <definedName name="StatToolsHeader" localSheetId="12">'Scatter Green-GT'!$1:$5</definedName>
    <definedName name="STWBD_StatToolsBoxPlot_DefaultDataFormat" hidden="1">" 0"</definedName>
    <definedName name="STWBD_StatToolsBoxPlot_HasDefaultInfo" hidden="1">"TRUE"</definedName>
    <definedName name="STWBD_StatToolsBoxPlot_IdentifyOutliersInDataSet" hidden="1">"FALSE"</definedName>
    <definedName name="STWBD_StatToolsBoxPlot_IncludeKey" hidden="1">"FALSE"</definedName>
    <definedName name="STWBD_StatToolsBoxPlot_Orientation" hidden="1">" 1"</definedName>
    <definedName name="STWBD_StatToolsBoxPlot_VariableList" hidden="1">1</definedName>
    <definedName name="STWBD_StatToolsBoxPlot_VariableList_1" hidden="1">"U_x0001_VG1EADF396AE79C4_x0001_"</definedName>
    <definedName name="STWBD_StatToolsBoxPlot_VarSelectorDefaultDataSet" hidden="1">"DG24B107FB"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0"</definedName>
    <definedName name="STWBD_StatToolsCorrAndCovar_VariableList" hidden="1">5</definedName>
    <definedName name="STWBD_StatToolsCorrAndCovar_VariableList_1" hidden="1">"U_x0001_VG1EADF396AE79C4_x0001_"</definedName>
    <definedName name="STWBD_StatToolsCorrAndCovar_VariableList_2" hidden="1">"U_x0001_VG2634774620B52726_x0001_"</definedName>
    <definedName name="STWBD_StatToolsCorrAndCovar_VariableList_3" hidden="1">"U_x0001_VG180EE444CC47CCC_x0001_"</definedName>
    <definedName name="STWBD_StatToolsCorrAndCovar_VariableList_4" hidden="1">"U_x0001_VG2C3A4C3835482A78_x0001_"</definedName>
    <definedName name="STWBD_StatToolsCorrAndCovar_VariableList_5" hidden="1">"U_x0001_VG122CAC0A259993C0_x0001_"</definedName>
    <definedName name="STWBD_StatToolsCorrAndCovar_VarSelectorDefaultDataSet" hidden="1">"DG24B107FB"</definedName>
    <definedName name="STWBD_StatToolsHistogram_BinMaximum" hidden="1">" 1.01E+300"</definedName>
    <definedName name="STWBD_StatToolsHistogram_BinMinimum" hidden="1">" 1.01E+300"</definedName>
    <definedName name="STWBD_StatToolsHistogram_DefaultDataFormat" hidden="1">" 0"</definedName>
    <definedName name="STWBD_StatToolsHistogram_HasDefaultInfo" hidden="1">"TRUE"</definedName>
    <definedName name="STWBD_StatToolsHistogram_NumBins" hidden="1">"-32767"</definedName>
    <definedName name="STWBD_StatToolsHistogram_VariableList" hidden="1">2</definedName>
    <definedName name="STWBD_StatToolsHistogram_VariableList_1" hidden="1">"U_x0001_VG286E5D491EFBEB39_x0001_"</definedName>
    <definedName name="STWBD_StatToolsHistogram_VariableList_2" hidden="1">"U_x0001_VG1EADF396AE79C4_x0001_"</definedName>
    <definedName name="STWBD_StatToolsHistogram_VarSelectorDefaultDataSet" hidden="1">"DG24B107FB"</definedName>
    <definedName name="STWBD_StatToolsHistogram_XAxisStyle" hidden="1">" 0"</definedName>
    <definedName name="STWBD_StatToolsHistogram_YAxisStyle" hidden="1">" 0"</definedName>
    <definedName name="STWBD_StatToolsOneVarSummary_Count" hidden="1">"TRUE"</definedName>
    <definedName name="STWBD_StatToolsOneVarSummary_DefaultDataFormat" hidden="1">" 0"</definedName>
    <definedName name="STWBD_StatToolsOneVarSummary_FirstQuartile" hidden="1">"TRUE"</definedName>
    <definedName name="STWBD_StatToolsOneVarSummary_HasDefaultInfo" hidden="1">"TRUE"</definedName>
    <definedName name="STWBD_StatToolsOneVarSummary_InterQuartileRange" hidden="1">"TRUE"</definedName>
    <definedName name="STWBD_StatToolsOneVarSummary_Kurtosis" hidden="1">"TRUE"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"TRUE"</definedName>
    <definedName name="STWBD_StatToolsOneVarSummary_Median" hidden="1">"TRUE"</definedName>
    <definedName name="STWBD_StatToolsOneVarSummary_Minimum" hidden="1">"TRUE"</definedName>
    <definedName name="STWBD_StatToolsOneVarSummary_Mode" hidden="1">"TRUE"</definedName>
    <definedName name="STWBD_StatToolsOneVarSummary_OtherPercentiles" hidden="1">"FALSE"</definedName>
    <definedName name="STWBD_StatToolsOneVarSummary_PercentileList" hidden="1">" .01, .025, .05, .1, .2, .8, .9, .95, .975, .99"</definedName>
    <definedName name="STWBD_StatToolsOneVarSummary_Range" hidden="1">"TRUE"</definedName>
    <definedName name="STWBD_StatToolsOneVarSummary_Skewness" hidden="1">"TRUE"</definedName>
    <definedName name="STWBD_StatToolsOneVarSummary_StandardDeviation" hidden="1">"TRUE"</definedName>
    <definedName name="STWBD_StatToolsOneVarSummary_Sum" hidden="1">"TRUE"</definedName>
    <definedName name="STWBD_StatToolsOneVarSummary_ThirdQuartile" hidden="1">"TRUE"</definedName>
    <definedName name="STWBD_StatToolsOneVarSummary_VariableList" hidden="1">5</definedName>
    <definedName name="STWBD_StatToolsOneVarSummary_VariableList_1" hidden="1">"U_x0001_VG1EADF396AE79C4_x0001_"</definedName>
    <definedName name="STWBD_StatToolsOneVarSummary_VariableList_2" hidden="1">"U_x0001_VG2634774620B52726_x0001_"</definedName>
    <definedName name="STWBD_StatToolsOneVarSummary_VariableList_3" hidden="1">"U_x0001_VG180EE444CC47CCC_x0001_"</definedName>
    <definedName name="STWBD_StatToolsOneVarSummary_VariableList_4" hidden="1">"U_x0001_VG2C3A4C3835482A78_x0001_"</definedName>
    <definedName name="STWBD_StatToolsOneVarSummary_VariableList_5" hidden="1">"U_x0001_VG122CAC0A259993C0_x0001_"</definedName>
    <definedName name="STWBD_StatToolsOneVarSummary_Variance" hidden="1">"TRUE"</definedName>
    <definedName name="STWBD_StatToolsOneVarSummary_VarSelectorDefaultDataSet" hidden="1">"DG24B107FB"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"U_x0001_VG2C3A4C3835482A78_x0001_"</definedName>
    <definedName name="STWBD_StatToolsRegression_VariableListIndependent" hidden="1">1</definedName>
    <definedName name="STWBD_StatToolsRegression_VariableListIndependent_1" hidden="1">"U_x0001_VG1EADF396AE79C4_x0001_"</definedName>
    <definedName name="STWBD_StatToolsRegression_VarSelectorDefaultDataSet" hidden="1">"DG24B107FB"</definedName>
    <definedName name="STWBD_StatToolsScatterplot_DisplayCorrelationCoefficient" hidden="1">"TRUE"</definedName>
    <definedName name="STWBD_StatToolsScatterplot_HasDefaultInfo" hidden="1">"TRUE"</definedName>
    <definedName name="STWBD_StatToolsScatterplot_ScatterplotChartType" hidden="1">" 0"</definedName>
    <definedName name="STWBD_StatToolsScatterplot_VarSelectorDefaultDataSet" hidden="1">"DG24B107FB"</definedName>
    <definedName name="STWBD_StatToolsScatterplot_XVariableList" hidden="1">1</definedName>
    <definedName name="STWBD_StatToolsScatterplot_XVariableList_1" hidden="1">"U_x0001_VG1EADF396AE79C4_x0001_"</definedName>
    <definedName name="STWBD_StatToolsScatterplot_XVariableList_2" hidden="1">"U_x0001_VG122CAC0A259993C0_x0001_"</definedName>
    <definedName name="STWBD_StatToolsScatterplot_YVariableList" hidden="1">1</definedName>
    <definedName name="STWBD_StatToolsScatterplot_YVariableList_1" hidden="1">"U_x0001_VG2C3A4C3835482A78_x0001_"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8" l="1"/>
  <c r="B24" i="43"/>
  <c r="B28" i="18" l="1"/>
  <c r="B25" i="18"/>
  <c r="B22" i="18"/>
  <c r="B19" i="18"/>
  <c r="B16" i="18"/>
  <c r="B13" i="18"/>
  <c r="B7" i="18"/>
  <c r="B3" i="18"/>
  <c r="B12" i="34"/>
  <c r="D12" i="34"/>
  <c r="C11" i="34"/>
  <c r="C13" i="34"/>
  <c r="E13" i="34"/>
  <c r="B11" i="34"/>
  <c r="C12" i="34"/>
  <c r="D13" i="34"/>
  <c r="B10" i="34"/>
  <c r="B13" i="34"/>
  <c r="E10" i="34" l="1"/>
  <c r="E9" i="34"/>
  <c r="E11" i="34"/>
  <c r="C9" i="34"/>
  <c r="D9" i="34"/>
  <c r="F9" i="34"/>
  <c r="D10" i="34"/>
  <c r="F10" i="34"/>
  <c r="F11" i="34"/>
  <c r="F12" i="34"/>
  <c r="D17" i="19"/>
  <c r="B18" i="19"/>
  <c r="E14" i="19"/>
  <c r="C15" i="19"/>
  <c r="B8" i="19"/>
  <c r="F13" i="19"/>
  <c r="E19" i="19"/>
  <c r="D19" i="19"/>
  <c r="F18" i="19"/>
  <c r="B19" i="19"/>
  <c r="D11" i="19"/>
  <c r="D18" i="19"/>
  <c r="C23" i="19"/>
  <c r="E22" i="19"/>
  <c r="F12" i="19"/>
  <c r="D23" i="19"/>
  <c r="E9" i="19"/>
  <c r="E23" i="19"/>
  <c r="B12" i="19"/>
  <c r="E16" i="19"/>
  <c r="B24" i="29"/>
  <c r="C18" i="19"/>
  <c r="E20" i="19"/>
  <c r="F8" i="19"/>
  <c r="D14" i="19"/>
  <c r="F22" i="19"/>
  <c r="B11" i="19"/>
  <c r="D15" i="19"/>
  <c r="C21" i="19"/>
  <c r="F10" i="19"/>
  <c r="F11" i="19"/>
  <c r="C14" i="19"/>
  <c r="B15" i="19"/>
  <c r="B24" i="30"/>
  <c r="E12" i="19"/>
  <c r="C11" i="19"/>
  <c r="B16" i="19"/>
  <c r="B43" i="32"/>
  <c r="B22" i="19"/>
  <c r="E8" i="19"/>
  <c r="B14" i="19"/>
  <c r="C13" i="19"/>
  <c r="E11" i="19"/>
  <c r="D8" i="19"/>
  <c r="C20" i="19"/>
  <c r="B13" i="19"/>
  <c r="D20" i="19"/>
  <c r="C17" i="19"/>
  <c r="D10" i="19"/>
  <c r="D13" i="19"/>
  <c r="D22" i="19"/>
  <c r="E17" i="19"/>
  <c r="C19" i="19"/>
  <c r="C10" i="19"/>
  <c r="F17" i="19"/>
  <c r="C9" i="19"/>
  <c r="D16" i="19"/>
  <c r="F23" i="19"/>
  <c r="C8" i="19"/>
  <c r="C12" i="19"/>
  <c r="D9" i="19"/>
  <c r="C16" i="19"/>
  <c r="B17" i="19"/>
  <c r="B9" i="19"/>
  <c r="E10" i="19"/>
  <c r="C22" i="19"/>
  <c r="B23" i="19"/>
  <c r="F19" i="19"/>
  <c r="B20" i="19"/>
  <c r="F9" i="19"/>
  <c r="F15" i="19"/>
  <c r="E15" i="19"/>
  <c r="B24" i="33"/>
  <c r="H24" i="33"/>
  <c r="E21" i="19"/>
  <c r="D21" i="19"/>
  <c r="F21" i="19"/>
  <c r="B24" i="32"/>
  <c r="F16" i="19"/>
  <c r="B21" i="19"/>
  <c r="D12" i="19"/>
  <c r="E18" i="19"/>
  <c r="F14" i="19"/>
  <c r="E13" i="19"/>
  <c r="B10" i="19"/>
  <c r="F20" i="19"/>
  <c r="B9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 Hoon Lee</author>
  </authors>
  <commentList>
    <comment ref="B8" authorId="0" shapeId="0" xr:uid="{0FF5CB0E-3B3A-44D2-B788-BFFC588634C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538C4866-7FD9-4E67-884E-196A824DAB99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7C7EDB8F-AFCE-444B-8ACD-829F6050DD6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 Hoon Lee</author>
  </authors>
  <commentList>
    <comment ref="B8" authorId="0" shapeId="0" xr:uid="{69DCC381-86A0-4B57-BD9C-903D78D563D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FEFFC908-DBEB-4A1E-8ABA-D8F9B1E4CF2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E7F96118-9E6D-48DF-9CC1-3BA06259BC5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 Hoon Lee</author>
  </authors>
  <commentList>
    <comment ref="B8" authorId="0" shapeId="0" xr:uid="{4A254585-CA2A-49AE-803D-A9FC0DE243F1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37C64714-2EA0-425F-92F1-F9EBE6CC789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12D80205-E35A-482D-9219-FA1E38454BE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 Hoon Lee</author>
  </authors>
  <commentList>
    <comment ref="B8" authorId="0" shapeId="0" xr:uid="{99AED9A2-1950-4A1A-9AD8-9E2ADA11DF9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AFE4F787-ADCD-488D-855A-6089044ED31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D7A116F1-4613-455F-8211-BADE21BB546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 Hoon Lee</author>
  </authors>
  <commentList>
    <comment ref="B8" authorId="0" shapeId="0" xr:uid="{DA100098-4673-4D57-80A6-58A28B8565B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19A109C3-6A3E-4AF0-B237-EE64669CED9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203A1770-AB0B-4ACC-A09F-F7CF614E0B0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 Hoon Lee</author>
  </authors>
  <commentList>
    <comment ref="B8" authorId="0" shapeId="0" xr:uid="{D50B0CAD-AA7A-46EC-BAF7-9F27A236AE1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F8" authorId="0" shapeId="0" xr:uid="{DCFD301F-6399-4E3D-9D10-2AA150B2C051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G8" authorId="0" shapeId="0" xr:uid="{BFBCC118-5E16-4E9C-A67B-C8F594A4D8AA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<sst xmlns="http://schemas.openxmlformats.org/spreadsheetml/2006/main" count="400" uniqueCount="134">
  <si>
    <t>Mean</t>
  </si>
  <si>
    <t>Variance</t>
  </si>
  <si>
    <t>Std. Dev.</t>
  </si>
  <si>
    <t>Skewness</t>
  </si>
  <si>
    <t>Kurtosis</t>
  </si>
  <si>
    <t>Median</t>
  </si>
  <si>
    <t>Mean Abs. Dev.</t>
  </si>
  <si>
    <t>Mode</t>
  </si>
  <si>
    <t>Minimum</t>
  </si>
  <si>
    <t>Maximum</t>
  </si>
  <si>
    <t>Range</t>
  </si>
  <si>
    <t>Count</t>
  </si>
  <si>
    <t>Sum</t>
  </si>
  <si>
    <t>1st Quartile</t>
  </si>
  <si>
    <t>3rd Quartile</t>
  </si>
  <si>
    <t>Interquartile Range</t>
  </si>
  <si>
    <t>CO2 AVG.
PPM</t>
  </si>
  <si>
    <t>GMLS</t>
  </si>
  <si>
    <t>Global Warming</t>
  </si>
  <si>
    <t>Antarctic mass (Gigatonnes)</t>
  </si>
  <si>
    <t>Greenland mass (Gigatonnes)</t>
  </si>
  <si>
    <t>GMSL</t>
  </si>
  <si>
    <t>Year</t>
  </si>
  <si>
    <t>Global Temperature No_Smoothing</t>
  </si>
  <si>
    <t>Name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</si>
  <si>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</si>
  <si>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</si>
  <si>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</si>
  <si>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</si>
  <si>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</si>
  <si>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</si>
  <si>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</si>
  <si>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</si>
  <si>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</si>
  <si>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GUID</t>
  </si>
  <si>
    <t>DG24B107FB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</si>
  <si>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</si>
  <si>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</si>
  <si>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</si>
  <si>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</si>
  <si>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</si>
  <si>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</si>
  <si>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</si>
  <si>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</si>
  <si>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</si>
  <si>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</si>
  <si>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VG286E5D491EFBEB39</t>
  </si>
  <si>
    <t>var1</t>
  </si>
  <si>
    <t>ST_Year_1</t>
  </si>
  <si>
    <t>1 : Ranges</t>
  </si>
  <si>
    <t>1 : MultiRefs</t>
  </si>
  <si>
    <t>2 : Info</t>
  </si>
  <si>
    <t>VG1EADF396AE79C4</t>
  </si>
  <si>
    <t>var2</t>
  </si>
  <si>
    <t>ST_GlobalTemperatureNoSmoothing_2</t>
  </si>
  <si>
    <t>2 : Ranges</t>
  </si>
  <si>
    <t>2 : MultiRefs</t>
  </si>
  <si>
    <t>3 : Info</t>
  </si>
  <si>
    <t>VG2634774620B52726</t>
  </si>
  <si>
    <t>var3</t>
  </si>
  <si>
    <t>ST_CO2AVGPPM_3</t>
  </si>
  <si>
    <t>3 : Ranges</t>
  </si>
  <si>
    <t>3 : MultiRefs</t>
  </si>
  <si>
    <t>4 : Info</t>
  </si>
  <si>
    <t>VG180EE444CC47CCC</t>
  </si>
  <si>
    <t>var4</t>
  </si>
  <si>
    <t>ST_GMLS_4</t>
  </si>
  <si>
    <t>4 : Ranges</t>
  </si>
  <si>
    <t>4 : MultiRefs</t>
  </si>
  <si>
    <t>5 : Info</t>
  </si>
  <si>
    <t>VG2C3A4C3835482A78</t>
  </si>
  <si>
    <t>var5</t>
  </si>
  <si>
    <t>ST_AntarcticmassGigatonnes_5</t>
  </si>
  <si>
    <t>5 : Ranges</t>
  </si>
  <si>
    <t>5 : MultiRefs</t>
  </si>
  <si>
    <t>6 : Info</t>
  </si>
  <si>
    <t>VG122CAC0A259993C0</t>
  </si>
  <si>
    <t>var6</t>
  </si>
  <si>
    <t>ST_GreenlandmassGigatonnes_6</t>
  </si>
  <si>
    <t>6 : Ranges</t>
  </si>
  <si>
    <t>6 : MultiRefs</t>
  </si>
  <si>
    <t>StatTools Report</t>
  </si>
  <si>
    <t>Analysis:</t>
  </si>
  <si>
    <t>One Variable Summary</t>
  </si>
  <si>
    <t>Performed By:</t>
  </si>
  <si>
    <t>Jae Hoon Lee</t>
  </si>
  <si>
    <t>Date:</t>
  </si>
  <si>
    <t>Tuesday, April 14, 2020</t>
  </si>
  <si>
    <t>Updating:</t>
  </si>
  <si>
    <t>Live</t>
  </si>
  <si>
    <t>Regression</t>
  </si>
  <si>
    <t>Static</t>
  </si>
  <si>
    <t>Variable:</t>
  </si>
  <si>
    <t>Global Temperature Abnomality (Celcius)</t>
  </si>
  <si>
    <t>Multiple Regression for Global Temperature Abnomarlity 
(Celcius)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</si>
  <si>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</si>
  <si>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</si>
  <si>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</si>
  <si>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</si>
  <si>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</si>
  <si>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</si>
  <si>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Summary</t>
  </si>
  <si>
    <t>Degrees of_x000D_
Freedom</t>
  </si>
  <si>
    <t>Sum of_x000D_
Squares</t>
  </si>
  <si>
    <t>Mean of_x000D_
Squares</t>
  </si>
  <si>
    <t>F</t>
  </si>
  <si>
    <t>p-Value</t>
  </si>
  <si>
    <t>ANOVA Table</t>
  </si>
  <si>
    <t>Explained</t>
  </si>
  <si>
    <t>Unexplained</t>
  </si>
  <si>
    <t>Coefficient</t>
  </si>
  <si>
    <t>Standard_x000D_
Error</t>
  </si>
  <si>
    <t>t-Value</t>
  </si>
  <si>
    <t>Confidence Interval 95%</t>
  </si>
  <si>
    <t>Regression Table</t>
  </si>
  <si>
    <t>Lower</t>
  </si>
  <si>
    <t>Upper</t>
  </si>
  <si>
    <t>Constant</t>
  </si>
  <si>
    <t>Multiple Regression for Antarctic mass (Gigatonnes)</t>
  </si>
  <si>
    <t>Multiple Regression for Greenland mass (Gigatonnes)</t>
  </si>
  <si>
    <t>Monday, April 27, 2020</t>
  </si>
  <si>
    <t>Multiple Regression for GMSL</t>
  </si>
  <si>
    <t>Scatterplot</t>
  </si>
  <si>
    <t xml:space="preserve">In this graph we can see how strong the correlation of 0.834 between the Carbon dioxide average and Global temperature increase. </t>
  </si>
  <si>
    <t>Correlation</t>
  </si>
  <si>
    <t xml:space="preserve">In this chart there is an extremely strong correlation of 0.883 between the GMSL and Global warming temperature increase that causes a positive linear line. </t>
  </si>
  <si>
    <t>This chart demonstrates a -0.750 correltaion that indicates that an increase in Global temperature causes a decrease in the Antarctic mass.</t>
  </si>
  <si>
    <t xml:space="preserve">In this chart, the negative correlation of -0.666 shows that as the global temperature increase, there was a decrease in Greenland mass. </t>
  </si>
  <si>
    <t>This chart shows how the Global mass sea level falls along with the Antarctice mass witha correlation of -0.876.</t>
  </si>
  <si>
    <t xml:space="preserve">The -0.824 correltaion indicates that the decline of GMSL causes Greenland's mass to decrease over time. </t>
  </si>
  <si>
    <t>Correlation and Covariance</t>
  </si>
  <si>
    <t>Wednesday, April 15, 2020</t>
  </si>
  <si>
    <t>Linear Correlation Table</t>
  </si>
  <si>
    <t>Sunday, May 3,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</si>
</sst>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&lt;0.0001]&quot;&lt; 0.0001&quot;;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/>
    </xf>
    <xf numFmtId="0" fontId="0" fillId="4" borderId="3" xfId="0" applyFill="1" applyBorder="1"/>
    <xf numFmtId="0" fontId="0" fillId="4" borderId="4" xfId="0" applyFill="1" applyBorder="1"/>
    <xf numFmtId="0" fontId="4" fillId="4" borderId="5" xfId="0" applyFont="1" applyFill="1" applyBorder="1" applyAlignment="1">
      <alignment vertical="center"/>
    </xf>
    <xf numFmtId="0" fontId="0" fillId="4" borderId="6" xfId="0" applyFill="1" applyBorder="1"/>
    <xf numFmtId="0" fontId="0" fillId="4" borderId="7" xfId="0" applyFill="1" applyBorder="1"/>
    <xf numFmtId="0" fontId="4" fillId="0" borderId="0" xfId="0" applyFont="1" applyAlignment="1">
      <alignment vertical="center"/>
    </xf>
    <xf numFmtId="2" fontId="0" fillId="4" borderId="6" xfId="0" applyNumberFormat="1" applyFill="1" applyBorder="1"/>
    <xf numFmtId="2" fontId="0" fillId="0" borderId="0" xfId="0" applyNumberFormat="1"/>
    <xf numFmtId="0" fontId="4" fillId="4" borderId="8" xfId="0" applyFont="1" applyFill="1" applyBorder="1" applyAlignment="1">
      <alignment vertical="center"/>
    </xf>
    <xf numFmtId="0" fontId="0" fillId="4" borderId="9" xfId="0" applyFill="1" applyBorder="1"/>
    <xf numFmtId="2" fontId="0" fillId="4" borderId="9" xfId="0" applyNumberFormat="1" applyFill="1" applyBorder="1"/>
    <xf numFmtId="0" fontId="0" fillId="4" borderId="10" xfId="0" applyFill="1" applyBorder="1"/>
    <xf numFmtId="0" fontId="0" fillId="0" borderId="0" xfId="0" applyNumberFormat="1"/>
    <xf numFmtId="0" fontId="1" fillId="0" borderId="0" xfId="0" applyFont="1" applyAlignment="1">
      <alignment horizontal="left"/>
    </xf>
    <xf numFmtId="2" fontId="0" fillId="4" borderId="3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6" fillId="5" borderId="0" xfId="0" applyFont="1" applyFill="1"/>
    <xf numFmtId="0" fontId="6" fillId="5" borderId="11" xfId="0" applyFont="1" applyFill="1" applyBorder="1"/>
    <xf numFmtId="0" fontId="3" fillId="5" borderId="0" xfId="0" applyFont="1" applyFill="1" applyAlignment="1">
      <alignment horizontal="right"/>
    </xf>
    <xf numFmtId="0" fontId="3" fillId="5" borderId="11" xfId="0" applyFont="1" applyFill="1" applyBorder="1" applyAlignment="1">
      <alignment horizontal="right"/>
    </xf>
    <xf numFmtId="0" fontId="6" fillId="5" borderId="0" xfId="0" applyFont="1" applyFill="1" applyAlignment="1">
      <alignment horizontal="left"/>
    </xf>
    <xf numFmtId="0" fontId="6" fillId="5" borderId="1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0" borderId="12" xfId="0" applyNumberFormat="1" applyFont="1" applyFill="1" applyBorder="1" applyAlignment="1">
      <alignment horizontal="left"/>
    </xf>
    <xf numFmtId="49" fontId="3" fillId="0" borderId="1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/>
    <xf numFmtId="165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49" fontId="7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164" fontId="5" fillId="0" borderId="0" xfId="0" applyNumberFormat="1" applyFont="1" applyAlignment="1">
      <alignment horizontal="center"/>
    </xf>
    <xf numFmtId="0" fontId="2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3" fillId="6" borderId="0" xfId="0" applyFont="1" applyFill="1" applyAlignment="1">
      <alignment horizontal="right"/>
    </xf>
    <xf numFmtId="0" fontId="3" fillId="6" borderId="11" xfId="0" applyFont="1" applyFill="1" applyBorder="1" applyAlignment="1">
      <alignment horizontal="right"/>
    </xf>
    <xf numFmtId="0" fontId="6" fillId="6" borderId="11" xfId="0" applyFont="1" applyFill="1" applyBorder="1" applyAlignment="1">
      <alignment horizontal="left"/>
    </xf>
    <xf numFmtId="0" fontId="6" fillId="6" borderId="11" xfId="0" applyFont="1" applyFill="1" applyBorder="1"/>
    <xf numFmtId="0" fontId="0" fillId="2" borderId="0" xfId="0" applyFill="1"/>
    <xf numFmtId="49" fontId="7" fillId="2" borderId="12" xfId="0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7" fillId="2" borderId="0" xfId="0" applyNumberFormat="1" applyFont="1" applyFill="1" applyAlignment="1">
      <alignment horizontal="left"/>
    </xf>
    <xf numFmtId="49" fontId="3" fillId="0" borderId="1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7" fillId="0" borderId="12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table (4)'!$C$1</c:f>
              <c:strCache>
                <c:ptCount val="1"/>
                <c:pt idx="0">
                  <c:v>CO2 AVG.
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table (4)'!$A$2:$A$19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'Master table (4)'!$C$2:$C$19</c:f>
              <c:numCache>
                <c:formatCode>0.00</c:formatCode>
                <c:ptCount val="18"/>
                <c:pt idx="0">
                  <c:v>373.27916666666664</c:v>
                </c:pt>
                <c:pt idx="1">
                  <c:v>375.80250000000001</c:v>
                </c:pt>
                <c:pt idx="2">
                  <c:v>377.52250000000004</c:v>
                </c:pt>
                <c:pt idx="3">
                  <c:v>379.79583333333329</c:v>
                </c:pt>
                <c:pt idx="4">
                  <c:v>381.89666666666659</c:v>
                </c:pt>
                <c:pt idx="5">
                  <c:v>383.79083333333324</c:v>
                </c:pt>
                <c:pt idx="6">
                  <c:v>385.6033333333333</c:v>
                </c:pt>
                <c:pt idx="7">
                  <c:v>387.43</c:v>
                </c:pt>
                <c:pt idx="8">
                  <c:v>389.89916666666664</c:v>
                </c:pt>
                <c:pt idx="9">
                  <c:v>391.65249999999997</c:v>
                </c:pt>
                <c:pt idx="10">
                  <c:v>393.85333333333341</c:v>
                </c:pt>
                <c:pt idx="11">
                  <c:v>396.52083333333331</c:v>
                </c:pt>
                <c:pt idx="12">
                  <c:v>398.64749999999998</c:v>
                </c:pt>
                <c:pt idx="13">
                  <c:v>400.8341666666667</c:v>
                </c:pt>
                <c:pt idx="14">
                  <c:v>404.23916666666668</c:v>
                </c:pt>
                <c:pt idx="15">
                  <c:v>406.55333333333334</c:v>
                </c:pt>
                <c:pt idx="16">
                  <c:v>408.5216666666667</c:v>
                </c:pt>
                <c:pt idx="17">
                  <c:v>411.43916666666672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4-434F-8C84-C323F72F3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55504"/>
        <c:axId val="231373520"/>
      </c:scatterChart>
      <c:valAx>
        <c:axId val="16961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73520"/>
        <c:crosses val="autoZero"/>
        <c:crossBetween val="midCat"/>
      </c:valAx>
      <c:valAx>
        <c:axId val="2313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Antarctic mass (Gigatonnes) vs Global Temperature No_Smoothing of Global Warming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'Scatter ANT-GT'!ScatterX_8B6B1</c:f>
              <c:numCache>
                <c:formatCode>General</c:formatCode>
                <c:ptCount val="18"/>
                <c:pt idx="0">
                  <c:v>0.63</c:v>
                </c:pt>
                <c:pt idx="1">
                  <c:v>0.62</c:v>
                </c:pt>
                <c:pt idx="2">
                  <c:v>0.54</c:v>
                </c:pt>
                <c:pt idx="3">
                  <c:v>0.68</c:v>
                </c:pt>
                <c:pt idx="4">
                  <c:v>0.64</c:v>
                </c:pt>
                <c:pt idx="5">
                  <c:v>0.66</c:v>
                </c:pt>
                <c:pt idx="6">
                  <c:v>0.54</c:v>
                </c:pt>
                <c:pt idx="7">
                  <c:v>0.66</c:v>
                </c:pt>
                <c:pt idx="8">
                  <c:v>0.73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0.75</c:v>
                </c:pt>
                <c:pt idx="13">
                  <c:v>0.9</c:v>
                </c:pt>
                <c:pt idx="14">
                  <c:v>1.02</c:v>
                </c:pt>
                <c:pt idx="15">
                  <c:v>0.92</c:v>
                </c:pt>
                <c:pt idx="16">
                  <c:v>0.85</c:v>
                </c:pt>
                <c:pt idx="17">
                  <c:v>0.98</c:v>
                </c:pt>
              </c:numCache>
            </c:numRef>
          </c:xVal>
          <c:yVal>
            <c:numRef>
              <c:f>'Scatter ANT-GT'!ScatterY_8B6B1</c:f>
              <c:numCache>
                <c:formatCode>General</c:formatCode>
                <c:ptCount val="18"/>
                <c:pt idx="0">
                  <c:v>-50.300000000000011</c:v>
                </c:pt>
                <c:pt idx="1">
                  <c:v>-1277.53</c:v>
                </c:pt>
                <c:pt idx="2">
                  <c:v>-3162.3000000000006</c:v>
                </c:pt>
                <c:pt idx="3">
                  <c:v>-2761.06</c:v>
                </c:pt>
                <c:pt idx="4">
                  <c:v>-1571.7900000000002</c:v>
                </c:pt>
                <c:pt idx="5">
                  <c:v>-3814.65</c:v>
                </c:pt>
                <c:pt idx="6">
                  <c:v>-7061.47</c:v>
                </c:pt>
                <c:pt idx="7">
                  <c:v>-6759.2400000000007</c:v>
                </c:pt>
                <c:pt idx="8">
                  <c:v>-10103.69</c:v>
                </c:pt>
                <c:pt idx="9">
                  <c:v>-8462.7199999999993</c:v>
                </c:pt>
                <c:pt idx="10">
                  <c:v>-11827.879999999997</c:v>
                </c:pt>
                <c:pt idx="11">
                  <c:v>-11569.53</c:v>
                </c:pt>
                <c:pt idx="12">
                  <c:v>-13464.210000000001</c:v>
                </c:pt>
                <c:pt idx="13">
                  <c:v>-16632.559999999998</c:v>
                </c:pt>
                <c:pt idx="14">
                  <c:v>-15924.32</c:v>
                </c:pt>
                <c:pt idx="15">
                  <c:v>-9012.2599999999984</c:v>
                </c:pt>
                <c:pt idx="16">
                  <c:v>-10750.08</c:v>
                </c:pt>
                <c:pt idx="17">
                  <c:v>-24819.050000000003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5-45A9-AF80-FF262515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96736"/>
        <c:axId val="1963813056"/>
      </c:scatterChart>
      <c:valAx>
        <c:axId val="18945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Global Temperature No_Smoothing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963813056"/>
        <c:crosses val="autoZero"/>
        <c:crossBetween val="midCat"/>
      </c:valAx>
      <c:valAx>
        <c:axId val="196381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Antarctic mass (Gigatonnes)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89459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GMLS vs Antarctic mass (Gigatonnes) of Global Warming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'Scatter GMSL - Ant. Gre.'!ScatterX_D09E8</c:f>
              <c:numCache>
                <c:formatCode>General</c:formatCode>
                <c:ptCount val="18"/>
                <c:pt idx="0">
                  <c:v>-50.300000000000011</c:v>
                </c:pt>
                <c:pt idx="1">
                  <c:v>-1277.53</c:v>
                </c:pt>
                <c:pt idx="2">
                  <c:v>-3162.3000000000006</c:v>
                </c:pt>
                <c:pt idx="3">
                  <c:v>-2761.06</c:v>
                </c:pt>
                <c:pt idx="4">
                  <c:v>-1571.7900000000002</c:v>
                </c:pt>
                <c:pt idx="5">
                  <c:v>-3814.65</c:v>
                </c:pt>
                <c:pt idx="6">
                  <c:v>-7061.47</c:v>
                </c:pt>
                <c:pt idx="7">
                  <c:v>-6759.2400000000007</c:v>
                </c:pt>
                <c:pt idx="8">
                  <c:v>-10103.69</c:v>
                </c:pt>
                <c:pt idx="9">
                  <c:v>-8462.7199999999993</c:v>
                </c:pt>
                <c:pt idx="10">
                  <c:v>-11827.879999999997</c:v>
                </c:pt>
                <c:pt idx="11">
                  <c:v>-11569.53</c:v>
                </c:pt>
                <c:pt idx="12">
                  <c:v>-13464.210000000001</c:v>
                </c:pt>
                <c:pt idx="13">
                  <c:v>-16632.559999999998</c:v>
                </c:pt>
                <c:pt idx="14">
                  <c:v>-15924.32</c:v>
                </c:pt>
                <c:pt idx="15">
                  <c:v>-9012.2599999999984</c:v>
                </c:pt>
                <c:pt idx="16">
                  <c:v>-10750.08</c:v>
                </c:pt>
                <c:pt idx="17">
                  <c:v>-24819.050000000003</c:v>
                </c:pt>
              </c:numCache>
            </c:numRef>
          </c:xVal>
          <c:yVal>
            <c:numRef>
              <c:f>'Scatter GMSL - Ant. Gre.'!ScatterY_D09E8</c:f>
              <c:numCache>
                <c:formatCode>General</c:formatCode>
                <c:ptCount val="18"/>
                <c:pt idx="0">
                  <c:v>-9.3055555555555571</c:v>
                </c:pt>
                <c:pt idx="1">
                  <c:v>-6.1851351351351385</c:v>
                </c:pt>
                <c:pt idx="2">
                  <c:v>-4.3491891891891905</c:v>
                </c:pt>
                <c:pt idx="3">
                  <c:v>0.10189189189189128</c:v>
                </c:pt>
                <c:pt idx="4">
                  <c:v>1.1002777777777781</c:v>
                </c:pt>
                <c:pt idx="5">
                  <c:v>1.726756756756757</c:v>
                </c:pt>
                <c:pt idx="6">
                  <c:v>4.2041666666666666</c:v>
                </c:pt>
                <c:pt idx="7">
                  <c:v>8.9756756756756744</c:v>
                </c:pt>
                <c:pt idx="8">
                  <c:v>10.118108108108107</c:v>
                </c:pt>
                <c:pt idx="9">
                  <c:v>9.0937837837837829</c:v>
                </c:pt>
                <c:pt idx="10">
                  <c:v>19.72675675675676</c:v>
                </c:pt>
                <c:pt idx="11">
                  <c:v>22.030810810810813</c:v>
                </c:pt>
                <c:pt idx="12">
                  <c:v>25.296666666666667</c:v>
                </c:pt>
                <c:pt idx="13">
                  <c:v>35.601891891891889</c:v>
                </c:pt>
                <c:pt idx="14">
                  <c:v>38.281351351351347</c:v>
                </c:pt>
                <c:pt idx="15">
                  <c:v>39.385675675675678</c:v>
                </c:pt>
                <c:pt idx="16">
                  <c:v>42.814864864864852</c:v>
                </c:pt>
                <c:pt idx="17">
                  <c:v>48.599354838709679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8-4773-A1E5-0560B08A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97520"/>
        <c:axId val="1698352640"/>
      </c:scatterChart>
      <c:valAx>
        <c:axId val="22789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Antarctic mass (Gigatonnes)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698352640"/>
        <c:crosses val="autoZero"/>
        <c:crossBetween val="midCat"/>
      </c:valAx>
      <c:valAx>
        <c:axId val="169835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GMLS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27897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GMLS vs Greenland mass (Gigatonnes) of Global Warming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'Scatter GMSL - Ant. Gre.'!ScatterX_744D3</c:f>
              <c:numCache>
                <c:formatCode>General</c:formatCode>
                <c:ptCount val="18"/>
                <c:pt idx="0">
                  <c:v>-1002.56</c:v>
                </c:pt>
                <c:pt idx="1">
                  <c:v>-2564.67</c:v>
                </c:pt>
                <c:pt idx="2">
                  <c:v>-5395.6200000000008</c:v>
                </c:pt>
                <c:pt idx="3">
                  <c:v>-7940.62</c:v>
                </c:pt>
                <c:pt idx="4">
                  <c:v>-11051.73</c:v>
                </c:pt>
                <c:pt idx="5">
                  <c:v>-14345.630000000001</c:v>
                </c:pt>
                <c:pt idx="6">
                  <c:v>-17527.490000000002</c:v>
                </c:pt>
                <c:pt idx="7">
                  <c:v>-20242.59</c:v>
                </c:pt>
                <c:pt idx="8">
                  <c:v>-24805.35</c:v>
                </c:pt>
                <c:pt idx="9">
                  <c:v>-22789.21</c:v>
                </c:pt>
                <c:pt idx="10">
                  <c:v>-32174.720000000001</c:v>
                </c:pt>
                <c:pt idx="11">
                  <c:v>-29447.64</c:v>
                </c:pt>
                <c:pt idx="12">
                  <c:v>-30867.33</c:v>
                </c:pt>
                <c:pt idx="13">
                  <c:v>-32496.690000000002</c:v>
                </c:pt>
                <c:pt idx="14">
                  <c:v>-34639.159999999996</c:v>
                </c:pt>
                <c:pt idx="15">
                  <c:v>-19939.28</c:v>
                </c:pt>
                <c:pt idx="16">
                  <c:v>-20661.89</c:v>
                </c:pt>
                <c:pt idx="17">
                  <c:v>-48697.979999999989</c:v>
                </c:pt>
              </c:numCache>
            </c:numRef>
          </c:xVal>
          <c:yVal>
            <c:numRef>
              <c:f>'Scatter GMSL - Ant. Gre.'!ScatterY_744D3</c:f>
              <c:numCache>
                <c:formatCode>General</c:formatCode>
                <c:ptCount val="18"/>
                <c:pt idx="0">
                  <c:v>-9.3055555555555571</c:v>
                </c:pt>
                <c:pt idx="1">
                  <c:v>-6.1851351351351385</c:v>
                </c:pt>
                <c:pt idx="2">
                  <c:v>-4.3491891891891905</c:v>
                </c:pt>
                <c:pt idx="3">
                  <c:v>0.10189189189189128</c:v>
                </c:pt>
                <c:pt idx="4">
                  <c:v>1.1002777777777781</c:v>
                </c:pt>
                <c:pt idx="5">
                  <c:v>1.726756756756757</c:v>
                </c:pt>
                <c:pt idx="6">
                  <c:v>4.2041666666666666</c:v>
                </c:pt>
                <c:pt idx="7">
                  <c:v>8.9756756756756744</c:v>
                </c:pt>
                <c:pt idx="8">
                  <c:v>10.118108108108107</c:v>
                </c:pt>
                <c:pt idx="9">
                  <c:v>9.0937837837837829</c:v>
                </c:pt>
                <c:pt idx="10">
                  <c:v>19.72675675675676</c:v>
                </c:pt>
                <c:pt idx="11">
                  <c:v>22.030810810810813</c:v>
                </c:pt>
                <c:pt idx="12">
                  <c:v>25.296666666666667</c:v>
                </c:pt>
                <c:pt idx="13">
                  <c:v>35.601891891891889</c:v>
                </c:pt>
                <c:pt idx="14">
                  <c:v>38.281351351351347</c:v>
                </c:pt>
                <c:pt idx="15">
                  <c:v>39.385675675675678</c:v>
                </c:pt>
                <c:pt idx="16">
                  <c:v>42.814864864864852</c:v>
                </c:pt>
                <c:pt idx="17">
                  <c:v>48.599354838709679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2-4DDE-B577-83E93B6A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1168"/>
        <c:axId val="39390176"/>
      </c:scatterChart>
      <c:valAx>
        <c:axId val="2398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Greenland mass (Gigatonnes)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9390176"/>
        <c:crosses val="autoZero"/>
        <c:crossBetween val="midCat"/>
      </c:valAx>
      <c:valAx>
        <c:axId val="3939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GMLS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3981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table (4)'!$D$1</c:f>
              <c:strCache>
                <c:ptCount val="1"/>
                <c:pt idx="0">
                  <c:v>GMSL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table (4)'!$A$2:$A$19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'Master table (4)'!$D$2:$D$19</c:f>
              <c:numCache>
                <c:formatCode>0.00</c:formatCode>
                <c:ptCount val="18"/>
                <c:pt idx="0">
                  <c:v>-9.3055555555555571</c:v>
                </c:pt>
                <c:pt idx="1">
                  <c:v>-6.1851351351351385</c:v>
                </c:pt>
                <c:pt idx="2">
                  <c:v>-4.3491891891891905</c:v>
                </c:pt>
                <c:pt idx="3">
                  <c:v>0.10189189189189128</c:v>
                </c:pt>
                <c:pt idx="4">
                  <c:v>1.1002777777777781</c:v>
                </c:pt>
                <c:pt idx="5">
                  <c:v>1.726756756756757</c:v>
                </c:pt>
                <c:pt idx="6">
                  <c:v>4.2041666666666666</c:v>
                </c:pt>
                <c:pt idx="7">
                  <c:v>8.9756756756756744</c:v>
                </c:pt>
                <c:pt idx="8">
                  <c:v>10.118108108108107</c:v>
                </c:pt>
                <c:pt idx="9">
                  <c:v>9.0937837837837829</c:v>
                </c:pt>
                <c:pt idx="10">
                  <c:v>19.72675675675676</c:v>
                </c:pt>
                <c:pt idx="11">
                  <c:v>22.030810810810813</c:v>
                </c:pt>
                <c:pt idx="12">
                  <c:v>25.296666666666667</c:v>
                </c:pt>
                <c:pt idx="13">
                  <c:v>35.601891891891889</c:v>
                </c:pt>
                <c:pt idx="14">
                  <c:v>38.281351351351347</c:v>
                </c:pt>
                <c:pt idx="15">
                  <c:v>39.385675675675678</c:v>
                </c:pt>
                <c:pt idx="16">
                  <c:v>42.814864864864852</c:v>
                </c:pt>
                <c:pt idx="17">
                  <c:v>48.599354838709679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5-430C-9ACD-CF90B743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98864"/>
        <c:axId val="894293600"/>
      </c:scatterChart>
      <c:valAx>
        <c:axId val="9267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93600"/>
        <c:crosses val="autoZero"/>
        <c:crossBetween val="midCat"/>
      </c:valAx>
      <c:valAx>
        <c:axId val="8942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table (4)'!$E$1</c:f>
              <c:strCache>
                <c:ptCount val="1"/>
                <c:pt idx="0">
                  <c:v>Antarctic mass (Gigatonnes)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table (4)'!$A$2:$A$19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'Master table (4)'!$E$2:$E$19</c:f>
              <c:numCache>
                <c:formatCode>General</c:formatCode>
                <c:ptCount val="18"/>
                <c:pt idx="0">
                  <c:v>-50.300000000000011</c:v>
                </c:pt>
                <c:pt idx="1">
                  <c:v>-1277.53</c:v>
                </c:pt>
                <c:pt idx="2">
                  <c:v>-3162.3000000000006</c:v>
                </c:pt>
                <c:pt idx="3">
                  <c:v>-2761.06</c:v>
                </c:pt>
                <c:pt idx="4">
                  <c:v>-1571.7900000000002</c:v>
                </c:pt>
                <c:pt idx="5">
                  <c:v>-3814.65</c:v>
                </c:pt>
                <c:pt idx="6">
                  <c:v>-7061.47</c:v>
                </c:pt>
                <c:pt idx="7">
                  <c:v>-6759.2400000000007</c:v>
                </c:pt>
                <c:pt idx="8">
                  <c:v>-10103.69</c:v>
                </c:pt>
                <c:pt idx="9">
                  <c:v>-8462.7199999999993</c:v>
                </c:pt>
                <c:pt idx="10">
                  <c:v>-11827.879999999997</c:v>
                </c:pt>
                <c:pt idx="11">
                  <c:v>-11569.53</c:v>
                </c:pt>
                <c:pt idx="12">
                  <c:v>-13464.210000000001</c:v>
                </c:pt>
                <c:pt idx="13">
                  <c:v>-16632.559999999998</c:v>
                </c:pt>
                <c:pt idx="14">
                  <c:v>-15924.32</c:v>
                </c:pt>
                <c:pt idx="15">
                  <c:v>-9012.2599999999984</c:v>
                </c:pt>
                <c:pt idx="16">
                  <c:v>-10750.08</c:v>
                </c:pt>
                <c:pt idx="17">
                  <c:v>-24819.050000000003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A-4841-8097-6A33CF55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98592"/>
        <c:axId val="1498092720"/>
      </c:scatterChart>
      <c:valAx>
        <c:axId val="15818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92720"/>
        <c:crosses val="autoZero"/>
        <c:crossBetween val="midCat"/>
      </c:valAx>
      <c:valAx>
        <c:axId val="14980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9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table (4)'!$F$1</c:f>
              <c:strCache>
                <c:ptCount val="1"/>
                <c:pt idx="0">
                  <c:v>Greenland mass (Gigatonnes)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table (4)'!$A$2:$A$19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'Master table (4)'!$F$2:$F$19</c:f>
              <c:numCache>
                <c:formatCode>General</c:formatCode>
                <c:ptCount val="18"/>
                <c:pt idx="0">
                  <c:v>-1002.56</c:v>
                </c:pt>
                <c:pt idx="1">
                  <c:v>-2564.67</c:v>
                </c:pt>
                <c:pt idx="2">
                  <c:v>-5395.6200000000008</c:v>
                </c:pt>
                <c:pt idx="3">
                  <c:v>-7940.62</c:v>
                </c:pt>
                <c:pt idx="4">
                  <c:v>-11051.73</c:v>
                </c:pt>
                <c:pt idx="5">
                  <c:v>-14345.630000000001</c:v>
                </c:pt>
                <c:pt idx="6">
                  <c:v>-17527.490000000002</c:v>
                </c:pt>
                <c:pt idx="7">
                  <c:v>-20242.59</c:v>
                </c:pt>
                <c:pt idx="8">
                  <c:v>-24805.35</c:v>
                </c:pt>
                <c:pt idx="9">
                  <c:v>-22789.21</c:v>
                </c:pt>
                <c:pt idx="10">
                  <c:v>-32174.720000000001</c:v>
                </c:pt>
                <c:pt idx="11">
                  <c:v>-29447.64</c:v>
                </c:pt>
                <c:pt idx="12">
                  <c:v>-30867.33</c:v>
                </c:pt>
                <c:pt idx="13">
                  <c:v>-32496.690000000002</c:v>
                </c:pt>
                <c:pt idx="14">
                  <c:v>-34639.159999999996</c:v>
                </c:pt>
                <c:pt idx="15">
                  <c:v>-19939.28</c:v>
                </c:pt>
                <c:pt idx="16">
                  <c:v>-20661.89</c:v>
                </c:pt>
                <c:pt idx="17">
                  <c:v>-48697.979999999989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A-4635-B1CA-B2C711B2F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23136"/>
        <c:axId val="236702368"/>
      </c:scatterChart>
      <c:valAx>
        <c:axId val="8915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02368"/>
        <c:crosses val="autoZero"/>
        <c:crossBetween val="midCat"/>
      </c:valAx>
      <c:valAx>
        <c:axId val="2367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table (4)'!$B$1</c:f>
              <c:strCache>
                <c:ptCount val="1"/>
                <c:pt idx="0">
                  <c:v>Global Temperature No_Smoothing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table (4)'!$A$2:$A$19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'Master table (4)'!$B$2:$B$19</c:f>
              <c:numCache>
                <c:formatCode>General</c:formatCode>
                <c:ptCount val="18"/>
                <c:pt idx="0">
                  <c:v>0.63</c:v>
                </c:pt>
                <c:pt idx="1">
                  <c:v>0.62</c:v>
                </c:pt>
                <c:pt idx="2">
                  <c:v>0.54</c:v>
                </c:pt>
                <c:pt idx="3">
                  <c:v>0.68</c:v>
                </c:pt>
                <c:pt idx="4">
                  <c:v>0.64</c:v>
                </c:pt>
                <c:pt idx="5">
                  <c:v>0.66</c:v>
                </c:pt>
                <c:pt idx="6">
                  <c:v>0.54</c:v>
                </c:pt>
                <c:pt idx="7">
                  <c:v>0.66</c:v>
                </c:pt>
                <c:pt idx="8">
                  <c:v>0.73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0.75</c:v>
                </c:pt>
                <c:pt idx="13">
                  <c:v>0.9</c:v>
                </c:pt>
                <c:pt idx="14">
                  <c:v>1.02</c:v>
                </c:pt>
                <c:pt idx="15">
                  <c:v>0.92</c:v>
                </c:pt>
                <c:pt idx="16">
                  <c:v>0.85</c:v>
                </c:pt>
                <c:pt idx="17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8-4531-B623-9FAE7924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440"/>
        <c:axId val="915883072"/>
      </c:scatterChart>
      <c:valAx>
        <c:axId val="175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83072"/>
        <c:crosses val="autoZero"/>
        <c:crossBetween val="midCat"/>
      </c:valAx>
      <c:valAx>
        <c:axId val="9158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Global Temperature vs CO2 AVG.
PPM of Global Warming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'Scatter Global Temp-CO2'!ScatterX_36C4B</c:f>
              <c:numCache>
                <c:formatCode>General</c:formatCode>
                <c:ptCount val="18"/>
                <c:pt idx="0">
                  <c:v>373.27916666666664</c:v>
                </c:pt>
                <c:pt idx="1">
                  <c:v>375.80250000000001</c:v>
                </c:pt>
                <c:pt idx="2">
                  <c:v>377.52250000000004</c:v>
                </c:pt>
                <c:pt idx="3">
                  <c:v>379.79583333333329</c:v>
                </c:pt>
                <c:pt idx="4">
                  <c:v>381.89666666666659</c:v>
                </c:pt>
                <c:pt idx="5">
                  <c:v>383.79083333333324</c:v>
                </c:pt>
                <c:pt idx="6">
                  <c:v>385.6033333333333</c:v>
                </c:pt>
                <c:pt idx="7">
                  <c:v>387.43</c:v>
                </c:pt>
                <c:pt idx="8">
                  <c:v>389.89916666666664</c:v>
                </c:pt>
                <c:pt idx="9">
                  <c:v>391.65249999999997</c:v>
                </c:pt>
                <c:pt idx="10">
                  <c:v>393.85333333333341</c:v>
                </c:pt>
                <c:pt idx="11">
                  <c:v>396.52083333333331</c:v>
                </c:pt>
                <c:pt idx="12">
                  <c:v>398.64749999999998</c:v>
                </c:pt>
                <c:pt idx="13">
                  <c:v>400.8341666666667</c:v>
                </c:pt>
                <c:pt idx="14">
                  <c:v>404.23916666666668</c:v>
                </c:pt>
                <c:pt idx="15">
                  <c:v>406.55333333333334</c:v>
                </c:pt>
                <c:pt idx="16">
                  <c:v>408.5216666666667</c:v>
                </c:pt>
                <c:pt idx="17">
                  <c:v>411.43916666666672</c:v>
                </c:pt>
              </c:numCache>
            </c:numRef>
          </c:xVal>
          <c:yVal>
            <c:numRef>
              <c:f>'Scatter Global Temp-CO2'!ScatterY_36C4B</c:f>
              <c:numCache>
                <c:formatCode>General</c:formatCode>
                <c:ptCount val="18"/>
                <c:pt idx="0">
                  <c:v>0.63</c:v>
                </c:pt>
                <c:pt idx="1">
                  <c:v>0.62</c:v>
                </c:pt>
                <c:pt idx="2">
                  <c:v>0.54</c:v>
                </c:pt>
                <c:pt idx="3">
                  <c:v>0.68</c:v>
                </c:pt>
                <c:pt idx="4">
                  <c:v>0.64</c:v>
                </c:pt>
                <c:pt idx="5">
                  <c:v>0.66</c:v>
                </c:pt>
                <c:pt idx="6">
                  <c:v>0.54</c:v>
                </c:pt>
                <c:pt idx="7">
                  <c:v>0.66</c:v>
                </c:pt>
                <c:pt idx="8">
                  <c:v>0.73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0.75</c:v>
                </c:pt>
                <c:pt idx="13">
                  <c:v>0.9</c:v>
                </c:pt>
                <c:pt idx="14">
                  <c:v>1.02</c:v>
                </c:pt>
                <c:pt idx="15">
                  <c:v>0.92</c:v>
                </c:pt>
                <c:pt idx="16">
                  <c:v>0.85</c:v>
                </c:pt>
                <c:pt idx="17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0-49FA-8E24-5E81437E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324544"/>
        <c:axId val="235925168"/>
      </c:scatterChart>
      <c:valAx>
        <c:axId val="15783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CO2 AVG.
PPM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35925168"/>
        <c:crosses val="autoZero"/>
        <c:crossBetween val="midCat"/>
      </c:valAx>
      <c:valAx>
        <c:axId val="23592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Global Temperature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578324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GMSL vs Global Temperature of Global Warming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'Scatter GMSL-GT'!ScatterX_9EDA6</c:f>
              <c:numCache>
                <c:formatCode>General</c:formatCode>
                <c:ptCount val="18"/>
                <c:pt idx="0">
                  <c:v>0.63</c:v>
                </c:pt>
                <c:pt idx="1">
                  <c:v>0.62</c:v>
                </c:pt>
                <c:pt idx="2">
                  <c:v>0.54</c:v>
                </c:pt>
                <c:pt idx="3">
                  <c:v>0.68</c:v>
                </c:pt>
                <c:pt idx="4">
                  <c:v>0.64</c:v>
                </c:pt>
                <c:pt idx="5">
                  <c:v>0.66</c:v>
                </c:pt>
                <c:pt idx="6">
                  <c:v>0.54</c:v>
                </c:pt>
                <c:pt idx="7">
                  <c:v>0.66</c:v>
                </c:pt>
                <c:pt idx="8">
                  <c:v>0.73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0.75</c:v>
                </c:pt>
                <c:pt idx="13">
                  <c:v>0.9</c:v>
                </c:pt>
                <c:pt idx="14">
                  <c:v>1.02</c:v>
                </c:pt>
                <c:pt idx="15">
                  <c:v>0.92</c:v>
                </c:pt>
                <c:pt idx="16">
                  <c:v>0.85</c:v>
                </c:pt>
                <c:pt idx="17">
                  <c:v>0.98</c:v>
                </c:pt>
              </c:numCache>
            </c:numRef>
          </c:xVal>
          <c:yVal>
            <c:numRef>
              <c:f>'Scatter GMSL-GT'!ScatterY_9EDA6</c:f>
              <c:numCache>
                <c:formatCode>General</c:formatCode>
                <c:ptCount val="18"/>
                <c:pt idx="0">
                  <c:v>-9.3055555555555571</c:v>
                </c:pt>
                <c:pt idx="1">
                  <c:v>-6.1851351351351385</c:v>
                </c:pt>
                <c:pt idx="2">
                  <c:v>-4.3491891891891905</c:v>
                </c:pt>
                <c:pt idx="3">
                  <c:v>0.10189189189189128</c:v>
                </c:pt>
                <c:pt idx="4">
                  <c:v>1.1002777777777781</c:v>
                </c:pt>
                <c:pt idx="5">
                  <c:v>1.726756756756757</c:v>
                </c:pt>
                <c:pt idx="6">
                  <c:v>4.2041666666666666</c:v>
                </c:pt>
                <c:pt idx="7">
                  <c:v>8.9756756756756744</c:v>
                </c:pt>
                <c:pt idx="8">
                  <c:v>10.118108108108107</c:v>
                </c:pt>
                <c:pt idx="9">
                  <c:v>9.0937837837837829</c:v>
                </c:pt>
                <c:pt idx="10">
                  <c:v>19.72675675675676</c:v>
                </c:pt>
                <c:pt idx="11">
                  <c:v>22.030810810810813</c:v>
                </c:pt>
                <c:pt idx="12">
                  <c:v>25.296666666666667</c:v>
                </c:pt>
                <c:pt idx="13">
                  <c:v>35.601891891891889</c:v>
                </c:pt>
                <c:pt idx="14">
                  <c:v>38.281351351351347</c:v>
                </c:pt>
                <c:pt idx="15">
                  <c:v>39.385675675675678</c:v>
                </c:pt>
                <c:pt idx="16">
                  <c:v>42.814864864864852</c:v>
                </c:pt>
                <c:pt idx="17">
                  <c:v>48.599354838709679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A-4638-915B-4C653B731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27824"/>
        <c:axId val="236718592"/>
      </c:scatterChart>
      <c:valAx>
        <c:axId val="88242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Global Temperature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36718592"/>
        <c:crosses val="autoZero"/>
        <c:crossBetween val="midCat"/>
      </c:valAx>
      <c:valAx>
        <c:axId val="23671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GMLS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882427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Antarctic mass (Gigatonnes) vs Global Temperature No_Smoothing of Global Warming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'Scatter Green-GT'!ScatterX_211C0</c:f>
              <c:numCache>
                <c:formatCode>General</c:formatCode>
                <c:ptCount val="18"/>
                <c:pt idx="0">
                  <c:v>0.63</c:v>
                </c:pt>
                <c:pt idx="1">
                  <c:v>0.62</c:v>
                </c:pt>
                <c:pt idx="2">
                  <c:v>0.54</c:v>
                </c:pt>
                <c:pt idx="3">
                  <c:v>0.68</c:v>
                </c:pt>
                <c:pt idx="4">
                  <c:v>0.64</c:v>
                </c:pt>
                <c:pt idx="5">
                  <c:v>0.66</c:v>
                </c:pt>
                <c:pt idx="6">
                  <c:v>0.54</c:v>
                </c:pt>
                <c:pt idx="7">
                  <c:v>0.66</c:v>
                </c:pt>
                <c:pt idx="8">
                  <c:v>0.73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0.75</c:v>
                </c:pt>
                <c:pt idx="13">
                  <c:v>0.9</c:v>
                </c:pt>
                <c:pt idx="14">
                  <c:v>1.02</c:v>
                </c:pt>
                <c:pt idx="15">
                  <c:v>0.92</c:v>
                </c:pt>
                <c:pt idx="16">
                  <c:v>0.85</c:v>
                </c:pt>
                <c:pt idx="17">
                  <c:v>0.98</c:v>
                </c:pt>
              </c:numCache>
            </c:numRef>
          </c:xVal>
          <c:yVal>
            <c:numRef>
              <c:f>'Scatter Green-GT'!ScatterY_211C0</c:f>
              <c:numCache>
                <c:formatCode>General</c:formatCode>
                <c:ptCount val="18"/>
                <c:pt idx="0">
                  <c:v>-50.300000000000011</c:v>
                </c:pt>
                <c:pt idx="1">
                  <c:v>-1277.53</c:v>
                </c:pt>
                <c:pt idx="2">
                  <c:v>-3162.3000000000006</c:v>
                </c:pt>
                <c:pt idx="3">
                  <c:v>-2761.06</c:v>
                </c:pt>
                <c:pt idx="4">
                  <c:v>-1571.7900000000002</c:v>
                </c:pt>
                <c:pt idx="5">
                  <c:v>-3814.65</c:v>
                </c:pt>
                <c:pt idx="6">
                  <c:v>-7061.47</c:v>
                </c:pt>
                <c:pt idx="7">
                  <c:v>-6759.2400000000007</c:v>
                </c:pt>
                <c:pt idx="8">
                  <c:v>-10103.69</c:v>
                </c:pt>
                <c:pt idx="9">
                  <c:v>-8462.7199999999993</c:v>
                </c:pt>
                <c:pt idx="10">
                  <c:v>-11827.879999999997</c:v>
                </c:pt>
                <c:pt idx="11">
                  <c:v>-11569.53</c:v>
                </c:pt>
                <c:pt idx="12">
                  <c:v>-13464.210000000001</c:v>
                </c:pt>
                <c:pt idx="13">
                  <c:v>-16632.559999999998</c:v>
                </c:pt>
                <c:pt idx="14">
                  <c:v>-15924.32</c:v>
                </c:pt>
                <c:pt idx="15">
                  <c:v>-9012.2599999999984</c:v>
                </c:pt>
                <c:pt idx="16">
                  <c:v>-10750.08</c:v>
                </c:pt>
                <c:pt idx="17">
                  <c:v>-24819.050000000003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C-403A-9331-B237CF23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3168"/>
        <c:axId val="39393504"/>
      </c:scatterChart>
      <c:valAx>
        <c:axId val="2397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Global Temperature No_Smoothing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9393504"/>
        <c:crosses val="autoZero"/>
        <c:crossBetween val="midCat"/>
      </c:valAx>
      <c:valAx>
        <c:axId val="3939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Antarctic mass (Gigatonnes)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3973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Greenland mass (Gigatonnes) vs Global Temperature of Global Warming</a:t>
            </a:r>
          </a:p>
        </c:rich>
      </c:tx>
      <c:layout>
        <c:manualLayout>
          <c:xMode val="edge"/>
          <c:yMode val="edge"/>
          <c:x val="0.12849336924989641"/>
          <c:y val="2.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'Scatter Green-GT'!ScatterX_14D84</c:f>
              <c:numCache>
                <c:formatCode>General</c:formatCode>
                <c:ptCount val="18"/>
                <c:pt idx="0">
                  <c:v>0.63</c:v>
                </c:pt>
                <c:pt idx="1">
                  <c:v>0.62</c:v>
                </c:pt>
                <c:pt idx="2">
                  <c:v>0.54</c:v>
                </c:pt>
                <c:pt idx="3">
                  <c:v>0.68</c:v>
                </c:pt>
                <c:pt idx="4">
                  <c:v>0.64</c:v>
                </c:pt>
                <c:pt idx="5">
                  <c:v>0.66</c:v>
                </c:pt>
                <c:pt idx="6">
                  <c:v>0.54</c:v>
                </c:pt>
                <c:pt idx="7">
                  <c:v>0.66</c:v>
                </c:pt>
                <c:pt idx="8">
                  <c:v>0.73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0.75</c:v>
                </c:pt>
                <c:pt idx="13">
                  <c:v>0.9</c:v>
                </c:pt>
                <c:pt idx="14">
                  <c:v>1.02</c:v>
                </c:pt>
                <c:pt idx="15">
                  <c:v>0.92</c:v>
                </c:pt>
                <c:pt idx="16">
                  <c:v>0.85</c:v>
                </c:pt>
                <c:pt idx="17">
                  <c:v>0.98</c:v>
                </c:pt>
              </c:numCache>
            </c:numRef>
          </c:xVal>
          <c:yVal>
            <c:numRef>
              <c:f>'Scatter Green-GT'!ScatterY_14D84</c:f>
              <c:numCache>
                <c:formatCode>General</c:formatCode>
                <c:ptCount val="18"/>
                <c:pt idx="0">
                  <c:v>-1002.56</c:v>
                </c:pt>
                <c:pt idx="1">
                  <c:v>-2564.67</c:v>
                </c:pt>
                <c:pt idx="2">
                  <c:v>-5395.6200000000008</c:v>
                </c:pt>
                <c:pt idx="3">
                  <c:v>-7940.62</c:v>
                </c:pt>
                <c:pt idx="4">
                  <c:v>-11051.73</c:v>
                </c:pt>
                <c:pt idx="5">
                  <c:v>-14345.630000000001</c:v>
                </c:pt>
                <c:pt idx="6">
                  <c:v>-17527.490000000002</c:v>
                </c:pt>
                <c:pt idx="7">
                  <c:v>-20242.59</c:v>
                </c:pt>
                <c:pt idx="8">
                  <c:v>-24805.35</c:v>
                </c:pt>
                <c:pt idx="9">
                  <c:v>-22789.21</c:v>
                </c:pt>
                <c:pt idx="10">
                  <c:v>-32174.720000000001</c:v>
                </c:pt>
                <c:pt idx="11">
                  <c:v>-29447.64</c:v>
                </c:pt>
                <c:pt idx="12">
                  <c:v>-30867.33</c:v>
                </c:pt>
                <c:pt idx="13">
                  <c:v>-32496.690000000002</c:v>
                </c:pt>
                <c:pt idx="14">
                  <c:v>-34639.159999999996</c:v>
                </c:pt>
                <c:pt idx="15">
                  <c:v>-19939.28</c:v>
                </c:pt>
                <c:pt idx="16">
                  <c:v>-20661.89</c:v>
                </c:pt>
                <c:pt idx="17">
                  <c:v>-48697.979999999989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7-4A01-9031-CC0C2E36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7168"/>
        <c:axId val="39389760"/>
      </c:scatterChart>
      <c:valAx>
        <c:axId val="2399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Global Temperature No_Smoothing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9389760"/>
        <c:crosses val="autoZero"/>
        <c:crossBetween val="midCat"/>
      </c:valAx>
      <c:valAx>
        <c:axId val="3938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Greenland mass (Gigatonnes) / Global Warming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3997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554830</xdr:colOff>
      <xdr:row>1</xdr:row>
      <xdr:rowOff>133350</xdr:rowOff>
    </xdr:from>
    <xdr:to>
      <xdr:col>20</xdr:col>
      <xdr:colOff>592930</xdr:colOff>
      <xdr:row>16</xdr:row>
      <xdr:rowOff>157162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F252395-3509-4204-A1FF-BE4D732B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140493</xdr:colOff>
      <xdr:row>25</xdr:row>
      <xdr:rowOff>128593</xdr:rowOff>
    </xdr:from>
    <xdr:to>
      <xdr:col>22</xdr:col>
      <xdr:colOff>178593</xdr:colOff>
      <xdr:row>40</xdr:row>
      <xdr:rowOff>157168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700AFC-5F2E-4054-9971-4B9DF28B0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316705</xdr:colOff>
      <xdr:row>1</xdr:row>
      <xdr:rowOff>76205</xdr:rowOff>
    </xdr:from>
    <xdr:to>
      <xdr:col>13</xdr:col>
      <xdr:colOff>326230</xdr:colOff>
      <xdr:row>16</xdr:row>
      <xdr:rowOff>104780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57A951-9FD3-49D7-B925-0D910EA2A185}"/>
            </a:ext>
            <a:ext uri="{147F2762-F138-4A5C-976F-8EAC2B608ADB}">
              <a16:predDERef xmlns:a16="http://schemas.microsoft.com/office/drawing/2014/main" pred="{B1700AFC-5F2E-4054-9971-4B9DF28B0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426242</xdr:colOff>
      <xdr:row>33</xdr:row>
      <xdr:rowOff>9531</xdr:rowOff>
    </xdr:from>
    <xdr:to>
      <xdr:col>13</xdr:col>
      <xdr:colOff>435767</xdr:colOff>
      <xdr:row>48</xdr:row>
      <xdr:rowOff>28581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559174DB-2D52-4DC0-A5E7-D3B6E3D8EDBC}"/>
            </a:ext>
            <a:ext uri="{147F2762-F138-4A5C-976F-8EAC2B608ADB}">
              <a16:predDERef xmlns:a16="http://schemas.microsoft.com/office/drawing/2014/main" pred="{8B57A951-9FD3-49D7-B925-0D910EA2A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283367</xdr:colOff>
      <xdr:row>17</xdr:row>
      <xdr:rowOff>6</xdr:rowOff>
    </xdr:from>
    <xdr:to>
      <xdr:col>13</xdr:col>
      <xdr:colOff>321467</xdr:colOff>
      <xdr:row>32</xdr:row>
      <xdr:rowOff>19056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8B10CE63-7BE4-449C-B82C-6D8745314E06}"/>
            </a:ext>
            <a:ext uri="{147F2762-F138-4A5C-976F-8EAC2B608ADB}">
              <a16:predDERef xmlns:a16="http://schemas.microsoft.com/office/drawing/2014/main" pred="{559174DB-2D52-4DC0-A5E7-D3B6E3D8E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6</xdr:row>
      <xdr:rowOff>0</xdr:rowOff>
    </xdr:from>
    <xdr:to>
      <xdr:col>5</xdr:col>
      <xdr:colOff>338137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D5568-0CC0-403C-9DF7-6E272BA32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2" name="gwm_17233          ">
          <a:extLst xmlns:a="http://schemas.openxmlformats.org/drawingml/2006/main">
            <a:ext uri="{FF2B5EF4-FFF2-40B4-BE49-F238E27FC236}">
              <a16:creationId xmlns:a16="http://schemas.microsoft.com/office/drawing/2014/main" id="{A14BD4B6-CEB9-4824-89FD-BFE0F47E9169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3" name="gwm_17233         ">
          <a:extLst xmlns:a="http://schemas.openxmlformats.org/drawingml/2006/main">
            <a:ext uri="{FF2B5EF4-FFF2-40B4-BE49-F238E27FC236}">
              <a16:creationId xmlns:a16="http://schemas.microsoft.com/office/drawing/2014/main" id="{307487E3-8CA8-450A-87A5-38FEDE01140B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4" name="gwm_17233        ">
          <a:extLst xmlns:a="http://schemas.openxmlformats.org/drawingml/2006/main">
            <a:ext uri="{FF2B5EF4-FFF2-40B4-BE49-F238E27FC236}">
              <a16:creationId xmlns:a16="http://schemas.microsoft.com/office/drawing/2014/main" id="{116221E1-1EDB-4D59-8496-278D88817E34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5" name="gwm_17233       ">
          <a:extLst xmlns:a="http://schemas.openxmlformats.org/drawingml/2006/main">
            <a:ext uri="{FF2B5EF4-FFF2-40B4-BE49-F238E27FC236}">
              <a16:creationId xmlns:a16="http://schemas.microsoft.com/office/drawing/2014/main" id="{03D6D028-C241-4660-A010-1947874A7974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6" name="gwm_17233      ">
          <a:extLst xmlns:a="http://schemas.openxmlformats.org/drawingml/2006/main">
            <a:ext uri="{FF2B5EF4-FFF2-40B4-BE49-F238E27FC236}">
              <a16:creationId xmlns:a16="http://schemas.microsoft.com/office/drawing/2014/main" id="{3CF2DCC2-94BB-4175-B6BD-6D24DF6F02A2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7" name="gwm_17233     ">
          <a:extLst xmlns:a="http://schemas.openxmlformats.org/drawingml/2006/main">
            <a:ext uri="{FF2B5EF4-FFF2-40B4-BE49-F238E27FC236}">
              <a16:creationId xmlns:a16="http://schemas.microsoft.com/office/drawing/2014/main" id="{029BCF8A-976A-4746-BA14-D259F9BDA01E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8" name="gwm_17233    ">
          <a:extLst xmlns:a="http://schemas.openxmlformats.org/drawingml/2006/main">
            <a:ext uri="{FF2B5EF4-FFF2-40B4-BE49-F238E27FC236}">
              <a16:creationId xmlns:a16="http://schemas.microsoft.com/office/drawing/2014/main" id="{2C38B3A0-97C5-4929-BB28-15FE8641643A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9" name="gwm_17233   ">
          <a:extLst xmlns:a="http://schemas.openxmlformats.org/drawingml/2006/main">
            <a:ext uri="{FF2B5EF4-FFF2-40B4-BE49-F238E27FC236}">
              <a16:creationId xmlns:a16="http://schemas.microsoft.com/office/drawing/2014/main" id="{48CBB1D3-43B3-43B6-8BB5-364CF5D33B07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10" name="gwm_17233  ">
          <a:extLst xmlns:a="http://schemas.openxmlformats.org/drawingml/2006/main">
            <a:ext uri="{FF2B5EF4-FFF2-40B4-BE49-F238E27FC236}">
              <a16:creationId xmlns:a16="http://schemas.microsoft.com/office/drawing/2014/main" id="{3B9F260A-15DA-41AB-9182-0EFCC0FC3F75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11" name="gwm_17233 ">
          <a:extLst xmlns:a="http://schemas.openxmlformats.org/drawingml/2006/main">
            <a:ext uri="{FF2B5EF4-FFF2-40B4-BE49-F238E27FC236}">
              <a16:creationId xmlns:a16="http://schemas.microsoft.com/office/drawing/2014/main" id="{4E891837-F7E0-4EC3-BB0E-2D7B67F7CFC9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6</xdr:row>
      <xdr:rowOff>0</xdr:rowOff>
    </xdr:from>
    <xdr:to>
      <xdr:col>5</xdr:col>
      <xdr:colOff>338137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E507C-534D-42F4-919E-5A790C524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</xdr:colOff>
      <xdr:row>25</xdr:row>
      <xdr:rowOff>0</xdr:rowOff>
    </xdr:from>
    <xdr:to>
      <xdr:col>5</xdr:col>
      <xdr:colOff>338137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0D606-C2BB-4824-8171-262680359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2" name="gwm_15873          ">
          <a:extLst xmlns:a="http://schemas.openxmlformats.org/drawingml/2006/main">
            <a:ext uri="{FF2B5EF4-FFF2-40B4-BE49-F238E27FC236}">
              <a16:creationId xmlns:a16="http://schemas.microsoft.com/office/drawing/2014/main" id="{65EDC4D8-AEE6-4622-A1F2-6C0BA4D883AF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3" name="gwm_15873         ">
          <a:extLst xmlns:a="http://schemas.openxmlformats.org/drawingml/2006/main">
            <a:ext uri="{FF2B5EF4-FFF2-40B4-BE49-F238E27FC236}">
              <a16:creationId xmlns:a16="http://schemas.microsoft.com/office/drawing/2014/main" id="{DBB79DC2-F0A2-43DF-9CA0-70AA07E8EA5C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4" name="gwm_15873        ">
          <a:extLst xmlns:a="http://schemas.openxmlformats.org/drawingml/2006/main">
            <a:ext uri="{FF2B5EF4-FFF2-40B4-BE49-F238E27FC236}">
              <a16:creationId xmlns:a16="http://schemas.microsoft.com/office/drawing/2014/main" id="{FCE8AA0B-4B31-48D3-A357-C0C15BC88BC8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5" name="gwm_15873       ">
          <a:extLst xmlns:a="http://schemas.openxmlformats.org/drawingml/2006/main">
            <a:ext uri="{FF2B5EF4-FFF2-40B4-BE49-F238E27FC236}">
              <a16:creationId xmlns:a16="http://schemas.microsoft.com/office/drawing/2014/main" id="{351F6759-7A61-4F46-90B0-4275D923B31F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6" name="gwm_15873      ">
          <a:extLst xmlns:a="http://schemas.openxmlformats.org/drawingml/2006/main">
            <a:ext uri="{FF2B5EF4-FFF2-40B4-BE49-F238E27FC236}">
              <a16:creationId xmlns:a16="http://schemas.microsoft.com/office/drawing/2014/main" id="{73588CF4-FADB-4A3A-B0CE-0C76ADA73E0E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7" name="gwm_15873     ">
          <a:extLst xmlns:a="http://schemas.openxmlformats.org/drawingml/2006/main">
            <a:ext uri="{FF2B5EF4-FFF2-40B4-BE49-F238E27FC236}">
              <a16:creationId xmlns:a16="http://schemas.microsoft.com/office/drawing/2014/main" id="{959B7AA6-EB69-47F3-83DE-BD61A2DCA9DD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8" name="gwm_15873    ">
          <a:extLst xmlns:a="http://schemas.openxmlformats.org/drawingml/2006/main">
            <a:ext uri="{FF2B5EF4-FFF2-40B4-BE49-F238E27FC236}">
              <a16:creationId xmlns:a16="http://schemas.microsoft.com/office/drawing/2014/main" id="{60581602-E765-4708-B9DF-444E647D3773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9" name="gwm_15873   ">
          <a:extLst xmlns:a="http://schemas.openxmlformats.org/drawingml/2006/main">
            <a:ext uri="{FF2B5EF4-FFF2-40B4-BE49-F238E27FC236}">
              <a16:creationId xmlns:a16="http://schemas.microsoft.com/office/drawing/2014/main" id="{F574E858-EB2A-4359-845A-4F66F30BD2E8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10" name="gwm_15873  ">
          <a:extLst xmlns:a="http://schemas.openxmlformats.org/drawingml/2006/main">
            <a:ext uri="{FF2B5EF4-FFF2-40B4-BE49-F238E27FC236}">
              <a16:creationId xmlns:a16="http://schemas.microsoft.com/office/drawing/2014/main" id="{C34DE50B-8568-4807-BD1C-68CA79B4C93E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11" name="gwm_15873 ">
          <a:extLst xmlns:a="http://schemas.openxmlformats.org/drawingml/2006/main">
            <a:ext uri="{FF2B5EF4-FFF2-40B4-BE49-F238E27FC236}">
              <a16:creationId xmlns:a16="http://schemas.microsoft.com/office/drawing/2014/main" id="{BDA4E4C5-6B7A-466B-9F8D-B3D93EB01F2A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2" name="gwm_3247          ">
          <a:extLst xmlns:a="http://schemas.openxmlformats.org/drawingml/2006/main">
            <a:ext uri="{FF2B5EF4-FFF2-40B4-BE49-F238E27FC236}">
              <a16:creationId xmlns:a16="http://schemas.microsoft.com/office/drawing/2014/main" id="{27FB8A20-1F99-409B-A282-A47E3C695D3D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3" name="gwm_3247         ">
          <a:extLst xmlns:a="http://schemas.openxmlformats.org/drawingml/2006/main">
            <a:ext uri="{FF2B5EF4-FFF2-40B4-BE49-F238E27FC236}">
              <a16:creationId xmlns:a16="http://schemas.microsoft.com/office/drawing/2014/main" id="{EBB7708A-3FF6-4AE6-BAB9-E4B37A159370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4" name="gwm_3247        ">
          <a:extLst xmlns:a="http://schemas.openxmlformats.org/drawingml/2006/main">
            <a:ext uri="{FF2B5EF4-FFF2-40B4-BE49-F238E27FC236}">
              <a16:creationId xmlns:a16="http://schemas.microsoft.com/office/drawing/2014/main" id="{5B649E30-33A8-4D05-BB35-796595041760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5" name="gwm_3247       ">
          <a:extLst xmlns:a="http://schemas.openxmlformats.org/drawingml/2006/main">
            <a:ext uri="{FF2B5EF4-FFF2-40B4-BE49-F238E27FC236}">
              <a16:creationId xmlns:a16="http://schemas.microsoft.com/office/drawing/2014/main" id="{B06C4FBA-61C1-4FDC-8E68-56609C84E75B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6" name="gwm_3247      ">
          <a:extLst xmlns:a="http://schemas.openxmlformats.org/drawingml/2006/main">
            <a:ext uri="{FF2B5EF4-FFF2-40B4-BE49-F238E27FC236}">
              <a16:creationId xmlns:a16="http://schemas.microsoft.com/office/drawing/2014/main" id="{17F8F038-D5FB-4C41-8940-6F65E28CEF66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7" name="gwm_3247     ">
          <a:extLst xmlns:a="http://schemas.openxmlformats.org/drawingml/2006/main">
            <a:ext uri="{FF2B5EF4-FFF2-40B4-BE49-F238E27FC236}">
              <a16:creationId xmlns:a16="http://schemas.microsoft.com/office/drawing/2014/main" id="{B87FF91A-15C6-4A3E-BDB4-C777317E5504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8" name="gwm_3247    ">
          <a:extLst xmlns:a="http://schemas.openxmlformats.org/drawingml/2006/main">
            <a:ext uri="{FF2B5EF4-FFF2-40B4-BE49-F238E27FC236}">
              <a16:creationId xmlns:a16="http://schemas.microsoft.com/office/drawing/2014/main" id="{C5A64C18-798B-4165-9BE7-FE2E179ED21D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9" name="gwm_3247   ">
          <a:extLst xmlns:a="http://schemas.openxmlformats.org/drawingml/2006/main">
            <a:ext uri="{FF2B5EF4-FFF2-40B4-BE49-F238E27FC236}">
              <a16:creationId xmlns:a16="http://schemas.microsoft.com/office/drawing/2014/main" id="{B4478420-82F6-47AB-AD86-6598827D71E9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10" name="gwm_3247  ">
          <a:extLst xmlns:a="http://schemas.openxmlformats.org/drawingml/2006/main">
            <a:ext uri="{FF2B5EF4-FFF2-40B4-BE49-F238E27FC236}">
              <a16:creationId xmlns:a16="http://schemas.microsoft.com/office/drawing/2014/main" id="{EC5DBEDE-37D3-4240-800B-37149CBE228B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11" name="gwm_3247 ">
          <a:extLst xmlns:a="http://schemas.openxmlformats.org/drawingml/2006/main">
            <a:ext uri="{FF2B5EF4-FFF2-40B4-BE49-F238E27FC236}">
              <a16:creationId xmlns:a16="http://schemas.microsoft.com/office/drawing/2014/main" id="{4F0B877C-4495-4B3E-9673-7984CF678F27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6</xdr:row>
      <xdr:rowOff>0</xdr:rowOff>
    </xdr:from>
    <xdr:to>
      <xdr:col>5</xdr:col>
      <xdr:colOff>338137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38E0D-4045-4301-82CB-022CFF55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2" name="gwm_16274          ">
          <a:extLst xmlns:a="http://schemas.openxmlformats.org/drawingml/2006/main">
            <a:ext uri="{FF2B5EF4-FFF2-40B4-BE49-F238E27FC236}">
              <a16:creationId xmlns:a16="http://schemas.microsoft.com/office/drawing/2014/main" id="{5108F8C6-79AD-4AEA-9DEF-0B1639ABD727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3" name="gwm_16274         ">
          <a:extLst xmlns:a="http://schemas.openxmlformats.org/drawingml/2006/main">
            <a:ext uri="{FF2B5EF4-FFF2-40B4-BE49-F238E27FC236}">
              <a16:creationId xmlns:a16="http://schemas.microsoft.com/office/drawing/2014/main" id="{1DB31AB8-7B40-4B63-B6B2-928011C52A95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4" name="gwm_16274        ">
          <a:extLst xmlns:a="http://schemas.openxmlformats.org/drawingml/2006/main">
            <a:ext uri="{FF2B5EF4-FFF2-40B4-BE49-F238E27FC236}">
              <a16:creationId xmlns:a16="http://schemas.microsoft.com/office/drawing/2014/main" id="{3F159968-A697-4217-8150-582E07351AC1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5" name="gwm_16274       ">
          <a:extLst xmlns:a="http://schemas.openxmlformats.org/drawingml/2006/main">
            <a:ext uri="{FF2B5EF4-FFF2-40B4-BE49-F238E27FC236}">
              <a16:creationId xmlns:a16="http://schemas.microsoft.com/office/drawing/2014/main" id="{C200465B-719A-4AB4-B1A4-ECF38F04C15D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6" name="gwm_16274      ">
          <a:extLst xmlns:a="http://schemas.openxmlformats.org/drawingml/2006/main">
            <a:ext uri="{FF2B5EF4-FFF2-40B4-BE49-F238E27FC236}">
              <a16:creationId xmlns:a16="http://schemas.microsoft.com/office/drawing/2014/main" id="{E255EF96-FBDE-4BE5-953D-D729CC87ED3B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7" name="gwm_16274     ">
          <a:extLst xmlns:a="http://schemas.openxmlformats.org/drawingml/2006/main">
            <a:ext uri="{FF2B5EF4-FFF2-40B4-BE49-F238E27FC236}">
              <a16:creationId xmlns:a16="http://schemas.microsoft.com/office/drawing/2014/main" id="{4DF6BDBE-C110-4CD0-B39E-77B48B6F52F7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8" name="gwm_16274    ">
          <a:extLst xmlns:a="http://schemas.openxmlformats.org/drawingml/2006/main">
            <a:ext uri="{FF2B5EF4-FFF2-40B4-BE49-F238E27FC236}">
              <a16:creationId xmlns:a16="http://schemas.microsoft.com/office/drawing/2014/main" id="{66DA7520-2D1B-41BE-B1E9-055FE6B68911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9" name="gwm_16274   ">
          <a:extLst xmlns:a="http://schemas.openxmlformats.org/drawingml/2006/main">
            <a:ext uri="{FF2B5EF4-FFF2-40B4-BE49-F238E27FC236}">
              <a16:creationId xmlns:a16="http://schemas.microsoft.com/office/drawing/2014/main" id="{8DDF02CD-CFF7-4C8D-9B28-4F23015CCE65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10" name="gwm_16274  ">
          <a:extLst xmlns:a="http://schemas.openxmlformats.org/drawingml/2006/main">
            <a:ext uri="{FF2B5EF4-FFF2-40B4-BE49-F238E27FC236}">
              <a16:creationId xmlns:a16="http://schemas.microsoft.com/office/drawing/2014/main" id="{505B2839-308D-4CB7-A1B0-EBD22DEBFAB1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11" name="gwm_16274 ">
          <a:extLst xmlns:a="http://schemas.openxmlformats.org/drawingml/2006/main">
            <a:ext uri="{FF2B5EF4-FFF2-40B4-BE49-F238E27FC236}">
              <a16:creationId xmlns:a16="http://schemas.microsoft.com/office/drawing/2014/main" id="{C521508F-41F8-480B-BEA6-6762AA00FA28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6</xdr:row>
      <xdr:rowOff>0</xdr:rowOff>
    </xdr:from>
    <xdr:to>
      <xdr:col>5</xdr:col>
      <xdr:colOff>338137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070BA-75BE-46FB-8BEC-3E67644D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12700</xdr:colOff>
      <xdr:row>6</xdr:row>
      <xdr:rowOff>0</xdr:rowOff>
    </xdr:from>
    <xdr:to>
      <xdr:col>11</xdr:col>
      <xdr:colOff>338137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9AF4C-C06A-4896-B6D9-292D588B1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2" name="gwm_7020          ">
          <a:extLst xmlns:a="http://schemas.openxmlformats.org/drawingml/2006/main">
            <a:ext uri="{FF2B5EF4-FFF2-40B4-BE49-F238E27FC236}">
              <a16:creationId xmlns:a16="http://schemas.microsoft.com/office/drawing/2014/main" id="{44D73334-5709-47D6-8A6B-88CCB35B7E4F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3" name="gwm_7020         ">
          <a:extLst xmlns:a="http://schemas.openxmlformats.org/drawingml/2006/main">
            <a:ext uri="{FF2B5EF4-FFF2-40B4-BE49-F238E27FC236}">
              <a16:creationId xmlns:a16="http://schemas.microsoft.com/office/drawing/2014/main" id="{CCEFE069-E553-45A1-8318-329C1B525EEE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4" name="gwm_7020        ">
          <a:extLst xmlns:a="http://schemas.openxmlformats.org/drawingml/2006/main">
            <a:ext uri="{FF2B5EF4-FFF2-40B4-BE49-F238E27FC236}">
              <a16:creationId xmlns:a16="http://schemas.microsoft.com/office/drawing/2014/main" id="{3381A86C-BCFE-4CBA-9D00-2D71BB97CBB7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5" name="gwm_7020       ">
          <a:extLst xmlns:a="http://schemas.openxmlformats.org/drawingml/2006/main">
            <a:ext uri="{FF2B5EF4-FFF2-40B4-BE49-F238E27FC236}">
              <a16:creationId xmlns:a16="http://schemas.microsoft.com/office/drawing/2014/main" id="{6D6F280C-BF8D-4E4C-8748-C0CE8C03FF10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6" name="gwm_7020      ">
          <a:extLst xmlns:a="http://schemas.openxmlformats.org/drawingml/2006/main">
            <a:ext uri="{FF2B5EF4-FFF2-40B4-BE49-F238E27FC236}">
              <a16:creationId xmlns:a16="http://schemas.microsoft.com/office/drawing/2014/main" id="{1D48A737-573C-4DCC-A38A-6D489DFB1078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7" name="gwm_7020     ">
          <a:extLst xmlns:a="http://schemas.openxmlformats.org/drawingml/2006/main">
            <a:ext uri="{FF2B5EF4-FFF2-40B4-BE49-F238E27FC236}">
              <a16:creationId xmlns:a16="http://schemas.microsoft.com/office/drawing/2014/main" id="{30B202AD-8B4A-43EA-A2CB-CCAB4C1D0B01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8" name="gwm_7020    ">
          <a:extLst xmlns:a="http://schemas.openxmlformats.org/drawingml/2006/main">
            <a:ext uri="{FF2B5EF4-FFF2-40B4-BE49-F238E27FC236}">
              <a16:creationId xmlns:a16="http://schemas.microsoft.com/office/drawing/2014/main" id="{4EB07A04-F4C6-45FB-809C-466F098E442C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9" name="gwm_7020   ">
          <a:extLst xmlns:a="http://schemas.openxmlformats.org/drawingml/2006/main">
            <a:ext uri="{FF2B5EF4-FFF2-40B4-BE49-F238E27FC236}">
              <a16:creationId xmlns:a16="http://schemas.microsoft.com/office/drawing/2014/main" id="{1DE6D3F6-B5ED-4277-B69D-127711D9871C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10" name="gwm_7020  ">
          <a:extLst xmlns:a="http://schemas.openxmlformats.org/drawingml/2006/main">
            <a:ext uri="{FF2B5EF4-FFF2-40B4-BE49-F238E27FC236}">
              <a16:creationId xmlns:a16="http://schemas.microsoft.com/office/drawing/2014/main" id="{BE677491-420D-4752-88A8-79CAC3EDE53A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0.41688</cdr:y>
    </cdr:from>
    <cdr:to>
      <cdr:x>0.91842</cdr:x>
      <cdr:y>0.61688</cdr:y>
    </cdr:to>
    <cdr:sp macro="objClick" textlink="">
      <cdr:nvSpPr>
        <cdr:cNvPr id="11" name="gwm_7020 ">
          <a:extLst xmlns:a="http://schemas.openxmlformats.org/drawingml/2006/main">
            <a:ext uri="{FF2B5EF4-FFF2-40B4-BE49-F238E27FC236}">
              <a16:creationId xmlns:a16="http://schemas.microsoft.com/office/drawing/2014/main" id="{52B4A390-3E32-46D9-AB31-0F147614A015}"/>
            </a:ext>
          </a:extLst>
        </cdr:cNvPr>
        <cdr:cNvSpPr txBox="1"/>
      </cdr:nvSpPr>
      <cdr:spPr>
        <a:xfrm xmlns:a="http://schemas.openxmlformats.org/drawingml/2006/main">
          <a:off x="555816" y="1323594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2" name="gwm_4220          ">
          <a:extLst xmlns:a="http://schemas.openxmlformats.org/drawingml/2006/main">
            <a:ext uri="{FF2B5EF4-FFF2-40B4-BE49-F238E27FC236}">
              <a16:creationId xmlns:a16="http://schemas.microsoft.com/office/drawing/2014/main" id="{34FC52F2-506F-4726-B66E-A1E61DCE2926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3" name="gwm_4220         ">
          <a:extLst xmlns:a="http://schemas.openxmlformats.org/drawingml/2006/main">
            <a:ext uri="{FF2B5EF4-FFF2-40B4-BE49-F238E27FC236}">
              <a16:creationId xmlns:a16="http://schemas.microsoft.com/office/drawing/2014/main" id="{FE8E49EF-88C8-4683-938E-E63F11E9757B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4" name="gwm_4220        ">
          <a:extLst xmlns:a="http://schemas.openxmlformats.org/drawingml/2006/main">
            <a:ext uri="{FF2B5EF4-FFF2-40B4-BE49-F238E27FC236}">
              <a16:creationId xmlns:a16="http://schemas.microsoft.com/office/drawing/2014/main" id="{703546CB-7DDD-4222-8BB9-21662A58B72F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5" name="gwm_4220       ">
          <a:extLst xmlns:a="http://schemas.openxmlformats.org/drawingml/2006/main">
            <a:ext uri="{FF2B5EF4-FFF2-40B4-BE49-F238E27FC236}">
              <a16:creationId xmlns:a16="http://schemas.microsoft.com/office/drawing/2014/main" id="{00D250FB-95C6-4D0C-B799-7E73F1C3EFCF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6" name="gwm_4220      ">
          <a:extLst xmlns:a="http://schemas.openxmlformats.org/drawingml/2006/main">
            <a:ext uri="{FF2B5EF4-FFF2-40B4-BE49-F238E27FC236}">
              <a16:creationId xmlns:a16="http://schemas.microsoft.com/office/drawing/2014/main" id="{95918B2F-69D9-41F9-85B4-4A02845D340E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7" name="gwm_4220     ">
          <a:extLst xmlns:a="http://schemas.openxmlformats.org/drawingml/2006/main">
            <a:ext uri="{FF2B5EF4-FFF2-40B4-BE49-F238E27FC236}">
              <a16:creationId xmlns:a16="http://schemas.microsoft.com/office/drawing/2014/main" id="{D87A5386-7698-43BE-8FCB-40F16ABFB9EE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8" name="gwm_4220    ">
          <a:extLst xmlns:a="http://schemas.openxmlformats.org/drawingml/2006/main">
            <a:ext uri="{FF2B5EF4-FFF2-40B4-BE49-F238E27FC236}">
              <a16:creationId xmlns:a16="http://schemas.microsoft.com/office/drawing/2014/main" id="{87B8CB2D-732C-441A-804D-31C13CB104A3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9" name="gwm_4220   ">
          <a:extLst xmlns:a="http://schemas.openxmlformats.org/drawingml/2006/main">
            <a:ext uri="{FF2B5EF4-FFF2-40B4-BE49-F238E27FC236}">
              <a16:creationId xmlns:a16="http://schemas.microsoft.com/office/drawing/2014/main" id="{0F509EC6-DA19-4C5E-B809-51EEBC9D6F1C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10" name="gwm_4220  ">
          <a:extLst xmlns:a="http://schemas.openxmlformats.org/drawingml/2006/main">
            <a:ext uri="{FF2B5EF4-FFF2-40B4-BE49-F238E27FC236}">
              <a16:creationId xmlns:a16="http://schemas.microsoft.com/office/drawing/2014/main" id="{D448AF11-196D-44FE-B771-5AE2E92EB16D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0.44129</cdr:y>
    </cdr:from>
    <cdr:to>
      <cdr:x>0.91842</cdr:x>
      <cdr:y>0.64129</cdr:y>
    </cdr:to>
    <cdr:sp macro="objClick" textlink="">
      <cdr:nvSpPr>
        <cdr:cNvPr id="11" name="gwm_4220 ">
          <a:extLst xmlns:a="http://schemas.openxmlformats.org/drawingml/2006/main">
            <a:ext uri="{FF2B5EF4-FFF2-40B4-BE49-F238E27FC236}">
              <a16:creationId xmlns:a16="http://schemas.microsoft.com/office/drawing/2014/main" id="{5628F966-5EB3-48E3-B21C-D363B8720952}"/>
            </a:ext>
          </a:extLst>
        </cdr:cNvPr>
        <cdr:cNvSpPr txBox="1"/>
      </cdr:nvSpPr>
      <cdr:spPr>
        <a:xfrm xmlns:a="http://schemas.openxmlformats.org/drawingml/2006/main">
          <a:off x="555816" y="1401095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321469</xdr:colOff>
      <xdr:row>17</xdr:row>
      <xdr:rowOff>164305</xdr:rowOff>
    </xdr:from>
    <xdr:to>
      <xdr:col>12</xdr:col>
      <xdr:colOff>457200</xdr:colOff>
      <xdr:row>23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5F297-BBDE-4A4B-84A5-C840E29CDFF2}"/>
            </a:ext>
          </a:extLst>
        </xdr:cNvPr>
        <xdr:cNvSpPr txBox="1"/>
      </xdr:nvSpPr>
      <xdr:spPr>
        <a:xfrm>
          <a:off x="8465344" y="3231355"/>
          <a:ext cx="4636294" cy="13882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Regression between CO2 and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Global Temperature Abnomarlity.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CO2 is independent variable.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Global Temperature Abnomarlity is dependent  variable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CO2 is 0 then Global Temperature Abnomarlity  will be -3.33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unit of CO2 will increse cost 0.01.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R-square is 0.6956 that CO2 is 69.56% of cause factor for Global Temperature Abnomarlity.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821530</xdr:colOff>
      <xdr:row>18</xdr:row>
      <xdr:rowOff>59531</xdr:rowOff>
    </xdr:from>
    <xdr:to>
      <xdr:col>13</xdr:col>
      <xdr:colOff>161924</xdr:colOff>
      <xdr:row>26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0A9692-A2AE-4AB5-993C-B3D2D56CE57D}"/>
            </a:ext>
          </a:extLst>
        </xdr:cNvPr>
        <xdr:cNvSpPr txBox="1"/>
      </xdr:nvSpPr>
      <xdr:spPr>
        <a:xfrm>
          <a:off x="8465343" y="3231356"/>
          <a:ext cx="4741069" cy="15311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Regression between Antarctic mass and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Global Temperature Abnomarlity.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Global Temperature Abnomarlity is independent variable.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Antarctic mass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dependent  variable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Global Temperature Abnomarlity is 0 then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Antarctic mass change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will be 14958.94 Gigatones.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unit of Global Temperature Abnomarlity will increse cost -32830.90.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R-square is 0.5929 that Global Temperature Abnomarlity is 59.29% of cause factor for Antarctic mass change.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22</xdr:row>
      <xdr:rowOff>133350</xdr:rowOff>
    </xdr:from>
    <xdr:to>
      <xdr:col>12</xdr:col>
      <xdr:colOff>557212</xdr:colOff>
      <xdr:row>31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AAABBF-2E99-4D4B-BBB9-B956771058C8}"/>
            </a:ext>
          </a:extLst>
        </xdr:cNvPr>
        <xdr:cNvSpPr txBox="1"/>
      </xdr:nvSpPr>
      <xdr:spPr>
        <a:xfrm>
          <a:off x="7353300" y="4057650"/>
          <a:ext cx="540067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Regression between Greenland mass and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Global Temperature Abnomarlity.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Global Temperature Abnomarlity is independent variable.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Greenland mass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dependent  variable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Global Temperature Abnomarlity is 0 then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Greenland mass change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will be 20729.64 Gigatones.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unit of Global Temperature Abnomarlity will increse cost -57406.11.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R-square is 0.4441 that Global Temperature Abnomarlity is 44.41% of cause factor for Antarctic mass change.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566737</xdr:colOff>
      <xdr:row>12</xdr:row>
      <xdr:rowOff>42863</xdr:rowOff>
    </xdr:from>
    <xdr:ext cx="6441122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874249-38B5-4949-BE88-73C5E2B2AC4C}"/>
            </a:ext>
          </a:extLst>
        </xdr:cNvPr>
        <xdr:cNvSpPr txBox="1"/>
      </xdr:nvSpPr>
      <xdr:spPr>
        <a:xfrm>
          <a:off x="8277225" y="2071688"/>
          <a:ext cx="6441122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Regression between Antarctic mass and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GMSL.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Antarctic mass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independent variable.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GMSL is dependent  variable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When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Antarctic mass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0 then GMSL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change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will be -6.432 mm.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unit of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Antarctic mass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will increse cost -0.0025.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R-square is 0.7681 that Global Temperature Abnomarlity is 76.81% of cause factor for Antarctic mass change.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471487</xdr:colOff>
      <xdr:row>13</xdr:row>
      <xdr:rowOff>114300</xdr:rowOff>
    </xdr:from>
    <xdr:to>
      <xdr:col>13</xdr:col>
      <xdr:colOff>666750</xdr:colOff>
      <xdr:row>23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1DC8C0-59BF-4A92-B36B-CA0E39FCA712}"/>
            </a:ext>
          </a:extLst>
        </xdr:cNvPr>
        <xdr:cNvSpPr txBox="1"/>
      </xdr:nvSpPr>
      <xdr:spPr>
        <a:xfrm>
          <a:off x="8181975" y="2333625"/>
          <a:ext cx="4695825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Regression between Greenland mass and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GMSL.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Greenland mass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independent variable.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GMSL is dependent  variable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Greenland mass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0 then GMSL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will be -9.37 mm.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unit of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Greenland mass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will increse cost -0.0012.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R-square is 0.6792 that Global Temperature Abnomarlity is 67.92% of cause factor for Antarctic mass change.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509793</xdr:colOff>
      <xdr:row>8</xdr:row>
      <xdr:rowOff>83238</xdr:rowOff>
    </xdr:from>
    <xdr:to>
      <xdr:col>13</xdr:col>
      <xdr:colOff>422412</xdr:colOff>
      <xdr:row>16</xdr:row>
      <xdr:rowOff>78685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D0B7BB-C8BA-458F-813B-DCB9794C6ED8}"/>
            </a:ext>
          </a:extLst>
        </xdr:cNvPr>
        <xdr:cNvSpPr txBox="1"/>
      </xdr:nvSpPr>
      <xdr:spPr>
        <a:xfrm>
          <a:off x="7320168" y="1350063"/>
          <a:ext cx="5313294" cy="1519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Regression between Antarctic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mass,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Greenland mass and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GMSL.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Antarctic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mass,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Greenland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independent variable.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GMSL is dependent  variable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Antarctic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mass and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Greenland mass are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then GMSL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will be -4.17 mm.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unit of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Antarctic mass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will increse cost -0.0036.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unit of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Greenland mass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will increse cost 0.0006.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R-square is 0.6792 that Global Temperature Abnomarlity is 67.92% of cause factor for Antarctic mass change.</a:t>
          </a:r>
          <a:endParaRPr lang="en-US">
            <a:effectLst/>
          </a:endParaRPr>
        </a:p>
      </xdr:txBody>
    </xdr:sp>
    <xdr:clientData/>
  </xdr:twoCellAnchor>
  <xdr:oneCellAnchor>
    <xdr:from>
      <xdr:col>8</xdr:col>
      <xdr:colOff>472108</xdr:colOff>
      <xdr:row>20</xdr:row>
      <xdr:rowOff>82826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707EB5-49BC-47E2-A337-839217C1DD55}"/>
            </a:ext>
          </a:extLst>
        </xdr:cNvPr>
        <xdr:cNvSpPr txBox="1"/>
      </xdr:nvSpPr>
      <xdr:spPr>
        <a:xfrm>
          <a:off x="8182596" y="363565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6</xdr:row>
      <xdr:rowOff>0</xdr:rowOff>
    </xdr:from>
    <xdr:to>
      <xdr:col>5</xdr:col>
      <xdr:colOff>338137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5C2E5-9722-4989-A0AB-D818E4F07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0.11517</cdr:x>
      <cdr:y>0.42176</cdr:y>
    </cdr:from>
    <cdr:to>
      <cdr:x>0.91842</cdr:x>
      <cdr:y>0.62176</cdr:y>
    </cdr:to>
    <cdr:sp macro="objClick" textlink="">
      <cdr:nvSpPr>
        <cdr:cNvPr id="2" name="gwm_25448          ">
          <a:extLst xmlns:a="http://schemas.openxmlformats.org/drawingml/2006/main">
            <a:ext uri="{FF2B5EF4-FFF2-40B4-BE49-F238E27FC236}">
              <a16:creationId xmlns:a16="http://schemas.microsoft.com/office/drawing/2014/main" id="{A7B976C5-3E7C-4F8A-8001-67638529A222}"/>
            </a:ext>
          </a:extLst>
        </cdr:cNvPr>
        <cdr:cNvSpPr txBox="1"/>
      </cdr:nvSpPr>
      <cdr:spPr>
        <a:xfrm xmlns:a="http://schemas.openxmlformats.org/drawingml/2006/main">
          <a:off x="555816" y="1339088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0.42176</cdr:y>
    </cdr:from>
    <cdr:to>
      <cdr:x>0.91842</cdr:x>
      <cdr:y>0.62176</cdr:y>
    </cdr:to>
    <cdr:sp macro="objClick" textlink="">
      <cdr:nvSpPr>
        <cdr:cNvPr id="3" name="gwm_25448         ">
          <a:extLst xmlns:a="http://schemas.openxmlformats.org/drawingml/2006/main">
            <a:ext uri="{FF2B5EF4-FFF2-40B4-BE49-F238E27FC236}">
              <a16:creationId xmlns:a16="http://schemas.microsoft.com/office/drawing/2014/main" id="{2487CDC2-8863-4F1F-BCE4-D6F65A747383}"/>
            </a:ext>
          </a:extLst>
        </cdr:cNvPr>
        <cdr:cNvSpPr txBox="1"/>
      </cdr:nvSpPr>
      <cdr:spPr>
        <a:xfrm xmlns:a="http://schemas.openxmlformats.org/drawingml/2006/main">
          <a:off x="555816" y="1339088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0.42176</cdr:y>
    </cdr:from>
    <cdr:to>
      <cdr:x>0.91842</cdr:x>
      <cdr:y>0.62176</cdr:y>
    </cdr:to>
    <cdr:sp macro="objClick" textlink="">
      <cdr:nvSpPr>
        <cdr:cNvPr id="4" name="gwm_25448        ">
          <a:extLst xmlns:a="http://schemas.openxmlformats.org/drawingml/2006/main">
            <a:ext uri="{FF2B5EF4-FFF2-40B4-BE49-F238E27FC236}">
              <a16:creationId xmlns:a16="http://schemas.microsoft.com/office/drawing/2014/main" id="{1B69DED6-FE03-427C-AA32-D7AE41196287}"/>
            </a:ext>
          </a:extLst>
        </cdr:cNvPr>
        <cdr:cNvSpPr txBox="1"/>
      </cdr:nvSpPr>
      <cdr:spPr>
        <a:xfrm xmlns:a="http://schemas.openxmlformats.org/drawingml/2006/main">
          <a:off x="555816" y="1339088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0.42176</cdr:y>
    </cdr:from>
    <cdr:to>
      <cdr:x>0.91842</cdr:x>
      <cdr:y>0.62176</cdr:y>
    </cdr:to>
    <cdr:sp macro="objClick" textlink="">
      <cdr:nvSpPr>
        <cdr:cNvPr id="5" name="gwm_25448       ">
          <a:extLst xmlns:a="http://schemas.openxmlformats.org/drawingml/2006/main">
            <a:ext uri="{FF2B5EF4-FFF2-40B4-BE49-F238E27FC236}">
              <a16:creationId xmlns:a16="http://schemas.microsoft.com/office/drawing/2014/main" id="{F9D10288-AA52-4077-823C-7DA622DED0B3}"/>
            </a:ext>
          </a:extLst>
        </cdr:cNvPr>
        <cdr:cNvSpPr txBox="1"/>
      </cdr:nvSpPr>
      <cdr:spPr>
        <a:xfrm xmlns:a="http://schemas.openxmlformats.org/drawingml/2006/main">
          <a:off x="555816" y="1339088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0.42176</cdr:y>
    </cdr:from>
    <cdr:to>
      <cdr:x>0.91842</cdr:x>
      <cdr:y>0.62176</cdr:y>
    </cdr:to>
    <cdr:sp macro="objClick" textlink="">
      <cdr:nvSpPr>
        <cdr:cNvPr id="6" name="gwm_25448      ">
          <a:extLst xmlns:a="http://schemas.openxmlformats.org/drawingml/2006/main">
            <a:ext uri="{FF2B5EF4-FFF2-40B4-BE49-F238E27FC236}">
              <a16:creationId xmlns:a16="http://schemas.microsoft.com/office/drawing/2014/main" id="{449C4986-8152-4CED-A88D-52F18585DEC6}"/>
            </a:ext>
          </a:extLst>
        </cdr:cNvPr>
        <cdr:cNvSpPr txBox="1"/>
      </cdr:nvSpPr>
      <cdr:spPr>
        <a:xfrm xmlns:a="http://schemas.openxmlformats.org/drawingml/2006/main">
          <a:off x="555816" y="1339088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0.42176</cdr:y>
    </cdr:from>
    <cdr:to>
      <cdr:x>0.91842</cdr:x>
      <cdr:y>0.62176</cdr:y>
    </cdr:to>
    <cdr:sp macro="objClick" textlink="">
      <cdr:nvSpPr>
        <cdr:cNvPr id="7" name="gwm_25448     ">
          <a:extLst xmlns:a="http://schemas.openxmlformats.org/drawingml/2006/main">
            <a:ext uri="{FF2B5EF4-FFF2-40B4-BE49-F238E27FC236}">
              <a16:creationId xmlns:a16="http://schemas.microsoft.com/office/drawing/2014/main" id="{FFE17948-816E-4069-BAEA-5AA5080369DB}"/>
            </a:ext>
          </a:extLst>
        </cdr:cNvPr>
        <cdr:cNvSpPr txBox="1"/>
      </cdr:nvSpPr>
      <cdr:spPr>
        <a:xfrm xmlns:a="http://schemas.openxmlformats.org/drawingml/2006/main">
          <a:off x="555816" y="1339088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0.42176</cdr:y>
    </cdr:from>
    <cdr:to>
      <cdr:x>0.91842</cdr:x>
      <cdr:y>0.62176</cdr:y>
    </cdr:to>
    <cdr:sp macro="objClick" textlink="">
      <cdr:nvSpPr>
        <cdr:cNvPr id="8" name="gwm_25448    ">
          <a:extLst xmlns:a="http://schemas.openxmlformats.org/drawingml/2006/main">
            <a:ext uri="{FF2B5EF4-FFF2-40B4-BE49-F238E27FC236}">
              <a16:creationId xmlns:a16="http://schemas.microsoft.com/office/drawing/2014/main" id="{C747318A-C8B1-4F49-8AB0-C434C6E042D4}"/>
            </a:ext>
          </a:extLst>
        </cdr:cNvPr>
        <cdr:cNvSpPr txBox="1"/>
      </cdr:nvSpPr>
      <cdr:spPr>
        <a:xfrm xmlns:a="http://schemas.openxmlformats.org/drawingml/2006/main">
          <a:off x="555816" y="1339088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0.42176</cdr:y>
    </cdr:from>
    <cdr:to>
      <cdr:x>0.91842</cdr:x>
      <cdr:y>0.62176</cdr:y>
    </cdr:to>
    <cdr:sp macro="objClick" textlink="">
      <cdr:nvSpPr>
        <cdr:cNvPr id="9" name="gwm_25448   ">
          <a:extLst xmlns:a="http://schemas.openxmlformats.org/drawingml/2006/main">
            <a:ext uri="{FF2B5EF4-FFF2-40B4-BE49-F238E27FC236}">
              <a16:creationId xmlns:a16="http://schemas.microsoft.com/office/drawing/2014/main" id="{1F332522-899A-42C6-8CD0-8AAA2E8F854E}"/>
            </a:ext>
          </a:extLst>
        </cdr:cNvPr>
        <cdr:cNvSpPr txBox="1"/>
      </cdr:nvSpPr>
      <cdr:spPr>
        <a:xfrm xmlns:a="http://schemas.openxmlformats.org/drawingml/2006/main">
          <a:off x="555816" y="1339088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0.42176</cdr:y>
    </cdr:from>
    <cdr:to>
      <cdr:x>0.91842</cdr:x>
      <cdr:y>0.62176</cdr:y>
    </cdr:to>
    <cdr:sp macro="objClick" textlink="">
      <cdr:nvSpPr>
        <cdr:cNvPr id="10" name="gwm_25448  ">
          <a:extLst xmlns:a="http://schemas.openxmlformats.org/drawingml/2006/main">
            <a:ext uri="{FF2B5EF4-FFF2-40B4-BE49-F238E27FC236}">
              <a16:creationId xmlns:a16="http://schemas.microsoft.com/office/drawing/2014/main" id="{C798ADCC-F542-4DBA-B8BE-D7FC29EF3680}"/>
            </a:ext>
          </a:extLst>
        </cdr:cNvPr>
        <cdr:cNvSpPr txBox="1"/>
      </cdr:nvSpPr>
      <cdr:spPr>
        <a:xfrm xmlns:a="http://schemas.openxmlformats.org/drawingml/2006/main">
          <a:off x="555816" y="1339088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0.11517</cdr:x>
      <cdr:y>0.42176</cdr:y>
    </cdr:from>
    <cdr:to>
      <cdr:x>0.91842</cdr:x>
      <cdr:y>0.62176</cdr:y>
    </cdr:to>
    <cdr:sp macro="objClick" textlink="">
      <cdr:nvSpPr>
        <cdr:cNvPr id="11" name="gwm_25448 ">
          <a:extLst xmlns:a="http://schemas.openxmlformats.org/drawingml/2006/main">
            <a:ext uri="{FF2B5EF4-FFF2-40B4-BE49-F238E27FC236}">
              <a16:creationId xmlns:a16="http://schemas.microsoft.com/office/drawing/2014/main" id="{711211F8-F9BE-4BD5-ADD2-72F86011E31C}"/>
            </a:ext>
          </a:extLst>
        </cdr:cNvPr>
        <cdr:cNvSpPr txBox="1"/>
      </cdr:nvSpPr>
      <cdr:spPr>
        <a:xfrm xmlns:a="http://schemas.openxmlformats.org/drawingml/2006/main">
          <a:off x="555816" y="1339088"/>
          <a:ext cx="3876484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Textbook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3C80-DBCC-4EFB-A9DB-4E0133DDC40A}">
  <sheetPr>
    <tabColor rgb="FFFF0000"/>
  </sheetPr>
  <dimension ref="A1:G21"/>
  <sheetViews>
    <sheetView tabSelected="1" workbookViewId="0">
      <pane ySplit="1" topLeftCell="A2" activePane="bottomLeft" state="frozen"/>
      <selection activeCell="E1" sqref="E1:F2"/>
      <selection pane="bottomLeft"/>
    </sheetView>
  </sheetViews>
  <sheetFormatPr defaultRowHeight="14.25"/>
  <cols>
    <col min="2" max="2" width="12.73046875" customWidth="1"/>
    <col min="5" max="5" width="10.86328125" customWidth="1"/>
    <col min="6" max="6" width="10.73046875" customWidth="1"/>
  </cols>
  <sheetData>
    <row r="1" spans="1:7" ht="57.4" thickTop="1">
      <c r="A1" s="24" t="s">
        <v>22</v>
      </c>
      <c r="B1" s="7" t="s">
        <v>23</v>
      </c>
      <c r="C1" s="7" t="s">
        <v>16</v>
      </c>
      <c r="D1" s="7" t="s">
        <v>21</v>
      </c>
      <c r="E1" s="7" t="s">
        <v>19</v>
      </c>
      <c r="F1" s="7" t="s">
        <v>20</v>
      </c>
      <c r="G1" s="6"/>
    </row>
    <row r="2" spans="1:7">
      <c r="A2" s="8">
        <v>2002</v>
      </c>
      <c r="B2" s="9">
        <v>0.63</v>
      </c>
      <c r="C2" s="23">
        <v>373.27916666666664</v>
      </c>
      <c r="D2" s="23">
        <v>-9.3055555555555571</v>
      </c>
      <c r="E2" s="9">
        <v>-50.300000000000011</v>
      </c>
      <c r="F2" s="10">
        <v>-1002.56</v>
      </c>
      <c r="G2" s="16"/>
    </row>
    <row r="3" spans="1:7">
      <c r="A3" s="11">
        <v>2003</v>
      </c>
      <c r="B3" s="12">
        <v>0.62</v>
      </c>
      <c r="C3" s="15">
        <v>375.80250000000001</v>
      </c>
      <c r="D3" s="15">
        <v>-6.1851351351351385</v>
      </c>
      <c r="E3" s="12">
        <v>-1277.53</v>
      </c>
      <c r="F3" s="13">
        <v>-2564.67</v>
      </c>
      <c r="G3" s="16"/>
    </row>
    <row r="4" spans="1:7">
      <c r="A4" s="11">
        <v>2004</v>
      </c>
      <c r="B4" s="12">
        <v>0.54</v>
      </c>
      <c r="C4" s="15">
        <v>377.52250000000004</v>
      </c>
      <c r="D4" s="15">
        <v>-4.3491891891891905</v>
      </c>
      <c r="E4" s="12">
        <v>-3162.3000000000006</v>
      </c>
      <c r="F4" s="13">
        <v>-5395.6200000000008</v>
      </c>
      <c r="G4" s="16"/>
    </row>
    <row r="5" spans="1:7">
      <c r="A5" s="11">
        <v>2005</v>
      </c>
      <c r="B5" s="12">
        <v>0.68</v>
      </c>
      <c r="C5" s="15">
        <v>379.79583333333329</v>
      </c>
      <c r="D5" s="15">
        <v>0.10189189189189128</v>
      </c>
      <c r="E5" s="12">
        <v>-2761.06</v>
      </c>
      <c r="F5" s="13">
        <v>-7940.62</v>
      </c>
      <c r="G5" s="16"/>
    </row>
    <row r="6" spans="1:7">
      <c r="A6" s="11">
        <v>2006</v>
      </c>
      <c r="B6" s="12">
        <v>0.64</v>
      </c>
      <c r="C6" s="15">
        <v>381.89666666666659</v>
      </c>
      <c r="D6" s="15">
        <v>1.1002777777777781</v>
      </c>
      <c r="E6" s="12">
        <v>-1571.7900000000002</v>
      </c>
      <c r="F6" s="13">
        <v>-11051.73</v>
      </c>
      <c r="G6" s="16"/>
    </row>
    <row r="7" spans="1:7">
      <c r="A7" s="11">
        <v>2007</v>
      </c>
      <c r="B7" s="12">
        <v>0.66</v>
      </c>
      <c r="C7" s="15">
        <v>383.79083333333324</v>
      </c>
      <c r="D7" s="15">
        <v>1.726756756756757</v>
      </c>
      <c r="E7" s="12">
        <v>-3814.65</v>
      </c>
      <c r="F7" s="13">
        <v>-14345.630000000001</v>
      </c>
      <c r="G7" s="16"/>
    </row>
    <row r="8" spans="1:7">
      <c r="A8" s="11">
        <v>2008</v>
      </c>
      <c r="B8" s="12">
        <v>0.54</v>
      </c>
      <c r="C8" s="15">
        <v>385.6033333333333</v>
      </c>
      <c r="D8" s="15">
        <v>4.2041666666666666</v>
      </c>
      <c r="E8" s="12">
        <v>-7061.47</v>
      </c>
      <c r="F8" s="13">
        <v>-17527.490000000002</v>
      </c>
      <c r="G8" s="16"/>
    </row>
    <row r="9" spans="1:7">
      <c r="A9" s="11">
        <v>2009</v>
      </c>
      <c r="B9" s="12">
        <v>0.66</v>
      </c>
      <c r="C9" s="15">
        <v>387.43</v>
      </c>
      <c r="D9" s="15">
        <v>8.9756756756756744</v>
      </c>
      <c r="E9" s="12">
        <v>-6759.2400000000007</v>
      </c>
      <c r="F9" s="13">
        <v>-20242.59</v>
      </c>
      <c r="G9" s="16"/>
    </row>
    <row r="10" spans="1:7">
      <c r="A10" s="11">
        <v>2010</v>
      </c>
      <c r="B10" s="12">
        <v>0.73</v>
      </c>
      <c r="C10" s="15">
        <v>389.89916666666664</v>
      </c>
      <c r="D10" s="15">
        <v>10.118108108108107</v>
      </c>
      <c r="E10" s="12">
        <v>-10103.69</v>
      </c>
      <c r="F10" s="13">
        <v>-24805.35</v>
      </c>
      <c r="G10" s="16"/>
    </row>
    <row r="11" spans="1:7">
      <c r="A11" s="11">
        <v>2011</v>
      </c>
      <c r="B11" s="12">
        <v>0.61</v>
      </c>
      <c r="C11" s="15">
        <v>391.65249999999997</v>
      </c>
      <c r="D11" s="15">
        <v>9.0937837837837829</v>
      </c>
      <c r="E11" s="12">
        <v>-8462.7199999999993</v>
      </c>
      <c r="F11" s="13">
        <v>-22789.21</v>
      </c>
      <c r="G11" s="16"/>
    </row>
    <row r="12" spans="1:7">
      <c r="A12" s="11">
        <v>2012</v>
      </c>
      <c r="B12" s="12">
        <v>0.64</v>
      </c>
      <c r="C12" s="15">
        <v>393.85333333333341</v>
      </c>
      <c r="D12" s="15">
        <v>19.72675675675676</v>
      </c>
      <c r="E12" s="12">
        <v>-11827.879999999997</v>
      </c>
      <c r="F12" s="13">
        <v>-32174.720000000001</v>
      </c>
      <c r="G12" s="16"/>
    </row>
    <row r="13" spans="1:7">
      <c r="A13" s="11">
        <v>2013</v>
      </c>
      <c r="B13" s="12">
        <v>0.69</v>
      </c>
      <c r="C13" s="15">
        <v>396.52083333333331</v>
      </c>
      <c r="D13" s="15">
        <v>22.030810810810813</v>
      </c>
      <c r="E13" s="12">
        <v>-11569.53</v>
      </c>
      <c r="F13" s="13">
        <v>-29447.64</v>
      </c>
      <c r="G13" s="16"/>
    </row>
    <row r="14" spans="1:7">
      <c r="A14" s="11">
        <v>2014</v>
      </c>
      <c r="B14" s="12">
        <v>0.75</v>
      </c>
      <c r="C14" s="15">
        <v>398.64749999999998</v>
      </c>
      <c r="D14" s="15">
        <v>25.296666666666667</v>
      </c>
      <c r="E14" s="12">
        <v>-13464.210000000001</v>
      </c>
      <c r="F14" s="13">
        <v>-30867.33</v>
      </c>
      <c r="G14" s="16"/>
    </row>
    <row r="15" spans="1:7">
      <c r="A15" s="11">
        <v>2015</v>
      </c>
      <c r="B15" s="12">
        <v>0.9</v>
      </c>
      <c r="C15" s="15">
        <v>400.8341666666667</v>
      </c>
      <c r="D15" s="15">
        <v>35.601891891891889</v>
      </c>
      <c r="E15" s="12">
        <v>-16632.559999999998</v>
      </c>
      <c r="F15" s="13">
        <v>-32496.690000000002</v>
      </c>
      <c r="G15" s="16"/>
    </row>
    <row r="16" spans="1:7">
      <c r="A16" s="11">
        <v>2016</v>
      </c>
      <c r="B16" s="12">
        <v>1.02</v>
      </c>
      <c r="C16" s="15">
        <v>404.23916666666668</v>
      </c>
      <c r="D16" s="15">
        <v>38.281351351351347</v>
      </c>
      <c r="E16" s="12">
        <v>-15924.32</v>
      </c>
      <c r="F16" s="13">
        <v>-34639.159999999996</v>
      </c>
      <c r="G16" s="16"/>
    </row>
    <row r="17" spans="1:7">
      <c r="A17" s="11">
        <v>2017</v>
      </c>
      <c r="B17" s="12">
        <v>0.92</v>
      </c>
      <c r="C17" s="15">
        <v>406.55333333333334</v>
      </c>
      <c r="D17" s="15">
        <v>39.385675675675678</v>
      </c>
      <c r="E17" s="12">
        <v>-9012.2599999999984</v>
      </c>
      <c r="F17" s="13">
        <v>-19939.28</v>
      </c>
      <c r="G17" s="16"/>
    </row>
    <row r="18" spans="1:7">
      <c r="A18" s="11">
        <v>2018</v>
      </c>
      <c r="B18" s="12">
        <v>0.85</v>
      </c>
      <c r="C18" s="15">
        <v>408.5216666666667</v>
      </c>
      <c r="D18" s="15">
        <v>42.814864864864852</v>
      </c>
      <c r="E18" s="12">
        <v>-10750.08</v>
      </c>
      <c r="F18" s="13">
        <v>-20661.89</v>
      </c>
      <c r="G18" s="16"/>
    </row>
    <row r="19" spans="1:7" ht="14.65" thickBot="1">
      <c r="A19" s="17">
        <v>2019</v>
      </c>
      <c r="B19" s="18">
        <v>0.98</v>
      </c>
      <c r="C19" s="19">
        <v>411.43916666666672</v>
      </c>
      <c r="D19" s="19">
        <v>48.599354838709679</v>
      </c>
      <c r="E19" s="18">
        <v>-24819.050000000003</v>
      </c>
      <c r="F19" s="20">
        <v>-48697.979999999989</v>
      </c>
      <c r="G19" s="16"/>
    </row>
    <row r="20" spans="1:7" ht="14.65" thickTop="1">
      <c r="A20" s="14"/>
      <c r="C20" s="16"/>
      <c r="D20" s="16"/>
      <c r="E20" s="16"/>
      <c r="F20" s="16"/>
      <c r="G20" s="16"/>
    </row>
    <row r="21" spans="1:7">
      <c r="D21" s="1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9EFE-957A-47E4-8661-E5A1FB1118CD}">
  <dimension ref="A1:F23"/>
  <sheetViews>
    <sheetView showGridLines="0" workbookViewId="0">
      <selection activeCell="C8" sqref="C8:C23"/>
    </sheetView>
  </sheetViews>
  <sheetFormatPr defaultColWidth="12.59765625" defaultRowHeight="14.25"/>
  <cols>
    <col min="1" max="1" width="14.59765625" bestFit="1" customWidth="1"/>
    <col min="2" max="2" width="21.1328125" bestFit="1" customWidth="1"/>
    <col min="3" max="4" width="12.59765625" customWidth="1"/>
    <col min="5" max="5" width="16.86328125" bestFit="1" customWidth="1"/>
    <col min="6" max="6" width="17.73046875" bestFit="1" customWidth="1"/>
  </cols>
  <sheetData>
    <row r="1" spans="1:6" s="26" customFormat="1" ht="18">
      <c r="A1" s="32" t="s">
        <v>81</v>
      </c>
      <c r="B1" s="30"/>
    </row>
    <row r="2" spans="1:6" s="26" customFormat="1" ht="10.5">
      <c r="A2" s="28" t="s">
        <v>82</v>
      </c>
      <c r="B2" s="30" t="s">
        <v>83</v>
      </c>
    </row>
    <row r="3" spans="1:6" s="26" customFormat="1" ht="10.5">
      <c r="A3" s="28" t="s">
        <v>84</v>
      </c>
      <c r="B3" s="30" t="s">
        <v>85</v>
      </c>
    </row>
    <row r="4" spans="1:6" s="26" customFormat="1" ht="10.5">
      <c r="A4" s="28" t="s">
        <v>86</v>
      </c>
      <c r="B4" s="30" t="s">
        <v>87</v>
      </c>
    </row>
    <row r="5" spans="1:6" s="27" customFormat="1" ht="10.5">
      <c r="A5" s="29" t="s">
        <v>88</v>
      </c>
      <c r="B5" s="31" t="s">
        <v>89</v>
      </c>
    </row>
    <row r="6" spans="1:6" ht="13.15" customHeight="1"/>
    <row r="7" spans="1:6" ht="21.75">
      <c r="A7" s="33"/>
      <c r="B7" s="3" t="s">
        <v>23</v>
      </c>
      <c r="C7" s="4" t="s">
        <v>16</v>
      </c>
      <c r="D7" s="3" t="s">
        <v>17</v>
      </c>
      <c r="E7" s="3" t="s">
        <v>19</v>
      </c>
      <c r="F7" s="3" t="s">
        <v>20</v>
      </c>
    </row>
    <row r="8" spans="1:6" ht="15" customHeight="1">
      <c r="A8" s="3" t="s">
        <v>0</v>
      </c>
      <c r="B8" s="1">
        <f>_xll.StatMean(ST_GlobalTemperatureNoSmoothing_2)</f>
        <v>0.72555555555555562</v>
      </c>
      <c r="C8" s="5">
        <f>_xll.StatMean(ST_CO2AVGPPM_3)</f>
        <v>391.5156481481481</v>
      </c>
      <c r="D8" s="5">
        <f>_xll.StatMean(ST_GMLS_4)</f>
        <v>15.956564090972693</v>
      </c>
      <c r="E8" s="5">
        <f>_xll.StatMean(ST_AntarcticmassGigatonnes_5)</f>
        <v>-8834.7022222222222</v>
      </c>
      <c r="F8" s="5">
        <f>_xll.StatMean(ST_GreenlandmassGigatonnes_6)</f>
        <v>-20921.675555555557</v>
      </c>
    </row>
    <row r="9" spans="1:6" ht="15" customHeight="1">
      <c r="A9" s="3" t="s">
        <v>1</v>
      </c>
      <c r="B9" s="1">
        <f>_xll.StatVariance(ST_GlobalTemperatureNoSmoothing_2)</f>
        <v>2.1461437908496733E-2</v>
      </c>
      <c r="C9" s="5">
        <f>_xll.StatVariance(ST_CO2AVGPPM_3)</f>
        <v>138.91163158133674</v>
      </c>
      <c r="D9" s="5">
        <f>_xll.StatVariance(ST_GMLS_4)</f>
        <v>343.64024476261767</v>
      </c>
      <c r="E9" s="5">
        <f>_xll.StatVariance(ST_AntarcticmassGigatonnes_5)</f>
        <v>41096049.615288898</v>
      </c>
      <c r="F9" s="5">
        <f>_xll.StatVariance(ST_GreenlandmassGigatonnes_6)</f>
        <v>159263213.26768494</v>
      </c>
    </row>
    <row r="10" spans="1:6" ht="15" customHeight="1">
      <c r="A10" s="3" t="s">
        <v>2</v>
      </c>
      <c r="B10" s="1">
        <f>_xll.StatStdDev(ST_GlobalTemperatureNoSmoothing_2)</f>
        <v>0.14649722833042519</v>
      </c>
      <c r="C10" s="5">
        <f>_xll.StatStdDev(ST_CO2AVGPPM_3)</f>
        <v>11.786077871002581</v>
      </c>
      <c r="D10" s="5">
        <f>_xll.StatStdDev(ST_GMLS_4)</f>
        <v>18.537536102800114</v>
      </c>
      <c r="E10" s="5">
        <f>_xll.StatStdDev(ST_AntarcticmassGigatonnes_5)</f>
        <v>6410.6200648056583</v>
      </c>
      <c r="F10" s="5">
        <f>_xll.StatStdDev(ST_GreenlandmassGigatonnes_6)</f>
        <v>12619.952981991848</v>
      </c>
    </row>
    <row r="11" spans="1:6" ht="15" customHeight="1">
      <c r="A11" s="3" t="s">
        <v>3</v>
      </c>
      <c r="B11" s="1">
        <f>_xll.StatSkewness(ST_GlobalTemperatureNoSmoothing_2)</f>
        <v>0.80568740752943757</v>
      </c>
      <c r="C11" s="1">
        <f>_xll.StatSkewness(ST_CO2AVGPPM_3)</f>
        <v>0.14845699357393072</v>
      </c>
      <c r="D11" s="1">
        <f>_xll.StatSkewness(ST_GMLS_4)</f>
        <v>0.40346877741709491</v>
      </c>
      <c r="E11" s="1">
        <f>_xll.StatSkewness(ST_AntarcticmassGigatonnes_5)</f>
        <v>-0.76106984122371568</v>
      </c>
      <c r="F11" s="1">
        <f>_xll.StatSkewness(ST_GreenlandmassGigatonnes_6)</f>
        <v>-0.24200530997770314</v>
      </c>
    </row>
    <row r="12" spans="1:6" ht="15" customHeight="1">
      <c r="A12" s="3" t="s">
        <v>4</v>
      </c>
      <c r="B12" s="1">
        <f>_xll.StatKurtosis(ST_GlobalTemperatureNoSmoothing_2)</f>
        <v>2.5196432877138162</v>
      </c>
      <c r="C12" s="1">
        <f>_xll.StatKurtosis(ST_CO2AVGPPM_3)</f>
        <v>1.8711042771692035</v>
      </c>
      <c r="D12" s="1">
        <f>_xll.StatKurtosis(ST_GMLS_4)</f>
        <v>1.7718180571753264</v>
      </c>
      <c r="E12" s="1">
        <f>_xll.StatKurtosis(ST_AntarcticmassGigatonnes_5)</f>
        <v>3.7141461147912462</v>
      </c>
      <c r="F12" s="1">
        <f>_xll.StatKurtosis(ST_GreenlandmassGigatonnes_6)</f>
        <v>2.8539243622855777</v>
      </c>
    </row>
    <row r="13" spans="1:6" ht="15" customHeight="1">
      <c r="A13" s="3" t="s">
        <v>5</v>
      </c>
      <c r="B13" s="1">
        <f>_xll.StatMedian(ST_GlobalTemperatureNoSmoothing_2)</f>
        <v>0.66</v>
      </c>
      <c r="C13" s="5">
        <f>_xll.StatMedian(ST_CO2AVGPPM_3)</f>
        <v>389.89916666666664</v>
      </c>
      <c r="D13" s="5">
        <f>_xll.StatMedian(ST_GMLS_4)</f>
        <v>9.0937837837837829</v>
      </c>
      <c r="E13" s="5">
        <f>_xll.StatMedian(ST_AntarcticmassGigatonnes_5)</f>
        <v>-9012.2599999999984</v>
      </c>
      <c r="F13" s="5">
        <f>_xll.StatMedian(ST_GreenlandmassGigatonnes_6)</f>
        <v>-20661.89</v>
      </c>
    </row>
    <row r="14" spans="1:6" ht="15" customHeight="1">
      <c r="A14" s="3" t="s">
        <v>6</v>
      </c>
      <c r="B14" s="1">
        <f>_xll.StatAveDev(ST_GlobalTemperatureNoSmoothing_2)</f>
        <v>0.11901234567901237</v>
      </c>
      <c r="C14" s="5">
        <f>_xll.StatAveDev(ST_CO2AVGPPM_3)</f>
        <v>9.8467592592592812</v>
      </c>
      <c r="D14" s="5">
        <f>_xll.StatAveDev(ST_GMLS_4)</f>
        <v>16.009428903216236</v>
      </c>
      <c r="E14" s="5">
        <f>_xll.StatAveDev(ST_AntarcticmassGigatonnes_5)</f>
        <v>4954.5844444444438</v>
      </c>
      <c r="F14" s="5">
        <f>_xll.StatAveDev(ST_GreenlandmassGigatonnes_6)</f>
        <v>9838.2972839506183</v>
      </c>
    </row>
    <row r="15" spans="1:6" ht="15" customHeight="1">
      <c r="A15" s="3" t="s">
        <v>7</v>
      </c>
      <c r="B15" s="1">
        <f>_xll.StatMode(ST_GlobalTemperatureNoSmoothing_2)</f>
        <v>0.54</v>
      </c>
      <c r="C15" s="5">
        <f>_xll.StatMode(ST_CO2AVGPPM_3)</f>
        <v>381.82777777777773</v>
      </c>
      <c r="D15" s="5">
        <f>_xll.StatMode(ST_GMLS_4)</f>
        <v>0.97630880880880877</v>
      </c>
      <c r="E15" s="5">
        <f>_xll.StatMode(ST_AntarcticmassGigatonnes_5)</f>
        <v>-3246.0033333333336</v>
      </c>
      <c r="F15" s="5">
        <f>_xll.StatMode(ST_GreenlandmassGigatonnes_6)</f>
        <v>-19236.453333333335</v>
      </c>
    </row>
    <row r="16" spans="1:6" ht="15" customHeight="1">
      <c r="A16" s="3" t="s">
        <v>8</v>
      </c>
      <c r="B16" s="1">
        <f>_xll.StatMin(ST_GlobalTemperatureNoSmoothing_2)</f>
        <v>0.54</v>
      </c>
      <c r="C16" s="5">
        <f>_xll.StatMin(ST_CO2AVGPPM_3)</f>
        <v>373.27916666666664</v>
      </c>
      <c r="D16" s="5">
        <f>_xll.StatMin(ST_GMLS_4)</f>
        <v>-9.3055555555555571</v>
      </c>
      <c r="E16" s="5">
        <f>_xll.StatMin(ST_AntarcticmassGigatonnes_5)</f>
        <v>-24819.050000000003</v>
      </c>
      <c r="F16" s="5">
        <f>_xll.StatMin(ST_GreenlandmassGigatonnes_6)</f>
        <v>-48697.979999999989</v>
      </c>
    </row>
    <row r="17" spans="1:6" ht="15" customHeight="1">
      <c r="A17" s="3" t="s">
        <v>9</v>
      </c>
      <c r="B17" s="1">
        <f>_xll.StatMax(ST_GlobalTemperatureNoSmoothing_2)</f>
        <v>1.02</v>
      </c>
      <c r="C17" s="5">
        <f>_xll.StatMax(ST_CO2AVGPPM_3)</f>
        <v>411.43916666666672</v>
      </c>
      <c r="D17" s="5">
        <f>_xll.StatMax(ST_GMLS_4)</f>
        <v>48.599354838709679</v>
      </c>
      <c r="E17" s="5">
        <f>_xll.StatMax(ST_AntarcticmassGigatonnes_5)</f>
        <v>-50.300000000000011</v>
      </c>
      <c r="F17" s="5">
        <f>_xll.StatMax(ST_GreenlandmassGigatonnes_6)</f>
        <v>-1002.56</v>
      </c>
    </row>
    <row r="18" spans="1:6" ht="15" customHeight="1">
      <c r="A18" s="3" t="s">
        <v>10</v>
      </c>
      <c r="B18" s="1">
        <f>_xll.StatRange(ST_GlobalTemperatureNoSmoothing_2)</f>
        <v>0.48</v>
      </c>
      <c r="C18" s="5">
        <f>_xll.StatRange(ST_CO2AVGPPM_3)</f>
        <v>38.160000000000082</v>
      </c>
      <c r="D18" s="5">
        <f>_xll.StatRange(ST_GMLS_4)</f>
        <v>57.904910394265237</v>
      </c>
      <c r="E18" s="5">
        <f>_xll.StatRange(ST_AntarcticmassGigatonnes_5)</f>
        <v>24768.750000000004</v>
      </c>
      <c r="F18" s="5">
        <f>_xll.StatRange(ST_GreenlandmassGigatonnes_6)</f>
        <v>47695.419999999991</v>
      </c>
    </row>
    <row r="19" spans="1:6" ht="15" customHeight="1">
      <c r="A19" s="3" t="s">
        <v>11</v>
      </c>
      <c r="B19" s="25">
        <f>_xll.StatCount(ST_GlobalTemperatureNoSmoothing_2)</f>
        <v>18</v>
      </c>
      <c r="C19" s="25">
        <f>_xll.StatCount(ST_CO2AVGPPM_3)</f>
        <v>18</v>
      </c>
      <c r="D19" s="25">
        <f>_xll.StatCount(ST_GMLS_4)</f>
        <v>18</v>
      </c>
      <c r="E19" s="25">
        <f>_xll.StatCount(ST_AntarcticmassGigatonnes_5)</f>
        <v>18</v>
      </c>
      <c r="F19" s="25">
        <f>_xll.StatCount(ST_GreenlandmassGigatonnes_6)</f>
        <v>18</v>
      </c>
    </row>
    <row r="20" spans="1:6" ht="15" customHeight="1">
      <c r="A20" s="3" t="s">
        <v>12</v>
      </c>
      <c r="B20" s="1">
        <f>_xll.StatSum(ST_GlobalTemperatureNoSmoothing_2)</f>
        <v>13.06</v>
      </c>
      <c r="C20" s="5">
        <f>_xll.StatSum(ST_CO2AVGPPM_3)</f>
        <v>7047.2816666666658</v>
      </c>
      <c r="D20" s="5">
        <f>_xll.StatSum(ST_GMLS_4)</f>
        <v>287.21815363750846</v>
      </c>
      <c r="E20" s="5">
        <f>_xll.StatSum(ST_AntarcticmassGigatonnes_5)</f>
        <v>-159024.64000000001</v>
      </c>
      <c r="F20" s="5">
        <f>_xll.StatSum(ST_GreenlandmassGigatonnes_6)</f>
        <v>-376590.16000000003</v>
      </c>
    </row>
    <row r="21" spans="1:6" ht="15" customHeight="1">
      <c r="A21" s="3" t="s">
        <v>13</v>
      </c>
      <c r="B21" s="1">
        <f>_xll.StatQuartile(ST_GlobalTemperatureNoSmoothing_2, 1)</f>
        <v>0.63</v>
      </c>
      <c r="C21" s="5">
        <f>_xll.StatQuartile(ST_CO2AVGPPM_3, 1)</f>
        <v>381.89666666666659</v>
      </c>
      <c r="D21" s="5">
        <f>_xll.StatQuartile(ST_GMLS_4, 1)</f>
        <v>1.1002777777777781</v>
      </c>
      <c r="E21" s="5">
        <f>_xll.StatQuartile(ST_AntarcticmassGigatonnes_5, 1)</f>
        <v>-11827.879999999997</v>
      </c>
      <c r="F21" s="5">
        <f>_xll.StatQuartile(ST_GreenlandmassGigatonnes_6, 1)</f>
        <v>-30867.33</v>
      </c>
    </row>
    <row r="22" spans="1:6" ht="15" customHeight="1">
      <c r="A22" s="3" t="s">
        <v>14</v>
      </c>
      <c r="B22" s="1">
        <f>_xll.StatQuartile(ST_GlobalTemperatureNoSmoothing_2, 3)</f>
        <v>0.85</v>
      </c>
      <c r="C22" s="5">
        <f>_xll.StatQuartile(ST_CO2AVGPPM_3, 3)</f>
        <v>400.8341666666667</v>
      </c>
      <c r="D22" s="5">
        <f>_xll.StatQuartile(ST_GMLS_4, 3)</f>
        <v>35.601891891891889</v>
      </c>
      <c r="E22" s="5">
        <f>_xll.StatQuartile(ST_AntarcticmassGigatonnes_5, 3)</f>
        <v>-3162.3000000000006</v>
      </c>
      <c r="F22" s="5">
        <f>_xll.StatQuartile(ST_GreenlandmassGigatonnes_6, 3)</f>
        <v>-11051.73</v>
      </c>
    </row>
    <row r="23" spans="1:6" ht="15" customHeight="1">
      <c r="A23" s="3" t="s">
        <v>15</v>
      </c>
      <c r="B23" s="1">
        <f>_xll.StatQuartile(ST_GlobalTemperatureNoSmoothing_2,3) - _xll.StatQuartile(ST_GlobalTemperatureNoSmoothing_2,1)</f>
        <v>0.21999999999999997</v>
      </c>
      <c r="C23" s="5">
        <f>_xll.StatQuartile(ST_CO2AVGPPM_3,3) - _xll.StatQuartile(ST_CO2AVGPPM_3,1)</f>
        <v>18.937500000000114</v>
      </c>
      <c r="D23" s="5">
        <f>_xll.StatQuartile(ST_GMLS_4,3) - _xll.StatQuartile(ST_GMLS_4,1)</f>
        <v>34.501614114114112</v>
      </c>
      <c r="E23" s="5">
        <f>_xll.StatQuartile(ST_AntarcticmassGigatonnes_5,3) - _xll.StatQuartile(ST_AntarcticmassGigatonnes_5,1)</f>
        <v>8665.5799999999963</v>
      </c>
      <c r="F23" s="5">
        <f>_xll.StatQuartile(ST_GreenlandmassGigatonnes_6,3) - _xll.StatQuartile(ST_GreenlandmassGigatonnes_6,1)</f>
        <v>19815.600000000002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F955-A122-45A1-91B9-CF489CAECAD3}">
  <dimension ref="A1:G28"/>
  <sheetViews>
    <sheetView showGridLines="0" zoomScale="160" zoomScaleNormal="160" workbookViewId="0">
      <selection activeCell="I18" sqref="I18"/>
    </sheetView>
  </sheetViews>
  <sheetFormatPr defaultColWidth="12.59765625" defaultRowHeight="14.25"/>
  <cols>
    <col min="1" max="2" width="12.59765625" customWidth="1"/>
  </cols>
  <sheetData>
    <row r="1" spans="1:7" s="26" customFormat="1" ht="18">
      <c r="A1" s="32" t="s">
        <v>81</v>
      </c>
      <c r="B1" s="30"/>
    </row>
    <row r="2" spans="1:7" s="26" customFormat="1" ht="10.5">
      <c r="A2" s="28" t="s">
        <v>82</v>
      </c>
      <c r="B2" s="30" t="s">
        <v>122</v>
      </c>
    </row>
    <row r="3" spans="1:7" s="26" customFormat="1" ht="10.5">
      <c r="A3" s="28" t="s">
        <v>84</v>
      </c>
      <c r="B3" s="30" t="s">
        <v>85</v>
      </c>
    </row>
    <row r="4" spans="1:7" s="26" customFormat="1" ht="10.5">
      <c r="A4" s="28" t="s">
        <v>86</v>
      </c>
      <c r="B4" s="30" t="s">
        <v>87</v>
      </c>
    </row>
    <row r="5" spans="1:7" s="27" customFormat="1" ht="10.5">
      <c r="A5" s="29" t="s">
        <v>88</v>
      </c>
      <c r="B5" s="31" t="s">
        <v>89</v>
      </c>
    </row>
    <row r="7" spans="1:7" ht="15" customHeight="1"/>
    <row r="8" spans="1:7" ht="15" customHeight="1"/>
    <row r="9" spans="1:7" ht="15" customHeight="1">
      <c r="G9" t="s">
        <v>123</v>
      </c>
    </row>
    <row r="10" spans="1:7" ht="15" customHeight="1"/>
    <row r="11" spans="1:7" ht="15" customHeight="1"/>
    <row r="12" spans="1:7" ht="15" customHeight="1"/>
    <row r="13" spans="1:7" ht="15" customHeight="1"/>
    <row r="14" spans="1:7" ht="15" customHeight="1"/>
    <row r="15" spans="1:7" ht="15" customHeight="1"/>
    <row r="16" spans="1:7" ht="15" customHeight="1"/>
    <row r="17" spans="1:2" ht="15" customHeight="1"/>
    <row r="18" spans="1:2" ht="15" customHeight="1"/>
    <row r="19" spans="1:2" ht="15" customHeight="1"/>
    <row r="20" spans="1:2" ht="15" customHeight="1"/>
    <row r="21" spans="1:2" ht="15" customHeight="1"/>
    <row r="22" spans="1:2" ht="15" customHeight="1"/>
    <row r="23" spans="1:2" ht="15" customHeight="1"/>
    <row r="24" spans="1:2" ht="15" customHeight="1">
      <c r="A24" s="38" t="s">
        <v>124</v>
      </c>
      <c r="B24" s="39">
        <f>_xll.StatCorrelationCoeff(ST_CO2AVGPPM_3,ST_GlobalTemperatureNoSmoothing_2)</f>
        <v>0.83402664402961035</v>
      </c>
    </row>
    <row r="25" spans="1:2" ht="15" customHeight="1"/>
    <row r="26" spans="1:2" ht="15" customHeight="1"/>
    <row r="27" spans="1:2" ht="15" customHeight="1"/>
    <row r="28" spans="1:2" ht="15" customHeight="1"/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75DE-AA62-4E90-9B4C-97C8762A915C}">
  <dimension ref="A1:G28"/>
  <sheetViews>
    <sheetView showGridLines="0" topLeftCell="A6" workbookViewId="0">
      <selection activeCell="G12" sqref="G12"/>
    </sheetView>
  </sheetViews>
  <sheetFormatPr defaultColWidth="12.59765625" defaultRowHeight="14.25"/>
  <cols>
    <col min="1" max="2" width="12.59765625" customWidth="1"/>
  </cols>
  <sheetData>
    <row r="1" spans="1:7" s="26" customFormat="1" ht="18">
      <c r="A1" s="32" t="s">
        <v>81</v>
      </c>
      <c r="B1" s="30"/>
    </row>
    <row r="2" spans="1:7" s="26" customFormat="1" ht="10.5">
      <c r="A2" s="28" t="s">
        <v>82</v>
      </c>
      <c r="B2" s="30" t="s">
        <v>122</v>
      </c>
    </row>
    <row r="3" spans="1:7" s="26" customFormat="1" ht="10.5">
      <c r="A3" s="28" t="s">
        <v>84</v>
      </c>
      <c r="B3" s="30" t="s">
        <v>85</v>
      </c>
    </row>
    <row r="4" spans="1:7" s="26" customFormat="1" ht="10.5">
      <c r="A4" s="28" t="s">
        <v>86</v>
      </c>
      <c r="B4" s="30" t="s">
        <v>87</v>
      </c>
    </row>
    <row r="5" spans="1:7" s="27" customFormat="1" ht="10.5">
      <c r="A5" s="29" t="s">
        <v>88</v>
      </c>
      <c r="B5" s="31" t="s">
        <v>89</v>
      </c>
    </row>
    <row r="7" spans="1:7" ht="15" customHeight="1"/>
    <row r="8" spans="1:7" ht="15" customHeight="1"/>
    <row r="9" spans="1:7" ht="15" customHeight="1"/>
    <row r="10" spans="1:7" ht="15" customHeight="1">
      <c r="G10" t="s">
        <v>125</v>
      </c>
    </row>
    <row r="11" spans="1:7" ht="15" customHeight="1"/>
    <row r="12" spans="1:7" ht="15" customHeight="1"/>
    <row r="13" spans="1:7" ht="15" customHeight="1"/>
    <row r="14" spans="1:7" ht="15" customHeight="1"/>
    <row r="15" spans="1:7" ht="15" customHeight="1"/>
    <row r="16" spans="1:7" ht="15" customHeight="1"/>
    <row r="17" spans="1:2" ht="15" customHeight="1"/>
    <row r="18" spans="1:2" ht="15" customHeight="1"/>
    <row r="19" spans="1:2" ht="15" customHeight="1"/>
    <row r="20" spans="1:2" ht="15" customHeight="1"/>
    <row r="21" spans="1:2" ht="15" customHeight="1"/>
    <row r="22" spans="1:2" ht="15" customHeight="1"/>
    <row r="23" spans="1:2" ht="15" customHeight="1"/>
    <row r="24" spans="1:2" ht="15" customHeight="1">
      <c r="A24" s="38" t="s">
        <v>124</v>
      </c>
      <c r="B24" s="39">
        <f>_xll.StatCorrelationCoeff(ST_GlobalTemperatureNoSmoothing_2,ST_GMLS_4)</f>
        <v>0.88255001325659255</v>
      </c>
    </row>
    <row r="25" spans="1:2" ht="15" customHeight="1"/>
    <row r="26" spans="1:2" ht="15" customHeight="1"/>
    <row r="27" spans="1:2" ht="15" customHeight="1"/>
    <row r="28" spans="1:2" ht="15" customHeight="1"/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5725-2B1E-428B-9C44-3383FCFA5D52}">
  <dimension ref="A1:G50"/>
  <sheetViews>
    <sheetView showGridLines="0" topLeftCell="A26" workbookViewId="0">
      <selection activeCell="G29" sqref="G29"/>
    </sheetView>
  </sheetViews>
  <sheetFormatPr defaultColWidth="12.59765625" defaultRowHeight="14.25"/>
  <cols>
    <col min="1" max="2" width="12.59765625" customWidth="1"/>
  </cols>
  <sheetData>
    <row r="1" spans="1:7" s="26" customFormat="1" ht="18">
      <c r="A1" s="32" t="s">
        <v>81</v>
      </c>
      <c r="B1" s="30"/>
    </row>
    <row r="2" spans="1:7" s="26" customFormat="1" ht="10.5">
      <c r="A2" s="28" t="s">
        <v>82</v>
      </c>
      <c r="B2" s="30" t="s">
        <v>122</v>
      </c>
    </row>
    <row r="3" spans="1:7" s="26" customFormat="1" ht="10.5">
      <c r="A3" s="28" t="s">
        <v>84</v>
      </c>
      <c r="B3" s="30" t="s">
        <v>85</v>
      </c>
    </row>
    <row r="4" spans="1:7" s="26" customFormat="1" ht="10.5">
      <c r="A4" s="28" t="s">
        <v>86</v>
      </c>
      <c r="B4" s="30" t="s">
        <v>87</v>
      </c>
    </row>
    <row r="5" spans="1:7" s="27" customFormat="1" ht="10.5">
      <c r="A5" s="29" t="s">
        <v>88</v>
      </c>
      <c r="B5" s="31" t="s">
        <v>89</v>
      </c>
    </row>
    <row r="7" spans="1:7" ht="15" customHeight="1"/>
    <row r="8" spans="1:7" ht="15" customHeight="1"/>
    <row r="9" spans="1:7" ht="15" customHeight="1"/>
    <row r="10" spans="1:7" ht="15" customHeight="1">
      <c r="G10" t="s">
        <v>126</v>
      </c>
    </row>
    <row r="11" spans="1:7" ht="15" customHeight="1"/>
    <row r="12" spans="1:7" ht="15" customHeight="1"/>
    <row r="13" spans="1:7" ht="15" customHeight="1"/>
    <row r="14" spans="1:7" ht="15" customHeight="1"/>
    <row r="15" spans="1:7" ht="15" customHeight="1"/>
    <row r="16" spans="1:7" ht="15" customHeight="1"/>
    <row r="17" spans="1:7" ht="15" customHeight="1"/>
    <row r="18" spans="1:7" ht="15" customHeight="1"/>
    <row r="19" spans="1:7" ht="15" customHeight="1"/>
    <row r="20" spans="1:7" ht="15" customHeight="1"/>
    <row r="21" spans="1:7" ht="15" customHeight="1"/>
    <row r="22" spans="1:7" ht="15" customHeight="1"/>
    <row r="23" spans="1:7" ht="15" customHeight="1"/>
    <row r="24" spans="1:7" ht="15" customHeight="1">
      <c r="A24" s="38" t="s">
        <v>124</v>
      </c>
      <c r="B24" s="39">
        <f>_xll.StatCorrelationCoeff(ST_GlobalTemperatureNoSmoothing_2,ST_AntarcticmassGigatonnes_5)</f>
        <v>-0.75026066879165298</v>
      </c>
    </row>
    <row r="25" spans="1:7" ht="15" customHeight="1"/>
    <row r="26" spans="1:7" ht="15" customHeight="1"/>
    <row r="27" spans="1:7" ht="15" customHeight="1"/>
    <row r="28" spans="1:7" ht="15" customHeight="1"/>
    <row r="29" spans="1:7" ht="15" customHeight="1">
      <c r="G29" t="s">
        <v>127</v>
      </c>
    </row>
    <row r="30" spans="1:7" ht="15" customHeight="1"/>
    <row r="31" spans="1:7" ht="15" customHeight="1"/>
    <row r="32" spans="1:7" ht="15" customHeight="1"/>
    <row r="33" spans="1:2" ht="15" customHeight="1"/>
    <row r="34" spans="1:2" ht="15" customHeight="1"/>
    <row r="35" spans="1:2" ht="15" customHeight="1"/>
    <row r="36" spans="1:2" ht="15" customHeight="1"/>
    <row r="37" spans="1:2" ht="15" customHeight="1"/>
    <row r="38" spans="1:2" ht="15" customHeight="1"/>
    <row r="39" spans="1:2" ht="15" customHeight="1"/>
    <row r="40" spans="1:2" ht="15" customHeight="1"/>
    <row r="41" spans="1:2" ht="15" customHeight="1"/>
    <row r="42" spans="1:2" ht="15" customHeight="1"/>
    <row r="43" spans="1:2" ht="15" customHeight="1">
      <c r="A43" s="38" t="s">
        <v>124</v>
      </c>
      <c r="B43" s="39">
        <f>_xll.StatCorrelationCoeff(ST_GlobalTemperatureNoSmoothing_2,ST_GreenlandmassGigatonnes_6)</f>
        <v>-0.66639204685376185</v>
      </c>
    </row>
    <row r="44" spans="1:2" ht="15" customHeight="1"/>
    <row r="45" spans="1:2" ht="15" customHeight="1"/>
    <row r="46" spans="1:2" ht="15" customHeight="1"/>
    <row r="47" spans="1:2" ht="15" customHeight="1"/>
    <row r="48" spans="1:2" ht="15" customHeight="1"/>
    <row r="49" ht="15" customHeight="1"/>
    <row r="50" ht="15" customHeight="1"/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5488-8E6B-4F1E-9C15-67DC5A23479F}">
  <dimension ref="A1:B28"/>
  <sheetViews>
    <sheetView showGridLines="0" workbookViewId="0">
      <selection activeCell="F25" sqref="F25:G25"/>
    </sheetView>
  </sheetViews>
  <sheetFormatPr defaultColWidth="12.59765625" defaultRowHeight="14.25"/>
  <cols>
    <col min="1" max="2" width="12.59765625" customWidth="1"/>
  </cols>
  <sheetData>
    <row r="1" spans="1:2" s="26" customFormat="1" ht="18">
      <c r="A1" s="32" t="s">
        <v>81</v>
      </c>
      <c r="B1" s="30"/>
    </row>
    <row r="2" spans="1:2" s="26" customFormat="1" ht="10.5">
      <c r="A2" s="28" t="s">
        <v>82</v>
      </c>
      <c r="B2" s="30" t="s">
        <v>122</v>
      </c>
    </row>
    <row r="3" spans="1:2" s="26" customFormat="1" ht="10.5">
      <c r="A3" s="28" t="s">
        <v>84</v>
      </c>
      <c r="B3" s="30" t="s">
        <v>85</v>
      </c>
    </row>
    <row r="4" spans="1:2" s="26" customFormat="1" ht="10.5">
      <c r="A4" s="28" t="s">
        <v>86</v>
      </c>
      <c r="B4" s="30" t="s">
        <v>133</v>
      </c>
    </row>
    <row r="5" spans="1:2" s="27" customFormat="1" ht="10.5">
      <c r="A5" s="29" t="s">
        <v>88</v>
      </c>
      <c r="B5" s="31" t="s">
        <v>89</v>
      </c>
    </row>
    <row r="7" spans="1:2" ht="15" customHeight="1"/>
    <row r="8" spans="1:2" ht="15" customHeight="1"/>
    <row r="9" spans="1:2" ht="15" customHeight="1"/>
    <row r="10" spans="1:2" ht="15" customHeight="1"/>
    <row r="11" spans="1:2" ht="15" customHeight="1"/>
    <row r="12" spans="1:2" ht="15" customHeight="1"/>
    <row r="13" spans="1:2" ht="15" customHeight="1"/>
    <row r="14" spans="1:2" ht="15" customHeight="1"/>
    <row r="15" spans="1:2" ht="15" customHeight="1"/>
    <row r="16" spans="1:2" ht="15" customHeight="1"/>
    <row r="17" spans="1:2" ht="15" customHeight="1"/>
    <row r="18" spans="1:2" ht="15" customHeight="1"/>
    <row r="19" spans="1:2" ht="15" customHeight="1"/>
    <row r="20" spans="1:2" ht="15" customHeight="1"/>
    <row r="21" spans="1:2" ht="15" customHeight="1"/>
    <row r="22" spans="1:2" ht="15" customHeight="1"/>
    <row r="23" spans="1:2" ht="15" customHeight="1"/>
    <row r="24" spans="1:2" ht="15" customHeight="1">
      <c r="A24" s="38" t="s">
        <v>124</v>
      </c>
      <c r="B24" s="39">
        <f>_xll.StatCorrelationCoeff(ST_GlobalTemperatureNoSmoothing_2,ST_AntarcticmassGigatonnes_5)</f>
        <v>-0.75026066879165298</v>
      </c>
    </row>
    <row r="25" spans="1:2" ht="15" customHeight="1"/>
    <row r="26" spans="1:2" ht="15" customHeight="1"/>
    <row r="27" spans="1:2" ht="15" customHeight="1"/>
    <row r="28" spans="1:2" ht="15" customHeight="1"/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A4F8-88FA-4796-872D-DA47E42349D8}">
  <dimension ref="A1:J28"/>
  <sheetViews>
    <sheetView showGridLines="0" topLeftCell="A7" workbookViewId="0">
      <selection activeCell="A26" sqref="A26"/>
    </sheetView>
  </sheetViews>
  <sheetFormatPr defaultColWidth="12.59765625" defaultRowHeight="14.25"/>
  <cols>
    <col min="1" max="2" width="12.59765625" customWidth="1"/>
    <col min="7" max="8" width="12.59765625" customWidth="1"/>
  </cols>
  <sheetData>
    <row r="1" spans="1:2" s="26" customFormat="1" ht="18">
      <c r="A1" s="32" t="s">
        <v>81</v>
      </c>
      <c r="B1" s="30"/>
    </row>
    <row r="2" spans="1:2" s="26" customFormat="1" ht="10.5">
      <c r="A2" s="28" t="s">
        <v>82</v>
      </c>
      <c r="B2" s="30" t="s">
        <v>122</v>
      </c>
    </row>
    <row r="3" spans="1:2" s="26" customFormat="1" ht="10.5">
      <c r="A3" s="28" t="s">
        <v>84</v>
      </c>
      <c r="B3" s="30" t="s">
        <v>85</v>
      </c>
    </row>
    <row r="4" spans="1:2" s="26" customFormat="1" ht="10.5">
      <c r="A4" s="28" t="s">
        <v>86</v>
      </c>
      <c r="B4" s="30" t="s">
        <v>87</v>
      </c>
    </row>
    <row r="5" spans="1:2" s="27" customFormat="1" ht="10.5">
      <c r="A5" s="29" t="s">
        <v>88</v>
      </c>
      <c r="B5" s="31" t="s">
        <v>89</v>
      </c>
    </row>
    <row r="7" spans="1:2" ht="15" customHeight="1"/>
    <row r="8" spans="1:2" ht="15" customHeight="1"/>
    <row r="9" spans="1:2" ht="15" customHeight="1"/>
    <row r="10" spans="1:2" ht="15" customHeight="1"/>
    <row r="11" spans="1:2" ht="15" customHeight="1"/>
    <row r="12" spans="1:2" ht="15" customHeight="1"/>
    <row r="13" spans="1:2" ht="15" customHeight="1"/>
    <row r="14" spans="1:2" ht="15" customHeight="1"/>
    <row r="15" spans="1:2" ht="15" customHeight="1"/>
    <row r="16" spans="1:2" ht="15" customHeight="1"/>
    <row r="17" spans="1:10" ht="15" customHeight="1"/>
    <row r="18" spans="1:10" ht="15" customHeight="1"/>
    <row r="19" spans="1:10" ht="15" customHeight="1"/>
    <row r="20" spans="1:10" ht="15" customHeight="1"/>
    <row r="21" spans="1:10" ht="15" customHeight="1"/>
    <row r="22" spans="1:10" ht="15" customHeight="1"/>
    <row r="23" spans="1:10" ht="15" customHeight="1"/>
    <row r="24" spans="1:10" ht="15" customHeight="1">
      <c r="A24" s="38" t="s">
        <v>124</v>
      </c>
      <c r="B24" s="39">
        <f>_xll.StatCorrelationCoeff(ST_AntarcticmassGigatonnes_5,ST_GMLS_4)</f>
        <v>-0.87638797735954577</v>
      </c>
      <c r="G24" s="38" t="s">
        <v>124</v>
      </c>
      <c r="H24" s="39">
        <f>_xll.StatCorrelationCoeff(ST_GreenlandmassGigatonnes_6,ST_GMLS_4)</f>
        <v>-0.82411390208659263</v>
      </c>
    </row>
    <row r="25" spans="1:10" ht="15" customHeight="1"/>
    <row r="26" spans="1:10" ht="15" customHeight="1">
      <c r="A26" t="s">
        <v>128</v>
      </c>
      <c r="J26" t="s">
        <v>129</v>
      </c>
    </row>
    <row r="27" spans="1:10" ht="15" customHeight="1"/>
    <row r="28" spans="1:10" ht="15" customHeight="1"/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40AF-6B78-490D-8434-0663E4545BCE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8D11-4828-457F-A2BA-53A1A98DE2F8}">
  <dimension ref="A1:F13"/>
  <sheetViews>
    <sheetView showGridLines="0" topLeftCell="A4" workbookViewId="0">
      <selection activeCell="G21" sqref="G21"/>
    </sheetView>
  </sheetViews>
  <sheetFormatPr defaultColWidth="12.59765625" defaultRowHeight="14.25"/>
  <cols>
    <col min="1" max="2" width="21.1328125" bestFit="1" customWidth="1"/>
    <col min="3" max="4" width="12.59765625" customWidth="1"/>
    <col min="5" max="5" width="16.86328125" bestFit="1" customWidth="1"/>
    <col min="6" max="6" width="17.73046875" bestFit="1" customWidth="1"/>
  </cols>
  <sheetData>
    <row r="1" spans="1:6" s="26" customFormat="1" ht="18">
      <c r="A1" s="32" t="s">
        <v>81</v>
      </c>
      <c r="B1" s="30"/>
    </row>
    <row r="2" spans="1:6" s="26" customFormat="1" ht="10.5">
      <c r="A2" s="28" t="s">
        <v>82</v>
      </c>
      <c r="B2" s="30" t="s">
        <v>130</v>
      </c>
    </row>
    <row r="3" spans="1:6" s="26" customFormat="1" ht="10.5">
      <c r="A3" s="28" t="s">
        <v>84</v>
      </c>
      <c r="B3" s="30" t="s">
        <v>85</v>
      </c>
    </row>
    <row r="4" spans="1:6" s="26" customFormat="1" ht="10.5">
      <c r="A4" s="28" t="s">
        <v>86</v>
      </c>
      <c r="B4" s="30" t="s">
        <v>131</v>
      </c>
    </row>
    <row r="5" spans="1:6" s="27" customFormat="1" ht="10.5">
      <c r="A5" s="29" t="s">
        <v>88</v>
      </c>
      <c r="B5" s="31" t="s">
        <v>89</v>
      </c>
    </row>
    <row r="7" spans="1:6" ht="21.75">
      <c r="A7" s="33"/>
      <c r="B7" s="43" t="s">
        <v>23</v>
      </c>
      <c r="C7" s="40" t="s">
        <v>16</v>
      </c>
      <c r="D7" s="43" t="s">
        <v>17</v>
      </c>
      <c r="E7" s="43" t="s">
        <v>19</v>
      </c>
      <c r="F7" s="43" t="s">
        <v>20</v>
      </c>
    </row>
    <row r="8" spans="1:6" ht="15" customHeight="1" thickBot="1">
      <c r="A8" s="34" t="s">
        <v>132</v>
      </c>
      <c r="B8" s="35" t="s">
        <v>18</v>
      </c>
      <c r="C8" s="35" t="s">
        <v>18</v>
      </c>
      <c r="D8" s="35" t="s">
        <v>18</v>
      </c>
      <c r="E8" s="35" t="s">
        <v>18</v>
      </c>
      <c r="F8" s="35" t="s">
        <v>18</v>
      </c>
    </row>
    <row r="9" spans="1:6" ht="15" customHeight="1" thickTop="1">
      <c r="A9" s="3" t="s">
        <v>23</v>
      </c>
      <c r="B9" s="41">
        <v>1</v>
      </c>
      <c r="C9" s="41">
        <f>$B$10</f>
        <v>0.83402664402961035</v>
      </c>
      <c r="D9" s="41">
        <f>$B$11</f>
        <v>0.88255001325659255</v>
      </c>
      <c r="E9" s="41">
        <f>$B$12</f>
        <v>-0.75026066879165298</v>
      </c>
      <c r="F9" s="41">
        <f>$B$13</f>
        <v>-0.66639204685376185</v>
      </c>
    </row>
    <row r="10" spans="1:6" ht="15" customHeight="1">
      <c r="A10" s="4" t="s">
        <v>16</v>
      </c>
      <c r="B10" s="41">
        <f>_xll.StatCorrelationCoeff( ST_CO2AVGPPM_3,ST_GlobalTemperatureNoSmoothing_2)</f>
        <v>0.83402664402961035</v>
      </c>
      <c r="C10" s="41">
        <v>1</v>
      </c>
      <c r="D10" s="41">
        <f>$C$11</f>
        <v>0.98816044398051761</v>
      </c>
      <c r="E10" s="41">
        <f>$C$12</f>
        <v>-0.87607835722140726</v>
      </c>
      <c r="F10" s="41">
        <f>$C$13</f>
        <v>-0.84639374305924941</v>
      </c>
    </row>
    <row r="11" spans="1:6" ht="15" customHeight="1">
      <c r="A11" s="3" t="s">
        <v>21</v>
      </c>
      <c r="B11" s="41">
        <f>_xll.StatCorrelationCoeff( ST_GMLS_4,ST_GlobalTemperatureNoSmoothing_2)</f>
        <v>0.88255001325659255</v>
      </c>
      <c r="C11" s="41">
        <f>_xll.StatCorrelationCoeff( ST_GMLS_4,ST_CO2AVGPPM_3)</f>
        <v>0.98816044398051761</v>
      </c>
      <c r="D11" s="41">
        <v>1</v>
      </c>
      <c r="E11" s="41">
        <f>$D$12</f>
        <v>-0.87638797735954577</v>
      </c>
      <c r="F11" s="41">
        <f>$D$13</f>
        <v>-0.82411390208659263</v>
      </c>
    </row>
    <row r="12" spans="1:6" ht="15" customHeight="1">
      <c r="A12" s="3" t="s">
        <v>19</v>
      </c>
      <c r="B12" s="41">
        <f>_xll.StatCorrelationCoeff( ST_AntarcticmassGigatonnes_5,ST_GlobalTemperatureNoSmoothing_2)</f>
        <v>-0.75026066879165298</v>
      </c>
      <c r="C12" s="41">
        <f>_xll.StatCorrelationCoeff( ST_AntarcticmassGigatonnes_5,ST_CO2AVGPPM_3)</f>
        <v>-0.87607835722140726</v>
      </c>
      <c r="D12" s="41">
        <f>_xll.StatCorrelationCoeff( ST_AntarcticmassGigatonnes_5,ST_GMLS_4)</f>
        <v>-0.87638797735954577</v>
      </c>
      <c r="E12" s="41">
        <v>1</v>
      </c>
      <c r="F12" s="41">
        <f>$E$13</f>
        <v>0.96765501331639059</v>
      </c>
    </row>
    <row r="13" spans="1:6" ht="15" customHeight="1">
      <c r="A13" s="3" t="s">
        <v>20</v>
      </c>
      <c r="B13" s="41">
        <f>_xll.StatCorrelationCoeff( ST_GreenlandmassGigatonnes_6,ST_GlobalTemperatureNoSmoothing_2)</f>
        <v>-0.66639204685376185</v>
      </c>
      <c r="C13" s="41">
        <f>_xll.StatCorrelationCoeff( ST_GreenlandmassGigatonnes_6,ST_CO2AVGPPM_3)</f>
        <v>-0.84639374305924941</v>
      </c>
      <c r="D13" s="41">
        <f>_xll.StatCorrelationCoeff( ST_GreenlandmassGigatonnes_6,ST_GMLS_4)</f>
        <v>-0.82411390208659263</v>
      </c>
      <c r="E13" s="41">
        <f>_xll.StatCorrelationCoeff( ST_GreenlandmassGigatonnes_6,ST_AntarcticmassGigatonnes_5)</f>
        <v>0.96765501331639059</v>
      </c>
      <c r="F13" s="4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9C6E-4FFE-4B50-AC01-CF30D9704142}">
  <sheetPr>
    <tabColor rgb="FFFF0000"/>
  </sheetPr>
  <dimension ref="B9"/>
  <sheetViews>
    <sheetView workbookViewId="0"/>
  </sheetViews>
  <sheetFormatPr defaultRowHeight="14.25"/>
  <sheetData>
    <row r="9" spans="2:2">
      <c r="B9" s="21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9AD6-4D08-42DC-8837-FFD114F011E9}">
  <dimension ref="A1:T29"/>
  <sheetViews>
    <sheetView workbookViewId="0"/>
  </sheetViews>
  <sheetFormatPr defaultColWidth="30.59765625" defaultRowHeight="14.25"/>
  <cols>
    <col min="1" max="1" width="30.59765625" style="22"/>
    <col min="2" max="16384" width="30.59765625" style="2"/>
  </cols>
  <sheetData>
    <row r="1" spans="1:20">
      <c r="A1" s="22" t="s">
        <v>24</v>
      </c>
      <c r="B1" s="2" t="s">
        <v>18</v>
      </c>
      <c r="C1" s="2" t="s">
        <v>25</v>
      </c>
      <c r="D1" s="2">
        <v>7</v>
      </c>
      <c r="E1" s="2" t="s">
        <v>26</v>
      </c>
      <c r="F1" s="2">
        <v>6</v>
      </c>
      <c r="G1" s="2" t="s">
        <v>27</v>
      </c>
      <c r="H1" s="2">
        <v>1</v>
      </c>
      <c r="I1" s="2" t="s">
        <v>28</v>
      </c>
      <c r="J1" s="2">
        <v>1</v>
      </c>
      <c r="K1" s="2" t="s">
        <v>29</v>
      </c>
      <c r="L1" s="2">
        <v>0</v>
      </c>
      <c r="M1" s="2" t="s">
        <v>30</v>
      </c>
      <c r="N1" s="2">
        <v>0</v>
      </c>
      <c r="O1" s="2" t="s">
        <v>31</v>
      </c>
      <c r="P1" s="2">
        <v>1</v>
      </c>
      <c r="Q1" s="2" t="s">
        <v>32</v>
      </c>
      <c r="R1" s="2">
        <v>0</v>
      </c>
      <c r="S1" s="2" t="s">
        <v>33</v>
      </c>
      <c r="T1" s="2">
        <v>0</v>
      </c>
    </row>
    <row r="2" spans="1:20">
      <c r="A2" s="22" t="s">
        <v>34</v>
      </c>
      <c r="B2" s="2" t="s">
        <v>35</v>
      </c>
    </row>
    <row r="3" spans="1:20">
      <c r="A3" s="22" t="s">
        <v>36</v>
      </c>
      <c r="B3" s="2" t="b">
        <f>IF(B10&gt;256,"TripUpST110AndEarlier",TRUE)</f>
        <v>1</v>
      </c>
    </row>
    <row r="4" spans="1:20">
      <c r="A4" s="22" t="s">
        <v>37</v>
      </c>
      <c r="B4" s="2" t="s">
        <v>38</v>
      </c>
    </row>
    <row r="5" spans="1:20">
      <c r="A5" s="22" t="s">
        <v>39</v>
      </c>
      <c r="B5" s="2" t="b">
        <v>1</v>
      </c>
    </row>
    <row r="6" spans="1:20">
      <c r="A6" s="22" t="s">
        <v>40</v>
      </c>
      <c r="B6" s="2" t="b">
        <v>0</v>
      </c>
    </row>
    <row r="7" spans="1:20">
      <c r="A7" s="22" t="s">
        <v>41</v>
      </c>
      <c r="B7" s="2">
        <f>'Master table (4)'!$A$1:$F$19</f>
        <v>0.66</v>
      </c>
    </row>
    <row r="8" spans="1:20">
      <c r="A8" s="22" t="s">
        <v>42</v>
      </c>
      <c r="B8" s="2">
        <v>2</v>
      </c>
    </row>
    <row r="9" spans="1:20">
      <c r="A9" s="22" t="s">
        <v>43</v>
      </c>
      <c r="B9" s="25">
        <f>1</f>
        <v>1</v>
      </c>
    </row>
    <row r="10" spans="1:20">
      <c r="A10" s="22" t="s">
        <v>44</v>
      </c>
      <c r="B10" s="2">
        <v>6</v>
      </c>
    </row>
    <row r="12" spans="1:20">
      <c r="A12" s="22" t="s">
        <v>45</v>
      </c>
      <c r="B12" s="2" t="s">
        <v>46</v>
      </c>
      <c r="C12" s="2" t="s">
        <v>47</v>
      </c>
      <c r="D12" s="2" t="s">
        <v>48</v>
      </c>
      <c r="E12" s="2" t="b">
        <v>1</v>
      </c>
      <c r="F12" s="2">
        <v>0</v>
      </c>
      <c r="G12" s="2">
        <v>4</v>
      </c>
      <c r="H12" s="2">
        <v>0</v>
      </c>
    </row>
    <row r="13" spans="1:20">
      <c r="A13" s="22" t="s">
        <v>49</v>
      </c>
      <c r="B13" s="2">
        <f>'Master table (4)'!$A$1:$A$19</f>
        <v>2013</v>
      </c>
    </row>
    <row r="14" spans="1:20">
      <c r="A14" s="22" t="s">
        <v>50</v>
      </c>
    </row>
    <row r="15" spans="1:20">
      <c r="A15" s="22" t="s">
        <v>51</v>
      </c>
      <c r="B15" s="2" t="s">
        <v>52</v>
      </c>
      <c r="C15" s="2" t="s">
        <v>53</v>
      </c>
      <c r="D15" s="2" t="s">
        <v>54</v>
      </c>
      <c r="E15" s="2" t="b">
        <v>1</v>
      </c>
      <c r="F15" s="2">
        <v>0</v>
      </c>
      <c r="G15" s="2">
        <v>4</v>
      </c>
      <c r="H15" s="2">
        <v>0</v>
      </c>
    </row>
    <row r="16" spans="1:20">
      <c r="A16" s="22" t="s">
        <v>55</v>
      </c>
      <c r="B16" s="2">
        <f>'Master table (4)'!$B$1:$B$19</f>
        <v>1.02</v>
      </c>
    </row>
    <row r="17" spans="1:8">
      <c r="A17" s="22" t="s">
        <v>56</v>
      </c>
    </row>
    <row r="18" spans="1:8">
      <c r="A18" s="22" t="s">
        <v>57</v>
      </c>
      <c r="B18" s="2" t="s">
        <v>58</v>
      </c>
      <c r="C18" s="2" t="s">
        <v>59</v>
      </c>
      <c r="D18" s="2" t="s">
        <v>60</v>
      </c>
      <c r="E18" s="2" t="b">
        <v>1</v>
      </c>
      <c r="F18" s="2">
        <v>0</v>
      </c>
      <c r="G18" s="2">
        <v>4</v>
      </c>
      <c r="H18" s="2">
        <v>0</v>
      </c>
    </row>
    <row r="19" spans="1:8">
      <c r="A19" s="22" t="s">
        <v>61</v>
      </c>
      <c r="B19" s="2">
        <f>'Master table (4)'!$C$1:$C$19</f>
        <v>411.43916666666672</v>
      </c>
    </row>
    <row r="20" spans="1:8">
      <c r="A20" s="22" t="s">
        <v>62</v>
      </c>
    </row>
    <row r="21" spans="1:8">
      <c r="A21" s="22" t="s">
        <v>63</v>
      </c>
      <c r="B21" s="2" t="s">
        <v>64</v>
      </c>
      <c r="C21" s="2" t="s">
        <v>65</v>
      </c>
      <c r="D21" s="2" t="s">
        <v>66</v>
      </c>
      <c r="E21" s="2" t="b">
        <v>1</v>
      </c>
      <c r="F21" s="2">
        <v>0</v>
      </c>
      <c r="G21" s="2">
        <v>4</v>
      </c>
      <c r="H21" s="2">
        <v>0</v>
      </c>
    </row>
    <row r="22" spans="1:8">
      <c r="A22" s="22" t="s">
        <v>67</v>
      </c>
      <c r="B22" s="2" t="e">
        <f>'Master table (4)'!$D$1:$D$19</f>
        <v>#VALUE!</v>
      </c>
    </row>
    <row r="23" spans="1:8">
      <c r="A23" s="22" t="s">
        <v>68</v>
      </c>
    </row>
    <row r="24" spans="1:8">
      <c r="A24" s="22" t="s">
        <v>69</v>
      </c>
      <c r="B24" s="2" t="s">
        <v>70</v>
      </c>
      <c r="C24" s="2" t="s">
        <v>71</v>
      </c>
      <c r="D24" s="2" t="s">
        <v>72</v>
      </c>
      <c r="E24" s="2" t="b">
        <v>1</v>
      </c>
      <c r="F24" s="2">
        <v>0</v>
      </c>
      <c r="G24" s="2">
        <v>4</v>
      </c>
      <c r="H24" s="2">
        <v>0</v>
      </c>
    </row>
    <row r="25" spans="1:8">
      <c r="A25" s="22" t="s">
        <v>73</v>
      </c>
      <c r="B25" s="2" t="e">
        <f>'Master table (4)'!$E$1:$E$19</f>
        <v>#VALUE!</v>
      </c>
    </row>
    <row r="26" spans="1:8">
      <c r="A26" s="22" t="s">
        <v>74</v>
      </c>
    </row>
    <row r="27" spans="1:8">
      <c r="A27" s="22" t="s">
        <v>75</v>
      </c>
      <c r="B27" s="2" t="s">
        <v>76</v>
      </c>
      <c r="C27" s="2" t="s">
        <v>77</v>
      </c>
      <c r="D27" s="2" t="s">
        <v>78</v>
      </c>
      <c r="E27" s="2" t="b">
        <v>1</v>
      </c>
      <c r="F27" s="2">
        <v>0</v>
      </c>
      <c r="G27" s="2">
        <v>4</v>
      </c>
      <c r="H27" s="2">
        <v>0</v>
      </c>
    </row>
    <row r="28" spans="1:8">
      <c r="A28" s="22" t="s">
        <v>79</v>
      </c>
      <c r="B28" s="2" t="e">
        <f>'Master table (4)'!$F$1:$F$19</f>
        <v>#VALUE!</v>
      </c>
    </row>
    <row r="29" spans="1:8">
      <c r="A29" s="22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B775-2C4A-4DEF-AC47-FC33DF2E23AB}">
  <dimension ref="A1:R21"/>
  <sheetViews>
    <sheetView showGridLines="0" workbookViewId="0">
      <selection activeCell="L32" sqref="L32"/>
    </sheetView>
  </sheetViews>
  <sheetFormatPr defaultColWidth="12.59765625" defaultRowHeight="14.25"/>
  <cols>
    <col min="1" max="1" width="38.3984375" bestFit="1" customWidth="1"/>
    <col min="2" max="7" width="12.59765625" customWidth="1"/>
  </cols>
  <sheetData>
    <row r="1" spans="1:18" s="26" customFormat="1" ht="18">
      <c r="A1" s="47" t="s">
        <v>81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26" customFormat="1" ht="10.5">
      <c r="A2" s="50" t="s">
        <v>82</v>
      </c>
      <c r="B2" s="48" t="s">
        <v>90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s="26" customFormat="1" ht="10.5">
      <c r="A3" s="50" t="s">
        <v>84</v>
      </c>
      <c r="B3" s="48" t="s">
        <v>85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s="26" customFormat="1" ht="10.5">
      <c r="A4" s="50" t="s">
        <v>86</v>
      </c>
      <c r="B4" s="48" t="s">
        <v>87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s="26" customFormat="1" ht="10.5">
      <c r="A5" s="50" t="s">
        <v>88</v>
      </c>
      <c r="B5" s="48" t="s">
        <v>91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s="27" customFormat="1" ht="10.5">
      <c r="A6" s="51" t="s">
        <v>92</v>
      </c>
      <c r="B6" s="52" t="s">
        <v>93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>
      <c r="A7" s="54"/>
    </row>
    <row r="8" spans="1:18" ht="21.75">
      <c r="A8" s="44" t="s">
        <v>94</v>
      </c>
      <c r="B8" s="63" t="s">
        <v>95</v>
      </c>
      <c r="C8" s="61" t="s">
        <v>96</v>
      </c>
      <c r="D8" s="63" t="s">
        <v>97</v>
      </c>
      <c r="E8" s="63" t="s">
        <v>98</v>
      </c>
      <c r="F8" s="63" t="s">
        <v>99</v>
      </c>
      <c r="G8" s="61" t="s">
        <v>100</v>
      </c>
    </row>
    <row r="9" spans="1:18" ht="15" customHeight="1" thickBot="1">
      <c r="A9" s="55" t="s">
        <v>101</v>
      </c>
      <c r="B9" s="62"/>
      <c r="C9" s="62"/>
      <c r="D9" s="62"/>
      <c r="E9" s="62"/>
      <c r="F9" s="62"/>
      <c r="G9" s="62"/>
    </row>
    <row r="10" spans="1:18" ht="15" customHeight="1" thickTop="1">
      <c r="A10" s="56"/>
      <c r="B10" s="46">
        <v>0.83402664402955751</v>
      </c>
      <c r="C10" s="46">
        <v>0.69560044295120604</v>
      </c>
      <c r="D10" s="36">
        <v>0.6765754706356566</v>
      </c>
      <c r="E10" s="42">
        <v>8.3313597059757438E-2</v>
      </c>
      <c r="F10" s="42">
        <v>0</v>
      </c>
      <c r="G10" s="42">
        <v>0</v>
      </c>
    </row>
    <row r="11" spans="1:18" ht="15" customHeight="1">
      <c r="A11" s="54"/>
    </row>
    <row r="12" spans="1:18" ht="15" customHeight="1">
      <c r="A12" s="57"/>
      <c r="B12" s="63" t="s">
        <v>102</v>
      </c>
      <c r="C12" s="63" t="s">
        <v>103</v>
      </c>
      <c r="D12" s="63" t="s">
        <v>104</v>
      </c>
      <c r="E12" s="61" t="s">
        <v>105</v>
      </c>
      <c r="F12" s="61" t="s">
        <v>106</v>
      </c>
    </row>
    <row r="13" spans="1:18" ht="15" customHeight="1" thickBot="1">
      <c r="A13" s="55" t="s">
        <v>107</v>
      </c>
      <c r="B13" s="62"/>
      <c r="C13" s="62"/>
      <c r="D13" s="62"/>
      <c r="E13" s="62"/>
      <c r="F13" s="62"/>
    </row>
    <row r="14" spans="1:18" ht="15" customHeight="1" thickTop="1">
      <c r="A14" s="56" t="s">
        <v>108</v>
      </c>
      <c r="B14" s="42">
        <v>1</v>
      </c>
      <c r="C14" s="42">
        <v>0.25378595716376884</v>
      </c>
      <c r="D14" s="42">
        <v>0.25378595716376884</v>
      </c>
      <c r="E14" s="42">
        <v>36.562494358148093</v>
      </c>
      <c r="F14" s="37">
        <v>1.6960125398486246E-5</v>
      </c>
    </row>
    <row r="15" spans="1:18" ht="15" customHeight="1">
      <c r="A15" s="56" t="s">
        <v>109</v>
      </c>
      <c r="B15" s="42">
        <v>16</v>
      </c>
      <c r="C15" s="42">
        <v>0.11105848728056997</v>
      </c>
      <c r="D15" s="42">
        <v>6.941155455035623E-3</v>
      </c>
      <c r="E15" s="42"/>
      <c r="F15" s="42"/>
    </row>
    <row r="16" spans="1:18" ht="15" customHeight="1">
      <c r="A16" s="54"/>
    </row>
    <row r="17" spans="1:7" ht="15" customHeight="1">
      <c r="A17" s="57"/>
      <c r="B17" s="61" t="s">
        <v>110</v>
      </c>
      <c r="C17" s="63" t="s">
        <v>111</v>
      </c>
      <c r="D17" s="61" t="s">
        <v>112</v>
      </c>
      <c r="E17" s="61" t="s">
        <v>106</v>
      </c>
      <c r="F17" s="64" t="s">
        <v>113</v>
      </c>
      <c r="G17" s="64"/>
    </row>
    <row r="18" spans="1:7" ht="15" customHeight="1" thickBot="1">
      <c r="A18" s="55" t="s">
        <v>114</v>
      </c>
      <c r="B18" s="62"/>
      <c r="C18" s="62"/>
      <c r="D18" s="62"/>
      <c r="E18" s="62"/>
      <c r="F18" s="58" t="s">
        <v>115</v>
      </c>
      <c r="G18" s="58" t="s">
        <v>116</v>
      </c>
    </row>
    <row r="19" spans="1:7" ht="15" customHeight="1" thickTop="1">
      <c r="A19" s="56" t="s">
        <v>117</v>
      </c>
      <c r="B19" s="59">
        <v>-3.3331650050068902</v>
      </c>
      <c r="C19" s="42">
        <v>0.67151700902257061</v>
      </c>
      <c r="D19" s="42">
        <v>-4.9636345174018635</v>
      </c>
      <c r="E19" s="37">
        <v>1.4083753012426046E-4</v>
      </c>
      <c r="F19" s="42">
        <v>-4.756717470950881</v>
      </c>
      <c r="G19" s="42">
        <v>-1.9096125390628991</v>
      </c>
    </row>
    <row r="20" spans="1:7" ht="27.75" customHeight="1">
      <c r="A20" s="45" t="s">
        <v>16</v>
      </c>
      <c r="B20" s="59">
        <v>1.03666879721409E-2</v>
      </c>
      <c r="C20" s="42">
        <v>1.7144393205330488E-3</v>
      </c>
      <c r="D20" s="42">
        <v>6.0466928447008126</v>
      </c>
      <c r="E20" s="37">
        <v>1.6960125398465371E-5</v>
      </c>
      <c r="F20" s="42">
        <v>6.7322389713500288E-3</v>
      </c>
      <c r="G20" s="42">
        <v>1.4001136972931788E-2</v>
      </c>
    </row>
    <row r="21" spans="1:7" ht="27.75" customHeight="1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G8:G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9033-6827-4DA6-AECD-969F30048E21}">
  <dimension ref="A1:G21"/>
  <sheetViews>
    <sheetView showGridLines="0" workbookViewId="0">
      <selection activeCell="L32" sqref="L32"/>
    </sheetView>
  </sheetViews>
  <sheetFormatPr defaultColWidth="12.59765625" defaultRowHeight="14.25"/>
  <cols>
    <col min="1" max="1" width="31.3984375" bestFit="1" customWidth="1"/>
    <col min="2" max="7" width="12.59765625" customWidth="1"/>
  </cols>
  <sheetData>
    <row r="1" spans="1:7" s="26" customFormat="1" ht="18">
      <c r="A1" s="32" t="s">
        <v>81</v>
      </c>
      <c r="B1" s="30"/>
    </row>
    <row r="2" spans="1:7" s="26" customFormat="1" ht="10.5">
      <c r="A2" s="28" t="s">
        <v>82</v>
      </c>
      <c r="B2" s="30" t="s">
        <v>90</v>
      </c>
    </row>
    <row r="3" spans="1:7" s="26" customFormat="1" ht="10.5">
      <c r="A3" s="28" t="s">
        <v>84</v>
      </c>
      <c r="B3" s="30" t="s">
        <v>85</v>
      </c>
    </row>
    <row r="4" spans="1:7" s="26" customFormat="1" ht="10.5">
      <c r="A4" s="28" t="s">
        <v>86</v>
      </c>
      <c r="B4" s="30" t="s">
        <v>87</v>
      </c>
    </row>
    <row r="5" spans="1:7" s="26" customFormat="1" ht="10.5">
      <c r="A5" s="28" t="s">
        <v>88</v>
      </c>
      <c r="B5" s="30" t="s">
        <v>91</v>
      </c>
    </row>
    <row r="6" spans="1:7" s="27" customFormat="1" ht="10.5">
      <c r="A6" s="29" t="s">
        <v>92</v>
      </c>
      <c r="B6" s="31" t="s">
        <v>19</v>
      </c>
    </row>
    <row r="8" spans="1:7" ht="15" customHeight="1">
      <c r="A8" s="33" t="s">
        <v>118</v>
      </c>
      <c r="B8" s="63" t="s">
        <v>95</v>
      </c>
      <c r="C8" s="61" t="s">
        <v>96</v>
      </c>
      <c r="D8" s="63" t="s">
        <v>97</v>
      </c>
      <c r="E8" s="63" t="s">
        <v>98</v>
      </c>
      <c r="F8" s="63" t="s">
        <v>99</v>
      </c>
      <c r="G8" s="61" t="s">
        <v>100</v>
      </c>
    </row>
    <row r="9" spans="1:7" ht="15" customHeight="1" thickBot="1">
      <c r="A9" s="60" t="s">
        <v>101</v>
      </c>
      <c r="B9" s="62"/>
      <c r="C9" s="62"/>
      <c r="D9" s="62"/>
      <c r="E9" s="62"/>
      <c r="F9" s="62"/>
      <c r="G9" s="62"/>
    </row>
    <row r="10" spans="1:7" ht="15" customHeight="1" thickTop="1">
      <c r="A10" s="3"/>
      <c r="B10" s="36">
        <v>0.75026066879165543</v>
      </c>
      <c r="C10" s="36">
        <v>0.56289107113570203</v>
      </c>
      <c r="D10" s="36">
        <v>0.53557176308168364</v>
      </c>
      <c r="E10" s="42">
        <v>4368.7716657129658</v>
      </c>
      <c r="F10" s="42">
        <v>0</v>
      </c>
      <c r="G10" s="42">
        <v>0</v>
      </c>
    </row>
    <row r="11" spans="1:7" ht="15" customHeight="1"/>
    <row r="12" spans="1:7" ht="15" customHeight="1">
      <c r="A12" s="33"/>
      <c r="B12" s="63" t="s">
        <v>102</v>
      </c>
      <c r="C12" s="63" t="s">
        <v>103</v>
      </c>
      <c r="D12" s="63" t="s">
        <v>104</v>
      </c>
      <c r="E12" s="61" t="s">
        <v>105</v>
      </c>
      <c r="F12" s="61" t="s">
        <v>106</v>
      </c>
    </row>
    <row r="13" spans="1:7" ht="15" customHeight="1" thickBot="1">
      <c r="A13" s="60" t="s">
        <v>107</v>
      </c>
      <c r="B13" s="62"/>
      <c r="C13" s="62"/>
      <c r="D13" s="62"/>
      <c r="E13" s="62"/>
      <c r="F13" s="62"/>
    </row>
    <row r="14" spans="1:7" ht="15" customHeight="1" thickTop="1">
      <c r="A14" s="3" t="s">
        <v>108</v>
      </c>
      <c r="B14" s="42">
        <v>1</v>
      </c>
      <c r="C14" s="42">
        <v>393254189.58573413</v>
      </c>
      <c r="D14" s="42">
        <v>393254189.58573413</v>
      </c>
      <c r="E14" s="42">
        <v>20.604148173251481</v>
      </c>
      <c r="F14" s="37">
        <v>3.3527245173490297E-4</v>
      </c>
    </row>
    <row r="15" spans="1:7" ht="15" customHeight="1">
      <c r="A15" s="3" t="s">
        <v>109</v>
      </c>
      <c r="B15" s="42">
        <v>16</v>
      </c>
      <c r="C15" s="42">
        <v>305378653.87418312</v>
      </c>
      <c r="D15" s="42">
        <v>19086165.867136445</v>
      </c>
      <c r="E15" s="42"/>
      <c r="F15" s="42"/>
    </row>
    <row r="16" spans="1:7" ht="15" customHeight="1"/>
    <row r="17" spans="1:7" ht="15" customHeight="1">
      <c r="A17" s="33"/>
      <c r="B17" s="61" t="s">
        <v>110</v>
      </c>
      <c r="C17" s="63" t="s">
        <v>111</v>
      </c>
      <c r="D17" s="61" t="s">
        <v>112</v>
      </c>
      <c r="E17" s="61" t="s">
        <v>106</v>
      </c>
      <c r="F17" s="64" t="s">
        <v>113</v>
      </c>
      <c r="G17" s="64"/>
    </row>
    <row r="18" spans="1:7" ht="15" customHeight="1" thickBot="1">
      <c r="A18" s="60" t="s">
        <v>114</v>
      </c>
      <c r="B18" s="62"/>
      <c r="C18" s="62"/>
      <c r="D18" s="62"/>
      <c r="E18" s="62"/>
      <c r="F18" s="58" t="s">
        <v>115</v>
      </c>
      <c r="G18" s="58" t="s">
        <v>116</v>
      </c>
    </row>
    <row r="19" spans="1:7" ht="15" customHeight="1" thickTop="1">
      <c r="A19" s="3" t="s">
        <v>117</v>
      </c>
      <c r="B19" s="42">
        <v>14985.940873127227</v>
      </c>
      <c r="C19" s="42">
        <v>5347.8598220780286</v>
      </c>
      <c r="D19" s="42">
        <v>2.8022314293391686</v>
      </c>
      <c r="E19" s="37">
        <v>1.2782388401052636E-2</v>
      </c>
      <c r="F19" s="42">
        <v>3648.98449681288</v>
      </c>
      <c r="G19" s="42">
        <v>26322.897249441572</v>
      </c>
    </row>
    <row r="20" spans="1:7" ht="15" customHeight="1">
      <c r="A20" s="3" t="s">
        <v>23</v>
      </c>
      <c r="B20" s="42">
        <v>-32830.901662809367</v>
      </c>
      <c r="C20" s="42">
        <v>7232.7837097014944</v>
      </c>
      <c r="D20" s="42">
        <v>-4.5391792400445414</v>
      </c>
      <c r="E20" s="37">
        <v>3.3527245173491359E-4</v>
      </c>
      <c r="F20" s="42">
        <v>-48163.718177124967</v>
      </c>
      <c r="G20" s="42">
        <v>-17498.085148493767</v>
      </c>
    </row>
    <row r="21" spans="1:7" ht="15" customHeight="1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G8:G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F1A3-BD0A-4B86-8227-5C36F5BE9400}">
  <dimension ref="A1:G21"/>
  <sheetViews>
    <sheetView showGridLines="0" workbookViewId="0">
      <selection activeCell="L32" sqref="L32"/>
    </sheetView>
  </sheetViews>
  <sheetFormatPr defaultColWidth="12.59765625" defaultRowHeight="14.25"/>
  <cols>
    <col min="1" max="1" width="32.1328125" bestFit="1" customWidth="1"/>
    <col min="2" max="7" width="12.59765625" customWidth="1"/>
  </cols>
  <sheetData>
    <row r="1" spans="1:7" s="26" customFormat="1" ht="18">
      <c r="A1" s="32" t="s">
        <v>81</v>
      </c>
      <c r="B1" s="30"/>
    </row>
    <row r="2" spans="1:7" s="26" customFormat="1" ht="10.5">
      <c r="A2" s="28" t="s">
        <v>82</v>
      </c>
      <c r="B2" s="30" t="s">
        <v>90</v>
      </c>
    </row>
    <row r="3" spans="1:7" s="26" customFormat="1" ht="10.5">
      <c r="A3" s="28" t="s">
        <v>84</v>
      </c>
      <c r="B3" s="30" t="s">
        <v>85</v>
      </c>
    </row>
    <row r="4" spans="1:7" s="26" customFormat="1" ht="10.5">
      <c r="A4" s="28" t="s">
        <v>86</v>
      </c>
      <c r="B4" s="30" t="s">
        <v>87</v>
      </c>
    </row>
    <row r="5" spans="1:7" s="26" customFormat="1" ht="10.5">
      <c r="A5" s="28" t="s">
        <v>88</v>
      </c>
      <c r="B5" s="30" t="s">
        <v>91</v>
      </c>
    </row>
    <row r="6" spans="1:7" s="27" customFormat="1" ht="10.5">
      <c r="A6" s="29" t="s">
        <v>92</v>
      </c>
      <c r="B6" s="31" t="s">
        <v>20</v>
      </c>
    </row>
    <row r="8" spans="1:7" ht="15" customHeight="1">
      <c r="A8" s="33" t="s">
        <v>119</v>
      </c>
      <c r="B8" s="63" t="s">
        <v>95</v>
      </c>
      <c r="C8" s="61" t="s">
        <v>96</v>
      </c>
      <c r="D8" s="63" t="s">
        <v>97</v>
      </c>
      <c r="E8" s="63" t="s">
        <v>98</v>
      </c>
      <c r="F8" s="63" t="s">
        <v>99</v>
      </c>
      <c r="G8" s="61" t="s">
        <v>100</v>
      </c>
    </row>
    <row r="9" spans="1:7" ht="15" customHeight="1" thickBot="1">
      <c r="A9" s="60" t="s">
        <v>101</v>
      </c>
      <c r="B9" s="62"/>
      <c r="C9" s="62"/>
      <c r="D9" s="62"/>
      <c r="E9" s="62"/>
      <c r="F9" s="62"/>
      <c r="G9" s="62"/>
    </row>
    <row r="10" spans="1:7" ht="15" customHeight="1" thickTop="1">
      <c r="A10" s="3"/>
      <c r="B10" s="36">
        <v>0.66639204685376319</v>
      </c>
      <c r="C10" s="36">
        <v>0.44407836010994806</v>
      </c>
      <c r="D10" s="36">
        <v>0.40933325761681982</v>
      </c>
      <c r="E10" s="42">
        <v>9699.0454871756028</v>
      </c>
      <c r="F10" s="42">
        <v>0</v>
      </c>
      <c r="G10" s="42">
        <v>0</v>
      </c>
    </row>
    <row r="11" spans="1:7" ht="15" customHeight="1"/>
    <row r="12" spans="1:7" ht="15" customHeight="1">
      <c r="A12" s="33"/>
      <c r="B12" s="63" t="s">
        <v>102</v>
      </c>
      <c r="C12" s="63" t="s">
        <v>103</v>
      </c>
      <c r="D12" s="63" t="s">
        <v>104</v>
      </c>
      <c r="E12" s="61" t="s">
        <v>105</v>
      </c>
      <c r="F12" s="61" t="s">
        <v>106</v>
      </c>
    </row>
    <row r="13" spans="1:7" ht="15" customHeight="1" thickBot="1">
      <c r="A13" s="60" t="s">
        <v>107</v>
      </c>
      <c r="B13" s="62"/>
      <c r="C13" s="62"/>
      <c r="D13" s="62"/>
      <c r="E13" s="62"/>
      <c r="F13" s="62"/>
    </row>
    <row r="14" spans="1:7" ht="15" customHeight="1" thickTop="1">
      <c r="A14" s="3" t="s">
        <v>108</v>
      </c>
      <c r="B14" s="42">
        <v>1</v>
      </c>
      <c r="C14" s="42">
        <v>1202330891.753829</v>
      </c>
      <c r="D14" s="42">
        <v>1202330891.753829</v>
      </c>
      <c r="E14" s="42">
        <v>12.781034685327988</v>
      </c>
      <c r="F14" s="37">
        <v>2.5290288194015874E-3</v>
      </c>
    </row>
    <row r="15" spans="1:7" ht="15" customHeight="1">
      <c r="A15" s="3" t="s">
        <v>109</v>
      </c>
      <c r="B15" s="42">
        <v>16</v>
      </c>
      <c r="C15" s="42">
        <v>1505143733.7968225</v>
      </c>
      <c r="D15" s="42">
        <v>94071483.362301409</v>
      </c>
      <c r="E15" s="42"/>
      <c r="F15" s="42"/>
    </row>
    <row r="16" spans="1:7" ht="15" customHeight="1"/>
    <row r="17" spans="1:7" ht="15" customHeight="1">
      <c r="A17" s="33"/>
      <c r="B17" s="61" t="s">
        <v>110</v>
      </c>
      <c r="C17" s="63" t="s">
        <v>111</v>
      </c>
      <c r="D17" s="61" t="s">
        <v>112</v>
      </c>
      <c r="E17" s="61" t="s">
        <v>106</v>
      </c>
      <c r="F17" s="64" t="s">
        <v>113</v>
      </c>
      <c r="G17" s="64"/>
    </row>
    <row r="18" spans="1:7" ht="15" customHeight="1" thickBot="1">
      <c r="A18" s="60" t="s">
        <v>114</v>
      </c>
      <c r="B18" s="62"/>
      <c r="C18" s="62"/>
      <c r="D18" s="62"/>
      <c r="E18" s="62"/>
      <c r="F18" s="58" t="s">
        <v>115</v>
      </c>
      <c r="G18" s="58" t="s">
        <v>116</v>
      </c>
    </row>
    <row r="19" spans="1:7" ht="15" customHeight="1" thickTop="1">
      <c r="A19" s="3" t="s">
        <v>117</v>
      </c>
      <c r="B19" s="42">
        <v>20729.64793702052</v>
      </c>
      <c r="C19" s="42">
        <v>11872.704650703872</v>
      </c>
      <c r="D19" s="42">
        <v>1.7459920504121667</v>
      </c>
      <c r="E19" s="37">
        <v>9.9980665791048376E-2</v>
      </c>
      <c r="F19" s="42">
        <v>-4439.361568092565</v>
      </c>
      <c r="G19" s="42">
        <v>45898.657442133604</v>
      </c>
    </row>
    <row r="20" spans="1:7" ht="15" customHeight="1">
      <c r="A20" s="3" t="s">
        <v>23</v>
      </c>
      <c r="B20" s="42">
        <v>-57406.112011207384</v>
      </c>
      <c r="C20" s="42">
        <v>16057.396350067454</v>
      </c>
      <c r="D20" s="42">
        <v>-3.5750572981880859</v>
      </c>
      <c r="E20" s="37">
        <v>2.5290288194016563E-3</v>
      </c>
      <c r="F20" s="42">
        <v>-91446.271625407506</v>
      </c>
      <c r="G20" s="42">
        <v>-23365.952397007262</v>
      </c>
    </row>
    <row r="21" spans="1:7" ht="15" customHeight="1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G8:G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A482-42C3-4407-BA2C-055A30AB04AC}">
  <dimension ref="A1:G21"/>
  <sheetViews>
    <sheetView showGridLines="0" workbookViewId="0">
      <selection activeCell="L32" sqref="L32"/>
    </sheetView>
  </sheetViews>
  <sheetFormatPr defaultColWidth="12.59765625" defaultRowHeight="14.25"/>
  <cols>
    <col min="1" max="1" width="19.73046875" bestFit="1" customWidth="1"/>
    <col min="2" max="7" width="12.59765625" customWidth="1"/>
  </cols>
  <sheetData>
    <row r="1" spans="1:7" s="26" customFormat="1" ht="18">
      <c r="A1" s="32" t="s">
        <v>81</v>
      </c>
      <c r="B1" s="30"/>
    </row>
    <row r="2" spans="1:7" s="26" customFormat="1" ht="10.5">
      <c r="A2" s="28" t="s">
        <v>82</v>
      </c>
      <c r="B2" s="30" t="s">
        <v>90</v>
      </c>
    </row>
    <row r="3" spans="1:7" s="26" customFormat="1" ht="10.5">
      <c r="A3" s="28" t="s">
        <v>84</v>
      </c>
      <c r="B3" s="30" t="s">
        <v>85</v>
      </c>
    </row>
    <row r="4" spans="1:7" s="26" customFormat="1" ht="10.5">
      <c r="A4" s="28" t="s">
        <v>86</v>
      </c>
      <c r="B4" s="30" t="s">
        <v>120</v>
      </c>
    </row>
    <row r="5" spans="1:7" s="26" customFormat="1" ht="10.5">
      <c r="A5" s="28" t="s">
        <v>88</v>
      </c>
      <c r="B5" s="30" t="s">
        <v>91</v>
      </c>
    </row>
    <row r="6" spans="1:7" s="27" customFormat="1" ht="10.5">
      <c r="A6" s="29" t="s">
        <v>92</v>
      </c>
      <c r="B6" s="31" t="s">
        <v>21</v>
      </c>
    </row>
    <row r="8" spans="1:7" ht="15" customHeight="1">
      <c r="A8" s="33" t="s">
        <v>121</v>
      </c>
      <c r="B8" s="63" t="s">
        <v>95</v>
      </c>
      <c r="C8" s="61" t="s">
        <v>96</v>
      </c>
      <c r="D8" s="63" t="s">
        <v>97</v>
      </c>
      <c r="E8" s="63" t="s">
        <v>98</v>
      </c>
      <c r="F8" s="63" t="s">
        <v>99</v>
      </c>
      <c r="G8" s="61" t="s">
        <v>100</v>
      </c>
    </row>
    <row r="9" spans="1:7" ht="15" customHeight="1" thickBot="1">
      <c r="A9" s="60" t="s">
        <v>101</v>
      </c>
      <c r="B9" s="62"/>
      <c r="C9" s="62"/>
      <c r="D9" s="62"/>
      <c r="E9" s="62"/>
      <c r="F9" s="62"/>
      <c r="G9" s="62"/>
    </row>
    <row r="10" spans="1:7" ht="15" customHeight="1" thickTop="1">
      <c r="A10" s="3"/>
      <c r="B10" s="36">
        <v>0.87638797735954577</v>
      </c>
      <c r="C10" s="36">
        <v>0.76805588686035575</v>
      </c>
      <c r="D10" s="36">
        <v>0.75355937978912801</v>
      </c>
      <c r="E10" s="42">
        <v>9.2025493776841731</v>
      </c>
      <c r="F10" s="42">
        <v>0</v>
      </c>
      <c r="G10" s="42">
        <v>0</v>
      </c>
    </row>
    <row r="11" spans="1:7" ht="15" customHeight="1"/>
    <row r="12" spans="1:7" ht="15" customHeight="1">
      <c r="A12" s="33"/>
      <c r="B12" s="63" t="s">
        <v>102</v>
      </c>
      <c r="C12" s="63" t="s">
        <v>103</v>
      </c>
      <c r="D12" s="63" t="s">
        <v>104</v>
      </c>
      <c r="E12" s="61" t="s">
        <v>105</v>
      </c>
      <c r="F12" s="61" t="s">
        <v>106</v>
      </c>
    </row>
    <row r="13" spans="1:7" ht="15" customHeight="1" thickBot="1">
      <c r="A13" s="60" t="s">
        <v>107</v>
      </c>
      <c r="B13" s="62"/>
      <c r="C13" s="62"/>
      <c r="D13" s="62"/>
      <c r="E13" s="62"/>
      <c r="F13" s="62"/>
    </row>
    <row r="14" spans="1:7" ht="15" customHeight="1" thickTop="1">
      <c r="A14" s="3" t="s">
        <v>108</v>
      </c>
      <c r="B14" s="42">
        <v>1</v>
      </c>
      <c r="C14" s="42">
        <v>4486.8935201850545</v>
      </c>
      <c r="D14" s="42">
        <v>4486.8935201850545</v>
      </c>
      <c r="E14" s="42">
        <v>52.982134460843348</v>
      </c>
      <c r="F14" s="37">
        <v>1.846865962485596E-6</v>
      </c>
    </row>
    <row r="15" spans="1:7" ht="15" customHeight="1">
      <c r="A15" s="3" t="s">
        <v>109</v>
      </c>
      <c r="B15" s="42">
        <v>16</v>
      </c>
      <c r="C15" s="42">
        <v>1354.9906407794456</v>
      </c>
      <c r="D15" s="42">
        <v>84.686915048715349</v>
      </c>
      <c r="E15" s="42"/>
      <c r="F15" s="42"/>
    </row>
    <row r="16" spans="1:7" ht="15" customHeight="1"/>
    <row r="17" spans="1:7" ht="15" customHeight="1">
      <c r="A17" s="33"/>
      <c r="B17" s="61" t="s">
        <v>110</v>
      </c>
      <c r="C17" s="63" t="s">
        <v>111</v>
      </c>
      <c r="D17" s="61" t="s">
        <v>112</v>
      </c>
      <c r="E17" s="61" t="s">
        <v>106</v>
      </c>
      <c r="F17" s="64" t="s">
        <v>113</v>
      </c>
      <c r="G17" s="64"/>
    </row>
    <row r="18" spans="1:7" ht="15" customHeight="1" thickBot="1">
      <c r="A18" s="60" t="s">
        <v>114</v>
      </c>
      <c r="B18" s="62"/>
      <c r="C18" s="62"/>
      <c r="D18" s="62"/>
      <c r="E18" s="62"/>
      <c r="F18" s="58" t="s">
        <v>115</v>
      </c>
      <c r="G18" s="58" t="s">
        <v>116</v>
      </c>
    </row>
    <row r="19" spans="1:7" ht="15" customHeight="1" thickTop="1">
      <c r="A19" s="3" t="s">
        <v>117</v>
      </c>
      <c r="B19" s="42">
        <v>-6.4327247126774267</v>
      </c>
      <c r="C19" s="42">
        <v>3.7637927504469713</v>
      </c>
      <c r="D19" s="42">
        <v>-1.7091070468514784</v>
      </c>
      <c r="E19" s="37">
        <v>0.10675229714011346</v>
      </c>
      <c r="F19" s="42">
        <v>-14.411608909519586</v>
      </c>
      <c r="G19" s="42">
        <v>1.5461594841647326</v>
      </c>
    </row>
    <row r="20" spans="1:7" ht="15" customHeight="1">
      <c r="A20" s="3" t="s">
        <v>19</v>
      </c>
      <c r="B20" s="42">
        <v>-2.5342437402512108E-3</v>
      </c>
      <c r="C20" s="42">
        <v>3.4816383480558232E-4</v>
      </c>
      <c r="D20" s="42">
        <v>-7.2788827755942958</v>
      </c>
      <c r="E20" s="37">
        <v>1.8468659624856061E-6</v>
      </c>
      <c r="F20" s="42">
        <v>-3.2723180986526735E-3</v>
      </c>
      <c r="G20" s="42">
        <v>-1.7961693818497482E-3</v>
      </c>
    </row>
    <row r="21" spans="1:7" ht="15" customHeight="1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G8:G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AA7D-8C50-4A4C-A66F-0BEA7CCAB66F}">
  <dimension ref="A1:G21"/>
  <sheetViews>
    <sheetView showGridLines="0" workbookViewId="0">
      <selection activeCell="L32" sqref="L32"/>
    </sheetView>
  </sheetViews>
  <sheetFormatPr defaultColWidth="12.59765625" defaultRowHeight="14.25"/>
  <cols>
    <col min="1" max="1" width="19.73046875" bestFit="1" customWidth="1"/>
    <col min="2" max="7" width="12.59765625" customWidth="1"/>
  </cols>
  <sheetData>
    <row r="1" spans="1:7" s="26" customFormat="1" ht="18">
      <c r="A1" s="32" t="s">
        <v>81</v>
      </c>
      <c r="B1" s="30"/>
    </row>
    <row r="2" spans="1:7" s="26" customFormat="1" ht="10.5">
      <c r="A2" s="28" t="s">
        <v>82</v>
      </c>
      <c r="B2" s="30" t="s">
        <v>90</v>
      </c>
    </row>
    <row r="3" spans="1:7" s="26" customFormat="1" ht="10.5">
      <c r="A3" s="28" t="s">
        <v>84</v>
      </c>
      <c r="B3" s="30" t="s">
        <v>85</v>
      </c>
    </row>
    <row r="4" spans="1:7" s="26" customFormat="1" ht="10.5">
      <c r="A4" s="28" t="s">
        <v>86</v>
      </c>
      <c r="B4" s="30" t="s">
        <v>120</v>
      </c>
    </row>
    <row r="5" spans="1:7" s="26" customFormat="1" ht="10.5">
      <c r="A5" s="28" t="s">
        <v>88</v>
      </c>
      <c r="B5" s="30" t="s">
        <v>91</v>
      </c>
    </row>
    <row r="6" spans="1:7" s="27" customFormat="1" ht="10.5">
      <c r="A6" s="29" t="s">
        <v>92</v>
      </c>
      <c r="B6" s="31" t="s">
        <v>21</v>
      </c>
    </row>
    <row r="8" spans="1:7" ht="15" customHeight="1">
      <c r="A8" s="33" t="s">
        <v>121</v>
      </c>
      <c r="B8" s="63" t="s">
        <v>95</v>
      </c>
      <c r="C8" s="61" t="s">
        <v>96</v>
      </c>
      <c r="D8" s="63" t="s">
        <v>97</v>
      </c>
      <c r="E8" s="63" t="s">
        <v>98</v>
      </c>
      <c r="F8" s="63" t="s">
        <v>99</v>
      </c>
      <c r="G8" s="61" t="s">
        <v>100</v>
      </c>
    </row>
    <row r="9" spans="1:7" ht="15" customHeight="1" thickBot="1">
      <c r="A9" s="60" t="s">
        <v>101</v>
      </c>
      <c r="B9" s="62"/>
      <c r="C9" s="62"/>
      <c r="D9" s="62"/>
      <c r="E9" s="62"/>
      <c r="F9" s="62"/>
      <c r="G9" s="62"/>
    </row>
    <row r="10" spans="1:7" ht="15" customHeight="1" thickTop="1">
      <c r="A10" s="3"/>
      <c r="B10" s="36">
        <v>0.82411390208659274</v>
      </c>
      <c r="C10" s="36">
        <v>0.67916372361239008</v>
      </c>
      <c r="D10" s="36">
        <v>0.65911145633816437</v>
      </c>
      <c r="E10" s="42">
        <v>10.823263028344339</v>
      </c>
      <c r="F10" s="42">
        <v>0</v>
      </c>
      <c r="G10" s="42">
        <v>0</v>
      </c>
    </row>
    <row r="11" spans="1:7" ht="15" customHeight="1"/>
    <row r="12" spans="1:7" ht="15" customHeight="1">
      <c r="A12" s="33"/>
      <c r="B12" s="63" t="s">
        <v>102</v>
      </c>
      <c r="C12" s="63" t="s">
        <v>103</v>
      </c>
      <c r="D12" s="63" t="s">
        <v>104</v>
      </c>
      <c r="E12" s="61" t="s">
        <v>105</v>
      </c>
      <c r="F12" s="61" t="s">
        <v>106</v>
      </c>
    </row>
    <row r="13" spans="1:7" ht="15" customHeight="1" thickBot="1">
      <c r="A13" s="60" t="s">
        <v>107</v>
      </c>
      <c r="B13" s="62"/>
      <c r="C13" s="62"/>
      <c r="D13" s="62"/>
      <c r="E13" s="62"/>
      <c r="F13" s="62"/>
    </row>
    <row r="14" spans="1:7" ht="15" customHeight="1" thickTop="1">
      <c r="A14" s="3" t="s">
        <v>108</v>
      </c>
      <c r="B14" s="42">
        <v>1</v>
      </c>
      <c r="C14" s="42">
        <v>3967.5957996728939</v>
      </c>
      <c r="D14" s="42">
        <v>3967.5957996728939</v>
      </c>
      <c r="E14" s="42">
        <v>33.869672407835886</v>
      </c>
      <c r="F14" s="37">
        <v>2.609632643281427E-5</v>
      </c>
    </row>
    <row r="15" spans="1:7" ht="15" customHeight="1">
      <c r="A15" s="3" t="s">
        <v>109</v>
      </c>
      <c r="B15" s="42">
        <v>16</v>
      </c>
      <c r="C15" s="42">
        <v>1874.2883612916078</v>
      </c>
      <c r="D15" s="42">
        <v>117.14302258072549</v>
      </c>
      <c r="E15" s="42"/>
      <c r="F15" s="42"/>
    </row>
    <row r="16" spans="1:7" ht="15" customHeight="1"/>
    <row r="17" spans="1:7" ht="15" customHeight="1">
      <c r="A17" s="33"/>
      <c r="B17" s="61" t="s">
        <v>110</v>
      </c>
      <c r="C17" s="63" t="s">
        <v>111</v>
      </c>
      <c r="D17" s="61" t="s">
        <v>112</v>
      </c>
      <c r="E17" s="61" t="s">
        <v>106</v>
      </c>
      <c r="F17" s="64" t="s">
        <v>113</v>
      </c>
      <c r="G17" s="64"/>
    </row>
    <row r="18" spans="1:7" ht="15" customHeight="1" thickBot="1">
      <c r="A18" s="60" t="s">
        <v>114</v>
      </c>
      <c r="B18" s="62"/>
      <c r="C18" s="62"/>
      <c r="D18" s="62"/>
      <c r="E18" s="62"/>
      <c r="F18" s="58" t="s">
        <v>115</v>
      </c>
      <c r="G18" s="58" t="s">
        <v>116</v>
      </c>
    </row>
    <row r="19" spans="1:7" ht="15" customHeight="1" thickTop="1">
      <c r="A19" s="3" t="s">
        <v>117</v>
      </c>
      <c r="B19" s="42">
        <v>-9.3700991825027486</v>
      </c>
      <c r="C19" s="42">
        <v>5.0444443287003935</v>
      </c>
      <c r="D19" s="42">
        <v>-1.8575086911340299</v>
      </c>
      <c r="E19" s="37">
        <v>8.1741559846846487E-2</v>
      </c>
      <c r="F19" s="42">
        <v>-20.063843446540091</v>
      </c>
      <c r="G19" s="42">
        <v>1.3236450815345915</v>
      </c>
    </row>
    <row r="20" spans="1:7" ht="15" customHeight="1">
      <c r="A20" s="3" t="s">
        <v>20</v>
      </c>
      <c r="B20" s="42">
        <v>-1.2105466030300906E-3</v>
      </c>
      <c r="C20" s="42">
        <v>2.0800607318093294E-4</v>
      </c>
      <c r="D20" s="42">
        <v>-5.8197656660587178</v>
      </c>
      <c r="E20" s="37">
        <v>2.6096326432814318E-5</v>
      </c>
      <c r="F20" s="42">
        <v>-1.6514997798365038E-3</v>
      </c>
      <c r="G20" s="42">
        <v>-7.6959342622367729E-4</v>
      </c>
    </row>
    <row r="21" spans="1:7" ht="15" customHeight="1"/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G8:G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61C3-C930-4E72-B51E-1A0DFC3B82D5}">
  <dimension ref="A1:G23"/>
  <sheetViews>
    <sheetView showGridLines="0" zoomScale="115" zoomScaleNormal="115" workbookViewId="0">
      <selection activeCell="A36" sqref="A36"/>
    </sheetView>
  </sheetViews>
  <sheetFormatPr defaultColWidth="12.59765625" defaultRowHeight="14.25"/>
  <cols>
    <col min="1" max="1" width="19.73046875" bestFit="1" customWidth="1"/>
    <col min="2" max="7" width="12.59765625" customWidth="1"/>
  </cols>
  <sheetData>
    <row r="1" spans="1:7" s="26" customFormat="1" ht="18">
      <c r="A1" s="32" t="s">
        <v>81</v>
      </c>
      <c r="B1" s="30"/>
    </row>
    <row r="2" spans="1:7" s="26" customFormat="1" ht="10.5">
      <c r="A2" s="28" t="s">
        <v>82</v>
      </c>
      <c r="B2" s="30" t="s">
        <v>90</v>
      </c>
    </row>
    <row r="3" spans="1:7" s="26" customFormat="1" ht="10.5">
      <c r="A3" s="28" t="s">
        <v>84</v>
      </c>
      <c r="B3" s="30" t="s">
        <v>85</v>
      </c>
    </row>
    <row r="4" spans="1:7" s="26" customFormat="1" ht="10.5">
      <c r="A4" s="28" t="s">
        <v>86</v>
      </c>
      <c r="B4" s="30" t="s">
        <v>120</v>
      </c>
    </row>
    <row r="5" spans="1:7" s="26" customFormat="1" ht="10.5">
      <c r="A5" s="28" t="s">
        <v>88</v>
      </c>
      <c r="B5" s="30" t="s">
        <v>91</v>
      </c>
    </row>
    <row r="6" spans="1:7" s="27" customFormat="1" ht="10.5">
      <c r="A6" s="29" t="s">
        <v>92</v>
      </c>
      <c r="B6" s="31" t="s">
        <v>21</v>
      </c>
    </row>
    <row r="8" spans="1:7" ht="15" customHeight="1">
      <c r="A8" s="33" t="s">
        <v>121</v>
      </c>
      <c r="B8" s="63" t="s">
        <v>95</v>
      </c>
      <c r="C8" s="61" t="s">
        <v>96</v>
      </c>
      <c r="D8" s="63" t="s">
        <v>97</v>
      </c>
      <c r="E8" s="63" t="s">
        <v>98</v>
      </c>
      <c r="F8" s="63" t="s">
        <v>99</v>
      </c>
      <c r="G8" s="61" t="s">
        <v>100</v>
      </c>
    </row>
    <row r="9" spans="1:7" ht="15" customHeight="1" thickBot="1">
      <c r="A9" s="60" t="s">
        <v>101</v>
      </c>
      <c r="B9" s="62"/>
      <c r="C9" s="62"/>
      <c r="D9" s="62"/>
      <c r="E9" s="62"/>
      <c r="F9" s="62"/>
      <c r="G9" s="62"/>
    </row>
    <row r="10" spans="1:7" ht="15" customHeight="1" thickTop="1">
      <c r="A10" s="3"/>
      <c r="B10" s="46">
        <v>0.88150526238507854</v>
      </c>
      <c r="C10" s="46">
        <v>0.77705152761258611</v>
      </c>
      <c r="D10" s="36">
        <v>0.74732506462759773</v>
      </c>
      <c r="E10" s="42">
        <v>9.3182228260945887</v>
      </c>
      <c r="F10" s="42">
        <v>0</v>
      </c>
      <c r="G10" s="42">
        <v>0</v>
      </c>
    </row>
    <row r="11" spans="1:7" ht="15" customHeight="1"/>
    <row r="12" spans="1:7" ht="15" customHeight="1">
      <c r="A12" s="33"/>
      <c r="B12" s="63" t="s">
        <v>102</v>
      </c>
      <c r="C12" s="63" t="s">
        <v>103</v>
      </c>
      <c r="D12" s="63" t="s">
        <v>104</v>
      </c>
      <c r="E12" s="61" t="s">
        <v>105</v>
      </c>
      <c r="F12" s="61" t="s">
        <v>106</v>
      </c>
    </row>
    <row r="13" spans="1:7" ht="15" customHeight="1" thickBot="1">
      <c r="A13" s="60" t="s">
        <v>107</v>
      </c>
      <c r="B13" s="62"/>
      <c r="C13" s="62"/>
      <c r="D13" s="62"/>
      <c r="E13" s="62"/>
      <c r="F13" s="62"/>
    </row>
    <row r="14" spans="1:7" ht="15" customHeight="1" thickTop="1">
      <c r="A14" s="3" t="s">
        <v>108</v>
      </c>
      <c r="B14" s="42">
        <v>2</v>
      </c>
      <c r="C14" s="42">
        <v>4539.4450114131996</v>
      </c>
      <c r="D14" s="42">
        <v>2269.7225057065998</v>
      </c>
      <c r="E14" s="42">
        <v>26.140060053730164</v>
      </c>
      <c r="F14" s="37">
        <v>1.2928071854897138E-5</v>
      </c>
    </row>
    <row r="15" spans="1:7" ht="15" customHeight="1">
      <c r="A15" s="3" t="s">
        <v>109</v>
      </c>
      <c r="B15" s="42">
        <v>15</v>
      </c>
      <c r="C15" s="42">
        <v>1302.4391495512532</v>
      </c>
      <c r="D15" s="42">
        <v>86.829276636750208</v>
      </c>
      <c r="E15" s="42"/>
      <c r="F15" s="42"/>
    </row>
    <row r="16" spans="1:7" ht="15" customHeight="1"/>
    <row r="17" spans="1:7" ht="15" customHeight="1">
      <c r="A17" s="33"/>
      <c r="B17" s="61" t="s">
        <v>110</v>
      </c>
      <c r="C17" s="63" t="s">
        <v>111</v>
      </c>
      <c r="D17" s="61" t="s">
        <v>112</v>
      </c>
      <c r="E17" s="61" t="s">
        <v>106</v>
      </c>
      <c r="F17" s="64" t="s">
        <v>113</v>
      </c>
      <c r="G17" s="64"/>
    </row>
    <row r="18" spans="1:7" ht="15" customHeight="1" thickBot="1">
      <c r="A18" s="60" t="s">
        <v>114</v>
      </c>
      <c r="B18" s="62"/>
      <c r="C18" s="62"/>
      <c r="D18" s="62"/>
      <c r="E18" s="62"/>
      <c r="F18" s="58" t="s">
        <v>115</v>
      </c>
      <c r="G18" s="58" t="s">
        <v>116</v>
      </c>
    </row>
    <row r="19" spans="1:7" ht="15" customHeight="1" thickTop="1">
      <c r="A19" s="3" t="s">
        <v>117</v>
      </c>
      <c r="B19" s="59">
        <v>-4.1728158510832998</v>
      </c>
      <c r="C19" s="42">
        <v>4.7919681468876565</v>
      </c>
      <c r="D19" s="42">
        <v>-0.87079373718156061</v>
      </c>
      <c r="E19" s="37">
        <v>0.39758936208846862</v>
      </c>
      <c r="F19" s="42">
        <v>-14.386654180101747</v>
      </c>
      <c r="G19" s="42">
        <v>6.0410224779351474</v>
      </c>
    </row>
    <row r="20" spans="1:7" ht="15" customHeight="1">
      <c r="A20" s="3" t="s">
        <v>19</v>
      </c>
      <c r="B20" s="59">
        <v>-3.5862313079253888E-3</v>
      </c>
      <c r="C20" s="42">
        <v>1.3974318125064176E-3</v>
      </c>
      <c r="D20" s="42">
        <v>-2.5663014651807345</v>
      </c>
      <c r="E20" s="37">
        <v>2.1491574735845724E-2</v>
      </c>
      <c r="F20" s="42">
        <v>-6.564786709642334E-3</v>
      </c>
      <c r="G20" s="42">
        <v>-6.0767590620844402E-4</v>
      </c>
    </row>
    <row r="21" spans="1:7" ht="15" customHeight="1">
      <c r="A21" s="3" t="s">
        <v>20</v>
      </c>
      <c r="B21" s="59">
        <v>5.5224571917269344E-4</v>
      </c>
      <c r="C21" s="42">
        <v>7.0986036392010757E-4</v>
      </c>
      <c r="D21" s="42">
        <v>0.77796387464569983</v>
      </c>
      <c r="E21" s="37">
        <v>0.44868807947459388</v>
      </c>
      <c r="F21" s="42">
        <v>-9.6078583091539554E-4</v>
      </c>
      <c r="G21" s="42">
        <v>2.0652772692607824E-3</v>
      </c>
    </row>
    <row r="22" spans="1:7" ht="15" customHeight="1"/>
    <row r="23" spans="1:7">
      <c r="A23" s="3"/>
    </row>
  </sheetData>
  <mergeCells count="16">
    <mergeCell ref="B12:B13"/>
    <mergeCell ref="C12:C13"/>
    <mergeCell ref="D12:D13"/>
    <mergeCell ref="E12:E13"/>
    <mergeCell ref="F12:F13"/>
    <mergeCell ref="B17:B18"/>
    <mergeCell ref="C17:C18"/>
    <mergeCell ref="D17:D18"/>
    <mergeCell ref="E17:E18"/>
    <mergeCell ref="F17:G17"/>
    <mergeCell ref="G8:G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14A7999BF8A241A50AF9E422F80000" ma:contentTypeVersion="13" ma:contentTypeDescription="Create a new document." ma:contentTypeScope="" ma:versionID="2862d2e1f47f016ce227648532780330">
  <xsd:schema xmlns:xsd="http://www.w3.org/2001/XMLSchema" xmlns:xs="http://www.w3.org/2001/XMLSchema" xmlns:p="http://schemas.microsoft.com/office/2006/metadata/properties" xmlns:ns3="21481d0d-d005-46f1-8c18-94009c1bf3a8" xmlns:ns4="c6ddcdac-f817-4650-b52f-ff2c36977245" targetNamespace="http://schemas.microsoft.com/office/2006/metadata/properties" ma:root="true" ma:fieldsID="0b736c8e0d67cca342f9e65d194ff540" ns3:_="" ns4:_="">
    <xsd:import namespace="21481d0d-d005-46f1-8c18-94009c1bf3a8"/>
    <xsd:import namespace="c6ddcdac-f817-4650-b52f-ff2c369772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481d0d-d005-46f1-8c18-94009c1bf3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dcdac-f817-4650-b52f-ff2c3697724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3746D3-E0B9-45ED-9F7C-EEFD137AE1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2E51D1-1619-4AF5-AFD6-253B9AE7B0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065A22-3F65-430A-85EF-AFA480C431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481d0d-d005-46f1-8c18-94009c1bf3a8"/>
    <ds:schemaRef ds:uri="c6ddcdac-f817-4650-b52f-ff2c369772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19</vt:i4>
      </vt:variant>
    </vt:vector>
  </HeadingPairs>
  <TitlesOfParts>
    <vt:vector size="36" baseType="lpstr">
      <vt:lpstr>Master table (4)</vt:lpstr>
      <vt:lpstr>_PalUtilTempWorksheet</vt:lpstr>
      <vt:lpstr>_STDS_DG24B107FB</vt:lpstr>
      <vt:lpstr>Regression Co2 GT</vt:lpstr>
      <vt:lpstr>Regression GT ANT</vt:lpstr>
      <vt:lpstr>Regression GT GR</vt:lpstr>
      <vt:lpstr>Regression ANT GMSL</vt:lpstr>
      <vt:lpstr>Regression GR GMSL </vt:lpstr>
      <vt:lpstr>Multi Regression ANT GR GMSL</vt:lpstr>
      <vt:lpstr>One Var Summary</vt:lpstr>
      <vt:lpstr>Scatter Global Temp-CO2</vt:lpstr>
      <vt:lpstr>Scatter GMSL-GT</vt:lpstr>
      <vt:lpstr>Scatter Green-GT</vt:lpstr>
      <vt:lpstr>Scatter ANT-GT</vt:lpstr>
      <vt:lpstr>Scatter GMSL - Ant. Gre.</vt:lpstr>
      <vt:lpstr>Sheet1</vt:lpstr>
      <vt:lpstr>Correlation and Covariance</vt:lpstr>
      <vt:lpstr>ST_AntarcticmassGigatonnes_5</vt:lpstr>
      <vt:lpstr>ST_CO2AVGPPM_3</vt:lpstr>
      <vt:lpstr>ST_GlobalTemperatureNoSmoothing_2</vt:lpstr>
      <vt:lpstr>ST_GMLS_4</vt:lpstr>
      <vt:lpstr>ST_GreenlandmassGigatonnes_6</vt:lpstr>
      <vt:lpstr>ST_Year_1</vt:lpstr>
      <vt:lpstr>'Correlation and Covariance'!StatToolsHeader</vt:lpstr>
      <vt:lpstr>'Multi Regression ANT GR GMSL'!StatToolsHeader</vt:lpstr>
      <vt:lpstr>'One Var Summary'!StatToolsHeader</vt:lpstr>
      <vt:lpstr>'Regression ANT GMSL'!StatToolsHeader</vt:lpstr>
      <vt:lpstr>'Regression Co2 GT'!StatToolsHeader</vt:lpstr>
      <vt:lpstr>'Regression GR GMSL '!StatToolsHeader</vt:lpstr>
      <vt:lpstr>'Regression GT ANT'!StatToolsHeader</vt:lpstr>
      <vt:lpstr>'Regression GT GR'!StatToolsHeader</vt:lpstr>
      <vt:lpstr>'Scatter ANT-GT'!StatToolsHeader</vt:lpstr>
      <vt:lpstr>'Scatter Global Temp-CO2'!StatToolsHeader</vt:lpstr>
      <vt:lpstr>'Scatter GMSL - Ant. Gre.'!StatToolsHeader</vt:lpstr>
      <vt:lpstr>'Scatter GMSL-GT'!StatToolsHeader</vt:lpstr>
      <vt:lpstr>'Scatter Green-GT'!StatToolsHeader</vt:lpstr>
    </vt:vector>
  </TitlesOfParts>
  <Manager/>
  <Company>University at Buffalo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Pamella</dc:creator>
  <cp:keywords/>
  <dc:description/>
  <cp:lastModifiedBy>Jae Hoon Lee</cp:lastModifiedBy>
  <cp:revision/>
  <dcterms:created xsi:type="dcterms:W3CDTF">2020-02-28T02:19:35Z</dcterms:created>
  <dcterms:modified xsi:type="dcterms:W3CDTF">2020-11-14T00:10:43Z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0x0101002714A7999BF8A241A50AF9E422F80000</vt:lpwstr>
  </property>
</Properties>
</file>